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omments1.xml" ContentType="application/vnd.openxmlformats-officedocument.spreadsheetml.comments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MingsWork\AR\Sales_Inv Listing\"/>
    </mc:Choice>
  </mc:AlternateContent>
  <bookViews>
    <workbookView xWindow="-108" yWindow="-108" windowWidth="19416" windowHeight="10296" tabRatio="927" firstSheet="1" activeTab="2"/>
  </bookViews>
  <sheets>
    <sheet name="Sales_by Inv No &amp; by custom WSK" sheetId="11" r:id="rId1"/>
    <sheet name="Customer Aging" sheetId="5" r:id="rId2"/>
    <sheet name="Raw Sales" sheetId="4" r:id="rId3"/>
    <sheet name="Set up" sheetId="14" r:id="rId4"/>
    <sheet name="Customer Payment Term" sheetId="9" r:id="rId5"/>
    <sheet name="Transport_by month (estimate)" sheetId="7" r:id="rId6"/>
    <sheet name="Inv No with date" sheetId="12" r:id="rId7"/>
    <sheet name="Sales_by Inv No &amp; by customer" sheetId="6" r:id="rId8"/>
    <sheet name="Sales Qty_by product" sheetId="8" r:id="rId9"/>
    <sheet name="Sales_by Inv No" sheetId="10" r:id="rId10"/>
  </sheets>
  <definedNames>
    <definedName name="_xlnm._FilterDatabase" localSheetId="2" hidden="1">'Raw Sales'!$A$1:$T$2591</definedName>
    <definedName name="_xlnm._FilterDatabase" localSheetId="3" hidden="1">'Set up'!$A$1:$D$43</definedName>
    <definedName name="_xlnm.Print_Area" localSheetId="1">'Customer Aging'!$A$1:$H$50</definedName>
    <definedName name="_xlnm.Print_Area" localSheetId="4">'Customer Payment Term'!$A$1:$K$22</definedName>
    <definedName name="_xlnm.Print_Area" localSheetId="2">'Raw Sales'!$A$410:$W$457</definedName>
    <definedName name="_xlnm.Print_Area" localSheetId="8">'Sales Qty_by product'!$A$1:$L$49</definedName>
    <definedName name="_xlnm.Print_Area" localSheetId="9">'Sales_by Inv No'!#REF!</definedName>
    <definedName name="_xlnm.Print_Area" localSheetId="0">'Sales_by Inv No &amp; by custom WSK'!$A$2:$AC$107</definedName>
    <definedName name="_xlnm.Print_Area" localSheetId="7">'Sales_by Inv No &amp; by customer'!$N$2:$Z$107</definedName>
    <definedName name="_xlnm.Print_Area" localSheetId="5">'Transport_by month (estimate)'!$A$209:$E$238</definedName>
  </definedNames>
  <calcPr calcId="162913"/>
  <pivotCaches>
    <pivotCache cacheId="0" r:id="rId11"/>
    <pivotCache cacheId="1" r:id="rId12"/>
    <pivotCache cacheId="2" r:id="rId13"/>
    <pivotCache cacheId="3" r:id="rId1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2766" i="4" l="1"/>
  <c r="C2766" i="4"/>
  <c r="E2766" i="4"/>
  <c r="I2766" i="4"/>
  <c r="J2766" i="4"/>
  <c r="K2766" i="4" s="1"/>
  <c r="P2766" i="4"/>
  <c r="R2766" i="4"/>
  <c r="B2767" i="4"/>
  <c r="C2767" i="4"/>
  <c r="E2767" i="4"/>
  <c r="I2767" i="4"/>
  <c r="J2767" i="4"/>
  <c r="K2767" i="4" s="1"/>
  <c r="P2767" i="4"/>
  <c r="R2767" i="4"/>
  <c r="B2768" i="4"/>
  <c r="C2768" i="4"/>
  <c r="E2768" i="4"/>
  <c r="I2768" i="4"/>
  <c r="J2768" i="4"/>
  <c r="K2768" i="4" s="1"/>
  <c r="P2768" i="4"/>
  <c r="R2768" i="4"/>
  <c r="B2769" i="4"/>
  <c r="C2769" i="4"/>
  <c r="E2769" i="4"/>
  <c r="I2769" i="4"/>
  <c r="J2769" i="4"/>
  <c r="K2769" i="4"/>
  <c r="L2769" i="4"/>
  <c r="M2769" i="4"/>
  <c r="P2769" i="4"/>
  <c r="R2769" i="4"/>
  <c r="B2770" i="4"/>
  <c r="C2770" i="4"/>
  <c r="E2770" i="4"/>
  <c r="I2770" i="4"/>
  <c r="J2770" i="4"/>
  <c r="K2770" i="4" s="1"/>
  <c r="P2770" i="4"/>
  <c r="R2770" i="4"/>
  <c r="L2768" i="4" l="1"/>
  <c r="M2768" i="4"/>
  <c r="L2766" i="4"/>
  <c r="M2766" i="4"/>
  <c r="L2767" i="4"/>
  <c r="M2767" i="4"/>
  <c r="L2770" i="4"/>
  <c r="M2770" i="4"/>
  <c r="I2751" i="4" l="1"/>
  <c r="J2751" i="4"/>
  <c r="K2751" i="4" s="1"/>
  <c r="E2751" i="4"/>
  <c r="B2751" i="4"/>
  <c r="C2751" i="4"/>
  <c r="P2751" i="4"/>
  <c r="R2751" i="4"/>
  <c r="B2752" i="4"/>
  <c r="C2752" i="4"/>
  <c r="E2752" i="4"/>
  <c r="I2752" i="4"/>
  <c r="J2752" i="4"/>
  <c r="K2752" i="4" s="1"/>
  <c r="P2752" i="4"/>
  <c r="R2752" i="4"/>
  <c r="B2753" i="4"/>
  <c r="C2753" i="4"/>
  <c r="E2753" i="4"/>
  <c r="I2753" i="4"/>
  <c r="J2753" i="4"/>
  <c r="K2753" i="4" s="1"/>
  <c r="L2753" i="4" s="1"/>
  <c r="P2753" i="4"/>
  <c r="R2753" i="4"/>
  <c r="B2754" i="4"/>
  <c r="C2754" i="4"/>
  <c r="E2754" i="4"/>
  <c r="I2754" i="4"/>
  <c r="J2754" i="4"/>
  <c r="K2754" i="4" s="1"/>
  <c r="P2754" i="4"/>
  <c r="R2754" i="4"/>
  <c r="B2755" i="4"/>
  <c r="C2755" i="4"/>
  <c r="E2755" i="4"/>
  <c r="I2755" i="4"/>
  <c r="J2755" i="4"/>
  <c r="K2755" i="4" s="1"/>
  <c r="P2755" i="4"/>
  <c r="R2755" i="4"/>
  <c r="B2756" i="4"/>
  <c r="C2756" i="4"/>
  <c r="E2756" i="4"/>
  <c r="I2756" i="4"/>
  <c r="J2756" i="4"/>
  <c r="K2756" i="4" s="1"/>
  <c r="P2756" i="4"/>
  <c r="R2756" i="4"/>
  <c r="B2757" i="4"/>
  <c r="C2757" i="4"/>
  <c r="E2757" i="4"/>
  <c r="I2757" i="4"/>
  <c r="J2757" i="4"/>
  <c r="K2757" i="4" s="1"/>
  <c r="P2757" i="4"/>
  <c r="R2757" i="4"/>
  <c r="B2758" i="4"/>
  <c r="C2758" i="4"/>
  <c r="E2758" i="4"/>
  <c r="I2758" i="4"/>
  <c r="J2758" i="4"/>
  <c r="K2758" i="4"/>
  <c r="L2758" i="4" s="1"/>
  <c r="P2758" i="4"/>
  <c r="R2758" i="4"/>
  <c r="B2759" i="4"/>
  <c r="C2759" i="4"/>
  <c r="E2759" i="4"/>
  <c r="I2759" i="4"/>
  <c r="J2759" i="4"/>
  <c r="K2759" i="4" s="1"/>
  <c r="P2759" i="4"/>
  <c r="R2759" i="4"/>
  <c r="B2760" i="4"/>
  <c r="C2760" i="4"/>
  <c r="E2760" i="4"/>
  <c r="I2760" i="4"/>
  <c r="J2760" i="4"/>
  <c r="K2760" i="4" s="1"/>
  <c r="P2760" i="4"/>
  <c r="R2760" i="4"/>
  <c r="B2761" i="4"/>
  <c r="C2761" i="4"/>
  <c r="E2761" i="4"/>
  <c r="I2761" i="4"/>
  <c r="J2761" i="4"/>
  <c r="K2761" i="4" s="1"/>
  <c r="L2761" i="4" s="1"/>
  <c r="P2761" i="4"/>
  <c r="R2761" i="4"/>
  <c r="B2762" i="4"/>
  <c r="C2762" i="4"/>
  <c r="E2762" i="4"/>
  <c r="I2762" i="4"/>
  <c r="J2762" i="4"/>
  <c r="K2762" i="4"/>
  <c r="M2762" i="4" s="1"/>
  <c r="P2762" i="4"/>
  <c r="R2762" i="4"/>
  <c r="B2763" i="4"/>
  <c r="C2763" i="4"/>
  <c r="E2763" i="4"/>
  <c r="I2763" i="4"/>
  <c r="J2763" i="4"/>
  <c r="K2763" i="4" s="1"/>
  <c r="P2763" i="4"/>
  <c r="R2763" i="4"/>
  <c r="B2764" i="4"/>
  <c r="C2764" i="4"/>
  <c r="E2764" i="4"/>
  <c r="I2764" i="4"/>
  <c r="J2764" i="4"/>
  <c r="K2764" i="4" s="1"/>
  <c r="P2764" i="4"/>
  <c r="R2764" i="4"/>
  <c r="B2765" i="4"/>
  <c r="C2765" i="4"/>
  <c r="E2765" i="4"/>
  <c r="I2765" i="4"/>
  <c r="J2765" i="4"/>
  <c r="K2765" i="4" s="1"/>
  <c r="L2765" i="4" s="1"/>
  <c r="P2765" i="4"/>
  <c r="R2765" i="4"/>
  <c r="B2730" i="4"/>
  <c r="C2730" i="4"/>
  <c r="E2730" i="4"/>
  <c r="I2730" i="4"/>
  <c r="J2730" i="4"/>
  <c r="K2730" i="4" s="1"/>
  <c r="L2730" i="4" s="1"/>
  <c r="P2730" i="4"/>
  <c r="R2730" i="4"/>
  <c r="B2731" i="4"/>
  <c r="C2731" i="4"/>
  <c r="E2731" i="4"/>
  <c r="I2731" i="4"/>
  <c r="J2731" i="4"/>
  <c r="K2731" i="4" s="1"/>
  <c r="P2731" i="4"/>
  <c r="R2731" i="4"/>
  <c r="B2732" i="4"/>
  <c r="C2732" i="4"/>
  <c r="E2732" i="4"/>
  <c r="I2732" i="4"/>
  <c r="J2732" i="4"/>
  <c r="K2732" i="4" s="1"/>
  <c r="P2732" i="4"/>
  <c r="R2732" i="4"/>
  <c r="B2733" i="4"/>
  <c r="C2733" i="4"/>
  <c r="E2733" i="4"/>
  <c r="I2733" i="4"/>
  <c r="J2733" i="4"/>
  <c r="K2733" i="4" s="1"/>
  <c r="P2733" i="4"/>
  <c r="R2733" i="4"/>
  <c r="B2734" i="4"/>
  <c r="C2734" i="4"/>
  <c r="E2734" i="4"/>
  <c r="I2734" i="4"/>
  <c r="J2734" i="4"/>
  <c r="K2734" i="4" s="1"/>
  <c r="P2734" i="4"/>
  <c r="R2734" i="4"/>
  <c r="B2735" i="4"/>
  <c r="C2735" i="4"/>
  <c r="E2735" i="4"/>
  <c r="I2735" i="4"/>
  <c r="J2735" i="4"/>
  <c r="K2735" i="4" s="1"/>
  <c r="P2735" i="4"/>
  <c r="R2735" i="4"/>
  <c r="B2736" i="4"/>
  <c r="C2736" i="4"/>
  <c r="E2736" i="4"/>
  <c r="I2736" i="4"/>
  <c r="J2736" i="4"/>
  <c r="K2736" i="4" s="1"/>
  <c r="P2736" i="4"/>
  <c r="R2736" i="4"/>
  <c r="B2737" i="4"/>
  <c r="C2737" i="4"/>
  <c r="E2737" i="4"/>
  <c r="I2737" i="4"/>
  <c r="J2737" i="4"/>
  <c r="K2737" i="4" s="1"/>
  <c r="P2737" i="4"/>
  <c r="R2737" i="4"/>
  <c r="B2738" i="4"/>
  <c r="C2738" i="4"/>
  <c r="E2738" i="4"/>
  <c r="I2738" i="4"/>
  <c r="J2738" i="4"/>
  <c r="K2738" i="4" s="1"/>
  <c r="P2738" i="4"/>
  <c r="R2738" i="4"/>
  <c r="B2739" i="4"/>
  <c r="C2739" i="4"/>
  <c r="E2739" i="4"/>
  <c r="I2739" i="4"/>
  <c r="J2739" i="4"/>
  <c r="K2739" i="4" s="1"/>
  <c r="L2739" i="4" s="1"/>
  <c r="P2739" i="4"/>
  <c r="R2739" i="4"/>
  <c r="B2740" i="4"/>
  <c r="C2740" i="4"/>
  <c r="E2740" i="4"/>
  <c r="I2740" i="4"/>
  <c r="J2740" i="4"/>
  <c r="K2740" i="4" s="1"/>
  <c r="P2740" i="4"/>
  <c r="R2740" i="4"/>
  <c r="B2741" i="4"/>
  <c r="C2741" i="4"/>
  <c r="E2741" i="4"/>
  <c r="I2741" i="4"/>
  <c r="J2741" i="4"/>
  <c r="K2741" i="4" s="1"/>
  <c r="P2741" i="4"/>
  <c r="R2741" i="4"/>
  <c r="B2742" i="4"/>
  <c r="C2742" i="4"/>
  <c r="E2742" i="4"/>
  <c r="I2742" i="4"/>
  <c r="J2742" i="4"/>
  <c r="K2742" i="4" s="1"/>
  <c r="P2742" i="4"/>
  <c r="R2742" i="4"/>
  <c r="B2743" i="4"/>
  <c r="C2743" i="4"/>
  <c r="E2743" i="4"/>
  <c r="I2743" i="4"/>
  <c r="J2743" i="4"/>
  <c r="K2743" i="4" s="1"/>
  <c r="P2743" i="4"/>
  <c r="R2743" i="4"/>
  <c r="B2744" i="4"/>
  <c r="C2744" i="4"/>
  <c r="E2744" i="4"/>
  <c r="I2744" i="4"/>
  <c r="J2744" i="4"/>
  <c r="K2744" i="4" s="1"/>
  <c r="L2744" i="4" s="1"/>
  <c r="P2744" i="4"/>
  <c r="R2744" i="4"/>
  <c r="B2745" i="4"/>
  <c r="C2745" i="4"/>
  <c r="E2745" i="4"/>
  <c r="I2745" i="4"/>
  <c r="J2745" i="4"/>
  <c r="K2745" i="4" s="1"/>
  <c r="P2745" i="4"/>
  <c r="R2745" i="4"/>
  <c r="B2746" i="4"/>
  <c r="C2746" i="4"/>
  <c r="E2746" i="4"/>
  <c r="I2746" i="4"/>
  <c r="J2746" i="4"/>
  <c r="K2746" i="4" s="1"/>
  <c r="L2746" i="4" s="1"/>
  <c r="P2746" i="4"/>
  <c r="R2746" i="4"/>
  <c r="B2747" i="4"/>
  <c r="C2747" i="4"/>
  <c r="E2747" i="4"/>
  <c r="I2747" i="4"/>
  <c r="J2747" i="4"/>
  <c r="K2747" i="4" s="1"/>
  <c r="P2747" i="4"/>
  <c r="R2747" i="4"/>
  <c r="B2748" i="4"/>
  <c r="C2748" i="4"/>
  <c r="E2748" i="4"/>
  <c r="I2748" i="4"/>
  <c r="J2748" i="4"/>
  <c r="K2748" i="4" s="1"/>
  <c r="L2748" i="4" s="1"/>
  <c r="P2748" i="4"/>
  <c r="R2748" i="4"/>
  <c r="B2749" i="4"/>
  <c r="C2749" i="4"/>
  <c r="E2749" i="4"/>
  <c r="I2749" i="4"/>
  <c r="J2749" i="4"/>
  <c r="K2749" i="4" s="1"/>
  <c r="P2749" i="4"/>
  <c r="R2749" i="4"/>
  <c r="B2750" i="4"/>
  <c r="C2750" i="4"/>
  <c r="E2750" i="4"/>
  <c r="I2750" i="4"/>
  <c r="J2750" i="4"/>
  <c r="K2750" i="4" s="1"/>
  <c r="P2750" i="4"/>
  <c r="R2750" i="4"/>
  <c r="B2771" i="4"/>
  <c r="C2771" i="4"/>
  <c r="E2771" i="4"/>
  <c r="I2771" i="4"/>
  <c r="J2771" i="4"/>
  <c r="K2771" i="4" s="1"/>
  <c r="L2771" i="4" s="1"/>
  <c r="P2771" i="4"/>
  <c r="R2771" i="4"/>
  <c r="J2626" i="4"/>
  <c r="J2627" i="4"/>
  <c r="J2628" i="4"/>
  <c r="J2629" i="4"/>
  <c r="J2630" i="4"/>
  <c r="J2631" i="4"/>
  <c r="J2632" i="4"/>
  <c r="J2633" i="4"/>
  <c r="J2634" i="4"/>
  <c r="J2635" i="4"/>
  <c r="J2636" i="4"/>
  <c r="J2637" i="4"/>
  <c r="J2638" i="4"/>
  <c r="J2639" i="4"/>
  <c r="J2640" i="4"/>
  <c r="J2641" i="4"/>
  <c r="J2642" i="4"/>
  <c r="J2643" i="4"/>
  <c r="J2644" i="4"/>
  <c r="J2645" i="4"/>
  <c r="J2646" i="4"/>
  <c r="J2647" i="4"/>
  <c r="J2648" i="4"/>
  <c r="J2649" i="4"/>
  <c r="J2650" i="4"/>
  <c r="J2651" i="4"/>
  <c r="J2652" i="4"/>
  <c r="J2653" i="4"/>
  <c r="J2654" i="4"/>
  <c r="J2655" i="4"/>
  <c r="J2656" i="4"/>
  <c r="J2657" i="4"/>
  <c r="J2658" i="4"/>
  <c r="J2659" i="4"/>
  <c r="J2660" i="4"/>
  <c r="J2661" i="4"/>
  <c r="J2662" i="4"/>
  <c r="J2663" i="4"/>
  <c r="J2664" i="4"/>
  <c r="J2665" i="4"/>
  <c r="J2666" i="4"/>
  <c r="J2667" i="4"/>
  <c r="J2668" i="4"/>
  <c r="J2669" i="4"/>
  <c r="J2670" i="4"/>
  <c r="J2671" i="4"/>
  <c r="J2672" i="4"/>
  <c r="J2673" i="4"/>
  <c r="J2674" i="4"/>
  <c r="J2675" i="4"/>
  <c r="K2675" i="4" s="1"/>
  <c r="J2676" i="4"/>
  <c r="J2677" i="4"/>
  <c r="J2678" i="4"/>
  <c r="J2679" i="4"/>
  <c r="J2680" i="4"/>
  <c r="J2681" i="4"/>
  <c r="J2682" i="4"/>
  <c r="J2683" i="4"/>
  <c r="K2683" i="4" s="1"/>
  <c r="J2684" i="4"/>
  <c r="K2684" i="4" s="1"/>
  <c r="J2685" i="4"/>
  <c r="J2686" i="4"/>
  <c r="J2687" i="4"/>
  <c r="K2687" i="4" s="1"/>
  <c r="J2688" i="4"/>
  <c r="K2688" i="4" s="1"/>
  <c r="J2689" i="4"/>
  <c r="K2689" i="4" s="1"/>
  <c r="J2690" i="4"/>
  <c r="J2691" i="4"/>
  <c r="J2692" i="4"/>
  <c r="J2693" i="4"/>
  <c r="J2694" i="4"/>
  <c r="J2695" i="4"/>
  <c r="J2696" i="4"/>
  <c r="J2697" i="4"/>
  <c r="J2698" i="4"/>
  <c r="K2698" i="4" s="1"/>
  <c r="J2699" i="4"/>
  <c r="K2699" i="4" s="1"/>
  <c r="J2700" i="4"/>
  <c r="K2700" i="4" s="1"/>
  <c r="J2701" i="4"/>
  <c r="J2702" i="4"/>
  <c r="J2703" i="4"/>
  <c r="K2703" i="4" s="1"/>
  <c r="J2704" i="4"/>
  <c r="K2704" i="4" s="1"/>
  <c r="J2705" i="4"/>
  <c r="K2705" i="4" s="1"/>
  <c r="J2706" i="4"/>
  <c r="J2707" i="4"/>
  <c r="J2708" i="4"/>
  <c r="J2709" i="4"/>
  <c r="J2710" i="4"/>
  <c r="J2711" i="4"/>
  <c r="J2712" i="4"/>
  <c r="J2713" i="4"/>
  <c r="J2714" i="4"/>
  <c r="K2714" i="4" s="1"/>
  <c r="J2715" i="4"/>
  <c r="K2715" i="4" s="1"/>
  <c r="J2716" i="4"/>
  <c r="J2717" i="4"/>
  <c r="J2718" i="4"/>
  <c r="J2719" i="4"/>
  <c r="J2720" i="4"/>
  <c r="K2720" i="4" s="1"/>
  <c r="J2721" i="4"/>
  <c r="K2721" i="4" s="1"/>
  <c r="L2721" i="4" s="1"/>
  <c r="J2722" i="4"/>
  <c r="K2722" i="4" s="1"/>
  <c r="J2723" i="4"/>
  <c r="K2723" i="4" s="1"/>
  <c r="J2724" i="4"/>
  <c r="K2724" i="4" s="1"/>
  <c r="L2724" i="4" s="1"/>
  <c r="J2725" i="4"/>
  <c r="K2725" i="4" s="1"/>
  <c r="L2725" i="4" s="1"/>
  <c r="J2726" i="4"/>
  <c r="K2726" i="4" s="1"/>
  <c r="L2726" i="4" s="1"/>
  <c r="J2727" i="4"/>
  <c r="J2728" i="4"/>
  <c r="J2729" i="4"/>
  <c r="K2729" i="4" s="1"/>
  <c r="J2625" i="4"/>
  <c r="K2727" i="4"/>
  <c r="M2727" i="4" s="1"/>
  <c r="K2728" i="4"/>
  <c r="L2728" i="4" s="1"/>
  <c r="K2682" i="4"/>
  <c r="L2682" i="4" s="1"/>
  <c r="J2624" i="4"/>
  <c r="J2623" i="4"/>
  <c r="J2622" i="4"/>
  <c r="J2621" i="4"/>
  <c r="J2620" i="4"/>
  <c r="J2619" i="4"/>
  <c r="J2618" i="4"/>
  <c r="J2617" i="4"/>
  <c r="J2616" i="4"/>
  <c r="J2615" i="4"/>
  <c r="J2614" i="4"/>
  <c r="J2613" i="4"/>
  <c r="J2612" i="4"/>
  <c r="J2611" i="4"/>
  <c r="J2610" i="4"/>
  <c r="J2609" i="4"/>
  <c r="J2608" i="4"/>
  <c r="J2607" i="4"/>
  <c r="J2606" i="4"/>
  <c r="J2605" i="4"/>
  <c r="J2604" i="4"/>
  <c r="J2603" i="4"/>
  <c r="J2602" i="4"/>
  <c r="J2601" i="4"/>
  <c r="J2600" i="4"/>
  <c r="J2599" i="4"/>
  <c r="J2598" i="4"/>
  <c r="J2597" i="4"/>
  <c r="J2596" i="4"/>
  <c r="J2595" i="4"/>
  <c r="J2594" i="4"/>
  <c r="J2593" i="4"/>
  <c r="J2592" i="4"/>
  <c r="J2591" i="4"/>
  <c r="J2590" i="4"/>
  <c r="J2589" i="4"/>
  <c r="J2588" i="4"/>
  <c r="J2587" i="4"/>
  <c r="J2586" i="4"/>
  <c r="J2585" i="4"/>
  <c r="J2584" i="4"/>
  <c r="J2583" i="4"/>
  <c r="J2582" i="4"/>
  <c r="J2581" i="4"/>
  <c r="J2568" i="4"/>
  <c r="J2567" i="4"/>
  <c r="J2566" i="4"/>
  <c r="J2565" i="4"/>
  <c r="J2564" i="4"/>
  <c r="J2540" i="4"/>
  <c r="J2539" i="4"/>
  <c r="J2538" i="4"/>
  <c r="J2537" i="4"/>
  <c r="J2536" i="4"/>
  <c r="J2535" i="4"/>
  <c r="J2496" i="4"/>
  <c r="J2495" i="4"/>
  <c r="J2494" i="4"/>
  <c r="J2493" i="4"/>
  <c r="J2492" i="4"/>
  <c r="J2491" i="4"/>
  <c r="J2490" i="4"/>
  <c r="J2489" i="4"/>
  <c r="R2729" i="4"/>
  <c r="R2728" i="4"/>
  <c r="R2727" i="4"/>
  <c r="R2726" i="4"/>
  <c r="R2725" i="4"/>
  <c r="R2724" i="4"/>
  <c r="R2723" i="4"/>
  <c r="R2722" i="4"/>
  <c r="R2721" i="4"/>
  <c r="R2720" i="4"/>
  <c r="R2719" i="4"/>
  <c r="R2718" i="4"/>
  <c r="R2717" i="4"/>
  <c r="R2716" i="4"/>
  <c r="R2715" i="4"/>
  <c r="R2714" i="4"/>
  <c r="R2713" i="4"/>
  <c r="R2712" i="4"/>
  <c r="R2711" i="4"/>
  <c r="R2710" i="4"/>
  <c r="R2709" i="4"/>
  <c r="R2708" i="4"/>
  <c r="R2707" i="4"/>
  <c r="R2706" i="4"/>
  <c r="R2705" i="4"/>
  <c r="R2704" i="4"/>
  <c r="R2703" i="4"/>
  <c r="R2702" i="4"/>
  <c r="R2701" i="4"/>
  <c r="R2700" i="4"/>
  <c r="R2699" i="4"/>
  <c r="R2698" i="4"/>
  <c r="R2697" i="4"/>
  <c r="R2696" i="4"/>
  <c r="R2695" i="4"/>
  <c r="R2694" i="4"/>
  <c r="R2693" i="4"/>
  <c r="R2692" i="4"/>
  <c r="R2691" i="4"/>
  <c r="R2690" i="4"/>
  <c r="R2689" i="4"/>
  <c r="R2688" i="4"/>
  <c r="R2687" i="4"/>
  <c r="R2686" i="4"/>
  <c r="R2685" i="4"/>
  <c r="R2684" i="4"/>
  <c r="R2683" i="4"/>
  <c r="R2682" i="4"/>
  <c r="R2681" i="4"/>
  <c r="R2680" i="4"/>
  <c r="R2679" i="4"/>
  <c r="R2678" i="4"/>
  <c r="R2677" i="4"/>
  <c r="R2676" i="4"/>
  <c r="R2675" i="4"/>
  <c r="R2674" i="4"/>
  <c r="R2673" i="4"/>
  <c r="R2672" i="4"/>
  <c r="R2671" i="4"/>
  <c r="R2670" i="4"/>
  <c r="R2669" i="4"/>
  <c r="R2668" i="4"/>
  <c r="R2667" i="4"/>
  <c r="R2666" i="4"/>
  <c r="R2665" i="4"/>
  <c r="R2664" i="4"/>
  <c r="R2663" i="4"/>
  <c r="R2662" i="4"/>
  <c r="R2661" i="4"/>
  <c r="R2660" i="4"/>
  <c r="R2659" i="4"/>
  <c r="R2658" i="4"/>
  <c r="R2657" i="4"/>
  <c r="R2656" i="4"/>
  <c r="R2655" i="4"/>
  <c r="R2654" i="4"/>
  <c r="R2653" i="4"/>
  <c r="R2652" i="4"/>
  <c r="R2651" i="4"/>
  <c r="R2650" i="4"/>
  <c r="R2649" i="4"/>
  <c r="R2648" i="4"/>
  <c r="R2647" i="4"/>
  <c r="R2646" i="4"/>
  <c r="R2645" i="4"/>
  <c r="R2644" i="4"/>
  <c r="R2643" i="4"/>
  <c r="R2642" i="4"/>
  <c r="R2641" i="4"/>
  <c r="R2640" i="4"/>
  <c r="R2639" i="4"/>
  <c r="R2638" i="4"/>
  <c r="R2637" i="4"/>
  <c r="R2636" i="4"/>
  <c r="R2635" i="4"/>
  <c r="R2634" i="4"/>
  <c r="R2633" i="4"/>
  <c r="R2632" i="4"/>
  <c r="R2631" i="4"/>
  <c r="R2630" i="4"/>
  <c r="R2629" i="4"/>
  <c r="R2628" i="4"/>
  <c r="R2627" i="4"/>
  <c r="R2626" i="4"/>
  <c r="R2625" i="4"/>
  <c r="R2624" i="4"/>
  <c r="R2623" i="4"/>
  <c r="R2622" i="4"/>
  <c r="R2621" i="4"/>
  <c r="R2620" i="4"/>
  <c r="R2619" i="4"/>
  <c r="R2618" i="4"/>
  <c r="R2617" i="4"/>
  <c r="R2616" i="4"/>
  <c r="R2615" i="4"/>
  <c r="R2614" i="4"/>
  <c r="R2613" i="4"/>
  <c r="R2612" i="4"/>
  <c r="R2611" i="4"/>
  <c r="R2610" i="4"/>
  <c r="R2609" i="4"/>
  <c r="R2608" i="4"/>
  <c r="R2607" i="4"/>
  <c r="R2606" i="4"/>
  <c r="R2605" i="4"/>
  <c r="R2604" i="4"/>
  <c r="R2603" i="4"/>
  <c r="R2602" i="4"/>
  <c r="R2601" i="4"/>
  <c r="R2600" i="4"/>
  <c r="R2599" i="4"/>
  <c r="R2598" i="4"/>
  <c r="R2597" i="4"/>
  <c r="R2596" i="4"/>
  <c r="R2595" i="4"/>
  <c r="R2594" i="4"/>
  <c r="R2593" i="4"/>
  <c r="R2592" i="4"/>
  <c r="R2591" i="4"/>
  <c r="R2590" i="4"/>
  <c r="R2589" i="4"/>
  <c r="R2588" i="4"/>
  <c r="R2587" i="4"/>
  <c r="R2586" i="4"/>
  <c r="R2585" i="4"/>
  <c r="R2584" i="4"/>
  <c r="R2583" i="4"/>
  <c r="R2582" i="4"/>
  <c r="R2581" i="4"/>
  <c r="R2568" i="4"/>
  <c r="R2567" i="4"/>
  <c r="R2566" i="4"/>
  <c r="R2565" i="4"/>
  <c r="R2564" i="4"/>
  <c r="R2540" i="4"/>
  <c r="R2539" i="4"/>
  <c r="R2538" i="4"/>
  <c r="R2537" i="4"/>
  <c r="R2536" i="4"/>
  <c r="R2535" i="4"/>
  <c r="R2496" i="4"/>
  <c r="R2495" i="4"/>
  <c r="R2494" i="4"/>
  <c r="R2493" i="4"/>
  <c r="R2492" i="4"/>
  <c r="R2491" i="4"/>
  <c r="R2490" i="4"/>
  <c r="R2489" i="4"/>
  <c r="R2488" i="4"/>
  <c r="R2487" i="4"/>
  <c r="R2486" i="4"/>
  <c r="R2485" i="4"/>
  <c r="R2472" i="4"/>
  <c r="R2471" i="4"/>
  <c r="R2470" i="4"/>
  <c r="R2469" i="4"/>
  <c r="R2468" i="4"/>
  <c r="R2467" i="4"/>
  <c r="I2588" i="4"/>
  <c r="I2589" i="4"/>
  <c r="I2590" i="4"/>
  <c r="I2591" i="4"/>
  <c r="I2592" i="4"/>
  <c r="I2593" i="4"/>
  <c r="I2594" i="4"/>
  <c r="I2595" i="4"/>
  <c r="I2596" i="4"/>
  <c r="I2597" i="4"/>
  <c r="I2598" i="4"/>
  <c r="I2599" i="4"/>
  <c r="I2600" i="4"/>
  <c r="I2601" i="4"/>
  <c r="I2602" i="4"/>
  <c r="I2603" i="4"/>
  <c r="I2604" i="4"/>
  <c r="I2605" i="4"/>
  <c r="I2606" i="4"/>
  <c r="I2607" i="4"/>
  <c r="I2608" i="4"/>
  <c r="I2609" i="4"/>
  <c r="I2610" i="4"/>
  <c r="I2611" i="4"/>
  <c r="I2612" i="4"/>
  <c r="I2613" i="4"/>
  <c r="I2614" i="4"/>
  <c r="I2615" i="4"/>
  <c r="I2616" i="4"/>
  <c r="I2617" i="4"/>
  <c r="I2618" i="4"/>
  <c r="I2619" i="4"/>
  <c r="I2620" i="4"/>
  <c r="I2621" i="4"/>
  <c r="I2622" i="4"/>
  <c r="I2623" i="4"/>
  <c r="I2624" i="4"/>
  <c r="I2625" i="4"/>
  <c r="I2626" i="4"/>
  <c r="I2627" i="4"/>
  <c r="I2628" i="4"/>
  <c r="I2629" i="4"/>
  <c r="I2630" i="4"/>
  <c r="I2631" i="4"/>
  <c r="I2632" i="4"/>
  <c r="I2633" i="4"/>
  <c r="I2634" i="4"/>
  <c r="I2635" i="4"/>
  <c r="I2636" i="4"/>
  <c r="I2637" i="4"/>
  <c r="I2638" i="4"/>
  <c r="I2639" i="4"/>
  <c r="I2640" i="4"/>
  <c r="I2641" i="4"/>
  <c r="I2642" i="4"/>
  <c r="I2643" i="4"/>
  <c r="I2644" i="4"/>
  <c r="I2645" i="4"/>
  <c r="I2646" i="4"/>
  <c r="I2647" i="4"/>
  <c r="I2648" i="4"/>
  <c r="I2649" i="4"/>
  <c r="I2650" i="4"/>
  <c r="I2651" i="4"/>
  <c r="I2652" i="4"/>
  <c r="I2653" i="4"/>
  <c r="I2654" i="4"/>
  <c r="I2655" i="4"/>
  <c r="I2656" i="4"/>
  <c r="I2657" i="4"/>
  <c r="I2658" i="4"/>
  <c r="I2659" i="4"/>
  <c r="I2660" i="4"/>
  <c r="I2661" i="4"/>
  <c r="I2662" i="4"/>
  <c r="I2663" i="4"/>
  <c r="I2664" i="4"/>
  <c r="I2665" i="4"/>
  <c r="I2666" i="4"/>
  <c r="I2667" i="4"/>
  <c r="I2668" i="4"/>
  <c r="I2669" i="4"/>
  <c r="I2670" i="4"/>
  <c r="I2671" i="4"/>
  <c r="I2672" i="4"/>
  <c r="I2673" i="4"/>
  <c r="I2674" i="4"/>
  <c r="I2675" i="4"/>
  <c r="I2676" i="4"/>
  <c r="I2677" i="4"/>
  <c r="I2678" i="4"/>
  <c r="I2679" i="4"/>
  <c r="I2680" i="4"/>
  <c r="I2681" i="4"/>
  <c r="I2682" i="4"/>
  <c r="I2683" i="4"/>
  <c r="I2684" i="4"/>
  <c r="I2685" i="4"/>
  <c r="I2686" i="4"/>
  <c r="I2687" i="4"/>
  <c r="I2688" i="4"/>
  <c r="I2689" i="4"/>
  <c r="I2690" i="4"/>
  <c r="I2691" i="4"/>
  <c r="I2692" i="4"/>
  <c r="I2693" i="4"/>
  <c r="I2694" i="4"/>
  <c r="I2695" i="4"/>
  <c r="I2696" i="4"/>
  <c r="I2697" i="4"/>
  <c r="I2698" i="4"/>
  <c r="I2699" i="4"/>
  <c r="I2700" i="4"/>
  <c r="I2701" i="4"/>
  <c r="I2702" i="4"/>
  <c r="I2703" i="4"/>
  <c r="I2704" i="4"/>
  <c r="I2705" i="4"/>
  <c r="I2706" i="4"/>
  <c r="I2707" i="4"/>
  <c r="I2708" i="4"/>
  <c r="I2709" i="4"/>
  <c r="I2710" i="4"/>
  <c r="I2711" i="4"/>
  <c r="I2712" i="4"/>
  <c r="I2713" i="4"/>
  <c r="I2714" i="4"/>
  <c r="I2715" i="4"/>
  <c r="I2716" i="4"/>
  <c r="I2717" i="4"/>
  <c r="I2718" i="4"/>
  <c r="I2719" i="4"/>
  <c r="I2720" i="4"/>
  <c r="I2721" i="4"/>
  <c r="I2722" i="4"/>
  <c r="I2723" i="4"/>
  <c r="I2724" i="4"/>
  <c r="I2725" i="4"/>
  <c r="I2726" i="4"/>
  <c r="I2727" i="4"/>
  <c r="I2728" i="4"/>
  <c r="I2729" i="4"/>
  <c r="I2587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583" i="4"/>
  <c r="B2712" i="4"/>
  <c r="C2712" i="4"/>
  <c r="K2712" i="4"/>
  <c r="P2712" i="4"/>
  <c r="B2713" i="4"/>
  <c r="C2713" i="4"/>
  <c r="K2713" i="4"/>
  <c r="P2713" i="4"/>
  <c r="B2714" i="4"/>
  <c r="C2714" i="4"/>
  <c r="P2714" i="4"/>
  <c r="B2715" i="4"/>
  <c r="C2715" i="4"/>
  <c r="P2715" i="4"/>
  <c r="B2716" i="4"/>
  <c r="C2716" i="4"/>
  <c r="K2716" i="4"/>
  <c r="P2716" i="4"/>
  <c r="B2717" i="4"/>
  <c r="C2717" i="4"/>
  <c r="K2717" i="4"/>
  <c r="P2717" i="4"/>
  <c r="B2718" i="4"/>
  <c r="C2718" i="4"/>
  <c r="K2718" i="4"/>
  <c r="L2718" i="4" s="1"/>
  <c r="P2718" i="4"/>
  <c r="B2719" i="4"/>
  <c r="C2719" i="4"/>
  <c r="K2719" i="4"/>
  <c r="P2719" i="4"/>
  <c r="B2720" i="4"/>
  <c r="C2720" i="4"/>
  <c r="P2720" i="4"/>
  <c r="B2721" i="4"/>
  <c r="C2721" i="4"/>
  <c r="P2721" i="4"/>
  <c r="B2722" i="4"/>
  <c r="C2722" i="4"/>
  <c r="P2722" i="4"/>
  <c r="B2723" i="4"/>
  <c r="C2723" i="4"/>
  <c r="P2723" i="4"/>
  <c r="B2724" i="4"/>
  <c r="C2724" i="4"/>
  <c r="P2724" i="4"/>
  <c r="B2725" i="4"/>
  <c r="C2725" i="4"/>
  <c r="P2725" i="4"/>
  <c r="B2726" i="4"/>
  <c r="C2726" i="4"/>
  <c r="P2726" i="4"/>
  <c r="B2727" i="4"/>
  <c r="C2727" i="4"/>
  <c r="P2727" i="4"/>
  <c r="B2728" i="4"/>
  <c r="C2728" i="4"/>
  <c r="P2728" i="4"/>
  <c r="B2729" i="4"/>
  <c r="C2729" i="4"/>
  <c r="P2729" i="4"/>
  <c r="B2676" i="4"/>
  <c r="C2676" i="4"/>
  <c r="B2677" i="4"/>
  <c r="C2677" i="4"/>
  <c r="B2678" i="4"/>
  <c r="C2678" i="4"/>
  <c r="K2676" i="4"/>
  <c r="L2676" i="4" s="1"/>
  <c r="P2676" i="4"/>
  <c r="K2677" i="4"/>
  <c r="P2677" i="4"/>
  <c r="K2678" i="4"/>
  <c r="L2678" i="4" s="1"/>
  <c r="P2678" i="4"/>
  <c r="K2679" i="4"/>
  <c r="P2679" i="4"/>
  <c r="K2680" i="4"/>
  <c r="L2680" i="4" s="1"/>
  <c r="P2680" i="4"/>
  <c r="K2681" i="4"/>
  <c r="P2681" i="4"/>
  <c r="P2682" i="4"/>
  <c r="P2683" i="4"/>
  <c r="P2684" i="4"/>
  <c r="K2685" i="4"/>
  <c r="P2685" i="4"/>
  <c r="K2686" i="4"/>
  <c r="P2686" i="4"/>
  <c r="P2687" i="4"/>
  <c r="P2688" i="4"/>
  <c r="P2689" i="4"/>
  <c r="K2690" i="4"/>
  <c r="P2690" i="4"/>
  <c r="K2691" i="4"/>
  <c r="P2691" i="4"/>
  <c r="K2692" i="4"/>
  <c r="P2692" i="4"/>
  <c r="K2693" i="4"/>
  <c r="P2693" i="4"/>
  <c r="K2694" i="4"/>
  <c r="P2694" i="4"/>
  <c r="K2695" i="4"/>
  <c r="P2695" i="4"/>
  <c r="K2696" i="4"/>
  <c r="P2696" i="4"/>
  <c r="K2697" i="4"/>
  <c r="P2697" i="4"/>
  <c r="P2698" i="4"/>
  <c r="P2699" i="4"/>
  <c r="P2700" i="4"/>
  <c r="K2701" i="4"/>
  <c r="P2701" i="4"/>
  <c r="K2702" i="4"/>
  <c r="P2702" i="4"/>
  <c r="P2703" i="4"/>
  <c r="P2704" i="4"/>
  <c r="P2705" i="4"/>
  <c r="K2706" i="4"/>
  <c r="P2706" i="4"/>
  <c r="K2707" i="4"/>
  <c r="P2707" i="4"/>
  <c r="K2708" i="4"/>
  <c r="P2708" i="4"/>
  <c r="K2709" i="4"/>
  <c r="P2709" i="4"/>
  <c r="K2710" i="4"/>
  <c r="P2710" i="4"/>
  <c r="K2711" i="4"/>
  <c r="P2711" i="4"/>
  <c r="P2675" i="4"/>
  <c r="B2675" i="4"/>
  <c r="C2675" i="4"/>
  <c r="B2679" i="4"/>
  <c r="C2679" i="4"/>
  <c r="B2680" i="4"/>
  <c r="C2680" i="4"/>
  <c r="B2681" i="4"/>
  <c r="C2681" i="4"/>
  <c r="B2682" i="4"/>
  <c r="C2682" i="4"/>
  <c r="B2683" i="4"/>
  <c r="C2683" i="4"/>
  <c r="B2684" i="4"/>
  <c r="C2684" i="4"/>
  <c r="B2685" i="4"/>
  <c r="C2685" i="4"/>
  <c r="B2686" i="4"/>
  <c r="C2686" i="4"/>
  <c r="B2687" i="4"/>
  <c r="C2687" i="4"/>
  <c r="B2688" i="4"/>
  <c r="C2688" i="4"/>
  <c r="B2689" i="4"/>
  <c r="C2689" i="4"/>
  <c r="B2690" i="4"/>
  <c r="C2690" i="4"/>
  <c r="B2691" i="4"/>
  <c r="C2691" i="4"/>
  <c r="B2692" i="4"/>
  <c r="C2692" i="4"/>
  <c r="B2693" i="4"/>
  <c r="C2693" i="4"/>
  <c r="B2694" i="4"/>
  <c r="C2694" i="4"/>
  <c r="B2695" i="4"/>
  <c r="C2695" i="4"/>
  <c r="B2696" i="4"/>
  <c r="C2696" i="4"/>
  <c r="B2697" i="4"/>
  <c r="C2697" i="4"/>
  <c r="B2698" i="4"/>
  <c r="C2698" i="4"/>
  <c r="B2699" i="4"/>
  <c r="C2699" i="4"/>
  <c r="B2700" i="4"/>
  <c r="C2700" i="4"/>
  <c r="B2701" i="4"/>
  <c r="C2701" i="4"/>
  <c r="B2702" i="4"/>
  <c r="C2702" i="4"/>
  <c r="B2703" i="4"/>
  <c r="C2703" i="4"/>
  <c r="B2704" i="4"/>
  <c r="C2704" i="4"/>
  <c r="B2705" i="4"/>
  <c r="C2705" i="4"/>
  <c r="B2706" i="4"/>
  <c r="C2706" i="4"/>
  <c r="B2707" i="4"/>
  <c r="C2707" i="4"/>
  <c r="B2708" i="4"/>
  <c r="C2708" i="4"/>
  <c r="B2709" i="4"/>
  <c r="C2709" i="4"/>
  <c r="B2710" i="4"/>
  <c r="C2710" i="4"/>
  <c r="B2711" i="4"/>
  <c r="C2711" i="4"/>
  <c r="L2763" i="4" l="1"/>
  <c r="M2763" i="4"/>
  <c r="L2762" i="4"/>
  <c r="M2758" i="4"/>
  <c r="M2754" i="4"/>
  <c r="L2754" i="4"/>
  <c r="L2751" i="4"/>
  <c r="M2751" i="4"/>
  <c r="L2764" i="4"/>
  <c r="M2764" i="4"/>
  <c r="L2752" i="4"/>
  <c r="M2752" i="4"/>
  <c r="L2756" i="4"/>
  <c r="M2756" i="4"/>
  <c r="L2760" i="4"/>
  <c r="M2760" i="4"/>
  <c r="M2755" i="4"/>
  <c r="L2755" i="4"/>
  <c r="M2759" i="4"/>
  <c r="L2759" i="4"/>
  <c r="L2757" i="4"/>
  <c r="M2757" i="4"/>
  <c r="M2753" i="4"/>
  <c r="M2761" i="4"/>
  <c r="M2765" i="4"/>
  <c r="L2745" i="4"/>
  <c r="M2745" i="4"/>
  <c r="M2771" i="4"/>
  <c r="L2743" i="4"/>
  <c r="M2743" i="4"/>
  <c r="L2738" i="4"/>
  <c r="M2738" i="4"/>
  <c r="L2732" i="4"/>
  <c r="M2732" i="4"/>
  <c r="L2737" i="4"/>
  <c r="M2737" i="4"/>
  <c r="M2748" i="4"/>
  <c r="L2733" i="4"/>
  <c r="M2733" i="4"/>
  <c r="L2731" i="4"/>
  <c r="M2731" i="4"/>
  <c r="M2749" i="4"/>
  <c r="L2749" i="4"/>
  <c r="L2747" i="4"/>
  <c r="M2747" i="4"/>
  <c r="L2735" i="4"/>
  <c r="M2735" i="4"/>
  <c r="M2741" i="4"/>
  <c r="L2741" i="4"/>
  <c r="L2734" i="4"/>
  <c r="M2734" i="4"/>
  <c r="L2750" i="4"/>
  <c r="M2750" i="4"/>
  <c r="L2740" i="4"/>
  <c r="M2740" i="4"/>
  <c r="L2736" i="4"/>
  <c r="M2736" i="4"/>
  <c r="M2742" i="4"/>
  <c r="L2742" i="4"/>
  <c r="M2739" i="4"/>
  <c r="M2746" i="4"/>
  <c r="M2730" i="4"/>
  <c r="M2744" i="4"/>
  <c r="L2727" i="4"/>
  <c r="M2724" i="4"/>
  <c r="M2721" i="4"/>
  <c r="M2720" i="4"/>
  <c r="L2720" i="4"/>
  <c r="L2719" i="4"/>
  <c r="M2719" i="4"/>
  <c r="L2717" i="4"/>
  <c r="M2717" i="4"/>
  <c r="M2718" i="4"/>
  <c r="L2713" i="4"/>
  <c r="M2713" i="4"/>
  <c r="L2715" i="4"/>
  <c r="M2715" i="4"/>
  <c r="L2722" i="4"/>
  <c r="M2722" i="4"/>
  <c r="L2712" i="4"/>
  <c r="M2712" i="4"/>
  <c r="L2729" i="4"/>
  <c r="M2729" i="4"/>
  <c r="L2714" i="4"/>
  <c r="M2714" i="4"/>
  <c r="L2716" i="4"/>
  <c r="M2716" i="4"/>
  <c r="M2723" i="4"/>
  <c r="L2723" i="4"/>
  <c r="M2728" i="4"/>
  <c r="M2725" i="4"/>
  <c r="M2726" i="4"/>
  <c r="L2694" i="4"/>
  <c r="M2694" i="4"/>
  <c r="L2698" i="4"/>
  <c r="M2698" i="4"/>
  <c r="L2690" i="4"/>
  <c r="M2690" i="4"/>
  <c r="L2689" i="4"/>
  <c r="M2689" i="4"/>
  <c r="L2710" i="4"/>
  <c r="M2710" i="4"/>
  <c r="L2706" i="4"/>
  <c r="M2706" i="4"/>
  <c r="L2681" i="4"/>
  <c r="M2681" i="4"/>
  <c r="L2684" i="4"/>
  <c r="M2684" i="4"/>
  <c r="L2702" i="4"/>
  <c r="M2702" i="4"/>
  <c r="L2704" i="4"/>
  <c r="M2704" i="4"/>
  <c r="L2696" i="4"/>
  <c r="M2696" i="4"/>
  <c r="L2688" i="4"/>
  <c r="M2688" i="4"/>
  <c r="M2711" i="4"/>
  <c r="L2711" i="4"/>
  <c r="L2686" i="4"/>
  <c r="M2686" i="4"/>
  <c r="L2705" i="4"/>
  <c r="M2705" i="4"/>
  <c r="L2701" i="4"/>
  <c r="M2701" i="4"/>
  <c r="L2697" i="4"/>
  <c r="M2697" i="4"/>
  <c r="L2693" i="4"/>
  <c r="M2693" i="4"/>
  <c r="L2685" i="4"/>
  <c r="M2685" i="4"/>
  <c r="L2708" i="4"/>
  <c r="M2708" i="4"/>
  <c r="L2700" i="4"/>
  <c r="M2700" i="4"/>
  <c r="L2692" i="4"/>
  <c r="M2692" i="4"/>
  <c r="L2677" i="4"/>
  <c r="M2677" i="4"/>
  <c r="L2707" i="4"/>
  <c r="M2707" i="4"/>
  <c r="M2703" i="4"/>
  <c r="L2703" i="4"/>
  <c r="L2699" i="4"/>
  <c r="M2699" i="4"/>
  <c r="L2695" i="4"/>
  <c r="M2695" i="4"/>
  <c r="L2691" i="4"/>
  <c r="M2691" i="4"/>
  <c r="L2687" i="4"/>
  <c r="M2687" i="4"/>
  <c r="L2679" i="4"/>
  <c r="M2679" i="4"/>
  <c r="L2709" i="4"/>
  <c r="M2709" i="4"/>
  <c r="L2683" i="4"/>
  <c r="M2683" i="4"/>
  <c r="M2682" i="4"/>
  <c r="M2680" i="4"/>
  <c r="M2678" i="4"/>
  <c r="M2676" i="4"/>
  <c r="L2675" i="4"/>
  <c r="M2675" i="4"/>
  <c r="P2674" i="4" l="1"/>
  <c r="K2674" i="4"/>
  <c r="C2674" i="4"/>
  <c r="B2674" i="4"/>
  <c r="P2673" i="4"/>
  <c r="K2673" i="4"/>
  <c r="C2673" i="4"/>
  <c r="B2673" i="4"/>
  <c r="P2672" i="4"/>
  <c r="K2672" i="4"/>
  <c r="C2672" i="4"/>
  <c r="B2672" i="4"/>
  <c r="P2671" i="4"/>
  <c r="K2671" i="4"/>
  <c r="C2671" i="4"/>
  <c r="B2671" i="4"/>
  <c r="P2670" i="4"/>
  <c r="K2670" i="4"/>
  <c r="C2670" i="4"/>
  <c r="B2670" i="4"/>
  <c r="P2669" i="4"/>
  <c r="K2669" i="4"/>
  <c r="C2669" i="4"/>
  <c r="B2669" i="4"/>
  <c r="P2668" i="4"/>
  <c r="K2668" i="4"/>
  <c r="C2668" i="4"/>
  <c r="B2668" i="4"/>
  <c r="P2667" i="4"/>
  <c r="K2667" i="4"/>
  <c r="C2667" i="4"/>
  <c r="B2667" i="4"/>
  <c r="P2666" i="4"/>
  <c r="K2666" i="4"/>
  <c r="M2666" i="4" s="1"/>
  <c r="C2666" i="4"/>
  <c r="B2666" i="4"/>
  <c r="P2665" i="4"/>
  <c r="K2665" i="4"/>
  <c r="M2665" i="4" s="1"/>
  <c r="C2665" i="4"/>
  <c r="B2665" i="4"/>
  <c r="P2664" i="4"/>
  <c r="K2664" i="4"/>
  <c r="C2664" i="4"/>
  <c r="B2664" i="4"/>
  <c r="P2663" i="4"/>
  <c r="K2663" i="4"/>
  <c r="C2663" i="4"/>
  <c r="B2663" i="4"/>
  <c r="P2662" i="4"/>
  <c r="K2662" i="4"/>
  <c r="C2662" i="4"/>
  <c r="B2662" i="4"/>
  <c r="P2661" i="4"/>
  <c r="K2661" i="4"/>
  <c r="C2661" i="4"/>
  <c r="B2661" i="4"/>
  <c r="P2660" i="4"/>
  <c r="K2660" i="4"/>
  <c r="M2660" i="4" s="1"/>
  <c r="C2660" i="4"/>
  <c r="B2660" i="4"/>
  <c r="P2659" i="4"/>
  <c r="K2659" i="4"/>
  <c r="L2659" i="4" s="1"/>
  <c r="C2659" i="4"/>
  <c r="B2659" i="4"/>
  <c r="P2658" i="4"/>
  <c r="K2658" i="4"/>
  <c r="C2658" i="4"/>
  <c r="B2658" i="4"/>
  <c r="P2657" i="4"/>
  <c r="K2657" i="4"/>
  <c r="C2657" i="4"/>
  <c r="B2657" i="4"/>
  <c r="P2656" i="4"/>
  <c r="K2656" i="4"/>
  <c r="C2656" i="4"/>
  <c r="B2656" i="4"/>
  <c r="P2655" i="4"/>
  <c r="K2655" i="4"/>
  <c r="C2655" i="4"/>
  <c r="B2655" i="4"/>
  <c r="P2654" i="4"/>
  <c r="K2654" i="4"/>
  <c r="C2654" i="4"/>
  <c r="B2654" i="4"/>
  <c r="P2653" i="4"/>
  <c r="K2653" i="4"/>
  <c r="C2653" i="4"/>
  <c r="B2653" i="4"/>
  <c r="P2652" i="4"/>
  <c r="K2652" i="4"/>
  <c r="C2652" i="4"/>
  <c r="B2652" i="4"/>
  <c r="P2651" i="4"/>
  <c r="K2651" i="4"/>
  <c r="C2651" i="4"/>
  <c r="B2651" i="4"/>
  <c r="P2650" i="4"/>
  <c r="K2650" i="4"/>
  <c r="M2650" i="4" s="1"/>
  <c r="C2650" i="4"/>
  <c r="B2650" i="4"/>
  <c r="P2649" i="4"/>
  <c r="K2649" i="4"/>
  <c r="M2649" i="4" s="1"/>
  <c r="C2649" i="4"/>
  <c r="B2649" i="4"/>
  <c r="P2648" i="4"/>
  <c r="K2648" i="4"/>
  <c r="M2648" i="4" s="1"/>
  <c r="C2648" i="4"/>
  <c r="B2648" i="4"/>
  <c r="P2647" i="4"/>
  <c r="K2647" i="4"/>
  <c r="C2647" i="4"/>
  <c r="B2647" i="4"/>
  <c r="P2646" i="4"/>
  <c r="K2646" i="4"/>
  <c r="C2646" i="4"/>
  <c r="B2646" i="4"/>
  <c r="P2645" i="4"/>
  <c r="K2645" i="4"/>
  <c r="M2645" i="4" s="1"/>
  <c r="C2645" i="4"/>
  <c r="B2645" i="4"/>
  <c r="P2644" i="4"/>
  <c r="K2644" i="4"/>
  <c r="M2644" i="4" s="1"/>
  <c r="C2644" i="4"/>
  <c r="B2644" i="4"/>
  <c r="P2643" i="4"/>
  <c r="K2643" i="4"/>
  <c r="C2643" i="4"/>
  <c r="B2643" i="4"/>
  <c r="P2642" i="4"/>
  <c r="K2642" i="4"/>
  <c r="C2642" i="4"/>
  <c r="B2642" i="4"/>
  <c r="P2641" i="4"/>
  <c r="K2641" i="4"/>
  <c r="L2641" i="4" s="1"/>
  <c r="C2641" i="4"/>
  <c r="B2641" i="4"/>
  <c r="P2640" i="4"/>
  <c r="K2640" i="4"/>
  <c r="C2640" i="4"/>
  <c r="B2640" i="4"/>
  <c r="P2639" i="4"/>
  <c r="K2639" i="4"/>
  <c r="L2639" i="4" s="1"/>
  <c r="C2639" i="4"/>
  <c r="B2639" i="4"/>
  <c r="P2638" i="4"/>
  <c r="K2638" i="4"/>
  <c r="C2638" i="4"/>
  <c r="B2638" i="4"/>
  <c r="P2637" i="4"/>
  <c r="K2637" i="4"/>
  <c r="C2637" i="4"/>
  <c r="B2637" i="4"/>
  <c r="P2636" i="4"/>
  <c r="K2636" i="4"/>
  <c r="C2636" i="4"/>
  <c r="B2636" i="4"/>
  <c r="P2635" i="4"/>
  <c r="K2635" i="4"/>
  <c r="C2635" i="4"/>
  <c r="B2635" i="4"/>
  <c r="P2634" i="4"/>
  <c r="K2634" i="4"/>
  <c r="M2634" i="4" s="1"/>
  <c r="C2634" i="4"/>
  <c r="B2634" i="4"/>
  <c r="P2633" i="4"/>
  <c r="K2633" i="4"/>
  <c r="C2633" i="4"/>
  <c r="B2633" i="4"/>
  <c r="P2632" i="4"/>
  <c r="K2632" i="4"/>
  <c r="C2632" i="4"/>
  <c r="B2632" i="4"/>
  <c r="P2631" i="4"/>
  <c r="K2631" i="4"/>
  <c r="C2631" i="4"/>
  <c r="B2631" i="4"/>
  <c r="P2630" i="4"/>
  <c r="K2630" i="4"/>
  <c r="C2630" i="4"/>
  <c r="B2630" i="4"/>
  <c r="P2629" i="4"/>
  <c r="K2629" i="4"/>
  <c r="L2629" i="4" s="1"/>
  <c r="C2629" i="4"/>
  <c r="B2629" i="4"/>
  <c r="P2628" i="4"/>
  <c r="K2628" i="4"/>
  <c r="M2628" i="4" s="1"/>
  <c r="C2628" i="4"/>
  <c r="B2628" i="4"/>
  <c r="P2627" i="4"/>
  <c r="K2627" i="4"/>
  <c r="C2627" i="4"/>
  <c r="B2627" i="4"/>
  <c r="P2626" i="4"/>
  <c r="K2626" i="4"/>
  <c r="C2626" i="4"/>
  <c r="B2626" i="4"/>
  <c r="P2625" i="4"/>
  <c r="K2625" i="4"/>
  <c r="L2625" i="4" s="1"/>
  <c r="C2625" i="4"/>
  <c r="B2625" i="4"/>
  <c r="P2624" i="4"/>
  <c r="K2624" i="4"/>
  <c r="C2624" i="4"/>
  <c r="B2624" i="4"/>
  <c r="P2623" i="4"/>
  <c r="K2623" i="4"/>
  <c r="C2623" i="4"/>
  <c r="B2623" i="4"/>
  <c r="P2622" i="4"/>
  <c r="K2622" i="4"/>
  <c r="C2622" i="4"/>
  <c r="B2622" i="4"/>
  <c r="P2621" i="4"/>
  <c r="K2621" i="4"/>
  <c r="C2621" i="4"/>
  <c r="B2621" i="4"/>
  <c r="P2620" i="4"/>
  <c r="K2620" i="4"/>
  <c r="C2620" i="4"/>
  <c r="B2620" i="4"/>
  <c r="P2619" i="4"/>
  <c r="K2619" i="4"/>
  <c r="C2619" i="4"/>
  <c r="B2619" i="4"/>
  <c r="P2618" i="4"/>
  <c r="K2618" i="4"/>
  <c r="M2618" i="4" s="1"/>
  <c r="C2618" i="4"/>
  <c r="B2618" i="4"/>
  <c r="P2617" i="4"/>
  <c r="K2617" i="4"/>
  <c r="M2617" i="4" s="1"/>
  <c r="C2617" i="4"/>
  <c r="B2617" i="4"/>
  <c r="P2616" i="4"/>
  <c r="K2616" i="4"/>
  <c r="C2616" i="4"/>
  <c r="B2616" i="4"/>
  <c r="P2615" i="4"/>
  <c r="K2615" i="4"/>
  <c r="C2615" i="4"/>
  <c r="B2615" i="4"/>
  <c r="P2614" i="4"/>
  <c r="K2614" i="4"/>
  <c r="C2614" i="4"/>
  <c r="B2614" i="4"/>
  <c r="P2613" i="4"/>
  <c r="K2613" i="4"/>
  <c r="M2613" i="4" s="1"/>
  <c r="C2613" i="4"/>
  <c r="B2613" i="4"/>
  <c r="P2612" i="4"/>
  <c r="K2612" i="4"/>
  <c r="M2612" i="4" s="1"/>
  <c r="C2612" i="4"/>
  <c r="B2612" i="4"/>
  <c r="P2611" i="4"/>
  <c r="K2611" i="4"/>
  <c r="C2611" i="4"/>
  <c r="B2611" i="4"/>
  <c r="P2610" i="4"/>
  <c r="K2610" i="4"/>
  <c r="C2610" i="4"/>
  <c r="B2610" i="4"/>
  <c r="P2609" i="4"/>
  <c r="K2609" i="4"/>
  <c r="C2609" i="4"/>
  <c r="B2609" i="4"/>
  <c r="P2608" i="4"/>
  <c r="K2608" i="4"/>
  <c r="C2608" i="4"/>
  <c r="B2608" i="4"/>
  <c r="P2607" i="4"/>
  <c r="K2607" i="4"/>
  <c r="C2607" i="4"/>
  <c r="B2607" i="4"/>
  <c r="P2606" i="4"/>
  <c r="K2606" i="4"/>
  <c r="C2606" i="4"/>
  <c r="B2606" i="4"/>
  <c r="P2605" i="4"/>
  <c r="K2605" i="4"/>
  <c r="C2605" i="4"/>
  <c r="B2605" i="4"/>
  <c r="P2604" i="4"/>
  <c r="K2604" i="4"/>
  <c r="C2604" i="4"/>
  <c r="B2604" i="4"/>
  <c r="P2603" i="4"/>
  <c r="K2603" i="4"/>
  <c r="C2603" i="4"/>
  <c r="B2603" i="4"/>
  <c r="P2602" i="4"/>
  <c r="K2602" i="4"/>
  <c r="M2602" i="4" s="1"/>
  <c r="C2602" i="4"/>
  <c r="B2602" i="4"/>
  <c r="P2601" i="4"/>
  <c r="K2601" i="4"/>
  <c r="M2601" i="4" s="1"/>
  <c r="C2601" i="4"/>
  <c r="B2601" i="4"/>
  <c r="P2600" i="4"/>
  <c r="K2600" i="4"/>
  <c r="C2600" i="4"/>
  <c r="B2600" i="4"/>
  <c r="P2599" i="4"/>
  <c r="K2599" i="4"/>
  <c r="C2599" i="4"/>
  <c r="B2599" i="4"/>
  <c r="P2598" i="4"/>
  <c r="K2598" i="4"/>
  <c r="C2598" i="4"/>
  <c r="B2598" i="4"/>
  <c r="P2597" i="4"/>
  <c r="K2597" i="4"/>
  <c r="M2597" i="4" s="1"/>
  <c r="C2597" i="4"/>
  <c r="B2597" i="4"/>
  <c r="P2596" i="4"/>
  <c r="K2596" i="4"/>
  <c r="M2596" i="4" s="1"/>
  <c r="C2596" i="4"/>
  <c r="B2596" i="4"/>
  <c r="P2595" i="4"/>
  <c r="K2595" i="4"/>
  <c r="C2595" i="4"/>
  <c r="B2595" i="4"/>
  <c r="P2594" i="4"/>
  <c r="K2594" i="4"/>
  <c r="C2594" i="4"/>
  <c r="B2594" i="4"/>
  <c r="P2593" i="4"/>
  <c r="K2593" i="4"/>
  <c r="C2593" i="4"/>
  <c r="B2593" i="4"/>
  <c r="P2592" i="4"/>
  <c r="K2592" i="4"/>
  <c r="C2592" i="4"/>
  <c r="B2592" i="4"/>
  <c r="N2774" i="4"/>
  <c r="M2625" i="4" l="1"/>
  <c r="M2657" i="4"/>
  <c r="L2657" i="4"/>
  <c r="M2673" i="4"/>
  <c r="L2673" i="4"/>
  <c r="L2623" i="4"/>
  <c r="M2623" i="4"/>
  <c r="L2655" i="4"/>
  <c r="M2655" i="4"/>
  <c r="L2638" i="4"/>
  <c r="M2638" i="4"/>
  <c r="L2643" i="4"/>
  <c r="M2643" i="4"/>
  <c r="L2633" i="4"/>
  <c r="M2633" i="4"/>
  <c r="L2627" i="4"/>
  <c r="M2627" i="4"/>
  <c r="L2607" i="4"/>
  <c r="M2607" i="4"/>
  <c r="L2611" i="4"/>
  <c r="M2611" i="4"/>
  <c r="M2661" i="4"/>
  <c r="L2661" i="4"/>
  <c r="M2641" i="4"/>
  <c r="M2659" i="4"/>
  <c r="M2639" i="4"/>
  <c r="L2606" i="4"/>
  <c r="M2606" i="4"/>
  <c r="M2656" i="4"/>
  <c r="L2656" i="4"/>
  <c r="L2593" i="4"/>
  <c r="M2593" i="4"/>
  <c r="M2619" i="4"/>
  <c r="L2619" i="4"/>
  <c r="L2654" i="4"/>
  <c r="M2654" i="4"/>
  <c r="M2658" i="4"/>
  <c r="L2658" i="4"/>
  <c r="L2626" i="4"/>
  <c r="M2626" i="4"/>
  <c r="M2667" i="4"/>
  <c r="L2667" i="4"/>
  <c r="M2662" i="4"/>
  <c r="L2662" i="4"/>
  <c r="M2594" i="4"/>
  <c r="L2594" i="4"/>
  <c r="L2622" i="4"/>
  <c r="M2622" i="4"/>
  <c r="M2592" i="4"/>
  <c r="L2592" i="4"/>
  <c r="M2608" i="4"/>
  <c r="L2608" i="4"/>
  <c r="M2600" i="4"/>
  <c r="L2600" i="4"/>
  <c r="M2652" i="4"/>
  <c r="L2652" i="4"/>
  <c r="M2671" i="4"/>
  <c r="L2671" i="4"/>
  <c r="L2609" i="4"/>
  <c r="M2609" i="4"/>
  <c r="M2642" i="4"/>
  <c r="L2642" i="4"/>
  <c r="M2624" i="4"/>
  <c r="L2624" i="4"/>
  <c r="M2605" i="4"/>
  <c r="L2605" i="4"/>
  <c r="M2630" i="4"/>
  <c r="L2630" i="4"/>
  <c r="M2603" i="4"/>
  <c r="L2603" i="4"/>
  <c r="M2616" i="4"/>
  <c r="L2616" i="4"/>
  <c r="M2672" i="4"/>
  <c r="L2672" i="4"/>
  <c r="M2664" i="4"/>
  <c r="L2664" i="4"/>
  <c r="M2615" i="4"/>
  <c r="L2615" i="4"/>
  <c r="M2598" i="4"/>
  <c r="L2598" i="4"/>
  <c r="M2636" i="4"/>
  <c r="L2636" i="4"/>
  <c r="M2620" i="4"/>
  <c r="L2620" i="4"/>
  <c r="L2599" i="4"/>
  <c r="M2599" i="4"/>
  <c r="M2637" i="4"/>
  <c r="L2637" i="4"/>
  <c r="M2651" i="4"/>
  <c r="L2651" i="4"/>
  <c r="M2674" i="4"/>
  <c r="L2674" i="4"/>
  <c r="M2621" i="4"/>
  <c r="L2621" i="4"/>
  <c r="M2604" i="4"/>
  <c r="L2604" i="4"/>
  <c r="M2646" i="4"/>
  <c r="L2646" i="4"/>
  <c r="M2653" i="4"/>
  <c r="L2653" i="4"/>
  <c r="L2663" i="4"/>
  <c r="M2663" i="4"/>
  <c r="M2610" i="4"/>
  <c r="L2610" i="4"/>
  <c r="M2614" i="4"/>
  <c r="L2614" i="4"/>
  <c r="L2647" i="4"/>
  <c r="M2647" i="4"/>
  <c r="L2670" i="4"/>
  <c r="M2670" i="4"/>
  <c r="M2631" i="4"/>
  <c r="L2631" i="4"/>
  <c r="M2668" i="4"/>
  <c r="L2668" i="4"/>
  <c r="M2640" i="4"/>
  <c r="L2640" i="4"/>
  <c r="M2632" i="4"/>
  <c r="L2632" i="4"/>
  <c r="M2669" i="4"/>
  <c r="L2669" i="4"/>
  <c r="M2595" i="4"/>
  <c r="L2595" i="4"/>
  <c r="M2635" i="4"/>
  <c r="L2635" i="4"/>
  <c r="L2596" i="4"/>
  <c r="L2612" i="4"/>
  <c r="L2628" i="4"/>
  <c r="L2644" i="4"/>
  <c r="L2660" i="4"/>
  <c r="L2602" i="4"/>
  <c r="L2618" i="4"/>
  <c r="L2634" i="4"/>
  <c r="L2650" i="4"/>
  <c r="L2666" i="4"/>
  <c r="L2601" i="4"/>
  <c r="L2617" i="4"/>
  <c r="L2649" i="4"/>
  <c r="L2665" i="4"/>
  <c r="L2597" i="4"/>
  <c r="L2613" i="4"/>
  <c r="L2645" i="4"/>
  <c r="M2629" i="4"/>
  <c r="L2648" i="4"/>
  <c r="O1501" i="4" l="1"/>
  <c r="O1500" i="4"/>
  <c r="O1499" i="4"/>
  <c r="O1498" i="4"/>
  <c r="O1497" i="4"/>
  <c r="O1496" i="4"/>
  <c r="O1477" i="4"/>
  <c r="O1473" i="4"/>
  <c r="O1476" i="4"/>
  <c r="O1475" i="4"/>
  <c r="O1474" i="4"/>
  <c r="O2577" i="4"/>
  <c r="O2576" i="4"/>
  <c r="O2575" i="4"/>
  <c r="O2574" i="4"/>
  <c r="O2573" i="4"/>
  <c r="O2572" i="4"/>
  <c r="O2571" i="4"/>
  <c r="O2570" i="4"/>
  <c r="O2531" i="4"/>
  <c r="O2530" i="4"/>
  <c r="O1873" i="4"/>
  <c r="O1872" i="4"/>
  <c r="O1871" i="4"/>
  <c r="O1884" i="4"/>
  <c r="O1883" i="4"/>
  <c r="O1882" i="4"/>
  <c r="O1881" i="4"/>
  <c r="P2505" i="4" l="1"/>
  <c r="P2506" i="4"/>
  <c r="P2507" i="4"/>
  <c r="P2508" i="4"/>
  <c r="P2509" i="4"/>
  <c r="P2510" i="4"/>
  <c r="P2511" i="4"/>
  <c r="P2512" i="4"/>
  <c r="P2513" i="4"/>
  <c r="P2514" i="4"/>
  <c r="P2515" i="4"/>
  <c r="P2516" i="4"/>
  <c r="P2517" i="4"/>
  <c r="P2518" i="4"/>
  <c r="P2519" i="4"/>
  <c r="P2520" i="4"/>
  <c r="P2521" i="4"/>
  <c r="P2522" i="4"/>
  <c r="P2523" i="4"/>
  <c r="P2524" i="4"/>
  <c r="P2525" i="4"/>
  <c r="P2526" i="4"/>
  <c r="P2527" i="4"/>
  <c r="P2528" i="4"/>
  <c r="P2529" i="4"/>
  <c r="P2530" i="4"/>
  <c r="P2531" i="4"/>
  <c r="P2532" i="4"/>
  <c r="P2533" i="4"/>
  <c r="P2534" i="4"/>
  <c r="P2535" i="4"/>
  <c r="P2536" i="4"/>
  <c r="P2537" i="4"/>
  <c r="P2538" i="4"/>
  <c r="P2539" i="4"/>
  <c r="P2540" i="4"/>
  <c r="P2541" i="4"/>
  <c r="P2542" i="4"/>
  <c r="P2543" i="4"/>
  <c r="P2544" i="4"/>
  <c r="P2545" i="4"/>
  <c r="P2546" i="4"/>
  <c r="P2547" i="4"/>
  <c r="P2548" i="4"/>
  <c r="P2549" i="4"/>
  <c r="P2550" i="4"/>
  <c r="P2551" i="4"/>
  <c r="P2552" i="4"/>
  <c r="P2553" i="4"/>
  <c r="P2554" i="4"/>
  <c r="P2555" i="4"/>
  <c r="P2556" i="4"/>
  <c r="P2557" i="4"/>
  <c r="P2558" i="4"/>
  <c r="P2559" i="4"/>
  <c r="P2560" i="4"/>
  <c r="P2561" i="4"/>
  <c r="P2562" i="4"/>
  <c r="P2563" i="4"/>
  <c r="P2564" i="4"/>
  <c r="P2565" i="4"/>
  <c r="P2566" i="4"/>
  <c r="P2567" i="4"/>
  <c r="P2568" i="4"/>
  <c r="P2569" i="4"/>
  <c r="P2570" i="4"/>
  <c r="P2571" i="4"/>
  <c r="P2572" i="4"/>
  <c r="P2573" i="4"/>
  <c r="P2574" i="4"/>
  <c r="P2575" i="4"/>
  <c r="P2576" i="4"/>
  <c r="P2577" i="4"/>
  <c r="P2578" i="4"/>
  <c r="P2579" i="4"/>
  <c r="P2580" i="4"/>
  <c r="P2581" i="4"/>
  <c r="P2582" i="4"/>
  <c r="P2583" i="4"/>
  <c r="P2584" i="4"/>
  <c r="P2585" i="4"/>
  <c r="P2586" i="4"/>
  <c r="P2587" i="4"/>
  <c r="P2588" i="4"/>
  <c r="P2589" i="4"/>
  <c r="P2590" i="4"/>
  <c r="P2591" i="4"/>
  <c r="R2580" i="4"/>
  <c r="R2579" i="4"/>
  <c r="R2578" i="4"/>
  <c r="R2577" i="4"/>
  <c r="R2576" i="4"/>
  <c r="R2575" i="4"/>
  <c r="R2574" i="4"/>
  <c r="R2573" i="4"/>
  <c r="R2572" i="4"/>
  <c r="R2571" i="4"/>
  <c r="R2570" i="4"/>
  <c r="R2569" i="4"/>
  <c r="R2563" i="4"/>
  <c r="R2562" i="4"/>
  <c r="R2561" i="4"/>
  <c r="R2560" i="4"/>
  <c r="R2559" i="4"/>
  <c r="R2558" i="4"/>
  <c r="R2557" i="4"/>
  <c r="R2556" i="4"/>
  <c r="R2555" i="4"/>
  <c r="R2554" i="4"/>
  <c r="R2553" i="4"/>
  <c r="R2552" i="4"/>
  <c r="R2551" i="4"/>
  <c r="R2550" i="4"/>
  <c r="R2549" i="4"/>
  <c r="R2548" i="4"/>
  <c r="R2547" i="4"/>
  <c r="R2546" i="4"/>
  <c r="R2545" i="4"/>
  <c r="R2544" i="4"/>
  <c r="R2543" i="4"/>
  <c r="R2542" i="4"/>
  <c r="R2541" i="4"/>
  <c r="R2534" i="4"/>
  <c r="R2533" i="4"/>
  <c r="R2532" i="4"/>
  <c r="R2531" i="4"/>
  <c r="R2530" i="4"/>
  <c r="R2529" i="4"/>
  <c r="R2528" i="4"/>
  <c r="R2527" i="4"/>
  <c r="R2526" i="4"/>
  <c r="R2525" i="4"/>
  <c r="R2524" i="4"/>
  <c r="R2523" i="4"/>
  <c r="R2522" i="4"/>
  <c r="R2521" i="4"/>
  <c r="R2520" i="4"/>
  <c r="R2519" i="4"/>
  <c r="R2518" i="4"/>
  <c r="R2517" i="4"/>
  <c r="R2516" i="4"/>
  <c r="R2515" i="4"/>
  <c r="R2514" i="4"/>
  <c r="R2513" i="4"/>
  <c r="R2512" i="4"/>
  <c r="R2511" i="4"/>
  <c r="R2510" i="4"/>
  <c r="R2509" i="4"/>
  <c r="R2508" i="4"/>
  <c r="R2507" i="4"/>
  <c r="R2506" i="4"/>
  <c r="R2505" i="4"/>
  <c r="R2504" i="4"/>
  <c r="R2503" i="4"/>
  <c r="R2502" i="4"/>
  <c r="R2501" i="4"/>
  <c r="R2500" i="4"/>
  <c r="R2499" i="4"/>
  <c r="R2498" i="4"/>
  <c r="R2497" i="4"/>
  <c r="R2484" i="4"/>
  <c r="R2483" i="4"/>
  <c r="R2482" i="4"/>
  <c r="R2481" i="4"/>
  <c r="R2480" i="4"/>
  <c r="R2479" i="4"/>
  <c r="R2478" i="4"/>
  <c r="R2477" i="4"/>
  <c r="R2476" i="4"/>
  <c r="R2475" i="4"/>
  <c r="R2474" i="4"/>
  <c r="R2473" i="4"/>
  <c r="R2466" i="4"/>
  <c r="R2465" i="4"/>
  <c r="R2464" i="4"/>
  <c r="R2463" i="4"/>
  <c r="R2462" i="4"/>
  <c r="R2461" i="4"/>
  <c r="R2460" i="4"/>
  <c r="R2459" i="4"/>
  <c r="R2458" i="4"/>
  <c r="R2457" i="4"/>
  <c r="R2456" i="4"/>
  <c r="R2455" i="4"/>
  <c r="R2454" i="4"/>
  <c r="R2453" i="4"/>
  <c r="R2452" i="4"/>
  <c r="R2451" i="4"/>
  <c r="R2450" i="4"/>
  <c r="R2449" i="4"/>
  <c r="R2448" i="4"/>
  <c r="R2447" i="4"/>
  <c r="R2446" i="4"/>
  <c r="R2445" i="4"/>
  <c r="R2444" i="4"/>
  <c r="R2443" i="4"/>
  <c r="R2442" i="4"/>
  <c r="R2441" i="4"/>
  <c r="R2440" i="4"/>
  <c r="R2439" i="4"/>
  <c r="R2438" i="4"/>
  <c r="R2437" i="4"/>
  <c r="R2436" i="4"/>
  <c r="R2435" i="4"/>
  <c r="R2434" i="4"/>
  <c r="R2433" i="4"/>
  <c r="R2432" i="4"/>
  <c r="R2431" i="4"/>
  <c r="R2430" i="4"/>
  <c r="R2429" i="4"/>
  <c r="R2428" i="4"/>
  <c r="R2427" i="4"/>
  <c r="R2426" i="4"/>
  <c r="R2425" i="4"/>
  <c r="R2424" i="4"/>
  <c r="R2423" i="4"/>
  <c r="R2422" i="4"/>
  <c r="R2421" i="4"/>
  <c r="R2420" i="4"/>
  <c r="R2419" i="4"/>
  <c r="R2418" i="4"/>
  <c r="R2417" i="4"/>
  <c r="R2416" i="4"/>
  <c r="R2415" i="4"/>
  <c r="R2414" i="4"/>
  <c r="R2413" i="4"/>
  <c r="R2412" i="4"/>
  <c r="R2411" i="4"/>
  <c r="R2410" i="4"/>
  <c r="R2409" i="4"/>
  <c r="R2408" i="4"/>
  <c r="R2407" i="4"/>
  <c r="R2406" i="4"/>
  <c r="R2405" i="4"/>
  <c r="R2404" i="4"/>
  <c r="R2403" i="4"/>
  <c r="R2402" i="4"/>
  <c r="R2401" i="4"/>
  <c r="R2400" i="4"/>
  <c r="R2399" i="4"/>
  <c r="R2398" i="4"/>
  <c r="R2397" i="4"/>
  <c r="R2396" i="4"/>
  <c r="R2395" i="4"/>
  <c r="R2394" i="4"/>
  <c r="R2393" i="4"/>
  <c r="R2392" i="4"/>
  <c r="R2391" i="4"/>
  <c r="R2390" i="4"/>
  <c r="R2389" i="4"/>
  <c r="R2388" i="4"/>
  <c r="R2387" i="4"/>
  <c r="R2386" i="4"/>
  <c r="R2385" i="4"/>
  <c r="R2384" i="4"/>
  <c r="R2383" i="4"/>
  <c r="R2382" i="4"/>
  <c r="R2381" i="4"/>
  <c r="R2380" i="4"/>
  <c r="R2379" i="4"/>
  <c r="R2378" i="4"/>
  <c r="R2377" i="4"/>
  <c r="R2376" i="4"/>
  <c r="R2375" i="4"/>
  <c r="R2374" i="4"/>
  <c r="R2373" i="4"/>
  <c r="R2372" i="4"/>
  <c r="R2371" i="4"/>
  <c r="R2370" i="4"/>
  <c r="R2369" i="4"/>
  <c r="R2368" i="4"/>
  <c r="R2367" i="4"/>
  <c r="R2366" i="4"/>
  <c r="R2365" i="4"/>
  <c r="R2364" i="4"/>
  <c r="R2363" i="4"/>
  <c r="R2362" i="4"/>
  <c r="R2361" i="4"/>
  <c r="R2360" i="4"/>
  <c r="R2359" i="4"/>
  <c r="R2358" i="4"/>
  <c r="R2357" i="4"/>
  <c r="R2356" i="4"/>
  <c r="R2355" i="4"/>
  <c r="R2354" i="4"/>
  <c r="R2353" i="4"/>
  <c r="R2352" i="4"/>
  <c r="R2351" i="4"/>
  <c r="R2350" i="4"/>
  <c r="R2349" i="4"/>
  <c r="R2348" i="4"/>
  <c r="R2347" i="4"/>
  <c r="R2346" i="4"/>
  <c r="R2345" i="4"/>
  <c r="R2344" i="4"/>
  <c r="R2343" i="4"/>
  <c r="R2342" i="4"/>
  <c r="R2341" i="4"/>
  <c r="R2340" i="4"/>
  <c r="R2339" i="4"/>
  <c r="R2338" i="4"/>
  <c r="R2337" i="4"/>
  <c r="R2336" i="4"/>
  <c r="R2335" i="4"/>
  <c r="R2334" i="4"/>
  <c r="R2333" i="4"/>
  <c r="R2332" i="4"/>
  <c r="R2331" i="4"/>
  <c r="R2330" i="4"/>
  <c r="R2329" i="4"/>
  <c r="R2328" i="4"/>
  <c r="R2327" i="4"/>
  <c r="R2326" i="4"/>
  <c r="R2325" i="4"/>
  <c r="R2324" i="4"/>
  <c r="R2323" i="4"/>
  <c r="R2322" i="4"/>
  <c r="R2321" i="4"/>
  <c r="R2320" i="4"/>
  <c r="R2319" i="4"/>
  <c r="R2318" i="4"/>
  <c r="R2317" i="4"/>
  <c r="R2316" i="4"/>
  <c r="R2315" i="4"/>
  <c r="R2314" i="4"/>
  <c r="R2313" i="4"/>
  <c r="R2312" i="4"/>
  <c r="R2311" i="4"/>
  <c r="R2310" i="4"/>
  <c r="R2309" i="4"/>
  <c r="R2308" i="4"/>
  <c r="R2307" i="4"/>
  <c r="R2306" i="4"/>
  <c r="R2305" i="4"/>
  <c r="R2304" i="4"/>
  <c r="R2303" i="4"/>
  <c r="R2302" i="4"/>
  <c r="R2301" i="4"/>
  <c r="R2300" i="4"/>
  <c r="R2299" i="4"/>
  <c r="R2298" i="4"/>
  <c r="R2297" i="4"/>
  <c r="R2296" i="4"/>
  <c r="R2295" i="4"/>
  <c r="R2294" i="4"/>
  <c r="R2293" i="4"/>
  <c r="R2292" i="4"/>
  <c r="R2291" i="4"/>
  <c r="R2290" i="4"/>
  <c r="R2289" i="4"/>
  <c r="R2288" i="4"/>
  <c r="R2287" i="4"/>
  <c r="R2286" i="4"/>
  <c r="R2285" i="4"/>
  <c r="R2284" i="4"/>
  <c r="R2283" i="4"/>
  <c r="R2282" i="4"/>
  <c r="R2281" i="4"/>
  <c r="R2280" i="4"/>
  <c r="R2279" i="4"/>
  <c r="R2278" i="4"/>
  <c r="R2277" i="4"/>
  <c r="R2276" i="4"/>
  <c r="R2275" i="4"/>
  <c r="R2274" i="4"/>
  <c r="R2273" i="4"/>
  <c r="R2272" i="4"/>
  <c r="R2271" i="4"/>
  <c r="R2270" i="4"/>
  <c r="R2269" i="4"/>
  <c r="R2268" i="4"/>
  <c r="R2267" i="4"/>
  <c r="R2266" i="4"/>
  <c r="R2265" i="4"/>
  <c r="R2264" i="4"/>
  <c r="R2263" i="4"/>
  <c r="R2262" i="4"/>
  <c r="R2261" i="4"/>
  <c r="R2260" i="4"/>
  <c r="R2259" i="4"/>
  <c r="R2258" i="4"/>
  <c r="R2257" i="4"/>
  <c r="R2256" i="4"/>
  <c r="R2255" i="4"/>
  <c r="R2254" i="4"/>
  <c r="R2253" i="4"/>
  <c r="R2252" i="4"/>
  <c r="R2251" i="4"/>
  <c r="R2250" i="4"/>
  <c r="R2249" i="4"/>
  <c r="R2248" i="4"/>
  <c r="R2247" i="4"/>
  <c r="R2246" i="4"/>
  <c r="R2245" i="4"/>
  <c r="R2244" i="4"/>
  <c r="R2243" i="4"/>
  <c r="R2242" i="4"/>
  <c r="R2241" i="4"/>
  <c r="R2240" i="4"/>
  <c r="R2239" i="4"/>
  <c r="R2238" i="4"/>
  <c r="R2237" i="4"/>
  <c r="R2236" i="4"/>
  <c r="R2235" i="4"/>
  <c r="R2234" i="4"/>
  <c r="R2233" i="4"/>
  <c r="R2232" i="4"/>
  <c r="R2231" i="4"/>
  <c r="R2230" i="4"/>
  <c r="R2229" i="4"/>
  <c r="R2228" i="4"/>
  <c r="R2227" i="4"/>
  <c r="R2226" i="4"/>
  <c r="R2225" i="4"/>
  <c r="R2224" i="4"/>
  <c r="R2223" i="4"/>
  <c r="R2222" i="4"/>
  <c r="R2221" i="4"/>
  <c r="R2220" i="4"/>
  <c r="R2219" i="4"/>
  <c r="R2218" i="4"/>
  <c r="R2217" i="4"/>
  <c r="R2216" i="4"/>
  <c r="R2215" i="4"/>
  <c r="R2214" i="4"/>
  <c r="R2213" i="4"/>
  <c r="R2212" i="4"/>
  <c r="R2211" i="4"/>
  <c r="R2210" i="4"/>
  <c r="R2209" i="4"/>
  <c r="R2208" i="4"/>
  <c r="R2207" i="4"/>
  <c r="R2206" i="4"/>
  <c r="R2205" i="4"/>
  <c r="R2204" i="4"/>
  <c r="R2203" i="4"/>
  <c r="R2202" i="4"/>
  <c r="R2201" i="4"/>
  <c r="R2200" i="4"/>
  <c r="R2199" i="4"/>
  <c r="R2198" i="4"/>
  <c r="R2197" i="4"/>
  <c r="R2196" i="4"/>
  <c r="R2195" i="4"/>
  <c r="R2194" i="4"/>
  <c r="R2193" i="4"/>
  <c r="R2192" i="4"/>
  <c r="R2191" i="4"/>
  <c r="R2190" i="4"/>
  <c r="R2189" i="4"/>
  <c r="R2188" i="4"/>
  <c r="R2187" i="4"/>
  <c r="R2186" i="4"/>
  <c r="R2185" i="4"/>
  <c r="R2184" i="4"/>
  <c r="R2183" i="4"/>
  <c r="R2182" i="4"/>
  <c r="R2181" i="4"/>
  <c r="R2180" i="4"/>
  <c r="R2179" i="4"/>
  <c r="R2178" i="4"/>
  <c r="R2177" i="4"/>
  <c r="R2176" i="4"/>
  <c r="R2175" i="4"/>
  <c r="R2174" i="4"/>
  <c r="R2173" i="4"/>
  <c r="R2172" i="4"/>
  <c r="R2171" i="4"/>
  <c r="R2170" i="4"/>
  <c r="R2169" i="4"/>
  <c r="R2168" i="4"/>
  <c r="R2167" i="4"/>
  <c r="R2166" i="4"/>
  <c r="R2165" i="4"/>
  <c r="R2164" i="4"/>
  <c r="R2163" i="4"/>
  <c r="R2162" i="4"/>
  <c r="R2161" i="4"/>
  <c r="R2160" i="4"/>
  <c r="R2159" i="4"/>
  <c r="R2158" i="4"/>
  <c r="R2157" i="4"/>
  <c r="R2156" i="4"/>
  <c r="R2155" i="4"/>
  <c r="R2154" i="4"/>
  <c r="R2153" i="4"/>
  <c r="R2152" i="4"/>
  <c r="R2151" i="4"/>
  <c r="R2150" i="4"/>
  <c r="R2149" i="4"/>
  <c r="R2148" i="4"/>
  <c r="R2147" i="4"/>
  <c r="R2146" i="4"/>
  <c r="R2145" i="4"/>
  <c r="R2144" i="4"/>
  <c r="R2143" i="4"/>
  <c r="R2142" i="4"/>
  <c r="R2141" i="4"/>
  <c r="R2140" i="4"/>
  <c r="R2139" i="4"/>
  <c r="R2138" i="4"/>
  <c r="R2137" i="4"/>
  <c r="R2136" i="4"/>
  <c r="R2135" i="4"/>
  <c r="R2134" i="4"/>
  <c r="R2133" i="4"/>
  <c r="R2132" i="4"/>
  <c r="R2131" i="4"/>
  <c r="R2130" i="4"/>
  <c r="R2129" i="4"/>
  <c r="R2128" i="4"/>
  <c r="R2127" i="4"/>
  <c r="R2126" i="4"/>
  <c r="R2125" i="4"/>
  <c r="R2124" i="4"/>
  <c r="R2123" i="4"/>
  <c r="R2122" i="4"/>
  <c r="R2121" i="4"/>
  <c r="R2120" i="4"/>
  <c r="R2119" i="4"/>
  <c r="R2118" i="4"/>
  <c r="R2117" i="4"/>
  <c r="R2116" i="4"/>
  <c r="R2115" i="4"/>
  <c r="R2114" i="4"/>
  <c r="R2113" i="4"/>
  <c r="R2112" i="4"/>
  <c r="R2111" i="4"/>
  <c r="R2110" i="4"/>
  <c r="R2109" i="4"/>
  <c r="R2108" i="4"/>
  <c r="R2107" i="4"/>
  <c r="R2106" i="4"/>
  <c r="R2105" i="4"/>
  <c r="R2104" i="4"/>
  <c r="R2103" i="4"/>
  <c r="R2102" i="4"/>
  <c r="R2101" i="4"/>
  <c r="R2100" i="4"/>
  <c r="R2099" i="4"/>
  <c r="R2098" i="4"/>
  <c r="R2097" i="4"/>
  <c r="R2096" i="4"/>
  <c r="R2095" i="4"/>
  <c r="R2094" i="4"/>
  <c r="R2093" i="4"/>
  <c r="R2092" i="4"/>
  <c r="R2091" i="4"/>
  <c r="R2090" i="4"/>
  <c r="R2089" i="4"/>
  <c r="R2088" i="4"/>
  <c r="R2087" i="4"/>
  <c r="R2086" i="4"/>
  <c r="R2085" i="4"/>
  <c r="R2084" i="4"/>
  <c r="R2083" i="4"/>
  <c r="R2082" i="4"/>
  <c r="R2081" i="4"/>
  <c r="R2080" i="4"/>
  <c r="R2079" i="4"/>
  <c r="R2078" i="4"/>
  <c r="R2077" i="4"/>
  <c r="R2076" i="4"/>
  <c r="R2075" i="4"/>
  <c r="R2074" i="4"/>
  <c r="R2073" i="4"/>
  <c r="R2072" i="4"/>
  <c r="R2071" i="4"/>
  <c r="R2070" i="4"/>
  <c r="R2069" i="4"/>
  <c r="R2068" i="4"/>
  <c r="R2067" i="4"/>
  <c r="R2066" i="4"/>
  <c r="R2065" i="4"/>
  <c r="R2064" i="4"/>
  <c r="R2063" i="4"/>
  <c r="R2062" i="4"/>
  <c r="R2061" i="4"/>
  <c r="R2060" i="4"/>
  <c r="R2059" i="4"/>
  <c r="R2058" i="4"/>
  <c r="R2057" i="4"/>
  <c r="R2056" i="4"/>
  <c r="R2055" i="4"/>
  <c r="R2054" i="4"/>
  <c r="R2053" i="4"/>
  <c r="R2052" i="4"/>
  <c r="R2051" i="4"/>
  <c r="R2050" i="4"/>
  <c r="R2049" i="4"/>
  <c r="R2048" i="4"/>
  <c r="R2047" i="4"/>
  <c r="R2046" i="4"/>
  <c r="R2045" i="4"/>
  <c r="R2044" i="4"/>
  <c r="R2043" i="4"/>
  <c r="R2042" i="4"/>
  <c r="R2041" i="4"/>
  <c r="R2040" i="4"/>
  <c r="R2039" i="4"/>
  <c r="R2038" i="4"/>
  <c r="R2037" i="4"/>
  <c r="R2036" i="4"/>
  <c r="R2035" i="4"/>
  <c r="R2034" i="4"/>
  <c r="R2033" i="4"/>
  <c r="R2032" i="4"/>
  <c r="R2031" i="4"/>
  <c r="R2030" i="4"/>
  <c r="R2029" i="4"/>
  <c r="R2028" i="4"/>
  <c r="R2027" i="4"/>
  <c r="R2026" i="4"/>
  <c r="R2025" i="4"/>
  <c r="R2024" i="4"/>
  <c r="R2023" i="4"/>
  <c r="R2022" i="4"/>
  <c r="R2021" i="4"/>
  <c r="R2020" i="4"/>
  <c r="R2019" i="4"/>
  <c r="R2018" i="4"/>
  <c r="R2017" i="4"/>
  <c r="R2016" i="4"/>
  <c r="R2015" i="4"/>
  <c r="R2014" i="4"/>
  <c r="R2013" i="4"/>
  <c r="R2012" i="4"/>
  <c r="R2011" i="4"/>
  <c r="R2010" i="4"/>
  <c r="R2009" i="4"/>
  <c r="R2008" i="4"/>
  <c r="R2007" i="4"/>
  <c r="R2006" i="4"/>
  <c r="R2005" i="4"/>
  <c r="R2004" i="4"/>
  <c r="R2003" i="4"/>
  <c r="R2002" i="4"/>
  <c r="R2001" i="4"/>
  <c r="R2000" i="4"/>
  <c r="R1999" i="4"/>
  <c r="R1998" i="4"/>
  <c r="R1997" i="4"/>
  <c r="R1996" i="4"/>
  <c r="R1995" i="4"/>
  <c r="R1994" i="4"/>
  <c r="R1993" i="4"/>
  <c r="R1992" i="4"/>
  <c r="R1991" i="4"/>
  <c r="R1990" i="4"/>
  <c r="R1989" i="4"/>
  <c r="R1988" i="4"/>
  <c r="R1987" i="4"/>
  <c r="R1986" i="4"/>
  <c r="R1985" i="4"/>
  <c r="R1984" i="4"/>
  <c r="R1983" i="4"/>
  <c r="R1982" i="4"/>
  <c r="R1981" i="4"/>
  <c r="R1980" i="4"/>
  <c r="R1979" i="4"/>
  <c r="R1978" i="4"/>
  <c r="R1977" i="4"/>
  <c r="R1976" i="4"/>
  <c r="R1975" i="4"/>
  <c r="R1974" i="4"/>
  <c r="R1973" i="4"/>
  <c r="R1972" i="4"/>
  <c r="R1971" i="4"/>
  <c r="R1970" i="4"/>
  <c r="R1969" i="4"/>
  <c r="R1968" i="4"/>
  <c r="R1967" i="4"/>
  <c r="R1966" i="4"/>
  <c r="R1965" i="4"/>
  <c r="R1964" i="4"/>
  <c r="R1963" i="4"/>
  <c r="R1962" i="4"/>
  <c r="R1961" i="4"/>
  <c r="R1960" i="4"/>
  <c r="R1959" i="4"/>
  <c r="R1958" i="4"/>
  <c r="R1957" i="4"/>
  <c r="R1956" i="4"/>
  <c r="R1955" i="4"/>
  <c r="R1954" i="4"/>
  <c r="R1953" i="4"/>
  <c r="R1952" i="4"/>
  <c r="R1951" i="4"/>
  <c r="R1950" i="4"/>
  <c r="R1949" i="4"/>
  <c r="R1948" i="4"/>
  <c r="R1947" i="4"/>
  <c r="R1946" i="4"/>
  <c r="R1945" i="4"/>
  <c r="R1944" i="4"/>
  <c r="R1943" i="4"/>
  <c r="R1942" i="4"/>
  <c r="R1941" i="4"/>
  <c r="R1940" i="4"/>
  <c r="R1939" i="4"/>
  <c r="R1938" i="4"/>
  <c r="R1937" i="4"/>
  <c r="R1936" i="4"/>
  <c r="R1935" i="4"/>
  <c r="R1934" i="4"/>
  <c r="R1933" i="4"/>
  <c r="R1932" i="4"/>
  <c r="R1931" i="4"/>
  <c r="R1930" i="4"/>
  <c r="R1929" i="4"/>
  <c r="R1928" i="4"/>
  <c r="R1927" i="4"/>
  <c r="R1926" i="4"/>
  <c r="R1925" i="4"/>
  <c r="R1924" i="4"/>
  <c r="R1923" i="4"/>
  <c r="R1922" i="4"/>
  <c r="R1921" i="4"/>
  <c r="R1920" i="4"/>
  <c r="R1919" i="4"/>
  <c r="R1918" i="4"/>
  <c r="R1917" i="4"/>
  <c r="R1916" i="4"/>
  <c r="R1915" i="4"/>
  <c r="R1914" i="4"/>
  <c r="R1913" i="4"/>
  <c r="R1912" i="4"/>
  <c r="R1911" i="4"/>
  <c r="R1910" i="4"/>
  <c r="R1909" i="4"/>
  <c r="R1908" i="4"/>
  <c r="R1907" i="4"/>
  <c r="R1906" i="4"/>
  <c r="R1905" i="4"/>
  <c r="R1904" i="4"/>
  <c r="R1903" i="4"/>
  <c r="R1902" i="4"/>
  <c r="R1901" i="4"/>
  <c r="R1900" i="4"/>
  <c r="R1899" i="4"/>
  <c r="R1898" i="4"/>
  <c r="R1897" i="4"/>
  <c r="R1896" i="4"/>
  <c r="R1895" i="4"/>
  <c r="R1894" i="4"/>
  <c r="R1893" i="4"/>
  <c r="R1892" i="4"/>
  <c r="R1891" i="4"/>
  <c r="R1890" i="4"/>
  <c r="R1889" i="4"/>
  <c r="R1888" i="4"/>
  <c r="R1887" i="4"/>
  <c r="R1886" i="4"/>
  <c r="R1885" i="4"/>
  <c r="R1884" i="4"/>
  <c r="R1883" i="4"/>
  <c r="R1882" i="4"/>
  <c r="R1881" i="4"/>
  <c r="R1880" i="4"/>
  <c r="R1879" i="4"/>
  <c r="R1878" i="4"/>
  <c r="R1877" i="4"/>
  <c r="R1876" i="4"/>
  <c r="R1875" i="4"/>
  <c r="R1874" i="4"/>
  <c r="R1873" i="4"/>
  <c r="R1872" i="4"/>
  <c r="R1871" i="4"/>
  <c r="R1870" i="4"/>
  <c r="R1869" i="4"/>
  <c r="R1868" i="4"/>
  <c r="R1867" i="4"/>
  <c r="R1866" i="4"/>
  <c r="R1865" i="4"/>
  <c r="R1864" i="4"/>
  <c r="R1863" i="4"/>
  <c r="R1862" i="4"/>
  <c r="R1861" i="4"/>
  <c r="R1860" i="4"/>
  <c r="R1859" i="4"/>
  <c r="R1858" i="4"/>
  <c r="R1857" i="4"/>
  <c r="R1856" i="4"/>
  <c r="R1855" i="4"/>
  <c r="R1854" i="4"/>
  <c r="R1853" i="4"/>
  <c r="R1852" i="4"/>
  <c r="R1851" i="4"/>
  <c r="R1850" i="4"/>
  <c r="R1849" i="4"/>
  <c r="R1848" i="4"/>
  <c r="R1847" i="4"/>
  <c r="R1846" i="4"/>
  <c r="R1845" i="4"/>
  <c r="R1844" i="4"/>
  <c r="R1843" i="4"/>
  <c r="R1842" i="4"/>
  <c r="R1841" i="4"/>
  <c r="R1840" i="4"/>
  <c r="R1839" i="4"/>
  <c r="R1838" i="4"/>
  <c r="R1837" i="4"/>
  <c r="R1836" i="4"/>
  <c r="R1835" i="4"/>
  <c r="R1834" i="4"/>
  <c r="R1833" i="4"/>
  <c r="R1832" i="4"/>
  <c r="R1831" i="4"/>
  <c r="R1830" i="4"/>
  <c r="R1829" i="4"/>
  <c r="R1828" i="4"/>
  <c r="R1827" i="4"/>
  <c r="R1826" i="4"/>
  <c r="R1825" i="4"/>
  <c r="R1824" i="4"/>
  <c r="R1823" i="4"/>
  <c r="R1822" i="4"/>
  <c r="R1821" i="4"/>
  <c r="R1820" i="4"/>
  <c r="R1819" i="4"/>
  <c r="R1818" i="4"/>
  <c r="R1817" i="4"/>
  <c r="R1816" i="4"/>
  <c r="R1815" i="4"/>
  <c r="R1814" i="4"/>
  <c r="R1813" i="4"/>
  <c r="R1812" i="4"/>
  <c r="R1811" i="4"/>
  <c r="R1810" i="4"/>
  <c r="R1809" i="4"/>
  <c r="R1808" i="4"/>
  <c r="R1807" i="4"/>
  <c r="R1806" i="4"/>
  <c r="R1805" i="4"/>
  <c r="R1804" i="4"/>
  <c r="R1803" i="4"/>
  <c r="R1802" i="4"/>
  <c r="R1801" i="4"/>
  <c r="R1800" i="4"/>
  <c r="R1799" i="4"/>
  <c r="R1798" i="4"/>
  <c r="R1797" i="4"/>
  <c r="R1796" i="4"/>
  <c r="R1795" i="4"/>
  <c r="R1794" i="4"/>
  <c r="R1793" i="4"/>
  <c r="R1792" i="4"/>
  <c r="R1791" i="4"/>
  <c r="R1790" i="4"/>
  <c r="R1789" i="4"/>
  <c r="R1788" i="4"/>
  <c r="R1787" i="4"/>
  <c r="R1786" i="4"/>
  <c r="R1785" i="4"/>
  <c r="R1784" i="4"/>
  <c r="R1783" i="4"/>
  <c r="R1782" i="4"/>
  <c r="R1781" i="4"/>
  <c r="R1780" i="4"/>
  <c r="R1779" i="4"/>
  <c r="R1778" i="4"/>
  <c r="R1777" i="4"/>
  <c r="R1776" i="4"/>
  <c r="R1775" i="4"/>
  <c r="R1774" i="4"/>
  <c r="R1773" i="4"/>
  <c r="R1772" i="4"/>
  <c r="R1771" i="4"/>
  <c r="R1770" i="4"/>
  <c r="R1769" i="4"/>
  <c r="R1768" i="4"/>
  <c r="R1767" i="4"/>
  <c r="R1766" i="4"/>
  <c r="R1765" i="4"/>
  <c r="R1764" i="4"/>
  <c r="R1763" i="4"/>
  <c r="R1762" i="4"/>
  <c r="R1761" i="4"/>
  <c r="R1760" i="4"/>
  <c r="R1759" i="4"/>
  <c r="R1758" i="4"/>
  <c r="R1757" i="4"/>
  <c r="R1756" i="4"/>
  <c r="R1755" i="4"/>
  <c r="R1754" i="4"/>
  <c r="R1753" i="4"/>
  <c r="R1752" i="4"/>
  <c r="R1751" i="4"/>
  <c r="R1750" i="4"/>
  <c r="R1749" i="4"/>
  <c r="R1748" i="4"/>
  <c r="R1747" i="4"/>
  <c r="R1746" i="4"/>
  <c r="R1745" i="4"/>
  <c r="R1744" i="4"/>
  <c r="R1743" i="4"/>
  <c r="R1742" i="4"/>
  <c r="R1741" i="4"/>
  <c r="R1740" i="4"/>
  <c r="R1739" i="4"/>
  <c r="R1738" i="4"/>
  <c r="R1737" i="4"/>
  <c r="R1736" i="4"/>
  <c r="R1735" i="4"/>
  <c r="R1734" i="4"/>
  <c r="R1733" i="4"/>
  <c r="R1732" i="4"/>
  <c r="R1731" i="4"/>
  <c r="R1730" i="4"/>
  <c r="R1729" i="4"/>
  <c r="R1728" i="4"/>
  <c r="R1727" i="4"/>
  <c r="R1726" i="4"/>
  <c r="R1725" i="4"/>
  <c r="R1724" i="4"/>
  <c r="R1723" i="4"/>
  <c r="R1722" i="4"/>
  <c r="R1721" i="4"/>
  <c r="R1720" i="4"/>
  <c r="R1719" i="4"/>
  <c r="R1718" i="4"/>
  <c r="R1717" i="4"/>
  <c r="R1716" i="4"/>
  <c r="R1715" i="4"/>
  <c r="R1714" i="4"/>
  <c r="R1713" i="4"/>
  <c r="R1712" i="4"/>
  <c r="R1711" i="4"/>
  <c r="R1710" i="4"/>
  <c r="R1709" i="4"/>
  <c r="R1708" i="4"/>
  <c r="R1707" i="4"/>
  <c r="R1706" i="4"/>
  <c r="R1705" i="4"/>
  <c r="R1704" i="4"/>
  <c r="R1703" i="4"/>
  <c r="R1702" i="4"/>
  <c r="R1701" i="4"/>
  <c r="R1700" i="4"/>
  <c r="R1699" i="4"/>
  <c r="R1698" i="4"/>
  <c r="R1697" i="4"/>
  <c r="R1696" i="4"/>
  <c r="R1695" i="4"/>
  <c r="R1694" i="4"/>
  <c r="R1693" i="4"/>
  <c r="R1692" i="4"/>
  <c r="R1691" i="4"/>
  <c r="R1690" i="4"/>
  <c r="R1689" i="4"/>
  <c r="R1688" i="4"/>
  <c r="R1687" i="4"/>
  <c r="R1686" i="4"/>
  <c r="R1685" i="4"/>
  <c r="R1684" i="4"/>
  <c r="R1683" i="4"/>
  <c r="R1682" i="4"/>
  <c r="R1681" i="4"/>
  <c r="R1680" i="4"/>
  <c r="R1679" i="4"/>
  <c r="R1678" i="4"/>
  <c r="R1677" i="4"/>
  <c r="R1676" i="4"/>
  <c r="R1675" i="4"/>
  <c r="R1674" i="4"/>
  <c r="R1673" i="4"/>
  <c r="R1672" i="4"/>
  <c r="R1671" i="4"/>
  <c r="R1670" i="4"/>
  <c r="R1669" i="4"/>
  <c r="R1668" i="4"/>
  <c r="R1667" i="4"/>
  <c r="R1666" i="4"/>
  <c r="R1665" i="4"/>
  <c r="R1664" i="4"/>
  <c r="R1663" i="4"/>
  <c r="R1662" i="4"/>
  <c r="R1661" i="4"/>
  <c r="R1660" i="4"/>
  <c r="R1659" i="4"/>
  <c r="R1658" i="4"/>
  <c r="R1657" i="4"/>
  <c r="R1656" i="4"/>
  <c r="R1655" i="4"/>
  <c r="R1654" i="4"/>
  <c r="R1653" i="4"/>
  <c r="R1652" i="4"/>
  <c r="R1651" i="4"/>
  <c r="R1650" i="4"/>
  <c r="R1649" i="4"/>
  <c r="R1648" i="4"/>
  <c r="R1647" i="4"/>
  <c r="R1646" i="4"/>
  <c r="R1645" i="4"/>
  <c r="R1644" i="4"/>
  <c r="R1643" i="4"/>
  <c r="R1642" i="4"/>
  <c r="R1641" i="4"/>
  <c r="R1640" i="4"/>
  <c r="R1639" i="4"/>
  <c r="R1638" i="4"/>
  <c r="R1637" i="4"/>
  <c r="R1636" i="4"/>
  <c r="R1635" i="4"/>
  <c r="R1634" i="4"/>
  <c r="R1633" i="4"/>
  <c r="R1632" i="4"/>
  <c r="R1631" i="4"/>
  <c r="R1630" i="4"/>
  <c r="R1629" i="4"/>
  <c r="R1628" i="4"/>
  <c r="R1627" i="4"/>
  <c r="R1626" i="4"/>
  <c r="R1625" i="4"/>
  <c r="R1624" i="4"/>
  <c r="R1623" i="4"/>
  <c r="R1622" i="4"/>
  <c r="R1621" i="4"/>
  <c r="R1620" i="4"/>
  <c r="R1619" i="4"/>
  <c r="R1618" i="4"/>
  <c r="R1617" i="4"/>
  <c r="R1616" i="4"/>
  <c r="R1615" i="4"/>
  <c r="R1614" i="4"/>
  <c r="R1613" i="4"/>
  <c r="R1612" i="4"/>
  <c r="R1611" i="4"/>
  <c r="R1610" i="4"/>
  <c r="R1609" i="4"/>
  <c r="R1608" i="4"/>
  <c r="R1607" i="4"/>
  <c r="R1606" i="4"/>
  <c r="R1605" i="4"/>
  <c r="R1604" i="4"/>
  <c r="R1603" i="4"/>
  <c r="R1602" i="4"/>
  <c r="R1601" i="4"/>
  <c r="R1600" i="4"/>
  <c r="R1599" i="4"/>
  <c r="R1598" i="4"/>
  <c r="R1597" i="4"/>
  <c r="R1596" i="4"/>
  <c r="R1595" i="4"/>
  <c r="R1594" i="4"/>
  <c r="R1593" i="4"/>
  <c r="R1592" i="4"/>
  <c r="R1591" i="4"/>
  <c r="R1590" i="4"/>
  <c r="R1589" i="4"/>
  <c r="R1588" i="4"/>
  <c r="R1587" i="4"/>
  <c r="R1586" i="4"/>
  <c r="R1585" i="4"/>
  <c r="R1584" i="4"/>
  <c r="R1583" i="4"/>
  <c r="R1582" i="4"/>
  <c r="R1581" i="4"/>
  <c r="R1580" i="4"/>
  <c r="R1579" i="4"/>
  <c r="R1578" i="4"/>
  <c r="R1577" i="4"/>
  <c r="R1576" i="4"/>
  <c r="R1575" i="4"/>
  <c r="R1574" i="4"/>
  <c r="R1573" i="4"/>
  <c r="R1572" i="4"/>
  <c r="R1571" i="4"/>
  <c r="R1570" i="4"/>
  <c r="R1569" i="4"/>
  <c r="R1568" i="4"/>
  <c r="R1567" i="4"/>
  <c r="R1566" i="4"/>
  <c r="R1565" i="4"/>
  <c r="R1564" i="4"/>
  <c r="R1563" i="4"/>
  <c r="R1562" i="4"/>
  <c r="R1561" i="4"/>
  <c r="R1560" i="4"/>
  <c r="R1559" i="4"/>
  <c r="R1558" i="4"/>
  <c r="R1557" i="4"/>
  <c r="R1556" i="4"/>
  <c r="R1555" i="4"/>
  <c r="R1554" i="4"/>
  <c r="R1553" i="4"/>
  <c r="R1552" i="4"/>
  <c r="R1551" i="4"/>
  <c r="R1550" i="4"/>
  <c r="R1549" i="4"/>
  <c r="R1548" i="4"/>
  <c r="R1547" i="4"/>
  <c r="R1546" i="4"/>
  <c r="R1545" i="4"/>
  <c r="R1544" i="4"/>
  <c r="R1543" i="4"/>
  <c r="R1542" i="4"/>
  <c r="R1541" i="4"/>
  <c r="R1540" i="4"/>
  <c r="R1539" i="4"/>
  <c r="R1538" i="4"/>
  <c r="R1537" i="4"/>
  <c r="R1536" i="4"/>
  <c r="R1535" i="4"/>
  <c r="R1534" i="4"/>
  <c r="R1533" i="4"/>
  <c r="R1532" i="4"/>
  <c r="R1531" i="4"/>
  <c r="R1530" i="4"/>
  <c r="R1529" i="4"/>
  <c r="R1528" i="4"/>
  <c r="R1527" i="4"/>
  <c r="R1526" i="4"/>
  <c r="R1525" i="4"/>
  <c r="R1524" i="4"/>
  <c r="R1523" i="4"/>
  <c r="R1522" i="4"/>
  <c r="R1521" i="4"/>
  <c r="R1520" i="4"/>
  <c r="R1519" i="4"/>
  <c r="R1518" i="4"/>
  <c r="R1517" i="4"/>
  <c r="R1516" i="4"/>
  <c r="R1515" i="4"/>
  <c r="R1514" i="4"/>
  <c r="R1513" i="4"/>
  <c r="R1512" i="4"/>
  <c r="R1511" i="4"/>
  <c r="R1510" i="4"/>
  <c r="R1509" i="4"/>
  <c r="R1508" i="4"/>
  <c r="R1507" i="4"/>
  <c r="R1506" i="4"/>
  <c r="R1505" i="4"/>
  <c r="R1504" i="4"/>
  <c r="R1503" i="4"/>
  <c r="R1502" i="4"/>
  <c r="R1501" i="4"/>
  <c r="R1500" i="4"/>
  <c r="R1499" i="4"/>
  <c r="R1498" i="4"/>
  <c r="R1497" i="4"/>
  <c r="R1496" i="4"/>
  <c r="R1495" i="4"/>
  <c r="R1494" i="4"/>
  <c r="R1493" i="4"/>
  <c r="R1492" i="4"/>
  <c r="R1491" i="4"/>
  <c r="R1490" i="4"/>
  <c r="R1489" i="4"/>
  <c r="R1488" i="4"/>
  <c r="R1487" i="4"/>
  <c r="R1486" i="4"/>
  <c r="R1485" i="4"/>
  <c r="R1484" i="4"/>
  <c r="R1483" i="4"/>
  <c r="R1482" i="4"/>
  <c r="R1481" i="4"/>
  <c r="R1480" i="4"/>
  <c r="R1479" i="4"/>
  <c r="R1478" i="4"/>
  <c r="R1477" i="4"/>
  <c r="R1476" i="4"/>
  <c r="R1475" i="4"/>
  <c r="R1474" i="4"/>
  <c r="R1473" i="4"/>
  <c r="R1472" i="4"/>
  <c r="R1471" i="4"/>
  <c r="R1470" i="4"/>
  <c r="R1469" i="4"/>
  <c r="R1468" i="4"/>
  <c r="R1467" i="4"/>
  <c r="R1466" i="4"/>
  <c r="R1465" i="4"/>
  <c r="R1464" i="4"/>
  <c r="R1463" i="4"/>
  <c r="R1462" i="4"/>
  <c r="R1461" i="4"/>
  <c r="R1460" i="4"/>
  <c r="R1459" i="4"/>
  <c r="R1458" i="4"/>
  <c r="R1457" i="4"/>
  <c r="R1456" i="4"/>
  <c r="R1455" i="4"/>
  <c r="R1454" i="4"/>
  <c r="R1453" i="4"/>
  <c r="R1452" i="4"/>
  <c r="R1451" i="4"/>
  <c r="R1450" i="4"/>
  <c r="R1449" i="4"/>
  <c r="R1448" i="4"/>
  <c r="R1447" i="4"/>
  <c r="R1446" i="4"/>
  <c r="R1445" i="4"/>
  <c r="R1444" i="4"/>
  <c r="R1443" i="4"/>
  <c r="R1442" i="4"/>
  <c r="R1441" i="4"/>
  <c r="R1440" i="4"/>
  <c r="R1439" i="4"/>
  <c r="R1438" i="4"/>
  <c r="R1437" i="4"/>
  <c r="R1436" i="4"/>
  <c r="R1435" i="4"/>
  <c r="R1434" i="4"/>
  <c r="R1433" i="4"/>
  <c r="R1432" i="4"/>
  <c r="R1431" i="4"/>
  <c r="R1430" i="4"/>
  <c r="R1429" i="4"/>
  <c r="R1428" i="4"/>
  <c r="R1427" i="4"/>
  <c r="R1426" i="4"/>
  <c r="R1425" i="4"/>
  <c r="R1424" i="4"/>
  <c r="R1423" i="4"/>
  <c r="R1422" i="4"/>
  <c r="R1421" i="4"/>
  <c r="R1420" i="4"/>
  <c r="R1419" i="4"/>
  <c r="R1418" i="4"/>
  <c r="R1417" i="4"/>
  <c r="R1416" i="4"/>
  <c r="R1415" i="4"/>
  <c r="R1414" i="4"/>
  <c r="R1413" i="4"/>
  <c r="R1412" i="4"/>
  <c r="R1411" i="4"/>
  <c r="R1410" i="4"/>
  <c r="R1409" i="4"/>
  <c r="R1408" i="4"/>
  <c r="R1407" i="4"/>
  <c r="R1406" i="4"/>
  <c r="R1405" i="4"/>
  <c r="R1404" i="4"/>
  <c r="R1403" i="4"/>
  <c r="R1402" i="4"/>
  <c r="R1401" i="4"/>
  <c r="R1400" i="4"/>
  <c r="R1399" i="4"/>
  <c r="R1398" i="4"/>
  <c r="R1397" i="4"/>
  <c r="R1396" i="4"/>
  <c r="R1395" i="4"/>
  <c r="R1394" i="4"/>
  <c r="R1393" i="4"/>
  <c r="R1392" i="4"/>
  <c r="R1391" i="4"/>
  <c r="R1390" i="4"/>
  <c r="R1389" i="4"/>
  <c r="R1388" i="4"/>
  <c r="R1387" i="4"/>
  <c r="R1386" i="4"/>
  <c r="R1385" i="4"/>
  <c r="R1384" i="4"/>
  <c r="R1383" i="4"/>
  <c r="R1382" i="4"/>
  <c r="R1381" i="4"/>
  <c r="R1380" i="4"/>
  <c r="R1379" i="4"/>
  <c r="R1378" i="4"/>
  <c r="R1377" i="4"/>
  <c r="R1376" i="4"/>
  <c r="R1375" i="4"/>
  <c r="R1374" i="4"/>
  <c r="R1373" i="4"/>
  <c r="R1372" i="4"/>
  <c r="R1371" i="4"/>
  <c r="R1370" i="4"/>
  <c r="R1369" i="4"/>
  <c r="R1368" i="4"/>
  <c r="R1367" i="4"/>
  <c r="R1366" i="4"/>
  <c r="R1365" i="4"/>
  <c r="R1364" i="4"/>
  <c r="R1363" i="4"/>
  <c r="R1362" i="4"/>
  <c r="R1361" i="4"/>
  <c r="R1360" i="4"/>
  <c r="R1359" i="4"/>
  <c r="R1358" i="4"/>
  <c r="R1357" i="4"/>
  <c r="R1356" i="4"/>
  <c r="R1355" i="4"/>
  <c r="R1354" i="4"/>
  <c r="R1353" i="4"/>
  <c r="R1352" i="4"/>
  <c r="R1351" i="4"/>
  <c r="R1350" i="4"/>
  <c r="R1349" i="4"/>
  <c r="R1348" i="4"/>
  <c r="R1347" i="4"/>
  <c r="R1346" i="4"/>
  <c r="R1345" i="4"/>
  <c r="R1344" i="4"/>
  <c r="R1343" i="4"/>
  <c r="R1342" i="4"/>
  <c r="R1341" i="4"/>
  <c r="R1340" i="4"/>
  <c r="R1339" i="4"/>
  <c r="R1338" i="4"/>
  <c r="R1337" i="4"/>
  <c r="R1336" i="4"/>
  <c r="R1335" i="4"/>
  <c r="R1334" i="4"/>
  <c r="R1333" i="4"/>
  <c r="R1332" i="4"/>
  <c r="R1331" i="4"/>
  <c r="R1330" i="4"/>
  <c r="R1329" i="4"/>
  <c r="R1328" i="4"/>
  <c r="R1327" i="4"/>
  <c r="R1326" i="4"/>
  <c r="R1325" i="4"/>
  <c r="R1324" i="4"/>
  <c r="R1323" i="4"/>
  <c r="R1322" i="4"/>
  <c r="R1321" i="4"/>
  <c r="R1320" i="4"/>
  <c r="R1319" i="4"/>
  <c r="R1318" i="4"/>
  <c r="R1317" i="4"/>
  <c r="R1316" i="4"/>
  <c r="R1315" i="4"/>
  <c r="R1314" i="4"/>
  <c r="R1313" i="4"/>
  <c r="R1312" i="4"/>
  <c r="R1311" i="4"/>
  <c r="R1310" i="4"/>
  <c r="R1309" i="4"/>
  <c r="R1308" i="4"/>
  <c r="R1307" i="4"/>
  <c r="R1306" i="4"/>
  <c r="R1305" i="4"/>
  <c r="R1304" i="4"/>
  <c r="R1303" i="4"/>
  <c r="R1302" i="4"/>
  <c r="R1301" i="4"/>
  <c r="R1300" i="4"/>
  <c r="R1299" i="4"/>
  <c r="R1298" i="4"/>
  <c r="R1297" i="4"/>
  <c r="R1296" i="4"/>
  <c r="R1295" i="4"/>
  <c r="R1294" i="4"/>
  <c r="R1293" i="4"/>
  <c r="R1292" i="4"/>
  <c r="R1291" i="4"/>
  <c r="R1290" i="4"/>
  <c r="R1289" i="4"/>
  <c r="R1288" i="4"/>
  <c r="R1287" i="4"/>
  <c r="R1286" i="4"/>
  <c r="R1285" i="4"/>
  <c r="R1284" i="4"/>
  <c r="R1283" i="4"/>
  <c r="R1282" i="4"/>
  <c r="R1281" i="4"/>
  <c r="R1280" i="4"/>
  <c r="R1279" i="4"/>
  <c r="R1278" i="4"/>
  <c r="R1277" i="4"/>
  <c r="R1276" i="4"/>
  <c r="R1275" i="4"/>
  <c r="R1274" i="4"/>
  <c r="R1273" i="4"/>
  <c r="R1272" i="4"/>
  <c r="R1271" i="4"/>
  <c r="R1270" i="4"/>
  <c r="R1269" i="4"/>
  <c r="R1268" i="4"/>
  <c r="R1267" i="4"/>
  <c r="R1266" i="4"/>
  <c r="R1265" i="4"/>
  <c r="R1264" i="4"/>
  <c r="R1263" i="4"/>
  <c r="R1262" i="4"/>
  <c r="R1261" i="4"/>
  <c r="R1260" i="4"/>
  <c r="R1259" i="4"/>
  <c r="R1258" i="4"/>
  <c r="R1257" i="4"/>
  <c r="R1256" i="4"/>
  <c r="R1255" i="4"/>
  <c r="R1254" i="4"/>
  <c r="R1253" i="4"/>
  <c r="R1252" i="4"/>
  <c r="R1251" i="4"/>
  <c r="R1250" i="4"/>
  <c r="R1249" i="4"/>
  <c r="R1248" i="4"/>
  <c r="R1247" i="4"/>
  <c r="R1246" i="4"/>
  <c r="R1245" i="4"/>
  <c r="R1244" i="4"/>
  <c r="R1243" i="4"/>
  <c r="R1242" i="4"/>
  <c r="R1241" i="4"/>
  <c r="R1240" i="4"/>
  <c r="R1239" i="4"/>
  <c r="R1238" i="4"/>
  <c r="R1237" i="4"/>
  <c r="R1236" i="4"/>
  <c r="R1235" i="4"/>
  <c r="R1234" i="4"/>
  <c r="R1233" i="4"/>
  <c r="R1232" i="4"/>
  <c r="R1231" i="4"/>
  <c r="R1230" i="4"/>
  <c r="R1229" i="4"/>
  <c r="R1228" i="4"/>
  <c r="R1227" i="4"/>
  <c r="R1226" i="4"/>
  <c r="R1225" i="4"/>
  <c r="R1224" i="4"/>
  <c r="R1223" i="4"/>
  <c r="R1222" i="4"/>
  <c r="R1221" i="4"/>
  <c r="R1220" i="4"/>
  <c r="R1219" i="4"/>
  <c r="R1218" i="4"/>
  <c r="R1217" i="4"/>
  <c r="R1216" i="4"/>
  <c r="R1215" i="4"/>
  <c r="R1214" i="4"/>
  <c r="R1213" i="4"/>
  <c r="R1212" i="4"/>
  <c r="R1211" i="4"/>
  <c r="R1210" i="4"/>
  <c r="R1209" i="4"/>
  <c r="R1208" i="4"/>
  <c r="R1207" i="4"/>
  <c r="R1206" i="4"/>
  <c r="R1205" i="4"/>
  <c r="R1204" i="4"/>
  <c r="R1203" i="4"/>
  <c r="R1202" i="4"/>
  <c r="R1201" i="4"/>
  <c r="R1200" i="4"/>
  <c r="R1199" i="4"/>
  <c r="R1198" i="4"/>
  <c r="R1197" i="4"/>
  <c r="R1196" i="4"/>
  <c r="R1195" i="4"/>
  <c r="R1194" i="4"/>
  <c r="R1193" i="4"/>
  <c r="R1192" i="4"/>
  <c r="R1191" i="4"/>
  <c r="R1190" i="4"/>
  <c r="R1189" i="4"/>
  <c r="R1188" i="4"/>
  <c r="R1187" i="4"/>
  <c r="R1186" i="4"/>
  <c r="R1185" i="4"/>
  <c r="R1184" i="4"/>
  <c r="R1183" i="4"/>
  <c r="R1182" i="4"/>
  <c r="R1181" i="4"/>
  <c r="R1180" i="4"/>
  <c r="R1179" i="4"/>
  <c r="R1178" i="4"/>
  <c r="R1177" i="4"/>
  <c r="R1176" i="4"/>
  <c r="R1175" i="4"/>
  <c r="R1174" i="4"/>
  <c r="R1173" i="4"/>
  <c r="R1172" i="4"/>
  <c r="R1171" i="4"/>
  <c r="R1170" i="4"/>
  <c r="R1169" i="4"/>
  <c r="R1168" i="4"/>
  <c r="R1167" i="4"/>
  <c r="R1166" i="4"/>
  <c r="R1165" i="4"/>
  <c r="R1164" i="4"/>
  <c r="R1163" i="4"/>
  <c r="R1162" i="4"/>
  <c r="R1161" i="4"/>
  <c r="R1160" i="4"/>
  <c r="R1159" i="4"/>
  <c r="R1158" i="4"/>
  <c r="R1157" i="4"/>
  <c r="R1156" i="4"/>
  <c r="R1155" i="4"/>
  <c r="R1154" i="4"/>
  <c r="R1153" i="4"/>
  <c r="R1152" i="4"/>
  <c r="R1151" i="4"/>
  <c r="R1150" i="4"/>
  <c r="R1149" i="4"/>
  <c r="R1148" i="4"/>
  <c r="R1147" i="4"/>
  <c r="R1146" i="4"/>
  <c r="R1145" i="4"/>
  <c r="R1144" i="4"/>
  <c r="R1143" i="4"/>
  <c r="R1142" i="4"/>
  <c r="R1141" i="4"/>
  <c r="R1140" i="4"/>
  <c r="R1139" i="4"/>
  <c r="R1138" i="4"/>
  <c r="R1137" i="4"/>
  <c r="R1136" i="4"/>
  <c r="R1135" i="4"/>
  <c r="R1134" i="4"/>
  <c r="R1133" i="4"/>
  <c r="R1132" i="4"/>
  <c r="R1131" i="4"/>
  <c r="R1130" i="4"/>
  <c r="R1129" i="4"/>
  <c r="R1128" i="4"/>
  <c r="R1127" i="4"/>
  <c r="R1126" i="4"/>
  <c r="R1125" i="4"/>
  <c r="R1124" i="4"/>
  <c r="R1123" i="4"/>
  <c r="R1122" i="4"/>
  <c r="R1121" i="4"/>
  <c r="R1120" i="4"/>
  <c r="R1119" i="4"/>
  <c r="R1118" i="4"/>
  <c r="R1117" i="4"/>
  <c r="R1116" i="4"/>
  <c r="R1115" i="4"/>
  <c r="R1114" i="4"/>
  <c r="R1113" i="4"/>
  <c r="R1112" i="4"/>
  <c r="R1111" i="4"/>
  <c r="R1110" i="4"/>
  <c r="R1109" i="4"/>
  <c r="R1108" i="4"/>
  <c r="R1107" i="4"/>
  <c r="R1106" i="4"/>
  <c r="R1105" i="4"/>
  <c r="R1104" i="4"/>
  <c r="R1103" i="4"/>
  <c r="R1102" i="4"/>
  <c r="R1101" i="4"/>
  <c r="R1100" i="4"/>
  <c r="R1099" i="4"/>
  <c r="R1098" i="4"/>
  <c r="R1097" i="4"/>
  <c r="R1096" i="4"/>
  <c r="R1095" i="4"/>
  <c r="R1094" i="4"/>
  <c r="R1093" i="4"/>
  <c r="R1092" i="4"/>
  <c r="R1091" i="4"/>
  <c r="R1090" i="4"/>
  <c r="R1089" i="4"/>
  <c r="R1088" i="4"/>
  <c r="R1087" i="4"/>
  <c r="R1086" i="4"/>
  <c r="R1085" i="4"/>
  <c r="R1084" i="4"/>
  <c r="R1083" i="4"/>
  <c r="R1082" i="4"/>
  <c r="R1081" i="4"/>
  <c r="R1080" i="4"/>
  <c r="R1079" i="4"/>
  <c r="R1078" i="4"/>
  <c r="R1077" i="4"/>
  <c r="R1076" i="4"/>
  <c r="R1075" i="4"/>
  <c r="R1074" i="4"/>
  <c r="R1073" i="4"/>
  <c r="R1072" i="4"/>
  <c r="R1071" i="4"/>
  <c r="R1070" i="4"/>
  <c r="R1069" i="4"/>
  <c r="R1068" i="4"/>
  <c r="R1067" i="4"/>
  <c r="R1066" i="4"/>
  <c r="R1065" i="4"/>
  <c r="R1064" i="4"/>
  <c r="R1063" i="4"/>
  <c r="R1062" i="4"/>
  <c r="R1061" i="4"/>
  <c r="R1060" i="4"/>
  <c r="R1059" i="4"/>
  <c r="R1058" i="4"/>
  <c r="R1057" i="4"/>
  <c r="R1056" i="4"/>
  <c r="R1055" i="4"/>
  <c r="R1054" i="4"/>
  <c r="R1053" i="4"/>
  <c r="R1052" i="4"/>
  <c r="R1051" i="4"/>
  <c r="R1050" i="4"/>
  <c r="R1049" i="4"/>
  <c r="R1048" i="4"/>
  <c r="R1047" i="4"/>
  <c r="R1046" i="4"/>
  <c r="R1045" i="4"/>
  <c r="R1044" i="4"/>
  <c r="R1043" i="4"/>
  <c r="R1042" i="4"/>
  <c r="R1041" i="4"/>
  <c r="R1040" i="4"/>
  <c r="R1039" i="4"/>
  <c r="R1038" i="4"/>
  <c r="R1037" i="4"/>
  <c r="R1036" i="4"/>
  <c r="R1035" i="4"/>
  <c r="R1034" i="4"/>
  <c r="R1033" i="4"/>
  <c r="R1032" i="4"/>
  <c r="R1031" i="4"/>
  <c r="R1030" i="4"/>
  <c r="R1029" i="4"/>
  <c r="R1028" i="4"/>
  <c r="R1027" i="4"/>
  <c r="R1026" i="4"/>
  <c r="R1025" i="4"/>
  <c r="R1024" i="4"/>
  <c r="R1023" i="4"/>
  <c r="R1022" i="4"/>
  <c r="R1021" i="4"/>
  <c r="R1020" i="4"/>
  <c r="R1019" i="4"/>
  <c r="R1018" i="4"/>
  <c r="R1017" i="4"/>
  <c r="R1016" i="4"/>
  <c r="R1015" i="4"/>
  <c r="R1014" i="4"/>
  <c r="R1013" i="4"/>
  <c r="R1012" i="4"/>
  <c r="R1011" i="4"/>
  <c r="R1010" i="4"/>
  <c r="R1009" i="4"/>
  <c r="R1008" i="4"/>
  <c r="R1007" i="4"/>
  <c r="R1006" i="4"/>
  <c r="R1005" i="4"/>
  <c r="R1004" i="4"/>
  <c r="R1003" i="4"/>
  <c r="R1002" i="4"/>
  <c r="R1001" i="4"/>
  <c r="R1000" i="4"/>
  <c r="R999" i="4"/>
  <c r="R998" i="4"/>
  <c r="R997" i="4"/>
  <c r="R996" i="4"/>
  <c r="R995" i="4"/>
  <c r="R994" i="4"/>
  <c r="R993" i="4"/>
  <c r="R992" i="4"/>
  <c r="R991" i="4"/>
  <c r="R990" i="4"/>
  <c r="R989" i="4"/>
  <c r="R988" i="4"/>
  <c r="R987" i="4"/>
  <c r="R986" i="4"/>
  <c r="R985" i="4"/>
  <c r="R984" i="4"/>
  <c r="R983" i="4"/>
  <c r="R982" i="4"/>
  <c r="R981" i="4"/>
  <c r="R980" i="4"/>
  <c r="R979" i="4"/>
  <c r="R978" i="4"/>
  <c r="R977" i="4"/>
  <c r="R976" i="4"/>
  <c r="R975" i="4"/>
  <c r="R974" i="4"/>
  <c r="R973" i="4"/>
  <c r="R972" i="4"/>
  <c r="R971" i="4"/>
  <c r="R970" i="4"/>
  <c r="R969" i="4"/>
  <c r="R968" i="4"/>
  <c r="R967" i="4"/>
  <c r="R966" i="4"/>
  <c r="R965" i="4"/>
  <c r="R964" i="4"/>
  <c r="R963" i="4"/>
  <c r="R962" i="4"/>
  <c r="R961" i="4"/>
  <c r="R960" i="4"/>
  <c r="R959" i="4"/>
  <c r="R958" i="4"/>
  <c r="R957" i="4"/>
  <c r="R956" i="4"/>
  <c r="R955" i="4"/>
  <c r="R954" i="4"/>
  <c r="R953" i="4"/>
  <c r="R952" i="4"/>
  <c r="R951" i="4"/>
  <c r="R950" i="4"/>
  <c r="R949" i="4"/>
  <c r="R948" i="4"/>
  <c r="R947" i="4"/>
  <c r="R946" i="4"/>
  <c r="R945" i="4"/>
  <c r="R944" i="4"/>
  <c r="R943" i="4"/>
  <c r="R942" i="4"/>
  <c r="R941" i="4"/>
  <c r="R940" i="4"/>
  <c r="R939" i="4"/>
  <c r="R938" i="4"/>
  <c r="R937" i="4"/>
  <c r="R936" i="4"/>
  <c r="R935" i="4"/>
  <c r="R934" i="4"/>
  <c r="R933" i="4"/>
  <c r="R932" i="4"/>
  <c r="R931" i="4"/>
  <c r="R930" i="4"/>
  <c r="R929" i="4"/>
  <c r="R928" i="4"/>
  <c r="R927" i="4"/>
  <c r="R926" i="4"/>
  <c r="R925" i="4"/>
  <c r="R924" i="4"/>
  <c r="R923" i="4"/>
  <c r="R922" i="4"/>
  <c r="R921" i="4"/>
  <c r="R920" i="4"/>
  <c r="R919" i="4"/>
  <c r="R918" i="4"/>
  <c r="R917" i="4"/>
  <c r="R916" i="4"/>
  <c r="R915" i="4"/>
  <c r="R914" i="4"/>
  <c r="R913" i="4"/>
  <c r="R912" i="4"/>
  <c r="R911" i="4"/>
  <c r="R910" i="4"/>
  <c r="R909" i="4"/>
  <c r="R908" i="4"/>
  <c r="R907" i="4"/>
  <c r="R906" i="4"/>
  <c r="R905" i="4"/>
  <c r="R904" i="4"/>
  <c r="R903" i="4"/>
  <c r="R902" i="4"/>
  <c r="R901" i="4"/>
  <c r="R900" i="4"/>
  <c r="R899" i="4"/>
  <c r="R898" i="4"/>
  <c r="R897" i="4"/>
  <c r="R896" i="4"/>
  <c r="R895" i="4"/>
  <c r="R894" i="4"/>
  <c r="R893" i="4"/>
  <c r="R892" i="4"/>
  <c r="R891" i="4"/>
  <c r="R890" i="4"/>
  <c r="R889" i="4"/>
  <c r="R888" i="4"/>
  <c r="R887" i="4"/>
  <c r="R886" i="4"/>
  <c r="R885" i="4"/>
  <c r="R884" i="4"/>
  <c r="R883" i="4"/>
  <c r="R882" i="4"/>
  <c r="R881" i="4"/>
  <c r="R880" i="4"/>
  <c r="R879" i="4"/>
  <c r="R878" i="4"/>
  <c r="R877" i="4"/>
  <c r="R876" i="4"/>
  <c r="R875" i="4"/>
  <c r="R874" i="4"/>
  <c r="R873" i="4"/>
  <c r="R872" i="4"/>
  <c r="R871" i="4"/>
  <c r="R870" i="4"/>
  <c r="R869" i="4"/>
  <c r="R868" i="4"/>
  <c r="R867" i="4"/>
  <c r="R866" i="4"/>
  <c r="R865" i="4"/>
  <c r="R864" i="4"/>
  <c r="R863" i="4"/>
  <c r="R862" i="4"/>
  <c r="R861" i="4"/>
  <c r="R860" i="4"/>
  <c r="R859" i="4"/>
  <c r="R858" i="4"/>
  <c r="R857" i="4"/>
  <c r="R856" i="4"/>
  <c r="R855" i="4"/>
  <c r="R854" i="4"/>
  <c r="R853" i="4"/>
  <c r="R852" i="4"/>
  <c r="R851" i="4"/>
  <c r="R850" i="4"/>
  <c r="R849" i="4"/>
  <c r="R848" i="4"/>
  <c r="R847" i="4"/>
  <c r="R846" i="4"/>
  <c r="R845" i="4"/>
  <c r="R844" i="4"/>
  <c r="R843" i="4"/>
  <c r="R842" i="4"/>
  <c r="R841" i="4"/>
  <c r="R840" i="4"/>
  <c r="R839" i="4"/>
  <c r="R838" i="4"/>
  <c r="R837" i="4"/>
  <c r="R836" i="4"/>
  <c r="R835" i="4"/>
  <c r="R834" i="4"/>
  <c r="R833" i="4"/>
  <c r="R832" i="4"/>
  <c r="R831" i="4"/>
  <c r="R830" i="4"/>
  <c r="R829" i="4"/>
  <c r="R828" i="4"/>
  <c r="R827" i="4"/>
  <c r="R826" i="4"/>
  <c r="R825" i="4"/>
  <c r="R824" i="4"/>
  <c r="R823" i="4"/>
  <c r="R822" i="4"/>
  <c r="R821" i="4"/>
  <c r="R820" i="4"/>
  <c r="R819" i="4"/>
  <c r="R818" i="4"/>
  <c r="R817" i="4"/>
  <c r="R816" i="4"/>
  <c r="R815" i="4"/>
  <c r="R814" i="4"/>
  <c r="R813" i="4"/>
  <c r="R812" i="4"/>
  <c r="R811" i="4"/>
  <c r="R810" i="4"/>
  <c r="R809" i="4"/>
  <c r="R808" i="4"/>
  <c r="R807" i="4"/>
  <c r="R806" i="4"/>
  <c r="R805" i="4"/>
  <c r="R804" i="4"/>
  <c r="R803" i="4"/>
  <c r="R802" i="4"/>
  <c r="R801" i="4"/>
  <c r="R800" i="4"/>
  <c r="R799" i="4"/>
  <c r="R798" i="4"/>
  <c r="R797" i="4"/>
  <c r="R796" i="4"/>
  <c r="R795" i="4"/>
  <c r="R794" i="4"/>
  <c r="R793" i="4"/>
  <c r="R792" i="4"/>
  <c r="R791" i="4"/>
  <c r="R790" i="4"/>
  <c r="R789" i="4"/>
  <c r="R788" i="4"/>
  <c r="R787" i="4"/>
  <c r="R786" i="4"/>
  <c r="R785" i="4"/>
  <c r="R784" i="4"/>
  <c r="R783" i="4"/>
  <c r="R782" i="4"/>
  <c r="R781" i="4"/>
  <c r="R780" i="4"/>
  <c r="R779" i="4"/>
  <c r="R778" i="4"/>
  <c r="R777" i="4"/>
  <c r="R776" i="4"/>
  <c r="R775" i="4"/>
  <c r="R774" i="4"/>
  <c r="R773" i="4"/>
  <c r="R772" i="4"/>
  <c r="R771" i="4"/>
  <c r="R770" i="4"/>
  <c r="R769" i="4"/>
  <c r="R768" i="4"/>
  <c r="R767" i="4"/>
  <c r="R766" i="4"/>
  <c r="R765" i="4"/>
  <c r="R764" i="4"/>
  <c r="R763" i="4"/>
  <c r="R762" i="4"/>
  <c r="R761" i="4"/>
  <c r="R760" i="4"/>
  <c r="R759" i="4"/>
  <c r="R758" i="4"/>
  <c r="R757" i="4"/>
  <c r="R756" i="4"/>
  <c r="R755" i="4"/>
  <c r="R754" i="4"/>
  <c r="R753" i="4"/>
  <c r="R752" i="4"/>
  <c r="R751" i="4"/>
  <c r="R750" i="4"/>
  <c r="R749" i="4"/>
  <c r="R748" i="4"/>
  <c r="R747" i="4"/>
  <c r="R746" i="4"/>
  <c r="R745" i="4"/>
  <c r="R744" i="4"/>
  <c r="R743" i="4"/>
  <c r="R742" i="4"/>
  <c r="R741" i="4"/>
  <c r="R740" i="4"/>
  <c r="R739" i="4"/>
  <c r="R738" i="4"/>
  <c r="R737" i="4"/>
  <c r="R736" i="4"/>
  <c r="R735" i="4"/>
  <c r="R734" i="4"/>
  <c r="R733" i="4"/>
  <c r="R732" i="4"/>
  <c r="R731" i="4"/>
  <c r="R730" i="4"/>
  <c r="R729" i="4"/>
  <c r="R728" i="4"/>
  <c r="R727" i="4"/>
  <c r="R726" i="4"/>
  <c r="R725" i="4"/>
  <c r="R724" i="4"/>
  <c r="R723" i="4"/>
  <c r="R722" i="4"/>
  <c r="R721" i="4"/>
  <c r="R720" i="4"/>
  <c r="R719" i="4"/>
  <c r="R718" i="4"/>
  <c r="R717" i="4"/>
  <c r="R716" i="4"/>
  <c r="R715" i="4"/>
  <c r="R714" i="4"/>
  <c r="R713" i="4"/>
  <c r="R712" i="4"/>
  <c r="R711" i="4"/>
  <c r="R710" i="4"/>
  <c r="R709" i="4"/>
  <c r="R708" i="4"/>
  <c r="R707" i="4"/>
  <c r="R706" i="4"/>
  <c r="R705" i="4"/>
  <c r="R704" i="4"/>
  <c r="R703" i="4"/>
  <c r="R702" i="4"/>
  <c r="R701" i="4"/>
  <c r="R700" i="4"/>
  <c r="R699" i="4"/>
  <c r="R698" i="4"/>
  <c r="R697" i="4"/>
  <c r="R696" i="4"/>
  <c r="R695" i="4"/>
  <c r="R694" i="4"/>
  <c r="R693" i="4"/>
  <c r="R692" i="4"/>
  <c r="R691" i="4"/>
  <c r="R690" i="4"/>
  <c r="R689" i="4"/>
  <c r="R688" i="4"/>
  <c r="R687" i="4"/>
  <c r="R686" i="4"/>
  <c r="R685" i="4"/>
  <c r="R684" i="4"/>
  <c r="R683" i="4"/>
  <c r="R682" i="4"/>
  <c r="R681" i="4"/>
  <c r="R680" i="4"/>
  <c r="R679" i="4"/>
  <c r="R678" i="4"/>
  <c r="R677" i="4"/>
  <c r="R676" i="4"/>
  <c r="R675" i="4"/>
  <c r="R674" i="4"/>
  <c r="R673" i="4"/>
  <c r="R672" i="4"/>
  <c r="R671" i="4"/>
  <c r="R670" i="4"/>
  <c r="R669" i="4"/>
  <c r="R668" i="4"/>
  <c r="R667" i="4"/>
  <c r="R666" i="4"/>
  <c r="R665" i="4"/>
  <c r="R664" i="4"/>
  <c r="R663" i="4"/>
  <c r="R662" i="4"/>
  <c r="R661" i="4"/>
  <c r="R660" i="4"/>
  <c r="R659" i="4"/>
  <c r="R658" i="4"/>
  <c r="R657" i="4"/>
  <c r="R656" i="4"/>
  <c r="R655" i="4"/>
  <c r="R654" i="4"/>
  <c r="R653" i="4"/>
  <c r="R652" i="4"/>
  <c r="R651" i="4"/>
  <c r="R650" i="4"/>
  <c r="R649" i="4"/>
  <c r="R648" i="4"/>
  <c r="R647" i="4"/>
  <c r="R646" i="4"/>
  <c r="R645" i="4"/>
  <c r="R644" i="4"/>
  <c r="R643" i="4"/>
  <c r="R642" i="4"/>
  <c r="R641" i="4"/>
  <c r="R640" i="4"/>
  <c r="R639" i="4"/>
  <c r="R638" i="4"/>
  <c r="R637" i="4"/>
  <c r="R636" i="4"/>
  <c r="R635" i="4"/>
  <c r="R634" i="4"/>
  <c r="R633" i="4"/>
  <c r="R632" i="4"/>
  <c r="R631" i="4"/>
  <c r="R630" i="4"/>
  <c r="R629" i="4"/>
  <c r="R628" i="4"/>
  <c r="R627" i="4"/>
  <c r="R626" i="4"/>
  <c r="R625" i="4"/>
  <c r="R624" i="4"/>
  <c r="R623" i="4"/>
  <c r="R622" i="4"/>
  <c r="R621" i="4"/>
  <c r="R620" i="4"/>
  <c r="R619" i="4"/>
  <c r="R618" i="4"/>
  <c r="R617" i="4"/>
  <c r="R616" i="4"/>
  <c r="R615" i="4"/>
  <c r="R614" i="4"/>
  <c r="R613" i="4"/>
  <c r="R612" i="4"/>
  <c r="R611" i="4"/>
  <c r="R610" i="4"/>
  <c r="R609" i="4"/>
  <c r="R608" i="4"/>
  <c r="R607" i="4"/>
  <c r="R606" i="4"/>
  <c r="R605" i="4"/>
  <c r="R604" i="4"/>
  <c r="R603" i="4"/>
  <c r="R602" i="4"/>
  <c r="R601" i="4"/>
  <c r="R600" i="4"/>
  <c r="R599" i="4"/>
  <c r="R598" i="4"/>
  <c r="R597" i="4"/>
  <c r="R596" i="4"/>
  <c r="R595" i="4"/>
  <c r="R594" i="4"/>
  <c r="R593" i="4"/>
  <c r="R592" i="4"/>
  <c r="R591" i="4"/>
  <c r="R590" i="4"/>
  <c r="R589" i="4"/>
  <c r="R588" i="4"/>
  <c r="R587" i="4"/>
  <c r="R586" i="4"/>
  <c r="R585" i="4"/>
  <c r="R584" i="4"/>
  <c r="R583" i="4"/>
  <c r="R582" i="4"/>
  <c r="R581" i="4"/>
  <c r="R580" i="4"/>
  <c r="R579" i="4"/>
  <c r="R578" i="4"/>
  <c r="R577" i="4"/>
  <c r="R576" i="4"/>
  <c r="R575" i="4"/>
  <c r="R574" i="4"/>
  <c r="R573" i="4"/>
  <c r="R572" i="4"/>
  <c r="R571" i="4"/>
  <c r="R570" i="4"/>
  <c r="R569" i="4"/>
  <c r="R568" i="4"/>
  <c r="R567" i="4"/>
  <c r="R566" i="4"/>
  <c r="R565" i="4"/>
  <c r="R564" i="4"/>
  <c r="R563" i="4"/>
  <c r="R562" i="4"/>
  <c r="R561" i="4"/>
  <c r="R560" i="4"/>
  <c r="R559" i="4"/>
  <c r="R558" i="4"/>
  <c r="R557" i="4"/>
  <c r="R556" i="4"/>
  <c r="R555" i="4"/>
  <c r="R554" i="4"/>
  <c r="R553" i="4"/>
  <c r="R552" i="4"/>
  <c r="R551" i="4"/>
  <c r="R550" i="4"/>
  <c r="R549" i="4"/>
  <c r="R548" i="4"/>
  <c r="R547" i="4"/>
  <c r="R546" i="4"/>
  <c r="R545" i="4"/>
  <c r="R544" i="4"/>
  <c r="R543" i="4"/>
  <c r="R542" i="4"/>
  <c r="R541" i="4"/>
  <c r="R540" i="4"/>
  <c r="R539" i="4"/>
  <c r="R538" i="4"/>
  <c r="R537" i="4"/>
  <c r="R536" i="4"/>
  <c r="R535" i="4"/>
  <c r="R534" i="4"/>
  <c r="R533" i="4"/>
  <c r="R532" i="4"/>
  <c r="R531" i="4"/>
  <c r="R530" i="4"/>
  <c r="R529" i="4"/>
  <c r="R528" i="4"/>
  <c r="R527" i="4"/>
  <c r="R526" i="4"/>
  <c r="R525" i="4"/>
  <c r="R524" i="4"/>
  <c r="R523" i="4"/>
  <c r="R522" i="4"/>
  <c r="R521" i="4"/>
  <c r="R520" i="4"/>
  <c r="R519" i="4"/>
  <c r="R518" i="4"/>
  <c r="R517" i="4"/>
  <c r="R516" i="4"/>
  <c r="R515" i="4"/>
  <c r="R514" i="4"/>
  <c r="R513" i="4"/>
  <c r="R512" i="4"/>
  <c r="R511" i="4"/>
  <c r="R510" i="4"/>
  <c r="R509" i="4"/>
  <c r="R508" i="4"/>
  <c r="R507" i="4"/>
  <c r="R506" i="4"/>
  <c r="R505" i="4"/>
  <c r="R504" i="4"/>
  <c r="R503" i="4"/>
  <c r="R502" i="4"/>
  <c r="R501" i="4"/>
  <c r="R500" i="4"/>
  <c r="R499" i="4"/>
  <c r="R498" i="4"/>
  <c r="R497" i="4"/>
  <c r="R496" i="4"/>
  <c r="R495" i="4"/>
  <c r="R494" i="4"/>
  <c r="R493" i="4"/>
  <c r="R492" i="4"/>
  <c r="R491" i="4"/>
  <c r="R490" i="4"/>
  <c r="R489" i="4"/>
  <c r="R488" i="4"/>
  <c r="R487" i="4"/>
  <c r="R486" i="4"/>
  <c r="R485" i="4"/>
  <c r="R484" i="4"/>
  <c r="R483" i="4"/>
  <c r="R482" i="4"/>
  <c r="R481" i="4"/>
  <c r="R480" i="4"/>
  <c r="R479" i="4"/>
  <c r="R478" i="4"/>
  <c r="R477" i="4"/>
  <c r="R476" i="4"/>
  <c r="R475" i="4"/>
  <c r="R474" i="4"/>
  <c r="R473" i="4"/>
  <c r="R472" i="4"/>
  <c r="R471" i="4"/>
  <c r="R470" i="4"/>
  <c r="R469" i="4"/>
  <c r="R468" i="4"/>
  <c r="R467" i="4"/>
  <c r="R466" i="4"/>
  <c r="R465" i="4"/>
  <c r="R464" i="4"/>
  <c r="R463" i="4"/>
  <c r="R462" i="4"/>
  <c r="R461" i="4"/>
  <c r="R460" i="4"/>
  <c r="R459" i="4"/>
  <c r="R458" i="4"/>
  <c r="R457" i="4"/>
  <c r="R456" i="4"/>
  <c r="R455" i="4"/>
  <c r="R454" i="4"/>
  <c r="R453" i="4"/>
  <c r="R452" i="4"/>
  <c r="R451" i="4"/>
  <c r="R450" i="4"/>
  <c r="R449" i="4"/>
  <c r="R448" i="4"/>
  <c r="R447" i="4"/>
  <c r="R446" i="4"/>
  <c r="R445" i="4"/>
  <c r="R444" i="4"/>
  <c r="R443" i="4"/>
  <c r="R442" i="4"/>
  <c r="R441" i="4"/>
  <c r="R440" i="4"/>
  <c r="R439" i="4"/>
  <c r="R438" i="4"/>
  <c r="R437" i="4"/>
  <c r="R436" i="4"/>
  <c r="R435" i="4"/>
  <c r="R434" i="4"/>
  <c r="R433" i="4"/>
  <c r="R432" i="4"/>
  <c r="R431" i="4"/>
  <c r="R430" i="4"/>
  <c r="R429" i="4"/>
  <c r="R428" i="4"/>
  <c r="R427" i="4"/>
  <c r="R426" i="4"/>
  <c r="R425" i="4"/>
  <c r="R424" i="4"/>
  <c r="R423" i="4"/>
  <c r="R422" i="4"/>
  <c r="R421" i="4"/>
  <c r="R420" i="4"/>
  <c r="R419" i="4"/>
  <c r="R418" i="4"/>
  <c r="R417" i="4"/>
  <c r="R416" i="4"/>
  <c r="R415" i="4"/>
  <c r="R414" i="4"/>
  <c r="R413" i="4"/>
  <c r="R412" i="4"/>
  <c r="R411" i="4"/>
  <c r="R410" i="4"/>
  <c r="R409" i="4"/>
  <c r="R408" i="4"/>
  <c r="R407" i="4"/>
  <c r="R406" i="4"/>
  <c r="R405" i="4"/>
  <c r="R404" i="4"/>
  <c r="R403" i="4"/>
  <c r="R402" i="4"/>
  <c r="R401" i="4"/>
  <c r="R400" i="4"/>
  <c r="R399" i="4"/>
  <c r="R398" i="4"/>
  <c r="R397" i="4"/>
  <c r="R396" i="4"/>
  <c r="R395" i="4"/>
  <c r="R394" i="4"/>
  <c r="R393" i="4"/>
  <c r="R392" i="4"/>
  <c r="R391" i="4"/>
  <c r="R390" i="4"/>
  <c r="R389" i="4"/>
  <c r="R388" i="4"/>
  <c r="R387" i="4"/>
  <c r="R386" i="4"/>
  <c r="R385" i="4"/>
  <c r="R384" i="4"/>
  <c r="R383" i="4"/>
  <c r="R382" i="4"/>
  <c r="R381" i="4"/>
  <c r="R380" i="4"/>
  <c r="R379" i="4"/>
  <c r="R378" i="4"/>
  <c r="R377" i="4"/>
  <c r="R376" i="4"/>
  <c r="R375" i="4"/>
  <c r="R374" i="4"/>
  <c r="R373" i="4"/>
  <c r="R372" i="4"/>
  <c r="R371" i="4"/>
  <c r="R370" i="4"/>
  <c r="R369" i="4"/>
  <c r="R368" i="4"/>
  <c r="R367" i="4"/>
  <c r="R366" i="4"/>
  <c r="R365" i="4"/>
  <c r="R364" i="4"/>
  <c r="R363" i="4"/>
  <c r="R362" i="4"/>
  <c r="R361" i="4"/>
  <c r="R360" i="4"/>
  <c r="R359" i="4"/>
  <c r="R358" i="4"/>
  <c r="R357" i="4"/>
  <c r="R356" i="4"/>
  <c r="R355" i="4"/>
  <c r="R354" i="4"/>
  <c r="R353" i="4"/>
  <c r="R352" i="4"/>
  <c r="R351" i="4"/>
  <c r="R350" i="4"/>
  <c r="R349" i="4"/>
  <c r="R348" i="4"/>
  <c r="R347" i="4"/>
  <c r="R346" i="4"/>
  <c r="R345" i="4"/>
  <c r="R344" i="4"/>
  <c r="R343" i="4"/>
  <c r="R342" i="4"/>
  <c r="R341" i="4"/>
  <c r="R340" i="4"/>
  <c r="R339" i="4"/>
  <c r="R338" i="4"/>
  <c r="R337" i="4"/>
  <c r="R336" i="4"/>
  <c r="R335" i="4"/>
  <c r="R334" i="4"/>
  <c r="R333" i="4"/>
  <c r="R332" i="4"/>
  <c r="R331" i="4"/>
  <c r="R330" i="4"/>
  <c r="R329" i="4"/>
  <c r="R328" i="4"/>
  <c r="R327" i="4"/>
  <c r="R326" i="4"/>
  <c r="R325" i="4"/>
  <c r="R324" i="4"/>
  <c r="R323" i="4"/>
  <c r="R322" i="4"/>
  <c r="R321" i="4"/>
  <c r="R320" i="4"/>
  <c r="R319" i="4"/>
  <c r="R318" i="4"/>
  <c r="R317" i="4"/>
  <c r="R316" i="4"/>
  <c r="R315" i="4"/>
  <c r="R314" i="4"/>
  <c r="R313" i="4"/>
  <c r="R312" i="4"/>
  <c r="R311" i="4"/>
  <c r="R310" i="4"/>
  <c r="R309" i="4"/>
  <c r="R308" i="4"/>
  <c r="R307" i="4"/>
  <c r="R306" i="4"/>
  <c r="R305" i="4"/>
  <c r="R304" i="4"/>
  <c r="R303" i="4"/>
  <c r="R302" i="4"/>
  <c r="R301" i="4"/>
  <c r="R300" i="4"/>
  <c r="R299" i="4"/>
  <c r="R298" i="4"/>
  <c r="R297" i="4"/>
  <c r="R296" i="4"/>
  <c r="R295" i="4"/>
  <c r="R294" i="4"/>
  <c r="R293" i="4"/>
  <c r="R292" i="4"/>
  <c r="R291" i="4"/>
  <c r="R290" i="4"/>
  <c r="R289" i="4"/>
  <c r="R288" i="4"/>
  <c r="R287" i="4"/>
  <c r="R286" i="4"/>
  <c r="R285" i="4"/>
  <c r="R284" i="4"/>
  <c r="R283" i="4"/>
  <c r="R282" i="4"/>
  <c r="R281" i="4"/>
  <c r="R280" i="4"/>
  <c r="R279" i="4"/>
  <c r="R278" i="4"/>
  <c r="R277" i="4"/>
  <c r="R276" i="4"/>
  <c r="R275" i="4"/>
  <c r="R274" i="4"/>
  <c r="R273" i="4"/>
  <c r="R272" i="4"/>
  <c r="R271" i="4"/>
  <c r="R270" i="4"/>
  <c r="R269" i="4"/>
  <c r="R268" i="4"/>
  <c r="R267" i="4"/>
  <c r="R266" i="4"/>
  <c r="R265" i="4"/>
  <c r="R264" i="4"/>
  <c r="R263" i="4"/>
  <c r="R262" i="4"/>
  <c r="R261" i="4"/>
  <c r="R260" i="4"/>
  <c r="R259" i="4"/>
  <c r="R258" i="4"/>
  <c r="R257" i="4"/>
  <c r="R256" i="4"/>
  <c r="R255" i="4"/>
  <c r="R254" i="4"/>
  <c r="R253" i="4"/>
  <c r="R252" i="4"/>
  <c r="R251" i="4"/>
  <c r="R250" i="4"/>
  <c r="R249" i="4"/>
  <c r="R248" i="4"/>
  <c r="R247" i="4"/>
  <c r="R246" i="4"/>
  <c r="R245" i="4"/>
  <c r="R244" i="4"/>
  <c r="R243" i="4"/>
  <c r="R242" i="4"/>
  <c r="R241" i="4"/>
  <c r="R240" i="4"/>
  <c r="R239" i="4"/>
  <c r="R238" i="4"/>
  <c r="R237" i="4"/>
  <c r="R236" i="4"/>
  <c r="R235" i="4"/>
  <c r="R234" i="4"/>
  <c r="R233" i="4"/>
  <c r="R232" i="4"/>
  <c r="R231" i="4"/>
  <c r="R230" i="4"/>
  <c r="R229" i="4"/>
  <c r="R228" i="4"/>
  <c r="R227" i="4"/>
  <c r="R226" i="4"/>
  <c r="R225" i="4"/>
  <c r="R224" i="4"/>
  <c r="R223" i="4"/>
  <c r="R222" i="4"/>
  <c r="R221" i="4"/>
  <c r="R220" i="4"/>
  <c r="R219" i="4"/>
  <c r="R218" i="4"/>
  <c r="R217" i="4"/>
  <c r="R216" i="4"/>
  <c r="R215" i="4"/>
  <c r="R214" i="4"/>
  <c r="R213" i="4"/>
  <c r="R212" i="4"/>
  <c r="R211" i="4"/>
  <c r="R210" i="4"/>
  <c r="R209" i="4"/>
  <c r="R208" i="4"/>
  <c r="R207" i="4"/>
  <c r="R206" i="4"/>
  <c r="R205" i="4"/>
  <c r="R204" i="4"/>
  <c r="R203" i="4"/>
  <c r="R202" i="4"/>
  <c r="R201" i="4"/>
  <c r="R200" i="4"/>
  <c r="R199" i="4"/>
  <c r="R198" i="4"/>
  <c r="R197" i="4"/>
  <c r="R196" i="4"/>
  <c r="R195" i="4"/>
  <c r="R194" i="4"/>
  <c r="R193" i="4"/>
  <c r="R192" i="4"/>
  <c r="R191" i="4"/>
  <c r="R190" i="4"/>
  <c r="R189" i="4"/>
  <c r="R188" i="4"/>
  <c r="R187" i="4"/>
  <c r="R186" i="4"/>
  <c r="R185" i="4"/>
  <c r="R184" i="4"/>
  <c r="R183" i="4"/>
  <c r="R182" i="4"/>
  <c r="R181" i="4"/>
  <c r="R180" i="4"/>
  <c r="R179" i="4"/>
  <c r="R178" i="4"/>
  <c r="R177" i="4"/>
  <c r="R176" i="4"/>
  <c r="R175" i="4"/>
  <c r="R174" i="4"/>
  <c r="R173" i="4"/>
  <c r="R172" i="4"/>
  <c r="R171" i="4"/>
  <c r="R170" i="4"/>
  <c r="R169" i="4"/>
  <c r="R168" i="4"/>
  <c r="R167" i="4"/>
  <c r="R166" i="4"/>
  <c r="R165" i="4"/>
  <c r="R164" i="4"/>
  <c r="R163" i="4"/>
  <c r="R162" i="4"/>
  <c r="R161" i="4"/>
  <c r="R160" i="4"/>
  <c r="R159" i="4"/>
  <c r="R158" i="4"/>
  <c r="R157" i="4"/>
  <c r="R156" i="4"/>
  <c r="R155" i="4"/>
  <c r="R154" i="4"/>
  <c r="R153" i="4"/>
  <c r="R152" i="4"/>
  <c r="R151" i="4"/>
  <c r="R150" i="4"/>
  <c r="R149" i="4"/>
  <c r="R148" i="4"/>
  <c r="R147" i="4"/>
  <c r="R146" i="4"/>
  <c r="R145" i="4"/>
  <c r="R144" i="4"/>
  <c r="R143" i="4"/>
  <c r="R142" i="4"/>
  <c r="R141" i="4"/>
  <c r="R140" i="4"/>
  <c r="R139" i="4"/>
  <c r="R138" i="4"/>
  <c r="R137" i="4"/>
  <c r="R136" i="4"/>
  <c r="R135" i="4"/>
  <c r="R134" i="4"/>
  <c r="R133" i="4"/>
  <c r="R132" i="4"/>
  <c r="R131" i="4"/>
  <c r="R130" i="4"/>
  <c r="R129" i="4"/>
  <c r="R128" i="4"/>
  <c r="R127" i="4"/>
  <c r="R126" i="4"/>
  <c r="R125" i="4"/>
  <c r="R124" i="4"/>
  <c r="R123" i="4"/>
  <c r="R122" i="4"/>
  <c r="R121" i="4"/>
  <c r="R120" i="4"/>
  <c r="R119" i="4"/>
  <c r="R118" i="4"/>
  <c r="R117" i="4"/>
  <c r="R116" i="4"/>
  <c r="R115" i="4"/>
  <c r="R114" i="4"/>
  <c r="R113" i="4"/>
  <c r="R112" i="4"/>
  <c r="R111" i="4"/>
  <c r="R110" i="4"/>
  <c r="R109" i="4"/>
  <c r="R108" i="4"/>
  <c r="R107" i="4"/>
  <c r="R106" i="4"/>
  <c r="R105" i="4"/>
  <c r="R104" i="4"/>
  <c r="R103" i="4"/>
  <c r="R102" i="4"/>
  <c r="R101" i="4"/>
  <c r="R100" i="4"/>
  <c r="R99" i="4"/>
  <c r="R98" i="4"/>
  <c r="R97" i="4"/>
  <c r="R96" i="4"/>
  <c r="R95" i="4"/>
  <c r="R94" i="4"/>
  <c r="R93" i="4"/>
  <c r="R92" i="4"/>
  <c r="R91" i="4"/>
  <c r="R90" i="4"/>
  <c r="R89" i="4"/>
  <c r="R88" i="4"/>
  <c r="R87" i="4"/>
  <c r="R86" i="4"/>
  <c r="R85" i="4"/>
  <c r="R84" i="4"/>
  <c r="R83" i="4"/>
  <c r="R82" i="4"/>
  <c r="R81" i="4"/>
  <c r="R80" i="4"/>
  <c r="R79" i="4"/>
  <c r="R78" i="4"/>
  <c r="R77" i="4"/>
  <c r="R76" i="4"/>
  <c r="R75" i="4"/>
  <c r="R74" i="4"/>
  <c r="R73" i="4"/>
  <c r="R72" i="4"/>
  <c r="R71" i="4"/>
  <c r="R70" i="4"/>
  <c r="R69" i="4"/>
  <c r="R68" i="4"/>
  <c r="R67" i="4"/>
  <c r="R66" i="4"/>
  <c r="R65" i="4"/>
  <c r="R64" i="4"/>
  <c r="R63" i="4"/>
  <c r="R62" i="4"/>
  <c r="R61" i="4"/>
  <c r="R60" i="4"/>
  <c r="R59" i="4"/>
  <c r="R58" i="4"/>
  <c r="R57" i="4"/>
  <c r="R56" i="4"/>
  <c r="R55" i="4"/>
  <c r="R54" i="4"/>
  <c r="R53" i="4"/>
  <c r="R52" i="4"/>
  <c r="R51" i="4"/>
  <c r="R50" i="4"/>
  <c r="R49" i="4"/>
  <c r="R48" i="4"/>
  <c r="R47" i="4"/>
  <c r="R46" i="4"/>
  <c r="R45" i="4"/>
  <c r="R44" i="4"/>
  <c r="R43" i="4"/>
  <c r="R42" i="4"/>
  <c r="R41" i="4"/>
  <c r="R40" i="4"/>
  <c r="R39" i="4"/>
  <c r="R38" i="4"/>
  <c r="R37" i="4"/>
  <c r="R36" i="4"/>
  <c r="R35" i="4"/>
  <c r="R34" i="4"/>
  <c r="R33" i="4"/>
  <c r="R32" i="4"/>
  <c r="R31" i="4"/>
  <c r="R30" i="4"/>
  <c r="R29" i="4"/>
  <c r="R28" i="4"/>
  <c r="R27" i="4"/>
  <c r="R26" i="4"/>
  <c r="R25" i="4"/>
  <c r="R24" i="4"/>
  <c r="R23" i="4"/>
  <c r="R22" i="4"/>
  <c r="R21" i="4"/>
  <c r="R20" i="4"/>
  <c r="R19" i="4"/>
  <c r="R18" i="4"/>
  <c r="R17" i="4"/>
  <c r="R16" i="4"/>
  <c r="R15" i="4"/>
  <c r="R14" i="4"/>
  <c r="R13" i="4"/>
  <c r="R12" i="4"/>
  <c r="R11" i="4"/>
  <c r="R10" i="4"/>
  <c r="R9" i="4"/>
  <c r="R8" i="4"/>
  <c r="R7" i="4"/>
  <c r="R6" i="4"/>
  <c r="R5" i="4"/>
  <c r="R4" i="4"/>
  <c r="R3" i="4"/>
  <c r="R2" i="4"/>
  <c r="I3" i="4"/>
  <c r="J3" i="4"/>
  <c r="I4" i="4"/>
  <c r="J4" i="4"/>
  <c r="I5" i="4"/>
  <c r="J5" i="4"/>
  <c r="I6" i="4"/>
  <c r="J6" i="4"/>
  <c r="I7" i="4"/>
  <c r="J7" i="4"/>
  <c r="I8" i="4"/>
  <c r="J8" i="4"/>
  <c r="I9" i="4"/>
  <c r="J9" i="4"/>
  <c r="I10" i="4"/>
  <c r="J10" i="4"/>
  <c r="I11" i="4"/>
  <c r="J11" i="4"/>
  <c r="I12" i="4"/>
  <c r="J12" i="4"/>
  <c r="I13" i="4"/>
  <c r="J13" i="4"/>
  <c r="I14" i="4"/>
  <c r="J14" i="4"/>
  <c r="I15" i="4"/>
  <c r="J15" i="4"/>
  <c r="I16" i="4"/>
  <c r="J16" i="4"/>
  <c r="I17" i="4"/>
  <c r="J17" i="4"/>
  <c r="I18" i="4"/>
  <c r="J18" i="4"/>
  <c r="I19" i="4"/>
  <c r="J19" i="4"/>
  <c r="I20" i="4"/>
  <c r="J20" i="4"/>
  <c r="I21" i="4"/>
  <c r="J21" i="4"/>
  <c r="I22" i="4"/>
  <c r="J22" i="4"/>
  <c r="I23" i="4"/>
  <c r="J23" i="4"/>
  <c r="I24" i="4"/>
  <c r="J24" i="4"/>
  <c r="I25" i="4"/>
  <c r="J25" i="4"/>
  <c r="I26" i="4"/>
  <c r="J26" i="4"/>
  <c r="I27" i="4"/>
  <c r="J27" i="4"/>
  <c r="I28" i="4"/>
  <c r="J28" i="4"/>
  <c r="I29" i="4"/>
  <c r="J29" i="4"/>
  <c r="I30" i="4"/>
  <c r="J30" i="4"/>
  <c r="I31" i="4"/>
  <c r="J31" i="4"/>
  <c r="I32" i="4"/>
  <c r="J32" i="4"/>
  <c r="I33" i="4"/>
  <c r="J33" i="4"/>
  <c r="I34" i="4"/>
  <c r="J34" i="4"/>
  <c r="I35" i="4"/>
  <c r="J35" i="4"/>
  <c r="I36" i="4"/>
  <c r="J36" i="4"/>
  <c r="I37" i="4"/>
  <c r="J37" i="4"/>
  <c r="I38" i="4"/>
  <c r="J38" i="4"/>
  <c r="I39" i="4"/>
  <c r="J39" i="4"/>
  <c r="I40" i="4"/>
  <c r="J40" i="4"/>
  <c r="I41" i="4"/>
  <c r="J41" i="4"/>
  <c r="I42" i="4"/>
  <c r="J42" i="4"/>
  <c r="I43" i="4"/>
  <c r="J43" i="4"/>
  <c r="I44" i="4"/>
  <c r="J44" i="4"/>
  <c r="I45" i="4"/>
  <c r="J45" i="4"/>
  <c r="I46" i="4"/>
  <c r="J46" i="4"/>
  <c r="I47" i="4"/>
  <c r="J47" i="4"/>
  <c r="I48" i="4"/>
  <c r="J48" i="4"/>
  <c r="I49" i="4"/>
  <c r="J49" i="4"/>
  <c r="I50" i="4"/>
  <c r="J50" i="4"/>
  <c r="I51" i="4"/>
  <c r="J51" i="4"/>
  <c r="I52" i="4"/>
  <c r="J52" i="4"/>
  <c r="I53" i="4"/>
  <c r="J53" i="4"/>
  <c r="I54" i="4"/>
  <c r="J54" i="4"/>
  <c r="I55" i="4"/>
  <c r="J55" i="4"/>
  <c r="I56" i="4"/>
  <c r="J56" i="4"/>
  <c r="I57" i="4"/>
  <c r="J57" i="4"/>
  <c r="I58" i="4"/>
  <c r="J58" i="4"/>
  <c r="I59" i="4"/>
  <c r="J59" i="4"/>
  <c r="I60" i="4"/>
  <c r="J60" i="4"/>
  <c r="I61" i="4"/>
  <c r="J61" i="4"/>
  <c r="I62" i="4"/>
  <c r="J62" i="4"/>
  <c r="I63" i="4"/>
  <c r="J63" i="4"/>
  <c r="I64" i="4"/>
  <c r="J64" i="4"/>
  <c r="I65" i="4"/>
  <c r="J65" i="4"/>
  <c r="I66" i="4"/>
  <c r="J66" i="4"/>
  <c r="I67" i="4"/>
  <c r="J67" i="4"/>
  <c r="I68" i="4"/>
  <c r="J68" i="4"/>
  <c r="I69" i="4"/>
  <c r="J69" i="4"/>
  <c r="I70" i="4"/>
  <c r="J70" i="4"/>
  <c r="I71" i="4"/>
  <c r="J71" i="4"/>
  <c r="I72" i="4"/>
  <c r="J72" i="4"/>
  <c r="I73" i="4"/>
  <c r="J73" i="4"/>
  <c r="I74" i="4"/>
  <c r="J74" i="4"/>
  <c r="I75" i="4"/>
  <c r="J75" i="4"/>
  <c r="I76" i="4"/>
  <c r="J76" i="4"/>
  <c r="I77" i="4"/>
  <c r="J77" i="4"/>
  <c r="I78" i="4"/>
  <c r="J78" i="4"/>
  <c r="I79" i="4"/>
  <c r="J79" i="4"/>
  <c r="I80" i="4"/>
  <c r="J80" i="4"/>
  <c r="I81" i="4"/>
  <c r="J81" i="4"/>
  <c r="I82" i="4"/>
  <c r="J82" i="4"/>
  <c r="I83" i="4"/>
  <c r="J83" i="4"/>
  <c r="I84" i="4"/>
  <c r="J84" i="4"/>
  <c r="I85" i="4"/>
  <c r="J85" i="4"/>
  <c r="I86" i="4"/>
  <c r="J86" i="4"/>
  <c r="I87" i="4"/>
  <c r="J87" i="4"/>
  <c r="I88" i="4"/>
  <c r="J88" i="4"/>
  <c r="I89" i="4"/>
  <c r="J89" i="4"/>
  <c r="I90" i="4"/>
  <c r="J90" i="4"/>
  <c r="I91" i="4"/>
  <c r="J91" i="4"/>
  <c r="I92" i="4"/>
  <c r="J92" i="4"/>
  <c r="I93" i="4"/>
  <c r="J93" i="4"/>
  <c r="I94" i="4"/>
  <c r="J94" i="4"/>
  <c r="I95" i="4"/>
  <c r="J95" i="4"/>
  <c r="I96" i="4"/>
  <c r="J96" i="4"/>
  <c r="I97" i="4"/>
  <c r="J97" i="4"/>
  <c r="I98" i="4"/>
  <c r="J98" i="4"/>
  <c r="I99" i="4"/>
  <c r="J99" i="4"/>
  <c r="I100" i="4"/>
  <c r="J100" i="4"/>
  <c r="I101" i="4"/>
  <c r="J101" i="4"/>
  <c r="I102" i="4"/>
  <c r="J102" i="4"/>
  <c r="I103" i="4"/>
  <c r="J103" i="4"/>
  <c r="I104" i="4"/>
  <c r="J104" i="4"/>
  <c r="I105" i="4"/>
  <c r="J105" i="4"/>
  <c r="I106" i="4"/>
  <c r="J106" i="4"/>
  <c r="I107" i="4"/>
  <c r="J107" i="4"/>
  <c r="I108" i="4"/>
  <c r="J108" i="4"/>
  <c r="I109" i="4"/>
  <c r="J109" i="4"/>
  <c r="I110" i="4"/>
  <c r="J110" i="4"/>
  <c r="I111" i="4"/>
  <c r="J111" i="4"/>
  <c r="I112" i="4"/>
  <c r="J112" i="4"/>
  <c r="I113" i="4"/>
  <c r="J113" i="4"/>
  <c r="I114" i="4"/>
  <c r="J114" i="4"/>
  <c r="I115" i="4"/>
  <c r="J115" i="4"/>
  <c r="I116" i="4"/>
  <c r="J116" i="4"/>
  <c r="I117" i="4"/>
  <c r="J117" i="4"/>
  <c r="I118" i="4"/>
  <c r="J118" i="4"/>
  <c r="I119" i="4"/>
  <c r="J119" i="4"/>
  <c r="I120" i="4"/>
  <c r="J120" i="4"/>
  <c r="I121" i="4"/>
  <c r="J121" i="4"/>
  <c r="I122" i="4"/>
  <c r="J122" i="4"/>
  <c r="I123" i="4"/>
  <c r="J123" i="4"/>
  <c r="I124" i="4"/>
  <c r="J124" i="4"/>
  <c r="I125" i="4"/>
  <c r="J125" i="4"/>
  <c r="I126" i="4"/>
  <c r="J126" i="4"/>
  <c r="I127" i="4"/>
  <c r="J127" i="4"/>
  <c r="I128" i="4"/>
  <c r="J128" i="4"/>
  <c r="I129" i="4"/>
  <c r="J129" i="4"/>
  <c r="I130" i="4"/>
  <c r="J130" i="4"/>
  <c r="I131" i="4"/>
  <c r="J131" i="4"/>
  <c r="I132" i="4"/>
  <c r="J132" i="4"/>
  <c r="I133" i="4"/>
  <c r="J133" i="4"/>
  <c r="I134" i="4"/>
  <c r="J134" i="4"/>
  <c r="I135" i="4"/>
  <c r="J135" i="4"/>
  <c r="I136" i="4"/>
  <c r="J136" i="4"/>
  <c r="I137" i="4"/>
  <c r="J137" i="4"/>
  <c r="I138" i="4"/>
  <c r="J138" i="4"/>
  <c r="I139" i="4"/>
  <c r="J139" i="4"/>
  <c r="I140" i="4"/>
  <c r="J140" i="4"/>
  <c r="I141" i="4"/>
  <c r="J141" i="4"/>
  <c r="I142" i="4"/>
  <c r="J142" i="4"/>
  <c r="I143" i="4"/>
  <c r="J143" i="4"/>
  <c r="I144" i="4"/>
  <c r="J144" i="4"/>
  <c r="I145" i="4"/>
  <c r="J145" i="4"/>
  <c r="I146" i="4"/>
  <c r="J146" i="4"/>
  <c r="I147" i="4"/>
  <c r="J147" i="4"/>
  <c r="I148" i="4"/>
  <c r="J148" i="4"/>
  <c r="I149" i="4"/>
  <c r="J149" i="4"/>
  <c r="I150" i="4"/>
  <c r="J150" i="4"/>
  <c r="I151" i="4"/>
  <c r="J151" i="4"/>
  <c r="I152" i="4"/>
  <c r="J152" i="4"/>
  <c r="I153" i="4"/>
  <c r="J153" i="4"/>
  <c r="I154" i="4"/>
  <c r="J154" i="4"/>
  <c r="I155" i="4"/>
  <c r="J155" i="4"/>
  <c r="I156" i="4"/>
  <c r="J156" i="4"/>
  <c r="I157" i="4"/>
  <c r="J157" i="4"/>
  <c r="I158" i="4"/>
  <c r="J158" i="4"/>
  <c r="I159" i="4"/>
  <c r="J159" i="4"/>
  <c r="I160" i="4"/>
  <c r="J160" i="4"/>
  <c r="I161" i="4"/>
  <c r="J161" i="4"/>
  <c r="I162" i="4"/>
  <c r="J162" i="4"/>
  <c r="I163" i="4"/>
  <c r="J163" i="4"/>
  <c r="I164" i="4"/>
  <c r="J164" i="4"/>
  <c r="I165" i="4"/>
  <c r="J165" i="4"/>
  <c r="I166" i="4"/>
  <c r="J166" i="4"/>
  <c r="I167" i="4"/>
  <c r="J167" i="4"/>
  <c r="I168" i="4"/>
  <c r="J168" i="4"/>
  <c r="I169" i="4"/>
  <c r="J169" i="4"/>
  <c r="I170" i="4"/>
  <c r="J170" i="4"/>
  <c r="I171" i="4"/>
  <c r="J171" i="4"/>
  <c r="I172" i="4"/>
  <c r="J172" i="4"/>
  <c r="I173" i="4"/>
  <c r="J173" i="4"/>
  <c r="I174" i="4"/>
  <c r="J174" i="4"/>
  <c r="I175" i="4"/>
  <c r="J175" i="4"/>
  <c r="I176" i="4"/>
  <c r="J176" i="4"/>
  <c r="I177" i="4"/>
  <c r="J177" i="4"/>
  <c r="I178" i="4"/>
  <c r="J178" i="4"/>
  <c r="I179" i="4"/>
  <c r="J179" i="4"/>
  <c r="I180" i="4"/>
  <c r="J180" i="4"/>
  <c r="I181" i="4"/>
  <c r="J181" i="4"/>
  <c r="I182" i="4"/>
  <c r="J182" i="4"/>
  <c r="I183" i="4"/>
  <c r="J183" i="4"/>
  <c r="I184" i="4"/>
  <c r="J184" i="4"/>
  <c r="I185" i="4"/>
  <c r="J185" i="4"/>
  <c r="I186" i="4"/>
  <c r="J186" i="4"/>
  <c r="I187" i="4"/>
  <c r="J187" i="4"/>
  <c r="I188" i="4"/>
  <c r="J188" i="4"/>
  <c r="I189" i="4"/>
  <c r="J189" i="4"/>
  <c r="I190" i="4"/>
  <c r="J190" i="4"/>
  <c r="I191" i="4"/>
  <c r="J191" i="4"/>
  <c r="I192" i="4"/>
  <c r="J192" i="4"/>
  <c r="I193" i="4"/>
  <c r="J193" i="4"/>
  <c r="I194" i="4"/>
  <c r="J194" i="4"/>
  <c r="I195" i="4"/>
  <c r="J195" i="4"/>
  <c r="I196" i="4"/>
  <c r="J196" i="4"/>
  <c r="I197" i="4"/>
  <c r="J197" i="4"/>
  <c r="I198" i="4"/>
  <c r="J198" i="4"/>
  <c r="I199" i="4"/>
  <c r="J199" i="4"/>
  <c r="I200" i="4"/>
  <c r="J200" i="4"/>
  <c r="I201" i="4"/>
  <c r="J201" i="4"/>
  <c r="I202" i="4"/>
  <c r="J202" i="4"/>
  <c r="I203" i="4"/>
  <c r="J203" i="4"/>
  <c r="I204" i="4"/>
  <c r="J204" i="4"/>
  <c r="I205" i="4"/>
  <c r="J205" i="4"/>
  <c r="I206" i="4"/>
  <c r="J206" i="4"/>
  <c r="I207" i="4"/>
  <c r="J207" i="4"/>
  <c r="I208" i="4"/>
  <c r="J208" i="4"/>
  <c r="I209" i="4"/>
  <c r="J209" i="4"/>
  <c r="I210" i="4"/>
  <c r="J210" i="4"/>
  <c r="I211" i="4"/>
  <c r="J211" i="4"/>
  <c r="I212" i="4"/>
  <c r="J212" i="4"/>
  <c r="I213" i="4"/>
  <c r="J213" i="4"/>
  <c r="I214" i="4"/>
  <c r="J214" i="4"/>
  <c r="I215" i="4"/>
  <c r="J215" i="4"/>
  <c r="I216" i="4"/>
  <c r="J216" i="4"/>
  <c r="I217" i="4"/>
  <c r="J217" i="4"/>
  <c r="I218" i="4"/>
  <c r="J218" i="4"/>
  <c r="I219" i="4"/>
  <c r="J219" i="4"/>
  <c r="I220" i="4"/>
  <c r="J220" i="4"/>
  <c r="I221" i="4"/>
  <c r="J221" i="4"/>
  <c r="I222" i="4"/>
  <c r="J222" i="4"/>
  <c r="I223" i="4"/>
  <c r="J223" i="4"/>
  <c r="I224" i="4"/>
  <c r="J224" i="4"/>
  <c r="I225" i="4"/>
  <c r="J225" i="4"/>
  <c r="I226" i="4"/>
  <c r="J226" i="4"/>
  <c r="I227" i="4"/>
  <c r="J227" i="4"/>
  <c r="I228" i="4"/>
  <c r="J228" i="4"/>
  <c r="I229" i="4"/>
  <c r="J229" i="4"/>
  <c r="I230" i="4"/>
  <c r="J230" i="4"/>
  <c r="I231" i="4"/>
  <c r="J231" i="4"/>
  <c r="I232" i="4"/>
  <c r="J232" i="4"/>
  <c r="I233" i="4"/>
  <c r="J233" i="4"/>
  <c r="I234" i="4"/>
  <c r="J234" i="4"/>
  <c r="I235" i="4"/>
  <c r="J235" i="4"/>
  <c r="I236" i="4"/>
  <c r="J236" i="4"/>
  <c r="I237" i="4"/>
  <c r="J237" i="4"/>
  <c r="I238" i="4"/>
  <c r="J238" i="4"/>
  <c r="I239" i="4"/>
  <c r="J239" i="4"/>
  <c r="I240" i="4"/>
  <c r="J240" i="4"/>
  <c r="I241" i="4"/>
  <c r="J241" i="4"/>
  <c r="I242" i="4"/>
  <c r="J242" i="4"/>
  <c r="I243" i="4"/>
  <c r="J243" i="4"/>
  <c r="I244" i="4"/>
  <c r="J244" i="4"/>
  <c r="I245" i="4"/>
  <c r="J245" i="4"/>
  <c r="I246" i="4"/>
  <c r="J246" i="4"/>
  <c r="I247" i="4"/>
  <c r="J247" i="4"/>
  <c r="I248" i="4"/>
  <c r="J248" i="4"/>
  <c r="I249" i="4"/>
  <c r="J249" i="4"/>
  <c r="I250" i="4"/>
  <c r="J250" i="4"/>
  <c r="I251" i="4"/>
  <c r="J251" i="4"/>
  <c r="I252" i="4"/>
  <c r="J252" i="4"/>
  <c r="I253" i="4"/>
  <c r="J253" i="4"/>
  <c r="I254" i="4"/>
  <c r="J254" i="4"/>
  <c r="I255" i="4"/>
  <c r="J255" i="4"/>
  <c r="I256" i="4"/>
  <c r="J256" i="4"/>
  <c r="I257" i="4"/>
  <c r="J257" i="4"/>
  <c r="I258" i="4"/>
  <c r="J258" i="4"/>
  <c r="I259" i="4"/>
  <c r="J259" i="4"/>
  <c r="I260" i="4"/>
  <c r="J260" i="4"/>
  <c r="I261" i="4"/>
  <c r="J261" i="4"/>
  <c r="I262" i="4"/>
  <c r="J262" i="4"/>
  <c r="I263" i="4"/>
  <c r="J263" i="4"/>
  <c r="I264" i="4"/>
  <c r="J264" i="4"/>
  <c r="I265" i="4"/>
  <c r="J265" i="4"/>
  <c r="I266" i="4"/>
  <c r="J266" i="4"/>
  <c r="I267" i="4"/>
  <c r="J267" i="4"/>
  <c r="I268" i="4"/>
  <c r="J268" i="4"/>
  <c r="I269" i="4"/>
  <c r="J269" i="4"/>
  <c r="I270" i="4"/>
  <c r="J270" i="4"/>
  <c r="I271" i="4"/>
  <c r="J271" i="4"/>
  <c r="I272" i="4"/>
  <c r="J272" i="4"/>
  <c r="I273" i="4"/>
  <c r="J273" i="4"/>
  <c r="I274" i="4"/>
  <c r="J274" i="4"/>
  <c r="I275" i="4"/>
  <c r="J275" i="4"/>
  <c r="I276" i="4"/>
  <c r="J276" i="4"/>
  <c r="I277" i="4"/>
  <c r="J277" i="4"/>
  <c r="I278" i="4"/>
  <c r="J278" i="4"/>
  <c r="I279" i="4"/>
  <c r="J279" i="4"/>
  <c r="I280" i="4"/>
  <c r="J280" i="4"/>
  <c r="I281" i="4"/>
  <c r="J281" i="4"/>
  <c r="I282" i="4"/>
  <c r="J282" i="4"/>
  <c r="I283" i="4"/>
  <c r="J283" i="4"/>
  <c r="I284" i="4"/>
  <c r="J284" i="4"/>
  <c r="I285" i="4"/>
  <c r="J285" i="4"/>
  <c r="I286" i="4"/>
  <c r="J286" i="4"/>
  <c r="I287" i="4"/>
  <c r="J287" i="4"/>
  <c r="I288" i="4"/>
  <c r="J288" i="4"/>
  <c r="I289" i="4"/>
  <c r="J289" i="4"/>
  <c r="I290" i="4"/>
  <c r="J290" i="4"/>
  <c r="I291" i="4"/>
  <c r="J291" i="4"/>
  <c r="I292" i="4"/>
  <c r="J292" i="4"/>
  <c r="I293" i="4"/>
  <c r="J293" i="4"/>
  <c r="I294" i="4"/>
  <c r="J294" i="4"/>
  <c r="I295" i="4"/>
  <c r="J295" i="4"/>
  <c r="I296" i="4"/>
  <c r="J296" i="4"/>
  <c r="I297" i="4"/>
  <c r="J297" i="4"/>
  <c r="I298" i="4"/>
  <c r="J298" i="4"/>
  <c r="I299" i="4"/>
  <c r="J299" i="4"/>
  <c r="I300" i="4"/>
  <c r="J300" i="4"/>
  <c r="I301" i="4"/>
  <c r="J301" i="4"/>
  <c r="I302" i="4"/>
  <c r="J302" i="4"/>
  <c r="I303" i="4"/>
  <c r="J303" i="4"/>
  <c r="I304" i="4"/>
  <c r="J304" i="4"/>
  <c r="I305" i="4"/>
  <c r="J305" i="4"/>
  <c r="I306" i="4"/>
  <c r="J306" i="4"/>
  <c r="I307" i="4"/>
  <c r="J307" i="4"/>
  <c r="I308" i="4"/>
  <c r="J308" i="4"/>
  <c r="I309" i="4"/>
  <c r="J309" i="4"/>
  <c r="I310" i="4"/>
  <c r="J310" i="4"/>
  <c r="I311" i="4"/>
  <c r="J311" i="4"/>
  <c r="I312" i="4"/>
  <c r="J312" i="4"/>
  <c r="I313" i="4"/>
  <c r="J313" i="4"/>
  <c r="I314" i="4"/>
  <c r="J314" i="4"/>
  <c r="I315" i="4"/>
  <c r="J315" i="4"/>
  <c r="I316" i="4"/>
  <c r="J316" i="4"/>
  <c r="I317" i="4"/>
  <c r="J317" i="4"/>
  <c r="I318" i="4"/>
  <c r="J318" i="4"/>
  <c r="I319" i="4"/>
  <c r="J319" i="4"/>
  <c r="I320" i="4"/>
  <c r="J320" i="4"/>
  <c r="I321" i="4"/>
  <c r="J321" i="4"/>
  <c r="I322" i="4"/>
  <c r="J322" i="4"/>
  <c r="I323" i="4"/>
  <c r="J323" i="4"/>
  <c r="I324" i="4"/>
  <c r="J324" i="4"/>
  <c r="I325" i="4"/>
  <c r="J325" i="4"/>
  <c r="I326" i="4"/>
  <c r="J326" i="4"/>
  <c r="I327" i="4"/>
  <c r="J327" i="4"/>
  <c r="I328" i="4"/>
  <c r="J328" i="4"/>
  <c r="I329" i="4"/>
  <c r="J329" i="4"/>
  <c r="I330" i="4"/>
  <c r="J330" i="4"/>
  <c r="I331" i="4"/>
  <c r="J331" i="4"/>
  <c r="I332" i="4"/>
  <c r="J332" i="4"/>
  <c r="I333" i="4"/>
  <c r="J333" i="4"/>
  <c r="I334" i="4"/>
  <c r="J334" i="4"/>
  <c r="I335" i="4"/>
  <c r="J335" i="4"/>
  <c r="I336" i="4"/>
  <c r="J336" i="4"/>
  <c r="I337" i="4"/>
  <c r="J337" i="4"/>
  <c r="I338" i="4"/>
  <c r="J338" i="4"/>
  <c r="I339" i="4"/>
  <c r="J339" i="4"/>
  <c r="I340" i="4"/>
  <c r="J340" i="4"/>
  <c r="I341" i="4"/>
  <c r="J341" i="4"/>
  <c r="I342" i="4"/>
  <c r="J342" i="4"/>
  <c r="I343" i="4"/>
  <c r="J343" i="4"/>
  <c r="I344" i="4"/>
  <c r="J344" i="4"/>
  <c r="I345" i="4"/>
  <c r="J345" i="4"/>
  <c r="I346" i="4"/>
  <c r="J346" i="4"/>
  <c r="I347" i="4"/>
  <c r="J347" i="4"/>
  <c r="I348" i="4"/>
  <c r="J348" i="4"/>
  <c r="I349" i="4"/>
  <c r="J349" i="4"/>
  <c r="I350" i="4"/>
  <c r="J350" i="4"/>
  <c r="I351" i="4"/>
  <c r="J351" i="4"/>
  <c r="I352" i="4"/>
  <c r="J352" i="4"/>
  <c r="I353" i="4"/>
  <c r="J353" i="4"/>
  <c r="I354" i="4"/>
  <c r="J354" i="4"/>
  <c r="I355" i="4"/>
  <c r="J355" i="4"/>
  <c r="I356" i="4"/>
  <c r="J356" i="4"/>
  <c r="I357" i="4"/>
  <c r="J357" i="4"/>
  <c r="I358" i="4"/>
  <c r="J358" i="4"/>
  <c r="I359" i="4"/>
  <c r="J359" i="4"/>
  <c r="I360" i="4"/>
  <c r="J360" i="4"/>
  <c r="I361" i="4"/>
  <c r="J361" i="4"/>
  <c r="I362" i="4"/>
  <c r="J362" i="4"/>
  <c r="I363" i="4"/>
  <c r="J363" i="4"/>
  <c r="I364" i="4"/>
  <c r="J364" i="4"/>
  <c r="I365" i="4"/>
  <c r="J365" i="4"/>
  <c r="I366" i="4"/>
  <c r="J366" i="4"/>
  <c r="I367" i="4"/>
  <c r="J367" i="4"/>
  <c r="I368" i="4"/>
  <c r="J368" i="4"/>
  <c r="I369" i="4"/>
  <c r="J369" i="4"/>
  <c r="I370" i="4"/>
  <c r="J370" i="4"/>
  <c r="I371" i="4"/>
  <c r="J371" i="4"/>
  <c r="I372" i="4"/>
  <c r="J372" i="4"/>
  <c r="I373" i="4"/>
  <c r="J373" i="4"/>
  <c r="I374" i="4"/>
  <c r="J374" i="4"/>
  <c r="I375" i="4"/>
  <c r="J375" i="4"/>
  <c r="I376" i="4"/>
  <c r="J376" i="4"/>
  <c r="I377" i="4"/>
  <c r="J377" i="4"/>
  <c r="I378" i="4"/>
  <c r="J378" i="4"/>
  <c r="I379" i="4"/>
  <c r="J379" i="4"/>
  <c r="I380" i="4"/>
  <c r="J380" i="4"/>
  <c r="I381" i="4"/>
  <c r="J381" i="4"/>
  <c r="I382" i="4"/>
  <c r="J382" i="4"/>
  <c r="I383" i="4"/>
  <c r="J383" i="4"/>
  <c r="I384" i="4"/>
  <c r="J384" i="4"/>
  <c r="I385" i="4"/>
  <c r="J385" i="4"/>
  <c r="I386" i="4"/>
  <c r="J386" i="4"/>
  <c r="I387" i="4"/>
  <c r="J387" i="4"/>
  <c r="I388" i="4"/>
  <c r="J388" i="4"/>
  <c r="I389" i="4"/>
  <c r="J389" i="4"/>
  <c r="I390" i="4"/>
  <c r="J390" i="4"/>
  <c r="I391" i="4"/>
  <c r="J391" i="4"/>
  <c r="I392" i="4"/>
  <c r="J392" i="4"/>
  <c r="I393" i="4"/>
  <c r="J393" i="4"/>
  <c r="I394" i="4"/>
  <c r="J394" i="4"/>
  <c r="I395" i="4"/>
  <c r="J395" i="4"/>
  <c r="I396" i="4"/>
  <c r="J396" i="4"/>
  <c r="I397" i="4"/>
  <c r="J397" i="4"/>
  <c r="I398" i="4"/>
  <c r="J398" i="4"/>
  <c r="I399" i="4"/>
  <c r="J399" i="4"/>
  <c r="I400" i="4"/>
  <c r="J400" i="4"/>
  <c r="I401" i="4"/>
  <c r="J401" i="4"/>
  <c r="I402" i="4"/>
  <c r="J402" i="4"/>
  <c r="I403" i="4"/>
  <c r="J403" i="4"/>
  <c r="I404" i="4"/>
  <c r="J404" i="4"/>
  <c r="I405" i="4"/>
  <c r="J405" i="4"/>
  <c r="I406" i="4"/>
  <c r="J406" i="4"/>
  <c r="I407" i="4"/>
  <c r="J407" i="4"/>
  <c r="I408" i="4"/>
  <c r="J408" i="4"/>
  <c r="I409" i="4"/>
  <c r="J409" i="4"/>
  <c r="I410" i="4"/>
  <c r="J410" i="4"/>
  <c r="I411" i="4"/>
  <c r="J411" i="4"/>
  <c r="I412" i="4"/>
  <c r="J412" i="4"/>
  <c r="I413" i="4"/>
  <c r="J413" i="4"/>
  <c r="I414" i="4"/>
  <c r="J414" i="4"/>
  <c r="I415" i="4"/>
  <c r="J415" i="4"/>
  <c r="I416" i="4"/>
  <c r="J416" i="4"/>
  <c r="I417" i="4"/>
  <c r="J417" i="4"/>
  <c r="I418" i="4"/>
  <c r="J418" i="4"/>
  <c r="I419" i="4"/>
  <c r="J419" i="4"/>
  <c r="I420" i="4"/>
  <c r="J420" i="4"/>
  <c r="I421" i="4"/>
  <c r="J421" i="4"/>
  <c r="I422" i="4"/>
  <c r="J422" i="4"/>
  <c r="I423" i="4"/>
  <c r="J423" i="4"/>
  <c r="I424" i="4"/>
  <c r="J424" i="4"/>
  <c r="I425" i="4"/>
  <c r="J425" i="4"/>
  <c r="I426" i="4"/>
  <c r="J426" i="4"/>
  <c r="I427" i="4"/>
  <c r="J427" i="4"/>
  <c r="I428" i="4"/>
  <c r="J428" i="4"/>
  <c r="I429" i="4"/>
  <c r="J429" i="4"/>
  <c r="I430" i="4"/>
  <c r="J430" i="4"/>
  <c r="I431" i="4"/>
  <c r="J431" i="4"/>
  <c r="I432" i="4"/>
  <c r="J432" i="4"/>
  <c r="I433" i="4"/>
  <c r="J433" i="4"/>
  <c r="I434" i="4"/>
  <c r="J434" i="4"/>
  <c r="I435" i="4"/>
  <c r="J435" i="4"/>
  <c r="I436" i="4"/>
  <c r="J436" i="4"/>
  <c r="I437" i="4"/>
  <c r="J437" i="4"/>
  <c r="I438" i="4"/>
  <c r="J438" i="4"/>
  <c r="I439" i="4"/>
  <c r="J439" i="4"/>
  <c r="I440" i="4"/>
  <c r="J440" i="4"/>
  <c r="I441" i="4"/>
  <c r="J441" i="4"/>
  <c r="I442" i="4"/>
  <c r="J442" i="4"/>
  <c r="I443" i="4"/>
  <c r="J443" i="4"/>
  <c r="I444" i="4"/>
  <c r="J444" i="4"/>
  <c r="I445" i="4"/>
  <c r="J445" i="4"/>
  <c r="I446" i="4"/>
  <c r="J446" i="4"/>
  <c r="I447" i="4"/>
  <c r="J447" i="4"/>
  <c r="I448" i="4"/>
  <c r="J448" i="4"/>
  <c r="I449" i="4"/>
  <c r="J449" i="4"/>
  <c r="I450" i="4"/>
  <c r="J450" i="4"/>
  <c r="I451" i="4"/>
  <c r="J451" i="4"/>
  <c r="I452" i="4"/>
  <c r="J452" i="4"/>
  <c r="I453" i="4"/>
  <c r="J453" i="4"/>
  <c r="I454" i="4"/>
  <c r="J454" i="4"/>
  <c r="I455" i="4"/>
  <c r="J455" i="4"/>
  <c r="I456" i="4"/>
  <c r="J456" i="4"/>
  <c r="I457" i="4"/>
  <c r="J457" i="4"/>
  <c r="I458" i="4"/>
  <c r="J458" i="4"/>
  <c r="I459" i="4"/>
  <c r="J459" i="4"/>
  <c r="I460" i="4"/>
  <c r="J460" i="4"/>
  <c r="I461" i="4"/>
  <c r="J461" i="4"/>
  <c r="I462" i="4"/>
  <c r="J462" i="4"/>
  <c r="I463" i="4"/>
  <c r="J463" i="4"/>
  <c r="I464" i="4"/>
  <c r="J464" i="4"/>
  <c r="I465" i="4"/>
  <c r="J465" i="4"/>
  <c r="I466" i="4"/>
  <c r="J466" i="4"/>
  <c r="I467" i="4"/>
  <c r="J467" i="4"/>
  <c r="I468" i="4"/>
  <c r="J468" i="4"/>
  <c r="I469" i="4"/>
  <c r="J469" i="4"/>
  <c r="I470" i="4"/>
  <c r="J470" i="4"/>
  <c r="I471" i="4"/>
  <c r="J471" i="4"/>
  <c r="I472" i="4"/>
  <c r="J472" i="4"/>
  <c r="I473" i="4"/>
  <c r="J473" i="4"/>
  <c r="I474" i="4"/>
  <c r="J474" i="4"/>
  <c r="I475" i="4"/>
  <c r="J475" i="4"/>
  <c r="I476" i="4"/>
  <c r="J476" i="4"/>
  <c r="I477" i="4"/>
  <c r="J477" i="4"/>
  <c r="I478" i="4"/>
  <c r="J478" i="4"/>
  <c r="I479" i="4"/>
  <c r="J479" i="4"/>
  <c r="I480" i="4"/>
  <c r="J480" i="4"/>
  <c r="I481" i="4"/>
  <c r="J481" i="4"/>
  <c r="I482" i="4"/>
  <c r="J482" i="4"/>
  <c r="I483" i="4"/>
  <c r="J483" i="4"/>
  <c r="I484" i="4"/>
  <c r="J484" i="4"/>
  <c r="I485" i="4"/>
  <c r="J485" i="4"/>
  <c r="I486" i="4"/>
  <c r="J486" i="4"/>
  <c r="I487" i="4"/>
  <c r="J487" i="4"/>
  <c r="I488" i="4"/>
  <c r="J488" i="4"/>
  <c r="I489" i="4"/>
  <c r="J489" i="4"/>
  <c r="I490" i="4"/>
  <c r="J490" i="4"/>
  <c r="I491" i="4"/>
  <c r="J491" i="4"/>
  <c r="I492" i="4"/>
  <c r="J492" i="4"/>
  <c r="I493" i="4"/>
  <c r="J493" i="4"/>
  <c r="I494" i="4"/>
  <c r="J494" i="4"/>
  <c r="I495" i="4"/>
  <c r="J495" i="4"/>
  <c r="I496" i="4"/>
  <c r="J496" i="4"/>
  <c r="I497" i="4"/>
  <c r="J497" i="4"/>
  <c r="I498" i="4"/>
  <c r="J498" i="4"/>
  <c r="I499" i="4"/>
  <c r="J499" i="4"/>
  <c r="I500" i="4"/>
  <c r="J500" i="4"/>
  <c r="I501" i="4"/>
  <c r="J501" i="4"/>
  <c r="I502" i="4"/>
  <c r="J502" i="4"/>
  <c r="I503" i="4"/>
  <c r="J503" i="4"/>
  <c r="I504" i="4"/>
  <c r="J504" i="4"/>
  <c r="I505" i="4"/>
  <c r="J505" i="4"/>
  <c r="I506" i="4"/>
  <c r="J506" i="4"/>
  <c r="I507" i="4"/>
  <c r="J507" i="4"/>
  <c r="I508" i="4"/>
  <c r="J508" i="4"/>
  <c r="I509" i="4"/>
  <c r="J509" i="4"/>
  <c r="I510" i="4"/>
  <c r="J510" i="4"/>
  <c r="I511" i="4"/>
  <c r="J511" i="4"/>
  <c r="I512" i="4"/>
  <c r="J512" i="4"/>
  <c r="I513" i="4"/>
  <c r="J513" i="4"/>
  <c r="I514" i="4"/>
  <c r="J514" i="4"/>
  <c r="I515" i="4"/>
  <c r="J515" i="4"/>
  <c r="I516" i="4"/>
  <c r="J516" i="4"/>
  <c r="I517" i="4"/>
  <c r="J517" i="4"/>
  <c r="I518" i="4"/>
  <c r="J518" i="4"/>
  <c r="I519" i="4"/>
  <c r="J519" i="4"/>
  <c r="I520" i="4"/>
  <c r="J520" i="4"/>
  <c r="I521" i="4"/>
  <c r="J521" i="4"/>
  <c r="I522" i="4"/>
  <c r="J522" i="4"/>
  <c r="I523" i="4"/>
  <c r="J523" i="4"/>
  <c r="I524" i="4"/>
  <c r="J524" i="4"/>
  <c r="I525" i="4"/>
  <c r="J525" i="4"/>
  <c r="I526" i="4"/>
  <c r="J526" i="4"/>
  <c r="I527" i="4"/>
  <c r="J527" i="4"/>
  <c r="I528" i="4"/>
  <c r="J528" i="4"/>
  <c r="I529" i="4"/>
  <c r="J529" i="4"/>
  <c r="I530" i="4"/>
  <c r="J530" i="4"/>
  <c r="I531" i="4"/>
  <c r="J531" i="4"/>
  <c r="I532" i="4"/>
  <c r="J532" i="4"/>
  <c r="I533" i="4"/>
  <c r="J533" i="4"/>
  <c r="I534" i="4"/>
  <c r="J534" i="4"/>
  <c r="I535" i="4"/>
  <c r="J535" i="4"/>
  <c r="I536" i="4"/>
  <c r="J536" i="4"/>
  <c r="I537" i="4"/>
  <c r="J537" i="4"/>
  <c r="I538" i="4"/>
  <c r="J538" i="4"/>
  <c r="I539" i="4"/>
  <c r="J539" i="4"/>
  <c r="I540" i="4"/>
  <c r="J540" i="4"/>
  <c r="I541" i="4"/>
  <c r="J541" i="4"/>
  <c r="I542" i="4"/>
  <c r="J542" i="4"/>
  <c r="I543" i="4"/>
  <c r="J543" i="4"/>
  <c r="I544" i="4"/>
  <c r="J544" i="4"/>
  <c r="I545" i="4"/>
  <c r="J545" i="4"/>
  <c r="I546" i="4"/>
  <c r="J546" i="4"/>
  <c r="I547" i="4"/>
  <c r="J547" i="4"/>
  <c r="I548" i="4"/>
  <c r="J548" i="4"/>
  <c r="I549" i="4"/>
  <c r="J549" i="4"/>
  <c r="I550" i="4"/>
  <c r="J550" i="4"/>
  <c r="I551" i="4"/>
  <c r="J551" i="4"/>
  <c r="I552" i="4"/>
  <c r="J552" i="4"/>
  <c r="I553" i="4"/>
  <c r="J553" i="4"/>
  <c r="I554" i="4"/>
  <c r="J554" i="4"/>
  <c r="I555" i="4"/>
  <c r="J555" i="4"/>
  <c r="I556" i="4"/>
  <c r="J556" i="4"/>
  <c r="I557" i="4"/>
  <c r="J557" i="4"/>
  <c r="I558" i="4"/>
  <c r="J558" i="4"/>
  <c r="I559" i="4"/>
  <c r="J559" i="4"/>
  <c r="I560" i="4"/>
  <c r="J560" i="4"/>
  <c r="I561" i="4"/>
  <c r="J561" i="4"/>
  <c r="I562" i="4"/>
  <c r="J562" i="4"/>
  <c r="I563" i="4"/>
  <c r="J563" i="4"/>
  <c r="I564" i="4"/>
  <c r="J564" i="4"/>
  <c r="I565" i="4"/>
  <c r="J565" i="4"/>
  <c r="I566" i="4"/>
  <c r="J566" i="4"/>
  <c r="I567" i="4"/>
  <c r="J567" i="4"/>
  <c r="I568" i="4"/>
  <c r="J568" i="4"/>
  <c r="I569" i="4"/>
  <c r="J569" i="4"/>
  <c r="I570" i="4"/>
  <c r="J570" i="4"/>
  <c r="I571" i="4"/>
  <c r="J571" i="4"/>
  <c r="I572" i="4"/>
  <c r="J572" i="4"/>
  <c r="I573" i="4"/>
  <c r="J573" i="4"/>
  <c r="I574" i="4"/>
  <c r="J574" i="4"/>
  <c r="I575" i="4"/>
  <c r="J575" i="4"/>
  <c r="I576" i="4"/>
  <c r="J576" i="4"/>
  <c r="I577" i="4"/>
  <c r="J577" i="4"/>
  <c r="I578" i="4"/>
  <c r="J578" i="4"/>
  <c r="I579" i="4"/>
  <c r="J579" i="4"/>
  <c r="I580" i="4"/>
  <c r="J580" i="4"/>
  <c r="I581" i="4"/>
  <c r="J581" i="4"/>
  <c r="I582" i="4"/>
  <c r="J582" i="4"/>
  <c r="I583" i="4"/>
  <c r="J583" i="4"/>
  <c r="I584" i="4"/>
  <c r="J584" i="4"/>
  <c r="I585" i="4"/>
  <c r="J585" i="4"/>
  <c r="I586" i="4"/>
  <c r="J586" i="4"/>
  <c r="I587" i="4"/>
  <c r="J587" i="4"/>
  <c r="I588" i="4"/>
  <c r="J588" i="4"/>
  <c r="I589" i="4"/>
  <c r="J589" i="4"/>
  <c r="I590" i="4"/>
  <c r="J590" i="4"/>
  <c r="I591" i="4"/>
  <c r="J591" i="4"/>
  <c r="I592" i="4"/>
  <c r="J592" i="4"/>
  <c r="I593" i="4"/>
  <c r="J593" i="4"/>
  <c r="I594" i="4"/>
  <c r="J594" i="4"/>
  <c r="I595" i="4"/>
  <c r="J595" i="4"/>
  <c r="I596" i="4"/>
  <c r="J596" i="4"/>
  <c r="I597" i="4"/>
  <c r="J597" i="4"/>
  <c r="I598" i="4"/>
  <c r="J598" i="4"/>
  <c r="I599" i="4"/>
  <c r="J599" i="4"/>
  <c r="I600" i="4"/>
  <c r="J600" i="4"/>
  <c r="I601" i="4"/>
  <c r="J601" i="4"/>
  <c r="I602" i="4"/>
  <c r="J602" i="4"/>
  <c r="I603" i="4"/>
  <c r="J603" i="4"/>
  <c r="I604" i="4"/>
  <c r="J604" i="4"/>
  <c r="I605" i="4"/>
  <c r="J605" i="4"/>
  <c r="I606" i="4"/>
  <c r="J606" i="4"/>
  <c r="I607" i="4"/>
  <c r="J607" i="4"/>
  <c r="I608" i="4"/>
  <c r="J608" i="4"/>
  <c r="I609" i="4"/>
  <c r="J609" i="4"/>
  <c r="I610" i="4"/>
  <c r="J610" i="4"/>
  <c r="I611" i="4"/>
  <c r="J611" i="4"/>
  <c r="I612" i="4"/>
  <c r="J612" i="4"/>
  <c r="I613" i="4"/>
  <c r="J613" i="4"/>
  <c r="I614" i="4"/>
  <c r="J614" i="4"/>
  <c r="I615" i="4"/>
  <c r="J615" i="4"/>
  <c r="I616" i="4"/>
  <c r="J616" i="4"/>
  <c r="I617" i="4"/>
  <c r="J617" i="4"/>
  <c r="I618" i="4"/>
  <c r="J618" i="4"/>
  <c r="I619" i="4"/>
  <c r="J619" i="4"/>
  <c r="I620" i="4"/>
  <c r="J620" i="4"/>
  <c r="I621" i="4"/>
  <c r="J621" i="4"/>
  <c r="I622" i="4"/>
  <c r="J622" i="4"/>
  <c r="I623" i="4"/>
  <c r="J623" i="4"/>
  <c r="I624" i="4"/>
  <c r="J624" i="4"/>
  <c r="I625" i="4"/>
  <c r="J625" i="4"/>
  <c r="I626" i="4"/>
  <c r="J626" i="4"/>
  <c r="I627" i="4"/>
  <c r="J627" i="4"/>
  <c r="I628" i="4"/>
  <c r="J628" i="4"/>
  <c r="I629" i="4"/>
  <c r="J629" i="4"/>
  <c r="I630" i="4"/>
  <c r="J630" i="4"/>
  <c r="I631" i="4"/>
  <c r="J631" i="4"/>
  <c r="I632" i="4"/>
  <c r="J632" i="4"/>
  <c r="I633" i="4"/>
  <c r="J633" i="4"/>
  <c r="I634" i="4"/>
  <c r="J634" i="4"/>
  <c r="I635" i="4"/>
  <c r="J635" i="4"/>
  <c r="I636" i="4"/>
  <c r="J636" i="4"/>
  <c r="I637" i="4"/>
  <c r="J637" i="4"/>
  <c r="I638" i="4"/>
  <c r="J638" i="4"/>
  <c r="I639" i="4"/>
  <c r="J639" i="4"/>
  <c r="I640" i="4"/>
  <c r="J640" i="4"/>
  <c r="I641" i="4"/>
  <c r="J641" i="4"/>
  <c r="I642" i="4"/>
  <c r="J642" i="4"/>
  <c r="I643" i="4"/>
  <c r="J643" i="4"/>
  <c r="I644" i="4"/>
  <c r="J644" i="4"/>
  <c r="I645" i="4"/>
  <c r="J645" i="4"/>
  <c r="I646" i="4"/>
  <c r="J646" i="4"/>
  <c r="I647" i="4"/>
  <c r="J647" i="4"/>
  <c r="I648" i="4"/>
  <c r="J648" i="4"/>
  <c r="I649" i="4"/>
  <c r="J649" i="4"/>
  <c r="I650" i="4"/>
  <c r="J650" i="4"/>
  <c r="I651" i="4"/>
  <c r="J651" i="4"/>
  <c r="I652" i="4"/>
  <c r="J652" i="4"/>
  <c r="I653" i="4"/>
  <c r="J653" i="4"/>
  <c r="I654" i="4"/>
  <c r="J654" i="4"/>
  <c r="I655" i="4"/>
  <c r="J655" i="4"/>
  <c r="I656" i="4"/>
  <c r="J656" i="4"/>
  <c r="I657" i="4"/>
  <c r="J657" i="4"/>
  <c r="I658" i="4"/>
  <c r="J658" i="4"/>
  <c r="I659" i="4"/>
  <c r="J659" i="4"/>
  <c r="I660" i="4"/>
  <c r="J660" i="4"/>
  <c r="I661" i="4"/>
  <c r="J661" i="4"/>
  <c r="I662" i="4"/>
  <c r="J662" i="4"/>
  <c r="I663" i="4"/>
  <c r="J663" i="4"/>
  <c r="I664" i="4"/>
  <c r="J664" i="4"/>
  <c r="I665" i="4"/>
  <c r="J665" i="4"/>
  <c r="I666" i="4"/>
  <c r="J666" i="4"/>
  <c r="I667" i="4"/>
  <c r="J667" i="4"/>
  <c r="I668" i="4"/>
  <c r="J668" i="4"/>
  <c r="I669" i="4"/>
  <c r="J669" i="4"/>
  <c r="I670" i="4"/>
  <c r="J670" i="4"/>
  <c r="I671" i="4"/>
  <c r="J671" i="4"/>
  <c r="I672" i="4"/>
  <c r="J672" i="4"/>
  <c r="I673" i="4"/>
  <c r="J673" i="4"/>
  <c r="I674" i="4"/>
  <c r="J674" i="4"/>
  <c r="I675" i="4"/>
  <c r="J675" i="4"/>
  <c r="I676" i="4"/>
  <c r="J676" i="4"/>
  <c r="I677" i="4"/>
  <c r="J677" i="4"/>
  <c r="I678" i="4"/>
  <c r="J678" i="4"/>
  <c r="I679" i="4"/>
  <c r="J679" i="4"/>
  <c r="I680" i="4"/>
  <c r="J680" i="4"/>
  <c r="I681" i="4"/>
  <c r="J681" i="4"/>
  <c r="I682" i="4"/>
  <c r="J682" i="4"/>
  <c r="I683" i="4"/>
  <c r="J683" i="4"/>
  <c r="I684" i="4"/>
  <c r="J684" i="4"/>
  <c r="I685" i="4"/>
  <c r="J685" i="4"/>
  <c r="I686" i="4"/>
  <c r="J686" i="4"/>
  <c r="I687" i="4"/>
  <c r="J687" i="4"/>
  <c r="I688" i="4"/>
  <c r="J688" i="4"/>
  <c r="I689" i="4"/>
  <c r="J689" i="4"/>
  <c r="I690" i="4"/>
  <c r="J690" i="4"/>
  <c r="I691" i="4"/>
  <c r="J691" i="4"/>
  <c r="I692" i="4"/>
  <c r="J692" i="4"/>
  <c r="I693" i="4"/>
  <c r="J693" i="4"/>
  <c r="I694" i="4"/>
  <c r="J694" i="4"/>
  <c r="I695" i="4"/>
  <c r="J695" i="4"/>
  <c r="I696" i="4"/>
  <c r="J696" i="4"/>
  <c r="I697" i="4"/>
  <c r="J697" i="4"/>
  <c r="I698" i="4"/>
  <c r="J698" i="4"/>
  <c r="I699" i="4"/>
  <c r="J699" i="4"/>
  <c r="I700" i="4"/>
  <c r="J700" i="4"/>
  <c r="I701" i="4"/>
  <c r="J701" i="4"/>
  <c r="I702" i="4"/>
  <c r="J702" i="4"/>
  <c r="I703" i="4"/>
  <c r="J703" i="4"/>
  <c r="I704" i="4"/>
  <c r="J704" i="4"/>
  <c r="I705" i="4"/>
  <c r="J705" i="4"/>
  <c r="I706" i="4"/>
  <c r="J706" i="4"/>
  <c r="I707" i="4"/>
  <c r="J707" i="4"/>
  <c r="I708" i="4"/>
  <c r="J708" i="4"/>
  <c r="I709" i="4"/>
  <c r="J709" i="4"/>
  <c r="I710" i="4"/>
  <c r="J710" i="4"/>
  <c r="I711" i="4"/>
  <c r="J711" i="4"/>
  <c r="I712" i="4"/>
  <c r="J712" i="4"/>
  <c r="I713" i="4"/>
  <c r="J713" i="4"/>
  <c r="I714" i="4"/>
  <c r="J714" i="4"/>
  <c r="I715" i="4"/>
  <c r="J715" i="4"/>
  <c r="I716" i="4"/>
  <c r="J716" i="4"/>
  <c r="I717" i="4"/>
  <c r="J717" i="4"/>
  <c r="I718" i="4"/>
  <c r="J718" i="4"/>
  <c r="I719" i="4"/>
  <c r="J719" i="4"/>
  <c r="I720" i="4"/>
  <c r="J720" i="4"/>
  <c r="I721" i="4"/>
  <c r="J721" i="4"/>
  <c r="I722" i="4"/>
  <c r="J722" i="4"/>
  <c r="I723" i="4"/>
  <c r="J723" i="4"/>
  <c r="I724" i="4"/>
  <c r="J724" i="4"/>
  <c r="I725" i="4"/>
  <c r="J725" i="4"/>
  <c r="I726" i="4"/>
  <c r="J726" i="4"/>
  <c r="I727" i="4"/>
  <c r="J727" i="4"/>
  <c r="I728" i="4"/>
  <c r="J728" i="4"/>
  <c r="I729" i="4"/>
  <c r="J729" i="4"/>
  <c r="I730" i="4"/>
  <c r="J730" i="4"/>
  <c r="I731" i="4"/>
  <c r="J731" i="4"/>
  <c r="I732" i="4"/>
  <c r="J732" i="4"/>
  <c r="I733" i="4"/>
  <c r="J733" i="4"/>
  <c r="I734" i="4"/>
  <c r="J734" i="4"/>
  <c r="I735" i="4"/>
  <c r="J735" i="4"/>
  <c r="I736" i="4"/>
  <c r="J736" i="4"/>
  <c r="I737" i="4"/>
  <c r="J737" i="4"/>
  <c r="I738" i="4"/>
  <c r="J738" i="4"/>
  <c r="I739" i="4"/>
  <c r="J739" i="4"/>
  <c r="I740" i="4"/>
  <c r="J740" i="4"/>
  <c r="I741" i="4"/>
  <c r="J741" i="4"/>
  <c r="I742" i="4"/>
  <c r="J742" i="4"/>
  <c r="I743" i="4"/>
  <c r="J743" i="4"/>
  <c r="I744" i="4"/>
  <c r="J744" i="4"/>
  <c r="I745" i="4"/>
  <c r="J745" i="4"/>
  <c r="I746" i="4"/>
  <c r="J746" i="4"/>
  <c r="I747" i="4"/>
  <c r="J747" i="4"/>
  <c r="I748" i="4"/>
  <c r="J748" i="4"/>
  <c r="I749" i="4"/>
  <c r="J749" i="4"/>
  <c r="I750" i="4"/>
  <c r="J750" i="4"/>
  <c r="I751" i="4"/>
  <c r="J751" i="4"/>
  <c r="I752" i="4"/>
  <c r="J752" i="4"/>
  <c r="I753" i="4"/>
  <c r="J753" i="4"/>
  <c r="I754" i="4"/>
  <c r="J754" i="4"/>
  <c r="I755" i="4"/>
  <c r="J755" i="4"/>
  <c r="I756" i="4"/>
  <c r="J756" i="4"/>
  <c r="I757" i="4"/>
  <c r="J757" i="4"/>
  <c r="I758" i="4"/>
  <c r="J758" i="4"/>
  <c r="I759" i="4"/>
  <c r="J759" i="4"/>
  <c r="I760" i="4"/>
  <c r="J760" i="4"/>
  <c r="I761" i="4"/>
  <c r="J761" i="4"/>
  <c r="I762" i="4"/>
  <c r="J762" i="4"/>
  <c r="I763" i="4"/>
  <c r="J763" i="4"/>
  <c r="I764" i="4"/>
  <c r="J764" i="4"/>
  <c r="I765" i="4"/>
  <c r="J765" i="4"/>
  <c r="I766" i="4"/>
  <c r="J766" i="4"/>
  <c r="I767" i="4"/>
  <c r="J767" i="4"/>
  <c r="I768" i="4"/>
  <c r="J768" i="4"/>
  <c r="I769" i="4"/>
  <c r="J769" i="4"/>
  <c r="I770" i="4"/>
  <c r="J770" i="4"/>
  <c r="I771" i="4"/>
  <c r="J771" i="4"/>
  <c r="I772" i="4"/>
  <c r="J772" i="4"/>
  <c r="I773" i="4"/>
  <c r="J773" i="4"/>
  <c r="I774" i="4"/>
  <c r="J774" i="4"/>
  <c r="I775" i="4"/>
  <c r="J775" i="4"/>
  <c r="I776" i="4"/>
  <c r="J776" i="4"/>
  <c r="I777" i="4"/>
  <c r="J777" i="4"/>
  <c r="I778" i="4"/>
  <c r="J778" i="4"/>
  <c r="I779" i="4"/>
  <c r="J779" i="4"/>
  <c r="I780" i="4"/>
  <c r="J780" i="4"/>
  <c r="I781" i="4"/>
  <c r="J781" i="4"/>
  <c r="I782" i="4"/>
  <c r="J782" i="4"/>
  <c r="I783" i="4"/>
  <c r="J783" i="4"/>
  <c r="I784" i="4"/>
  <c r="J784" i="4"/>
  <c r="I785" i="4"/>
  <c r="J785" i="4"/>
  <c r="I786" i="4"/>
  <c r="J786" i="4"/>
  <c r="I787" i="4"/>
  <c r="J787" i="4"/>
  <c r="I788" i="4"/>
  <c r="J788" i="4"/>
  <c r="I789" i="4"/>
  <c r="J789" i="4"/>
  <c r="I790" i="4"/>
  <c r="J790" i="4"/>
  <c r="I791" i="4"/>
  <c r="J791" i="4"/>
  <c r="I792" i="4"/>
  <c r="J792" i="4"/>
  <c r="I793" i="4"/>
  <c r="J793" i="4"/>
  <c r="I794" i="4"/>
  <c r="J794" i="4"/>
  <c r="I795" i="4"/>
  <c r="J795" i="4"/>
  <c r="I796" i="4"/>
  <c r="J796" i="4"/>
  <c r="I797" i="4"/>
  <c r="J797" i="4"/>
  <c r="I798" i="4"/>
  <c r="J798" i="4"/>
  <c r="I799" i="4"/>
  <c r="J799" i="4"/>
  <c r="I800" i="4"/>
  <c r="J800" i="4"/>
  <c r="I801" i="4"/>
  <c r="J801" i="4"/>
  <c r="I802" i="4"/>
  <c r="J802" i="4"/>
  <c r="I803" i="4"/>
  <c r="J803" i="4"/>
  <c r="I804" i="4"/>
  <c r="J804" i="4"/>
  <c r="I805" i="4"/>
  <c r="J805" i="4"/>
  <c r="I806" i="4"/>
  <c r="J806" i="4"/>
  <c r="I807" i="4"/>
  <c r="J807" i="4"/>
  <c r="I808" i="4"/>
  <c r="J808" i="4"/>
  <c r="I809" i="4"/>
  <c r="J809" i="4"/>
  <c r="I810" i="4"/>
  <c r="J810" i="4"/>
  <c r="I811" i="4"/>
  <c r="J811" i="4"/>
  <c r="I812" i="4"/>
  <c r="J812" i="4"/>
  <c r="I813" i="4"/>
  <c r="J813" i="4"/>
  <c r="I814" i="4"/>
  <c r="J814" i="4"/>
  <c r="I815" i="4"/>
  <c r="J815" i="4"/>
  <c r="I816" i="4"/>
  <c r="J816" i="4"/>
  <c r="I817" i="4"/>
  <c r="J817" i="4"/>
  <c r="I818" i="4"/>
  <c r="J818" i="4"/>
  <c r="I819" i="4"/>
  <c r="J819" i="4"/>
  <c r="I820" i="4"/>
  <c r="J820" i="4"/>
  <c r="I821" i="4"/>
  <c r="J821" i="4"/>
  <c r="I822" i="4"/>
  <c r="J822" i="4"/>
  <c r="I823" i="4"/>
  <c r="J823" i="4"/>
  <c r="I824" i="4"/>
  <c r="J824" i="4"/>
  <c r="I825" i="4"/>
  <c r="J825" i="4"/>
  <c r="I826" i="4"/>
  <c r="J826" i="4"/>
  <c r="I827" i="4"/>
  <c r="J827" i="4"/>
  <c r="I828" i="4"/>
  <c r="J828" i="4"/>
  <c r="I829" i="4"/>
  <c r="J829" i="4"/>
  <c r="I830" i="4"/>
  <c r="J830" i="4"/>
  <c r="I831" i="4"/>
  <c r="J831" i="4"/>
  <c r="I832" i="4"/>
  <c r="J832" i="4"/>
  <c r="I833" i="4"/>
  <c r="J833" i="4"/>
  <c r="I834" i="4"/>
  <c r="J834" i="4"/>
  <c r="I835" i="4"/>
  <c r="J835" i="4"/>
  <c r="I836" i="4"/>
  <c r="J836" i="4"/>
  <c r="I837" i="4"/>
  <c r="J837" i="4"/>
  <c r="I838" i="4"/>
  <c r="J838" i="4"/>
  <c r="I839" i="4"/>
  <c r="J839" i="4"/>
  <c r="I840" i="4"/>
  <c r="J840" i="4"/>
  <c r="I841" i="4"/>
  <c r="J841" i="4"/>
  <c r="I842" i="4"/>
  <c r="J842" i="4"/>
  <c r="I843" i="4"/>
  <c r="J843" i="4"/>
  <c r="I844" i="4"/>
  <c r="J844" i="4"/>
  <c r="I845" i="4"/>
  <c r="J845" i="4"/>
  <c r="I846" i="4"/>
  <c r="J846" i="4"/>
  <c r="I847" i="4"/>
  <c r="J847" i="4"/>
  <c r="I848" i="4"/>
  <c r="J848" i="4"/>
  <c r="I849" i="4"/>
  <c r="J849" i="4"/>
  <c r="I850" i="4"/>
  <c r="J850" i="4"/>
  <c r="I851" i="4"/>
  <c r="J851" i="4"/>
  <c r="I852" i="4"/>
  <c r="J852" i="4"/>
  <c r="I853" i="4"/>
  <c r="J853" i="4"/>
  <c r="I854" i="4"/>
  <c r="J854" i="4"/>
  <c r="I855" i="4"/>
  <c r="J855" i="4"/>
  <c r="I856" i="4"/>
  <c r="J856" i="4"/>
  <c r="I857" i="4"/>
  <c r="J857" i="4"/>
  <c r="I858" i="4"/>
  <c r="J858" i="4"/>
  <c r="I859" i="4"/>
  <c r="J859" i="4"/>
  <c r="I860" i="4"/>
  <c r="J860" i="4"/>
  <c r="I861" i="4"/>
  <c r="J861" i="4"/>
  <c r="I862" i="4"/>
  <c r="J862" i="4"/>
  <c r="I863" i="4"/>
  <c r="J863" i="4"/>
  <c r="I864" i="4"/>
  <c r="J864" i="4"/>
  <c r="I865" i="4"/>
  <c r="J865" i="4"/>
  <c r="I866" i="4"/>
  <c r="J866" i="4"/>
  <c r="I867" i="4"/>
  <c r="J867" i="4"/>
  <c r="I868" i="4"/>
  <c r="J868" i="4"/>
  <c r="I869" i="4"/>
  <c r="J869" i="4"/>
  <c r="I870" i="4"/>
  <c r="J870" i="4"/>
  <c r="I871" i="4"/>
  <c r="J871" i="4"/>
  <c r="I872" i="4"/>
  <c r="J872" i="4"/>
  <c r="I873" i="4"/>
  <c r="J873" i="4"/>
  <c r="I874" i="4"/>
  <c r="J874" i="4"/>
  <c r="I875" i="4"/>
  <c r="J875" i="4"/>
  <c r="I876" i="4"/>
  <c r="J876" i="4"/>
  <c r="I877" i="4"/>
  <c r="J877" i="4"/>
  <c r="I878" i="4"/>
  <c r="J878" i="4"/>
  <c r="I879" i="4"/>
  <c r="J879" i="4"/>
  <c r="I880" i="4"/>
  <c r="J880" i="4"/>
  <c r="I881" i="4"/>
  <c r="J881" i="4"/>
  <c r="I882" i="4"/>
  <c r="J882" i="4"/>
  <c r="I883" i="4"/>
  <c r="J883" i="4"/>
  <c r="I884" i="4"/>
  <c r="J884" i="4"/>
  <c r="I885" i="4"/>
  <c r="J885" i="4"/>
  <c r="I886" i="4"/>
  <c r="J886" i="4"/>
  <c r="I887" i="4"/>
  <c r="J887" i="4"/>
  <c r="I888" i="4"/>
  <c r="J888" i="4"/>
  <c r="I889" i="4"/>
  <c r="J889" i="4"/>
  <c r="I890" i="4"/>
  <c r="J890" i="4"/>
  <c r="I891" i="4"/>
  <c r="J891" i="4"/>
  <c r="I892" i="4"/>
  <c r="J892" i="4"/>
  <c r="I893" i="4"/>
  <c r="J893" i="4"/>
  <c r="I894" i="4"/>
  <c r="J894" i="4"/>
  <c r="I895" i="4"/>
  <c r="J895" i="4"/>
  <c r="I896" i="4"/>
  <c r="J896" i="4"/>
  <c r="I897" i="4"/>
  <c r="J897" i="4"/>
  <c r="I898" i="4"/>
  <c r="J898" i="4"/>
  <c r="I899" i="4"/>
  <c r="J899" i="4"/>
  <c r="I900" i="4"/>
  <c r="J900" i="4"/>
  <c r="I901" i="4"/>
  <c r="J901" i="4"/>
  <c r="I902" i="4"/>
  <c r="J902" i="4"/>
  <c r="I903" i="4"/>
  <c r="J903" i="4"/>
  <c r="I904" i="4"/>
  <c r="J904" i="4"/>
  <c r="I905" i="4"/>
  <c r="J905" i="4"/>
  <c r="I906" i="4"/>
  <c r="J906" i="4"/>
  <c r="I907" i="4"/>
  <c r="J907" i="4"/>
  <c r="I908" i="4"/>
  <c r="J908" i="4"/>
  <c r="I909" i="4"/>
  <c r="J909" i="4"/>
  <c r="I910" i="4"/>
  <c r="J910" i="4"/>
  <c r="I911" i="4"/>
  <c r="J911" i="4"/>
  <c r="I912" i="4"/>
  <c r="J912" i="4"/>
  <c r="I913" i="4"/>
  <c r="J913" i="4"/>
  <c r="I914" i="4"/>
  <c r="J914" i="4"/>
  <c r="I915" i="4"/>
  <c r="J915" i="4"/>
  <c r="I916" i="4"/>
  <c r="J916" i="4"/>
  <c r="I917" i="4"/>
  <c r="J917" i="4"/>
  <c r="I918" i="4"/>
  <c r="J918" i="4"/>
  <c r="I919" i="4"/>
  <c r="J919" i="4"/>
  <c r="I920" i="4"/>
  <c r="J920" i="4"/>
  <c r="I921" i="4"/>
  <c r="J921" i="4"/>
  <c r="I922" i="4"/>
  <c r="J922" i="4"/>
  <c r="I923" i="4"/>
  <c r="J923" i="4"/>
  <c r="I924" i="4"/>
  <c r="J924" i="4"/>
  <c r="I925" i="4"/>
  <c r="J925" i="4"/>
  <c r="I926" i="4"/>
  <c r="J926" i="4"/>
  <c r="I927" i="4"/>
  <c r="J927" i="4"/>
  <c r="I928" i="4"/>
  <c r="J928" i="4"/>
  <c r="I929" i="4"/>
  <c r="J929" i="4"/>
  <c r="I930" i="4"/>
  <c r="J930" i="4"/>
  <c r="I931" i="4"/>
  <c r="J931" i="4"/>
  <c r="I932" i="4"/>
  <c r="J932" i="4"/>
  <c r="I933" i="4"/>
  <c r="J933" i="4"/>
  <c r="I934" i="4"/>
  <c r="J934" i="4"/>
  <c r="I935" i="4"/>
  <c r="J935" i="4"/>
  <c r="I936" i="4"/>
  <c r="J936" i="4"/>
  <c r="I937" i="4"/>
  <c r="J937" i="4"/>
  <c r="I938" i="4"/>
  <c r="J938" i="4"/>
  <c r="I939" i="4"/>
  <c r="J939" i="4"/>
  <c r="I940" i="4"/>
  <c r="J940" i="4"/>
  <c r="I941" i="4"/>
  <c r="J941" i="4"/>
  <c r="I942" i="4"/>
  <c r="J942" i="4"/>
  <c r="I943" i="4"/>
  <c r="J943" i="4"/>
  <c r="I944" i="4"/>
  <c r="J944" i="4"/>
  <c r="I945" i="4"/>
  <c r="J945" i="4"/>
  <c r="I946" i="4"/>
  <c r="J946" i="4"/>
  <c r="I947" i="4"/>
  <c r="J947" i="4"/>
  <c r="I948" i="4"/>
  <c r="J948" i="4"/>
  <c r="I949" i="4"/>
  <c r="J949" i="4"/>
  <c r="I950" i="4"/>
  <c r="J950" i="4"/>
  <c r="I951" i="4"/>
  <c r="J951" i="4"/>
  <c r="I952" i="4"/>
  <c r="J952" i="4"/>
  <c r="I953" i="4"/>
  <c r="J953" i="4"/>
  <c r="I954" i="4"/>
  <c r="J954" i="4"/>
  <c r="I955" i="4"/>
  <c r="J955" i="4"/>
  <c r="I956" i="4"/>
  <c r="J956" i="4"/>
  <c r="I957" i="4"/>
  <c r="J957" i="4"/>
  <c r="I958" i="4"/>
  <c r="J958" i="4"/>
  <c r="I959" i="4"/>
  <c r="J959" i="4"/>
  <c r="I960" i="4"/>
  <c r="J960" i="4"/>
  <c r="I961" i="4"/>
  <c r="J961" i="4"/>
  <c r="I962" i="4"/>
  <c r="J962" i="4"/>
  <c r="I963" i="4"/>
  <c r="J963" i="4"/>
  <c r="I964" i="4"/>
  <c r="J964" i="4"/>
  <c r="I965" i="4"/>
  <c r="J965" i="4"/>
  <c r="I966" i="4"/>
  <c r="J966" i="4"/>
  <c r="I967" i="4"/>
  <c r="J967" i="4"/>
  <c r="I968" i="4"/>
  <c r="J968" i="4"/>
  <c r="I969" i="4"/>
  <c r="J969" i="4"/>
  <c r="I970" i="4"/>
  <c r="J970" i="4"/>
  <c r="I971" i="4"/>
  <c r="J971" i="4"/>
  <c r="I972" i="4"/>
  <c r="J972" i="4"/>
  <c r="I973" i="4"/>
  <c r="J973" i="4"/>
  <c r="I974" i="4"/>
  <c r="J974" i="4"/>
  <c r="I975" i="4"/>
  <c r="J975" i="4"/>
  <c r="I976" i="4"/>
  <c r="J976" i="4"/>
  <c r="I977" i="4"/>
  <c r="J977" i="4"/>
  <c r="I978" i="4"/>
  <c r="J978" i="4"/>
  <c r="I979" i="4"/>
  <c r="J979" i="4"/>
  <c r="I980" i="4"/>
  <c r="J980" i="4"/>
  <c r="I981" i="4"/>
  <c r="J981" i="4"/>
  <c r="I982" i="4"/>
  <c r="J982" i="4"/>
  <c r="I983" i="4"/>
  <c r="J983" i="4"/>
  <c r="I984" i="4"/>
  <c r="J984" i="4"/>
  <c r="I985" i="4"/>
  <c r="J985" i="4"/>
  <c r="I986" i="4"/>
  <c r="J986" i="4"/>
  <c r="I987" i="4"/>
  <c r="J987" i="4"/>
  <c r="I988" i="4"/>
  <c r="J988" i="4"/>
  <c r="I989" i="4"/>
  <c r="J989" i="4"/>
  <c r="I990" i="4"/>
  <c r="J990" i="4"/>
  <c r="I991" i="4"/>
  <c r="J991" i="4"/>
  <c r="I992" i="4"/>
  <c r="J992" i="4"/>
  <c r="I993" i="4"/>
  <c r="J993" i="4"/>
  <c r="I994" i="4"/>
  <c r="J994" i="4"/>
  <c r="I995" i="4"/>
  <c r="J995" i="4"/>
  <c r="I996" i="4"/>
  <c r="J996" i="4"/>
  <c r="I997" i="4"/>
  <c r="J997" i="4"/>
  <c r="I998" i="4"/>
  <c r="J998" i="4"/>
  <c r="I999" i="4"/>
  <c r="J999" i="4"/>
  <c r="I1000" i="4"/>
  <c r="J1000" i="4"/>
  <c r="I1001" i="4"/>
  <c r="J1001" i="4"/>
  <c r="I1002" i="4"/>
  <c r="J1002" i="4"/>
  <c r="I1003" i="4"/>
  <c r="J1003" i="4"/>
  <c r="I1004" i="4"/>
  <c r="J1004" i="4"/>
  <c r="I1005" i="4"/>
  <c r="J1005" i="4"/>
  <c r="I1006" i="4"/>
  <c r="J1006" i="4"/>
  <c r="I1007" i="4"/>
  <c r="J1007" i="4"/>
  <c r="I1008" i="4"/>
  <c r="J1008" i="4"/>
  <c r="I1009" i="4"/>
  <c r="J1009" i="4"/>
  <c r="I1010" i="4"/>
  <c r="J1010" i="4"/>
  <c r="I1011" i="4"/>
  <c r="J1011" i="4"/>
  <c r="I1012" i="4"/>
  <c r="J1012" i="4"/>
  <c r="I1013" i="4"/>
  <c r="J1013" i="4"/>
  <c r="I1014" i="4"/>
  <c r="J1014" i="4"/>
  <c r="I1015" i="4"/>
  <c r="J1015" i="4"/>
  <c r="I1016" i="4"/>
  <c r="J1016" i="4"/>
  <c r="I1017" i="4"/>
  <c r="J1017" i="4"/>
  <c r="I1018" i="4"/>
  <c r="J1018" i="4"/>
  <c r="I1019" i="4"/>
  <c r="J1019" i="4"/>
  <c r="I1020" i="4"/>
  <c r="J1020" i="4"/>
  <c r="I1021" i="4"/>
  <c r="J1021" i="4"/>
  <c r="I1022" i="4"/>
  <c r="J1022" i="4"/>
  <c r="I1023" i="4"/>
  <c r="J1023" i="4"/>
  <c r="I1024" i="4"/>
  <c r="J1024" i="4"/>
  <c r="I1025" i="4"/>
  <c r="J1025" i="4"/>
  <c r="I1026" i="4"/>
  <c r="J1026" i="4"/>
  <c r="I1027" i="4"/>
  <c r="J1027" i="4"/>
  <c r="I1028" i="4"/>
  <c r="J1028" i="4"/>
  <c r="I1029" i="4"/>
  <c r="J1029" i="4"/>
  <c r="I1030" i="4"/>
  <c r="J1030" i="4"/>
  <c r="I1031" i="4"/>
  <c r="J1031" i="4"/>
  <c r="I1032" i="4"/>
  <c r="J1032" i="4"/>
  <c r="I1033" i="4"/>
  <c r="J1033" i="4"/>
  <c r="I1034" i="4"/>
  <c r="J1034" i="4"/>
  <c r="I1035" i="4"/>
  <c r="J1035" i="4"/>
  <c r="I1036" i="4"/>
  <c r="J1036" i="4"/>
  <c r="I1037" i="4"/>
  <c r="J1037" i="4"/>
  <c r="I1038" i="4"/>
  <c r="J1038" i="4"/>
  <c r="I1039" i="4"/>
  <c r="J1039" i="4"/>
  <c r="I1040" i="4"/>
  <c r="J1040" i="4"/>
  <c r="I1041" i="4"/>
  <c r="J1041" i="4"/>
  <c r="I1042" i="4"/>
  <c r="J1042" i="4"/>
  <c r="I1043" i="4"/>
  <c r="J1043" i="4"/>
  <c r="I1044" i="4"/>
  <c r="J1044" i="4"/>
  <c r="I1045" i="4"/>
  <c r="J1045" i="4"/>
  <c r="I1046" i="4"/>
  <c r="J1046" i="4"/>
  <c r="I1047" i="4"/>
  <c r="J1047" i="4"/>
  <c r="I1048" i="4"/>
  <c r="J1048" i="4"/>
  <c r="I1049" i="4"/>
  <c r="J1049" i="4"/>
  <c r="I1050" i="4"/>
  <c r="J1050" i="4"/>
  <c r="I1051" i="4"/>
  <c r="J1051" i="4"/>
  <c r="I1052" i="4"/>
  <c r="J1052" i="4"/>
  <c r="I1053" i="4"/>
  <c r="J1053" i="4"/>
  <c r="I1054" i="4"/>
  <c r="J1054" i="4"/>
  <c r="I1055" i="4"/>
  <c r="J1055" i="4"/>
  <c r="I1056" i="4"/>
  <c r="J1056" i="4"/>
  <c r="I1057" i="4"/>
  <c r="J1057" i="4"/>
  <c r="I1058" i="4"/>
  <c r="J1058" i="4"/>
  <c r="I1059" i="4"/>
  <c r="J1059" i="4"/>
  <c r="I1060" i="4"/>
  <c r="J1060" i="4"/>
  <c r="I1061" i="4"/>
  <c r="J1061" i="4"/>
  <c r="I1062" i="4"/>
  <c r="J1062" i="4"/>
  <c r="I1063" i="4"/>
  <c r="J1063" i="4"/>
  <c r="I1064" i="4"/>
  <c r="J1064" i="4"/>
  <c r="I1065" i="4"/>
  <c r="J1065" i="4"/>
  <c r="I1066" i="4"/>
  <c r="J1066" i="4"/>
  <c r="I1067" i="4"/>
  <c r="J1067" i="4"/>
  <c r="I1068" i="4"/>
  <c r="J1068" i="4"/>
  <c r="I1069" i="4"/>
  <c r="J1069" i="4"/>
  <c r="I1070" i="4"/>
  <c r="J1070" i="4"/>
  <c r="I1071" i="4"/>
  <c r="J1071" i="4"/>
  <c r="I1072" i="4"/>
  <c r="J1072" i="4"/>
  <c r="I1073" i="4"/>
  <c r="J1073" i="4"/>
  <c r="I1074" i="4"/>
  <c r="J1074" i="4"/>
  <c r="I1075" i="4"/>
  <c r="J1075" i="4"/>
  <c r="I1076" i="4"/>
  <c r="J1076" i="4"/>
  <c r="I1077" i="4"/>
  <c r="J1077" i="4"/>
  <c r="I1078" i="4"/>
  <c r="J1078" i="4"/>
  <c r="I1079" i="4"/>
  <c r="J1079" i="4"/>
  <c r="I1080" i="4"/>
  <c r="J1080" i="4"/>
  <c r="I1081" i="4"/>
  <c r="J1081" i="4"/>
  <c r="I1082" i="4"/>
  <c r="J1082" i="4"/>
  <c r="I1083" i="4"/>
  <c r="J1083" i="4"/>
  <c r="I1084" i="4"/>
  <c r="J1084" i="4"/>
  <c r="I1085" i="4"/>
  <c r="J1085" i="4"/>
  <c r="I1086" i="4"/>
  <c r="J1086" i="4"/>
  <c r="I1087" i="4"/>
  <c r="J1087" i="4"/>
  <c r="I1088" i="4"/>
  <c r="J1088" i="4"/>
  <c r="I1089" i="4"/>
  <c r="J1089" i="4"/>
  <c r="I1090" i="4"/>
  <c r="J1090" i="4"/>
  <c r="I1091" i="4"/>
  <c r="J1091" i="4"/>
  <c r="I1092" i="4"/>
  <c r="J1092" i="4"/>
  <c r="I1093" i="4"/>
  <c r="J1093" i="4"/>
  <c r="I1094" i="4"/>
  <c r="J1094" i="4"/>
  <c r="I1095" i="4"/>
  <c r="J1095" i="4"/>
  <c r="I1096" i="4"/>
  <c r="J1096" i="4"/>
  <c r="I1097" i="4"/>
  <c r="J1097" i="4"/>
  <c r="I1098" i="4"/>
  <c r="J1098" i="4"/>
  <c r="I1099" i="4"/>
  <c r="J1099" i="4"/>
  <c r="I1100" i="4"/>
  <c r="J1100" i="4"/>
  <c r="I1101" i="4"/>
  <c r="J1101" i="4"/>
  <c r="I1102" i="4"/>
  <c r="J1102" i="4"/>
  <c r="I1103" i="4"/>
  <c r="J1103" i="4"/>
  <c r="I1104" i="4"/>
  <c r="J1104" i="4"/>
  <c r="I1105" i="4"/>
  <c r="J1105" i="4"/>
  <c r="I1106" i="4"/>
  <c r="J1106" i="4"/>
  <c r="I1107" i="4"/>
  <c r="J1107" i="4"/>
  <c r="I1108" i="4"/>
  <c r="J1108" i="4"/>
  <c r="I1109" i="4"/>
  <c r="J1109" i="4"/>
  <c r="I1110" i="4"/>
  <c r="J1110" i="4"/>
  <c r="I1111" i="4"/>
  <c r="J1111" i="4"/>
  <c r="I1112" i="4"/>
  <c r="J1112" i="4"/>
  <c r="I1113" i="4"/>
  <c r="J1113" i="4"/>
  <c r="I1114" i="4"/>
  <c r="J1114" i="4"/>
  <c r="I1115" i="4"/>
  <c r="J1115" i="4"/>
  <c r="I1116" i="4"/>
  <c r="J1116" i="4"/>
  <c r="I1117" i="4"/>
  <c r="J1117" i="4"/>
  <c r="I1118" i="4"/>
  <c r="J1118" i="4"/>
  <c r="I1119" i="4"/>
  <c r="J1119" i="4"/>
  <c r="I1120" i="4"/>
  <c r="J1120" i="4"/>
  <c r="I1121" i="4"/>
  <c r="J1121" i="4"/>
  <c r="I1122" i="4"/>
  <c r="J1122" i="4"/>
  <c r="I1123" i="4"/>
  <c r="J1123" i="4"/>
  <c r="I1124" i="4"/>
  <c r="J1124" i="4"/>
  <c r="I1125" i="4"/>
  <c r="J1125" i="4"/>
  <c r="I1126" i="4"/>
  <c r="J1126" i="4"/>
  <c r="I1127" i="4"/>
  <c r="J1127" i="4"/>
  <c r="I1128" i="4"/>
  <c r="J1128" i="4"/>
  <c r="I1129" i="4"/>
  <c r="J1129" i="4"/>
  <c r="I1130" i="4"/>
  <c r="J1130" i="4"/>
  <c r="I1131" i="4"/>
  <c r="J1131" i="4"/>
  <c r="I1132" i="4"/>
  <c r="J1132" i="4"/>
  <c r="I1133" i="4"/>
  <c r="J1133" i="4"/>
  <c r="I1134" i="4"/>
  <c r="J1134" i="4"/>
  <c r="I1135" i="4"/>
  <c r="J1135" i="4"/>
  <c r="I1136" i="4"/>
  <c r="J1136" i="4"/>
  <c r="I1137" i="4"/>
  <c r="J1137" i="4"/>
  <c r="I1138" i="4"/>
  <c r="J1138" i="4"/>
  <c r="I1139" i="4"/>
  <c r="J1139" i="4"/>
  <c r="I1140" i="4"/>
  <c r="J1140" i="4"/>
  <c r="I1141" i="4"/>
  <c r="J1141" i="4"/>
  <c r="I1142" i="4"/>
  <c r="J1142" i="4"/>
  <c r="I1143" i="4"/>
  <c r="J1143" i="4"/>
  <c r="I1144" i="4"/>
  <c r="J1144" i="4"/>
  <c r="I1145" i="4"/>
  <c r="J1145" i="4"/>
  <c r="I1146" i="4"/>
  <c r="J1146" i="4"/>
  <c r="I1147" i="4"/>
  <c r="J1147" i="4"/>
  <c r="I1148" i="4"/>
  <c r="J1148" i="4"/>
  <c r="I1149" i="4"/>
  <c r="J1149" i="4"/>
  <c r="I1150" i="4"/>
  <c r="J1150" i="4"/>
  <c r="I1151" i="4"/>
  <c r="J1151" i="4"/>
  <c r="I1152" i="4"/>
  <c r="J1152" i="4"/>
  <c r="I1153" i="4"/>
  <c r="J1153" i="4"/>
  <c r="I1154" i="4"/>
  <c r="J1154" i="4"/>
  <c r="I1155" i="4"/>
  <c r="J1155" i="4"/>
  <c r="I1156" i="4"/>
  <c r="J1156" i="4"/>
  <c r="I1157" i="4"/>
  <c r="J1157" i="4"/>
  <c r="I1158" i="4"/>
  <c r="J1158" i="4"/>
  <c r="I1159" i="4"/>
  <c r="J1159" i="4"/>
  <c r="I1160" i="4"/>
  <c r="J1160" i="4"/>
  <c r="I1161" i="4"/>
  <c r="J1161" i="4"/>
  <c r="I1162" i="4"/>
  <c r="J1162" i="4"/>
  <c r="I1163" i="4"/>
  <c r="J1163" i="4"/>
  <c r="I1164" i="4"/>
  <c r="J1164" i="4"/>
  <c r="I1165" i="4"/>
  <c r="J1165" i="4"/>
  <c r="I1166" i="4"/>
  <c r="J1166" i="4"/>
  <c r="I1167" i="4"/>
  <c r="J1167" i="4"/>
  <c r="I1168" i="4"/>
  <c r="J1168" i="4"/>
  <c r="I1169" i="4"/>
  <c r="J1169" i="4"/>
  <c r="I1170" i="4"/>
  <c r="J1170" i="4"/>
  <c r="I1171" i="4"/>
  <c r="J1171" i="4"/>
  <c r="I1172" i="4"/>
  <c r="J1172" i="4"/>
  <c r="I1173" i="4"/>
  <c r="J1173" i="4"/>
  <c r="I1174" i="4"/>
  <c r="J1174" i="4"/>
  <c r="I1175" i="4"/>
  <c r="J1175" i="4"/>
  <c r="I1176" i="4"/>
  <c r="J1176" i="4"/>
  <c r="I1177" i="4"/>
  <c r="J1177" i="4"/>
  <c r="I1178" i="4"/>
  <c r="J1178" i="4"/>
  <c r="I1179" i="4"/>
  <c r="J1179" i="4"/>
  <c r="I1180" i="4"/>
  <c r="J1180" i="4"/>
  <c r="I1181" i="4"/>
  <c r="J1181" i="4"/>
  <c r="I1182" i="4"/>
  <c r="J1182" i="4"/>
  <c r="I1183" i="4"/>
  <c r="J1183" i="4"/>
  <c r="I1184" i="4"/>
  <c r="J1184" i="4"/>
  <c r="I1185" i="4"/>
  <c r="J1185" i="4"/>
  <c r="I1186" i="4"/>
  <c r="J1186" i="4"/>
  <c r="I1187" i="4"/>
  <c r="J1187" i="4"/>
  <c r="I1188" i="4"/>
  <c r="J1188" i="4"/>
  <c r="I1189" i="4"/>
  <c r="J1189" i="4"/>
  <c r="I1190" i="4"/>
  <c r="J1190" i="4"/>
  <c r="I1191" i="4"/>
  <c r="J1191" i="4"/>
  <c r="I1192" i="4"/>
  <c r="J1192" i="4"/>
  <c r="I1193" i="4"/>
  <c r="J1193" i="4"/>
  <c r="I1194" i="4"/>
  <c r="J1194" i="4"/>
  <c r="I1195" i="4"/>
  <c r="J1195" i="4"/>
  <c r="I1196" i="4"/>
  <c r="J1196" i="4"/>
  <c r="I1197" i="4"/>
  <c r="J1197" i="4"/>
  <c r="I1198" i="4"/>
  <c r="J1198" i="4"/>
  <c r="I1199" i="4"/>
  <c r="J1199" i="4"/>
  <c r="I1200" i="4"/>
  <c r="J1200" i="4"/>
  <c r="I1201" i="4"/>
  <c r="J1201" i="4"/>
  <c r="I1202" i="4"/>
  <c r="J1202" i="4"/>
  <c r="I1203" i="4"/>
  <c r="J1203" i="4"/>
  <c r="I1204" i="4"/>
  <c r="J1204" i="4"/>
  <c r="I1205" i="4"/>
  <c r="J1205" i="4"/>
  <c r="I1206" i="4"/>
  <c r="J1206" i="4"/>
  <c r="I1207" i="4"/>
  <c r="J1207" i="4"/>
  <c r="I1208" i="4"/>
  <c r="J1208" i="4"/>
  <c r="I1209" i="4"/>
  <c r="J1209" i="4"/>
  <c r="I1210" i="4"/>
  <c r="J1210" i="4"/>
  <c r="I1211" i="4"/>
  <c r="J1211" i="4"/>
  <c r="I1212" i="4"/>
  <c r="J1212" i="4"/>
  <c r="I1213" i="4"/>
  <c r="J1213" i="4"/>
  <c r="I1214" i="4"/>
  <c r="J1214" i="4"/>
  <c r="I1215" i="4"/>
  <c r="J1215" i="4"/>
  <c r="I1216" i="4"/>
  <c r="J1216" i="4"/>
  <c r="I1217" i="4"/>
  <c r="J1217" i="4"/>
  <c r="I1218" i="4"/>
  <c r="J1218" i="4"/>
  <c r="I1219" i="4"/>
  <c r="J1219" i="4"/>
  <c r="I1220" i="4"/>
  <c r="J1220" i="4"/>
  <c r="I1221" i="4"/>
  <c r="J1221" i="4"/>
  <c r="I1222" i="4"/>
  <c r="J1222" i="4"/>
  <c r="I1223" i="4"/>
  <c r="J1223" i="4"/>
  <c r="I1224" i="4"/>
  <c r="J1224" i="4"/>
  <c r="I1225" i="4"/>
  <c r="J1225" i="4"/>
  <c r="I1226" i="4"/>
  <c r="J1226" i="4"/>
  <c r="I1227" i="4"/>
  <c r="J1227" i="4"/>
  <c r="I1228" i="4"/>
  <c r="J1228" i="4"/>
  <c r="I1229" i="4"/>
  <c r="J1229" i="4"/>
  <c r="I1230" i="4"/>
  <c r="J1230" i="4"/>
  <c r="I1231" i="4"/>
  <c r="J1231" i="4"/>
  <c r="I1232" i="4"/>
  <c r="J1232" i="4"/>
  <c r="I1233" i="4"/>
  <c r="J1233" i="4"/>
  <c r="I1234" i="4"/>
  <c r="J1234" i="4"/>
  <c r="I1235" i="4"/>
  <c r="J1235" i="4"/>
  <c r="I1236" i="4"/>
  <c r="J1236" i="4"/>
  <c r="I1237" i="4"/>
  <c r="J1237" i="4"/>
  <c r="I1238" i="4"/>
  <c r="J1238" i="4"/>
  <c r="I1239" i="4"/>
  <c r="J1239" i="4"/>
  <c r="I1240" i="4"/>
  <c r="J1240" i="4"/>
  <c r="I1241" i="4"/>
  <c r="J1241" i="4"/>
  <c r="I1242" i="4"/>
  <c r="J1242" i="4"/>
  <c r="I1243" i="4"/>
  <c r="J1243" i="4"/>
  <c r="I1244" i="4"/>
  <c r="J1244" i="4"/>
  <c r="I1245" i="4"/>
  <c r="J1245" i="4"/>
  <c r="I1246" i="4"/>
  <c r="J1246" i="4"/>
  <c r="I1247" i="4"/>
  <c r="J1247" i="4"/>
  <c r="I1248" i="4"/>
  <c r="J1248" i="4"/>
  <c r="I1249" i="4"/>
  <c r="J1249" i="4"/>
  <c r="I1250" i="4"/>
  <c r="J1250" i="4"/>
  <c r="I1251" i="4"/>
  <c r="J1251" i="4"/>
  <c r="I1252" i="4"/>
  <c r="J1252" i="4"/>
  <c r="I1253" i="4"/>
  <c r="J1253" i="4"/>
  <c r="I1254" i="4"/>
  <c r="J1254" i="4"/>
  <c r="I1255" i="4"/>
  <c r="J1255" i="4"/>
  <c r="I1256" i="4"/>
  <c r="J1256" i="4"/>
  <c r="I1257" i="4"/>
  <c r="J1257" i="4"/>
  <c r="I1258" i="4"/>
  <c r="J1258" i="4"/>
  <c r="I1259" i="4"/>
  <c r="J1259" i="4"/>
  <c r="I1260" i="4"/>
  <c r="J1260" i="4"/>
  <c r="I1261" i="4"/>
  <c r="J1261" i="4"/>
  <c r="I1262" i="4"/>
  <c r="J1262" i="4"/>
  <c r="I1263" i="4"/>
  <c r="J1263" i="4"/>
  <c r="I1264" i="4"/>
  <c r="J1264" i="4"/>
  <c r="I1265" i="4"/>
  <c r="J1265" i="4"/>
  <c r="I1266" i="4"/>
  <c r="J1266" i="4"/>
  <c r="I1267" i="4"/>
  <c r="J1267" i="4"/>
  <c r="I1268" i="4"/>
  <c r="J1268" i="4"/>
  <c r="I1269" i="4"/>
  <c r="J1269" i="4"/>
  <c r="I1270" i="4"/>
  <c r="J1270" i="4"/>
  <c r="I1271" i="4"/>
  <c r="J1271" i="4"/>
  <c r="I1272" i="4"/>
  <c r="J1272" i="4"/>
  <c r="I1273" i="4"/>
  <c r="J1273" i="4"/>
  <c r="I1274" i="4"/>
  <c r="J1274" i="4"/>
  <c r="I1275" i="4"/>
  <c r="J1275" i="4"/>
  <c r="I1276" i="4"/>
  <c r="J1276" i="4"/>
  <c r="I1277" i="4"/>
  <c r="J1277" i="4"/>
  <c r="I1278" i="4"/>
  <c r="J1278" i="4"/>
  <c r="I1279" i="4"/>
  <c r="J1279" i="4"/>
  <c r="I1280" i="4"/>
  <c r="J1280" i="4"/>
  <c r="I1281" i="4"/>
  <c r="J1281" i="4"/>
  <c r="I1282" i="4"/>
  <c r="J1282" i="4"/>
  <c r="I1283" i="4"/>
  <c r="J1283" i="4"/>
  <c r="I1284" i="4"/>
  <c r="J1284" i="4"/>
  <c r="I1285" i="4"/>
  <c r="J1285" i="4"/>
  <c r="I1286" i="4"/>
  <c r="J1286" i="4"/>
  <c r="I1287" i="4"/>
  <c r="J1287" i="4"/>
  <c r="I1288" i="4"/>
  <c r="J1288" i="4"/>
  <c r="I1289" i="4"/>
  <c r="J1289" i="4"/>
  <c r="I1290" i="4"/>
  <c r="J1290" i="4"/>
  <c r="I1291" i="4"/>
  <c r="J1291" i="4"/>
  <c r="I1292" i="4"/>
  <c r="J1292" i="4"/>
  <c r="I1293" i="4"/>
  <c r="J1293" i="4"/>
  <c r="I1294" i="4"/>
  <c r="J1294" i="4"/>
  <c r="I1295" i="4"/>
  <c r="J1295" i="4"/>
  <c r="I1296" i="4"/>
  <c r="J1296" i="4"/>
  <c r="I1297" i="4"/>
  <c r="J1297" i="4"/>
  <c r="I1298" i="4"/>
  <c r="J1298" i="4"/>
  <c r="I1299" i="4"/>
  <c r="J1299" i="4"/>
  <c r="I1300" i="4"/>
  <c r="J1300" i="4"/>
  <c r="I1301" i="4"/>
  <c r="J1301" i="4"/>
  <c r="I1302" i="4"/>
  <c r="J1302" i="4"/>
  <c r="I1303" i="4"/>
  <c r="J1303" i="4"/>
  <c r="I1304" i="4"/>
  <c r="J1304" i="4"/>
  <c r="I1305" i="4"/>
  <c r="J1305" i="4"/>
  <c r="I1306" i="4"/>
  <c r="J1306" i="4"/>
  <c r="I1307" i="4"/>
  <c r="J1307" i="4"/>
  <c r="I1308" i="4"/>
  <c r="J1308" i="4"/>
  <c r="I1309" i="4"/>
  <c r="J1309" i="4"/>
  <c r="I1310" i="4"/>
  <c r="J1310" i="4"/>
  <c r="I1311" i="4"/>
  <c r="J1311" i="4"/>
  <c r="I1312" i="4"/>
  <c r="J1312" i="4"/>
  <c r="I1313" i="4"/>
  <c r="J1313" i="4"/>
  <c r="I1314" i="4"/>
  <c r="J1314" i="4"/>
  <c r="I1315" i="4"/>
  <c r="J1315" i="4"/>
  <c r="I1316" i="4"/>
  <c r="J1316" i="4"/>
  <c r="I1317" i="4"/>
  <c r="J1317" i="4"/>
  <c r="I1318" i="4"/>
  <c r="J1318" i="4"/>
  <c r="I1319" i="4"/>
  <c r="J1319" i="4"/>
  <c r="I1320" i="4"/>
  <c r="J1320" i="4"/>
  <c r="I1321" i="4"/>
  <c r="J1321" i="4"/>
  <c r="I1322" i="4"/>
  <c r="J1322" i="4"/>
  <c r="I1323" i="4"/>
  <c r="J1323" i="4"/>
  <c r="I1324" i="4"/>
  <c r="J1324" i="4"/>
  <c r="I1325" i="4"/>
  <c r="J1325" i="4"/>
  <c r="I1326" i="4"/>
  <c r="J1326" i="4"/>
  <c r="I1327" i="4"/>
  <c r="J1327" i="4"/>
  <c r="I1328" i="4"/>
  <c r="J1328" i="4"/>
  <c r="I1329" i="4"/>
  <c r="J1329" i="4"/>
  <c r="I1330" i="4"/>
  <c r="J1330" i="4"/>
  <c r="I1331" i="4"/>
  <c r="J1331" i="4"/>
  <c r="I1332" i="4"/>
  <c r="J1332" i="4"/>
  <c r="I1333" i="4"/>
  <c r="J1333" i="4"/>
  <c r="I1334" i="4"/>
  <c r="J1334" i="4"/>
  <c r="I1335" i="4"/>
  <c r="J1335" i="4"/>
  <c r="I1336" i="4"/>
  <c r="J1336" i="4"/>
  <c r="I1337" i="4"/>
  <c r="J1337" i="4"/>
  <c r="I1338" i="4"/>
  <c r="J1338" i="4"/>
  <c r="I1339" i="4"/>
  <c r="J1339" i="4"/>
  <c r="I1340" i="4"/>
  <c r="J1340" i="4"/>
  <c r="I1341" i="4"/>
  <c r="J1341" i="4"/>
  <c r="I1342" i="4"/>
  <c r="J1342" i="4"/>
  <c r="I1343" i="4"/>
  <c r="J1343" i="4"/>
  <c r="I1344" i="4"/>
  <c r="J1344" i="4"/>
  <c r="I1345" i="4"/>
  <c r="J1345" i="4"/>
  <c r="I1346" i="4"/>
  <c r="J1346" i="4"/>
  <c r="I1347" i="4"/>
  <c r="J1347" i="4"/>
  <c r="I1348" i="4"/>
  <c r="J1348" i="4"/>
  <c r="I1349" i="4"/>
  <c r="J1349" i="4"/>
  <c r="I1350" i="4"/>
  <c r="J1350" i="4"/>
  <c r="I1351" i="4"/>
  <c r="J1351" i="4"/>
  <c r="I1352" i="4"/>
  <c r="J1352" i="4"/>
  <c r="I1353" i="4"/>
  <c r="J1353" i="4"/>
  <c r="I1354" i="4"/>
  <c r="J1354" i="4"/>
  <c r="I1355" i="4"/>
  <c r="J1355" i="4"/>
  <c r="I1356" i="4"/>
  <c r="J1356" i="4"/>
  <c r="I1357" i="4"/>
  <c r="J1357" i="4"/>
  <c r="I1358" i="4"/>
  <c r="J1358" i="4"/>
  <c r="I1359" i="4"/>
  <c r="J1359" i="4"/>
  <c r="I1360" i="4"/>
  <c r="J1360" i="4"/>
  <c r="I1361" i="4"/>
  <c r="J1361" i="4"/>
  <c r="I1362" i="4"/>
  <c r="J1362" i="4"/>
  <c r="I1363" i="4"/>
  <c r="J1363" i="4"/>
  <c r="I1364" i="4"/>
  <c r="J1364" i="4"/>
  <c r="I1365" i="4"/>
  <c r="J1365" i="4"/>
  <c r="I1366" i="4"/>
  <c r="J1366" i="4"/>
  <c r="I1367" i="4"/>
  <c r="J1367" i="4"/>
  <c r="I1368" i="4"/>
  <c r="J1368" i="4"/>
  <c r="I1369" i="4"/>
  <c r="J1369" i="4"/>
  <c r="I1370" i="4"/>
  <c r="J1370" i="4"/>
  <c r="I1371" i="4"/>
  <c r="J1371" i="4"/>
  <c r="I1372" i="4"/>
  <c r="J1372" i="4"/>
  <c r="I1373" i="4"/>
  <c r="J1373" i="4"/>
  <c r="I1374" i="4"/>
  <c r="J1374" i="4"/>
  <c r="I1375" i="4"/>
  <c r="J1375" i="4"/>
  <c r="I1376" i="4"/>
  <c r="J1376" i="4"/>
  <c r="I1377" i="4"/>
  <c r="J1377" i="4"/>
  <c r="I1378" i="4"/>
  <c r="J1378" i="4"/>
  <c r="I1379" i="4"/>
  <c r="J1379" i="4"/>
  <c r="I1380" i="4"/>
  <c r="J1380" i="4"/>
  <c r="I1381" i="4"/>
  <c r="J1381" i="4"/>
  <c r="I1382" i="4"/>
  <c r="J1382" i="4"/>
  <c r="I1383" i="4"/>
  <c r="J1383" i="4"/>
  <c r="I1384" i="4"/>
  <c r="J1384" i="4"/>
  <c r="I1385" i="4"/>
  <c r="J1385" i="4"/>
  <c r="I1386" i="4"/>
  <c r="J1386" i="4"/>
  <c r="I1387" i="4"/>
  <c r="J1387" i="4"/>
  <c r="I1388" i="4"/>
  <c r="J1388" i="4"/>
  <c r="I1389" i="4"/>
  <c r="J1389" i="4"/>
  <c r="I1390" i="4"/>
  <c r="J1390" i="4"/>
  <c r="I1391" i="4"/>
  <c r="J1391" i="4"/>
  <c r="I1392" i="4"/>
  <c r="J1392" i="4"/>
  <c r="I1393" i="4"/>
  <c r="J1393" i="4"/>
  <c r="I1394" i="4"/>
  <c r="J1394" i="4"/>
  <c r="I1395" i="4"/>
  <c r="J1395" i="4"/>
  <c r="I1396" i="4"/>
  <c r="J1396" i="4"/>
  <c r="I1397" i="4"/>
  <c r="J1397" i="4"/>
  <c r="I1398" i="4"/>
  <c r="J1398" i="4"/>
  <c r="I1399" i="4"/>
  <c r="J1399" i="4"/>
  <c r="I1400" i="4"/>
  <c r="J1400" i="4"/>
  <c r="I1401" i="4"/>
  <c r="J1401" i="4"/>
  <c r="I1402" i="4"/>
  <c r="J1402" i="4"/>
  <c r="I1403" i="4"/>
  <c r="J1403" i="4"/>
  <c r="I1404" i="4"/>
  <c r="J1404" i="4"/>
  <c r="I1405" i="4"/>
  <c r="J1405" i="4"/>
  <c r="I1406" i="4"/>
  <c r="J1406" i="4"/>
  <c r="I1407" i="4"/>
  <c r="J1407" i="4"/>
  <c r="I1408" i="4"/>
  <c r="J1408" i="4"/>
  <c r="I1409" i="4"/>
  <c r="J1409" i="4"/>
  <c r="I1410" i="4"/>
  <c r="J1410" i="4"/>
  <c r="I1411" i="4"/>
  <c r="J1411" i="4"/>
  <c r="I1412" i="4"/>
  <c r="J1412" i="4"/>
  <c r="I1413" i="4"/>
  <c r="J1413" i="4"/>
  <c r="I1414" i="4"/>
  <c r="J1414" i="4"/>
  <c r="I1415" i="4"/>
  <c r="J1415" i="4"/>
  <c r="I1416" i="4"/>
  <c r="J1416" i="4"/>
  <c r="I1417" i="4"/>
  <c r="J1417" i="4"/>
  <c r="I1418" i="4"/>
  <c r="J1418" i="4"/>
  <c r="I1419" i="4"/>
  <c r="J1419" i="4"/>
  <c r="I1420" i="4"/>
  <c r="J1420" i="4"/>
  <c r="I1421" i="4"/>
  <c r="J1421" i="4"/>
  <c r="I1422" i="4"/>
  <c r="J1422" i="4"/>
  <c r="I1423" i="4"/>
  <c r="J1423" i="4"/>
  <c r="I1424" i="4"/>
  <c r="J1424" i="4"/>
  <c r="I1425" i="4"/>
  <c r="J1425" i="4"/>
  <c r="I1426" i="4"/>
  <c r="J1426" i="4"/>
  <c r="I1427" i="4"/>
  <c r="J1427" i="4"/>
  <c r="I1428" i="4"/>
  <c r="J1428" i="4"/>
  <c r="I1429" i="4"/>
  <c r="J1429" i="4"/>
  <c r="I1430" i="4"/>
  <c r="J1430" i="4"/>
  <c r="I1431" i="4"/>
  <c r="J1431" i="4"/>
  <c r="I1432" i="4"/>
  <c r="J1432" i="4"/>
  <c r="I1433" i="4"/>
  <c r="J1433" i="4"/>
  <c r="I1434" i="4"/>
  <c r="J1434" i="4"/>
  <c r="I1435" i="4"/>
  <c r="J1435" i="4"/>
  <c r="I1436" i="4"/>
  <c r="J1436" i="4"/>
  <c r="I1437" i="4"/>
  <c r="J1437" i="4"/>
  <c r="I1438" i="4"/>
  <c r="J1438" i="4"/>
  <c r="I1439" i="4"/>
  <c r="J1439" i="4"/>
  <c r="I1440" i="4"/>
  <c r="J1440" i="4"/>
  <c r="I1441" i="4"/>
  <c r="J1441" i="4"/>
  <c r="I1442" i="4"/>
  <c r="J1442" i="4"/>
  <c r="I1443" i="4"/>
  <c r="J1443" i="4"/>
  <c r="I1444" i="4"/>
  <c r="J1444" i="4"/>
  <c r="I1445" i="4"/>
  <c r="J1445" i="4"/>
  <c r="I1446" i="4"/>
  <c r="J1446" i="4"/>
  <c r="I1447" i="4"/>
  <c r="J1447" i="4"/>
  <c r="I1448" i="4"/>
  <c r="J1448" i="4"/>
  <c r="I1449" i="4"/>
  <c r="J1449" i="4"/>
  <c r="I1450" i="4"/>
  <c r="J1450" i="4"/>
  <c r="I1451" i="4"/>
  <c r="J1451" i="4"/>
  <c r="I1452" i="4"/>
  <c r="J1452" i="4"/>
  <c r="I1453" i="4"/>
  <c r="J1453" i="4"/>
  <c r="I1454" i="4"/>
  <c r="J1454" i="4"/>
  <c r="I1455" i="4"/>
  <c r="J1455" i="4"/>
  <c r="I1456" i="4"/>
  <c r="J1456" i="4"/>
  <c r="I1457" i="4"/>
  <c r="J1457" i="4"/>
  <c r="I1458" i="4"/>
  <c r="J1458" i="4"/>
  <c r="I1459" i="4"/>
  <c r="J1459" i="4"/>
  <c r="I1460" i="4"/>
  <c r="J1460" i="4"/>
  <c r="I1461" i="4"/>
  <c r="J1461" i="4"/>
  <c r="I1462" i="4"/>
  <c r="J1462" i="4"/>
  <c r="I1463" i="4"/>
  <c r="J1463" i="4"/>
  <c r="I1464" i="4"/>
  <c r="J1464" i="4"/>
  <c r="I1465" i="4"/>
  <c r="J1465" i="4"/>
  <c r="I1466" i="4"/>
  <c r="J1466" i="4"/>
  <c r="I1467" i="4"/>
  <c r="J1467" i="4"/>
  <c r="I1468" i="4"/>
  <c r="J1468" i="4"/>
  <c r="I1469" i="4"/>
  <c r="J1469" i="4"/>
  <c r="I1470" i="4"/>
  <c r="J1470" i="4"/>
  <c r="I1471" i="4"/>
  <c r="J1471" i="4"/>
  <c r="I1472" i="4"/>
  <c r="J1472" i="4"/>
  <c r="I1473" i="4"/>
  <c r="J1473" i="4"/>
  <c r="I1474" i="4"/>
  <c r="J1474" i="4"/>
  <c r="I1475" i="4"/>
  <c r="J1475" i="4"/>
  <c r="I1476" i="4"/>
  <c r="J1476" i="4"/>
  <c r="I1477" i="4"/>
  <c r="J1477" i="4"/>
  <c r="I1478" i="4"/>
  <c r="J1478" i="4"/>
  <c r="I1479" i="4"/>
  <c r="J1479" i="4"/>
  <c r="I1480" i="4"/>
  <c r="J1480" i="4"/>
  <c r="I1481" i="4"/>
  <c r="J1481" i="4"/>
  <c r="I1482" i="4"/>
  <c r="J1482" i="4"/>
  <c r="I1483" i="4"/>
  <c r="J1483" i="4"/>
  <c r="I1484" i="4"/>
  <c r="J1484" i="4"/>
  <c r="I1485" i="4"/>
  <c r="J1485" i="4"/>
  <c r="I1486" i="4"/>
  <c r="J1486" i="4"/>
  <c r="I1487" i="4"/>
  <c r="J1487" i="4"/>
  <c r="I1488" i="4"/>
  <c r="J1488" i="4"/>
  <c r="I1489" i="4"/>
  <c r="J1489" i="4"/>
  <c r="I1490" i="4"/>
  <c r="J1490" i="4"/>
  <c r="I1491" i="4"/>
  <c r="J1491" i="4"/>
  <c r="I1492" i="4"/>
  <c r="J1492" i="4"/>
  <c r="I1493" i="4"/>
  <c r="J1493" i="4"/>
  <c r="I1494" i="4"/>
  <c r="J1494" i="4"/>
  <c r="I1495" i="4"/>
  <c r="J1495" i="4"/>
  <c r="I1496" i="4"/>
  <c r="J1496" i="4"/>
  <c r="I1497" i="4"/>
  <c r="J1497" i="4"/>
  <c r="I1498" i="4"/>
  <c r="J1498" i="4"/>
  <c r="I1499" i="4"/>
  <c r="J1499" i="4"/>
  <c r="I1500" i="4"/>
  <c r="J1500" i="4"/>
  <c r="I1501" i="4"/>
  <c r="J1501" i="4"/>
  <c r="I1502" i="4"/>
  <c r="J1502" i="4"/>
  <c r="I1503" i="4"/>
  <c r="J1503" i="4"/>
  <c r="I1504" i="4"/>
  <c r="J1504" i="4"/>
  <c r="I1505" i="4"/>
  <c r="J1505" i="4"/>
  <c r="I1506" i="4"/>
  <c r="J1506" i="4"/>
  <c r="I1507" i="4"/>
  <c r="J1507" i="4"/>
  <c r="I1508" i="4"/>
  <c r="J1508" i="4"/>
  <c r="I1509" i="4"/>
  <c r="J1509" i="4"/>
  <c r="I1510" i="4"/>
  <c r="J1510" i="4"/>
  <c r="I1511" i="4"/>
  <c r="J1511" i="4"/>
  <c r="I1512" i="4"/>
  <c r="J1512" i="4"/>
  <c r="I1513" i="4"/>
  <c r="J1513" i="4"/>
  <c r="I1514" i="4"/>
  <c r="J1514" i="4"/>
  <c r="I1515" i="4"/>
  <c r="J1515" i="4"/>
  <c r="I1516" i="4"/>
  <c r="J1516" i="4"/>
  <c r="I1517" i="4"/>
  <c r="J1517" i="4"/>
  <c r="I1518" i="4"/>
  <c r="J1518" i="4"/>
  <c r="I1519" i="4"/>
  <c r="J1519" i="4"/>
  <c r="I1520" i="4"/>
  <c r="J1520" i="4"/>
  <c r="I1521" i="4"/>
  <c r="J1521" i="4"/>
  <c r="I1522" i="4"/>
  <c r="J1522" i="4"/>
  <c r="I1523" i="4"/>
  <c r="J1523" i="4"/>
  <c r="I1524" i="4"/>
  <c r="J1524" i="4"/>
  <c r="I1525" i="4"/>
  <c r="J1525" i="4"/>
  <c r="I1526" i="4"/>
  <c r="J1526" i="4"/>
  <c r="I1527" i="4"/>
  <c r="J1527" i="4"/>
  <c r="I1528" i="4"/>
  <c r="J1528" i="4"/>
  <c r="I1529" i="4"/>
  <c r="J1529" i="4"/>
  <c r="I1530" i="4"/>
  <c r="J1530" i="4"/>
  <c r="I1531" i="4"/>
  <c r="J1531" i="4"/>
  <c r="I1532" i="4"/>
  <c r="J1532" i="4"/>
  <c r="I1533" i="4"/>
  <c r="J1533" i="4"/>
  <c r="I1534" i="4"/>
  <c r="J1534" i="4"/>
  <c r="I1535" i="4"/>
  <c r="J1535" i="4"/>
  <c r="I1536" i="4"/>
  <c r="J1536" i="4"/>
  <c r="I1537" i="4"/>
  <c r="J1537" i="4"/>
  <c r="I1538" i="4"/>
  <c r="J1538" i="4"/>
  <c r="I1539" i="4"/>
  <c r="J1539" i="4"/>
  <c r="I1540" i="4"/>
  <c r="J1540" i="4"/>
  <c r="I1541" i="4"/>
  <c r="J1541" i="4"/>
  <c r="I1542" i="4"/>
  <c r="J1542" i="4"/>
  <c r="I1543" i="4"/>
  <c r="J1543" i="4"/>
  <c r="I1544" i="4"/>
  <c r="J1544" i="4"/>
  <c r="I1545" i="4"/>
  <c r="J1545" i="4"/>
  <c r="I1546" i="4"/>
  <c r="J1546" i="4"/>
  <c r="I1547" i="4"/>
  <c r="J1547" i="4"/>
  <c r="I1548" i="4"/>
  <c r="J1548" i="4"/>
  <c r="I1549" i="4"/>
  <c r="J1549" i="4"/>
  <c r="I1550" i="4"/>
  <c r="J1550" i="4"/>
  <c r="I1551" i="4"/>
  <c r="J1551" i="4"/>
  <c r="I1552" i="4"/>
  <c r="J1552" i="4"/>
  <c r="I1553" i="4"/>
  <c r="J1553" i="4"/>
  <c r="I1554" i="4"/>
  <c r="J1554" i="4"/>
  <c r="I1555" i="4"/>
  <c r="J1555" i="4"/>
  <c r="I1556" i="4"/>
  <c r="J1556" i="4"/>
  <c r="I1557" i="4"/>
  <c r="J1557" i="4"/>
  <c r="I1558" i="4"/>
  <c r="J1558" i="4"/>
  <c r="I1559" i="4"/>
  <c r="J1559" i="4"/>
  <c r="I1560" i="4"/>
  <c r="J1560" i="4"/>
  <c r="I1561" i="4"/>
  <c r="J1561" i="4"/>
  <c r="I1562" i="4"/>
  <c r="J1562" i="4"/>
  <c r="I1563" i="4"/>
  <c r="J1563" i="4"/>
  <c r="I1564" i="4"/>
  <c r="J1564" i="4"/>
  <c r="I1565" i="4"/>
  <c r="J1565" i="4"/>
  <c r="I1566" i="4"/>
  <c r="J1566" i="4"/>
  <c r="I1567" i="4"/>
  <c r="J1567" i="4"/>
  <c r="I1568" i="4"/>
  <c r="J1568" i="4"/>
  <c r="I1569" i="4"/>
  <c r="J1569" i="4"/>
  <c r="I1570" i="4"/>
  <c r="J1570" i="4"/>
  <c r="I1571" i="4"/>
  <c r="J1571" i="4"/>
  <c r="I1572" i="4"/>
  <c r="J1572" i="4"/>
  <c r="I1573" i="4"/>
  <c r="J1573" i="4"/>
  <c r="I1574" i="4"/>
  <c r="J1574" i="4"/>
  <c r="I1575" i="4"/>
  <c r="J1575" i="4"/>
  <c r="I1576" i="4"/>
  <c r="J1576" i="4"/>
  <c r="I1577" i="4"/>
  <c r="J1577" i="4"/>
  <c r="I1578" i="4"/>
  <c r="J1578" i="4"/>
  <c r="I1579" i="4"/>
  <c r="J1579" i="4"/>
  <c r="I1580" i="4"/>
  <c r="J1580" i="4"/>
  <c r="I1581" i="4"/>
  <c r="J1581" i="4"/>
  <c r="I1582" i="4"/>
  <c r="J1582" i="4"/>
  <c r="I1583" i="4"/>
  <c r="J1583" i="4"/>
  <c r="I1584" i="4"/>
  <c r="J1584" i="4"/>
  <c r="I1585" i="4"/>
  <c r="J1585" i="4"/>
  <c r="I1586" i="4"/>
  <c r="J1586" i="4"/>
  <c r="I1587" i="4"/>
  <c r="J1587" i="4"/>
  <c r="I1588" i="4"/>
  <c r="J1588" i="4"/>
  <c r="I1589" i="4"/>
  <c r="J1589" i="4"/>
  <c r="I1590" i="4"/>
  <c r="J1590" i="4"/>
  <c r="I1591" i="4"/>
  <c r="J1591" i="4"/>
  <c r="I1592" i="4"/>
  <c r="J1592" i="4"/>
  <c r="I1593" i="4"/>
  <c r="J1593" i="4"/>
  <c r="I1594" i="4"/>
  <c r="J1594" i="4"/>
  <c r="I1595" i="4"/>
  <c r="J1595" i="4"/>
  <c r="I1596" i="4"/>
  <c r="J1596" i="4"/>
  <c r="I1597" i="4"/>
  <c r="J1597" i="4"/>
  <c r="I1598" i="4"/>
  <c r="J1598" i="4"/>
  <c r="I1599" i="4"/>
  <c r="J1599" i="4"/>
  <c r="I1600" i="4"/>
  <c r="J1600" i="4"/>
  <c r="I1601" i="4"/>
  <c r="J1601" i="4"/>
  <c r="I1602" i="4"/>
  <c r="J1602" i="4"/>
  <c r="I1603" i="4"/>
  <c r="J1603" i="4"/>
  <c r="I1604" i="4"/>
  <c r="J1604" i="4"/>
  <c r="I1605" i="4"/>
  <c r="J1605" i="4"/>
  <c r="I1606" i="4"/>
  <c r="J1606" i="4"/>
  <c r="I1607" i="4"/>
  <c r="J1607" i="4"/>
  <c r="I1608" i="4"/>
  <c r="J1608" i="4"/>
  <c r="I1609" i="4"/>
  <c r="J1609" i="4"/>
  <c r="I1610" i="4"/>
  <c r="J1610" i="4"/>
  <c r="I1611" i="4"/>
  <c r="J1611" i="4"/>
  <c r="I1612" i="4"/>
  <c r="J1612" i="4"/>
  <c r="I1613" i="4"/>
  <c r="J1613" i="4"/>
  <c r="I1614" i="4"/>
  <c r="J1614" i="4"/>
  <c r="I1615" i="4"/>
  <c r="J1615" i="4"/>
  <c r="I1616" i="4"/>
  <c r="J1616" i="4"/>
  <c r="I1617" i="4"/>
  <c r="J1617" i="4"/>
  <c r="I1618" i="4"/>
  <c r="J1618" i="4"/>
  <c r="I1619" i="4"/>
  <c r="J1619" i="4"/>
  <c r="I1620" i="4"/>
  <c r="J1620" i="4"/>
  <c r="I1621" i="4"/>
  <c r="J1621" i="4"/>
  <c r="I1622" i="4"/>
  <c r="J1622" i="4"/>
  <c r="I1623" i="4"/>
  <c r="J1623" i="4"/>
  <c r="I1624" i="4"/>
  <c r="J1624" i="4"/>
  <c r="I1625" i="4"/>
  <c r="J1625" i="4"/>
  <c r="I1626" i="4"/>
  <c r="J1626" i="4"/>
  <c r="I1627" i="4"/>
  <c r="J1627" i="4"/>
  <c r="I1628" i="4"/>
  <c r="J1628" i="4"/>
  <c r="I1629" i="4"/>
  <c r="J1629" i="4"/>
  <c r="I1630" i="4"/>
  <c r="J1630" i="4"/>
  <c r="I1631" i="4"/>
  <c r="J1631" i="4"/>
  <c r="I1632" i="4"/>
  <c r="J1632" i="4"/>
  <c r="I1633" i="4"/>
  <c r="J1633" i="4"/>
  <c r="I1634" i="4"/>
  <c r="J1634" i="4"/>
  <c r="I1635" i="4"/>
  <c r="J1635" i="4"/>
  <c r="I1636" i="4"/>
  <c r="J1636" i="4"/>
  <c r="I1637" i="4"/>
  <c r="J1637" i="4"/>
  <c r="I1638" i="4"/>
  <c r="J1638" i="4"/>
  <c r="I1639" i="4"/>
  <c r="J1639" i="4"/>
  <c r="I1640" i="4"/>
  <c r="J1640" i="4"/>
  <c r="I1641" i="4"/>
  <c r="J1641" i="4"/>
  <c r="I1642" i="4"/>
  <c r="J1642" i="4"/>
  <c r="I1643" i="4"/>
  <c r="J1643" i="4"/>
  <c r="I1644" i="4"/>
  <c r="J1644" i="4"/>
  <c r="I1645" i="4"/>
  <c r="J1645" i="4"/>
  <c r="I1646" i="4"/>
  <c r="J1646" i="4"/>
  <c r="I1647" i="4"/>
  <c r="J1647" i="4"/>
  <c r="I1648" i="4"/>
  <c r="J1648" i="4"/>
  <c r="I1649" i="4"/>
  <c r="J1649" i="4"/>
  <c r="I1650" i="4"/>
  <c r="J1650" i="4"/>
  <c r="I1651" i="4"/>
  <c r="J1651" i="4"/>
  <c r="I1652" i="4"/>
  <c r="J1652" i="4"/>
  <c r="I1653" i="4"/>
  <c r="J1653" i="4"/>
  <c r="I1654" i="4"/>
  <c r="J1654" i="4"/>
  <c r="I1655" i="4"/>
  <c r="J1655" i="4"/>
  <c r="I1656" i="4"/>
  <c r="J1656" i="4"/>
  <c r="I1657" i="4"/>
  <c r="J1657" i="4"/>
  <c r="I1658" i="4"/>
  <c r="J1658" i="4"/>
  <c r="I1659" i="4"/>
  <c r="J1659" i="4"/>
  <c r="I1660" i="4"/>
  <c r="J1660" i="4"/>
  <c r="I1661" i="4"/>
  <c r="J1661" i="4"/>
  <c r="I1662" i="4"/>
  <c r="J1662" i="4"/>
  <c r="I1663" i="4"/>
  <c r="J1663" i="4"/>
  <c r="I1664" i="4"/>
  <c r="J1664" i="4"/>
  <c r="I1665" i="4"/>
  <c r="J1665" i="4"/>
  <c r="I1666" i="4"/>
  <c r="J1666" i="4"/>
  <c r="I1667" i="4"/>
  <c r="J1667" i="4"/>
  <c r="I1668" i="4"/>
  <c r="J1668" i="4"/>
  <c r="I1669" i="4"/>
  <c r="J1669" i="4"/>
  <c r="I1670" i="4"/>
  <c r="J1670" i="4"/>
  <c r="I1671" i="4"/>
  <c r="J1671" i="4"/>
  <c r="I1672" i="4"/>
  <c r="J1672" i="4"/>
  <c r="I1673" i="4"/>
  <c r="J1673" i="4"/>
  <c r="I1674" i="4"/>
  <c r="J1674" i="4"/>
  <c r="I1675" i="4"/>
  <c r="J1675" i="4"/>
  <c r="I1676" i="4"/>
  <c r="J1676" i="4"/>
  <c r="I1677" i="4"/>
  <c r="J1677" i="4"/>
  <c r="I1678" i="4"/>
  <c r="J1678" i="4"/>
  <c r="I1679" i="4"/>
  <c r="J1679" i="4"/>
  <c r="I1680" i="4"/>
  <c r="J1680" i="4"/>
  <c r="I1681" i="4"/>
  <c r="J1681" i="4"/>
  <c r="I1682" i="4"/>
  <c r="J1682" i="4"/>
  <c r="I1683" i="4"/>
  <c r="J1683" i="4"/>
  <c r="I1684" i="4"/>
  <c r="J1684" i="4"/>
  <c r="I1685" i="4"/>
  <c r="J1685" i="4"/>
  <c r="I1686" i="4"/>
  <c r="J1686" i="4"/>
  <c r="I1687" i="4"/>
  <c r="J1687" i="4"/>
  <c r="I1688" i="4"/>
  <c r="J1688" i="4"/>
  <c r="I1689" i="4"/>
  <c r="J1689" i="4"/>
  <c r="I1690" i="4"/>
  <c r="J1690" i="4"/>
  <c r="I1691" i="4"/>
  <c r="J1691" i="4"/>
  <c r="I1692" i="4"/>
  <c r="J1692" i="4"/>
  <c r="I1693" i="4"/>
  <c r="J1693" i="4"/>
  <c r="I1694" i="4"/>
  <c r="J1694" i="4"/>
  <c r="I1695" i="4"/>
  <c r="J1695" i="4"/>
  <c r="I1696" i="4"/>
  <c r="J1696" i="4"/>
  <c r="I1697" i="4"/>
  <c r="J1697" i="4"/>
  <c r="I1698" i="4"/>
  <c r="J1698" i="4"/>
  <c r="I1699" i="4"/>
  <c r="J1699" i="4"/>
  <c r="I1700" i="4"/>
  <c r="J1700" i="4"/>
  <c r="I1701" i="4"/>
  <c r="J1701" i="4"/>
  <c r="I1702" i="4"/>
  <c r="J1702" i="4"/>
  <c r="I1703" i="4"/>
  <c r="J1703" i="4"/>
  <c r="I1704" i="4"/>
  <c r="J1704" i="4"/>
  <c r="I1705" i="4"/>
  <c r="J1705" i="4"/>
  <c r="I1706" i="4"/>
  <c r="J1706" i="4"/>
  <c r="I1707" i="4"/>
  <c r="J1707" i="4"/>
  <c r="I1708" i="4"/>
  <c r="J1708" i="4"/>
  <c r="I1709" i="4"/>
  <c r="J1709" i="4"/>
  <c r="I1710" i="4"/>
  <c r="J1710" i="4"/>
  <c r="I1711" i="4"/>
  <c r="J1711" i="4"/>
  <c r="I1712" i="4"/>
  <c r="J1712" i="4"/>
  <c r="I1713" i="4"/>
  <c r="J1713" i="4"/>
  <c r="I1714" i="4"/>
  <c r="J1714" i="4"/>
  <c r="I1715" i="4"/>
  <c r="J1715" i="4"/>
  <c r="I1716" i="4"/>
  <c r="J1716" i="4"/>
  <c r="I1717" i="4"/>
  <c r="J1717" i="4"/>
  <c r="I1718" i="4"/>
  <c r="J1718" i="4"/>
  <c r="I1719" i="4"/>
  <c r="J1719" i="4"/>
  <c r="I1720" i="4"/>
  <c r="J1720" i="4"/>
  <c r="I1721" i="4"/>
  <c r="J1721" i="4"/>
  <c r="I1722" i="4"/>
  <c r="J1722" i="4"/>
  <c r="I1723" i="4"/>
  <c r="J1723" i="4"/>
  <c r="I1724" i="4"/>
  <c r="J1724" i="4"/>
  <c r="I1725" i="4"/>
  <c r="J1725" i="4"/>
  <c r="I1726" i="4"/>
  <c r="J1726" i="4"/>
  <c r="I1727" i="4"/>
  <c r="J1727" i="4"/>
  <c r="I1728" i="4"/>
  <c r="J1728" i="4"/>
  <c r="I1729" i="4"/>
  <c r="J1729" i="4"/>
  <c r="I1730" i="4"/>
  <c r="J1730" i="4"/>
  <c r="I1731" i="4"/>
  <c r="J1731" i="4"/>
  <c r="I1732" i="4"/>
  <c r="J1732" i="4"/>
  <c r="I1733" i="4"/>
  <c r="J1733" i="4"/>
  <c r="I1734" i="4"/>
  <c r="J1734" i="4"/>
  <c r="I1735" i="4"/>
  <c r="J1735" i="4"/>
  <c r="I1736" i="4"/>
  <c r="J1736" i="4"/>
  <c r="I1737" i="4"/>
  <c r="J1737" i="4"/>
  <c r="I1738" i="4"/>
  <c r="J1738" i="4"/>
  <c r="I1739" i="4"/>
  <c r="J1739" i="4"/>
  <c r="I1740" i="4"/>
  <c r="J1740" i="4"/>
  <c r="I1741" i="4"/>
  <c r="J1741" i="4"/>
  <c r="I1742" i="4"/>
  <c r="J1742" i="4"/>
  <c r="I1743" i="4"/>
  <c r="J1743" i="4"/>
  <c r="I1744" i="4"/>
  <c r="J1744" i="4"/>
  <c r="I1745" i="4"/>
  <c r="J1745" i="4"/>
  <c r="I1746" i="4"/>
  <c r="J1746" i="4"/>
  <c r="I1747" i="4"/>
  <c r="J1747" i="4"/>
  <c r="I1748" i="4"/>
  <c r="J1748" i="4"/>
  <c r="I1749" i="4"/>
  <c r="J1749" i="4"/>
  <c r="I1750" i="4"/>
  <c r="J1750" i="4"/>
  <c r="I1751" i="4"/>
  <c r="J1751" i="4"/>
  <c r="I1752" i="4"/>
  <c r="J1752" i="4"/>
  <c r="I1753" i="4"/>
  <c r="J1753" i="4"/>
  <c r="I1754" i="4"/>
  <c r="J1754" i="4"/>
  <c r="I1755" i="4"/>
  <c r="J1755" i="4"/>
  <c r="I1756" i="4"/>
  <c r="J1756" i="4"/>
  <c r="I1757" i="4"/>
  <c r="J1757" i="4"/>
  <c r="I1758" i="4"/>
  <c r="J1758" i="4"/>
  <c r="I1759" i="4"/>
  <c r="J1759" i="4"/>
  <c r="I1760" i="4"/>
  <c r="J1760" i="4"/>
  <c r="I1761" i="4"/>
  <c r="J1761" i="4"/>
  <c r="I1762" i="4"/>
  <c r="J1762" i="4"/>
  <c r="I1763" i="4"/>
  <c r="J1763" i="4"/>
  <c r="I1764" i="4"/>
  <c r="J1764" i="4"/>
  <c r="I1765" i="4"/>
  <c r="J1765" i="4"/>
  <c r="I1766" i="4"/>
  <c r="J1766" i="4"/>
  <c r="I1767" i="4"/>
  <c r="J1767" i="4"/>
  <c r="I1768" i="4"/>
  <c r="J1768" i="4"/>
  <c r="I1769" i="4"/>
  <c r="J1769" i="4"/>
  <c r="I1770" i="4"/>
  <c r="J1770" i="4"/>
  <c r="I1771" i="4"/>
  <c r="J1771" i="4"/>
  <c r="I1772" i="4"/>
  <c r="J1772" i="4"/>
  <c r="I1773" i="4"/>
  <c r="J1773" i="4"/>
  <c r="I1774" i="4"/>
  <c r="J1774" i="4"/>
  <c r="I1775" i="4"/>
  <c r="J1775" i="4"/>
  <c r="I1776" i="4"/>
  <c r="J1776" i="4"/>
  <c r="I1777" i="4"/>
  <c r="J1777" i="4"/>
  <c r="I1778" i="4"/>
  <c r="J1778" i="4"/>
  <c r="I1779" i="4"/>
  <c r="J1779" i="4"/>
  <c r="I1780" i="4"/>
  <c r="J1780" i="4"/>
  <c r="I1781" i="4"/>
  <c r="J1781" i="4"/>
  <c r="I1782" i="4"/>
  <c r="J1782" i="4"/>
  <c r="I1783" i="4"/>
  <c r="J1783" i="4"/>
  <c r="I1784" i="4"/>
  <c r="J1784" i="4"/>
  <c r="I1785" i="4"/>
  <c r="J1785" i="4"/>
  <c r="I1786" i="4"/>
  <c r="J1786" i="4"/>
  <c r="I1787" i="4"/>
  <c r="J1787" i="4"/>
  <c r="I1788" i="4"/>
  <c r="J1788" i="4"/>
  <c r="I1789" i="4"/>
  <c r="J1789" i="4"/>
  <c r="I1790" i="4"/>
  <c r="J1790" i="4"/>
  <c r="I1791" i="4"/>
  <c r="J1791" i="4"/>
  <c r="I1792" i="4"/>
  <c r="J1792" i="4"/>
  <c r="I1793" i="4"/>
  <c r="J1793" i="4"/>
  <c r="I1794" i="4"/>
  <c r="J1794" i="4"/>
  <c r="I1795" i="4"/>
  <c r="J1795" i="4"/>
  <c r="I1796" i="4"/>
  <c r="J1796" i="4"/>
  <c r="I1797" i="4"/>
  <c r="J1797" i="4"/>
  <c r="I1798" i="4"/>
  <c r="J1798" i="4"/>
  <c r="I1799" i="4"/>
  <c r="J1799" i="4"/>
  <c r="I1800" i="4"/>
  <c r="J1800" i="4"/>
  <c r="I1801" i="4"/>
  <c r="J1801" i="4"/>
  <c r="I1802" i="4"/>
  <c r="J1802" i="4"/>
  <c r="I1803" i="4"/>
  <c r="J1803" i="4"/>
  <c r="I1804" i="4"/>
  <c r="J1804" i="4"/>
  <c r="I1805" i="4"/>
  <c r="J1805" i="4"/>
  <c r="I1806" i="4"/>
  <c r="J1806" i="4"/>
  <c r="I1807" i="4"/>
  <c r="J1807" i="4"/>
  <c r="I1808" i="4"/>
  <c r="J1808" i="4"/>
  <c r="I1809" i="4"/>
  <c r="J1809" i="4"/>
  <c r="I1810" i="4"/>
  <c r="J1810" i="4"/>
  <c r="I1811" i="4"/>
  <c r="J1811" i="4"/>
  <c r="I1812" i="4"/>
  <c r="J1812" i="4"/>
  <c r="I1813" i="4"/>
  <c r="J1813" i="4"/>
  <c r="I1814" i="4"/>
  <c r="J1814" i="4"/>
  <c r="I1815" i="4"/>
  <c r="J1815" i="4"/>
  <c r="I1816" i="4"/>
  <c r="J1816" i="4"/>
  <c r="I1817" i="4"/>
  <c r="J1817" i="4"/>
  <c r="I1818" i="4"/>
  <c r="J1818" i="4"/>
  <c r="I1819" i="4"/>
  <c r="J1819" i="4"/>
  <c r="I1820" i="4"/>
  <c r="J1820" i="4"/>
  <c r="I1821" i="4"/>
  <c r="J1821" i="4"/>
  <c r="I1822" i="4"/>
  <c r="J1822" i="4"/>
  <c r="I1823" i="4"/>
  <c r="J1823" i="4"/>
  <c r="I1824" i="4"/>
  <c r="J1824" i="4"/>
  <c r="I1825" i="4"/>
  <c r="J1825" i="4"/>
  <c r="I1826" i="4"/>
  <c r="J1826" i="4"/>
  <c r="I1827" i="4"/>
  <c r="J1827" i="4"/>
  <c r="I1828" i="4"/>
  <c r="J1828" i="4"/>
  <c r="I1829" i="4"/>
  <c r="J1829" i="4"/>
  <c r="I1830" i="4"/>
  <c r="J1830" i="4"/>
  <c r="I1831" i="4"/>
  <c r="J1831" i="4"/>
  <c r="I1832" i="4"/>
  <c r="J1832" i="4"/>
  <c r="I1833" i="4"/>
  <c r="J1833" i="4"/>
  <c r="I1834" i="4"/>
  <c r="J1834" i="4"/>
  <c r="I1835" i="4"/>
  <c r="J1835" i="4"/>
  <c r="I1836" i="4"/>
  <c r="J1836" i="4"/>
  <c r="I1837" i="4"/>
  <c r="J1837" i="4"/>
  <c r="I1838" i="4"/>
  <c r="J1838" i="4"/>
  <c r="I1839" i="4"/>
  <c r="J1839" i="4"/>
  <c r="I1840" i="4"/>
  <c r="J1840" i="4"/>
  <c r="I1841" i="4"/>
  <c r="J1841" i="4"/>
  <c r="I1842" i="4"/>
  <c r="J1842" i="4"/>
  <c r="I1843" i="4"/>
  <c r="J1843" i="4"/>
  <c r="I1844" i="4"/>
  <c r="J1844" i="4"/>
  <c r="I1845" i="4"/>
  <c r="J1845" i="4"/>
  <c r="I1846" i="4"/>
  <c r="J1846" i="4"/>
  <c r="I1847" i="4"/>
  <c r="J1847" i="4"/>
  <c r="I1848" i="4"/>
  <c r="J1848" i="4"/>
  <c r="I1849" i="4"/>
  <c r="J1849" i="4"/>
  <c r="I1850" i="4"/>
  <c r="J1850" i="4"/>
  <c r="I1851" i="4"/>
  <c r="J1851" i="4"/>
  <c r="I1852" i="4"/>
  <c r="J1852" i="4"/>
  <c r="I1853" i="4"/>
  <c r="J1853" i="4"/>
  <c r="I1854" i="4"/>
  <c r="J1854" i="4"/>
  <c r="I1855" i="4"/>
  <c r="J1855" i="4"/>
  <c r="I1856" i="4"/>
  <c r="J1856" i="4"/>
  <c r="I1857" i="4"/>
  <c r="J1857" i="4"/>
  <c r="I1858" i="4"/>
  <c r="J1858" i="4"/>
  <c r="I1859" i="4"/>
  <c r="J1859" i="4"/>
  <c r="I1860" i="4"/>
  <c r="J1860" i="4"/>
  <c r="I1861" i="4"/>
  <c r="J1861" i="4"/>
  <c r="I1862" i="4"/>
  <c r="J1862" i="4"/>
  <c r="I1863" i="4"/>
  <c r="J1863" i="4"/>
  <c r="I1864" i="4"/>
  <c r="J1864" i="4"/>
  <c r="I1865" i="4"/>
  <c r="J1865" i="4"/>
  <c r="I1866" i="4"/>
  <c r="J1866" i="4"/>
  <c r="I1867" i="4"/>
  <c r="J1867" i="4"/>
  <c r="I1868" i="4"/>
  <c r="J1868" i="4"/>
  <c r="I1869" i="4"/>
  <c r="J1869" i="4"/>
  <c r="I1870" i="4"/>
  <c r="J1870" i="4"/>
  <c r="I1871" i="4"/>
  <c r="J1871" i="4"/>
  <c r="I1872" i="4"/>
  <c r="J1872" i="4"/>
  <c r="I1873" i="4"/>
  <c r="J1873" i="4"/>
  <c r="I1874" i="4"/>
  <c r="J1874" i="4"/>
  <c r="I1875" i="4"/>
  <c r="J1875" i="4"/>
  <c r="I1876" i="4"/>
  <c r="J1876" i="4"/>
  <c r="I1877" i="4"/>
  <c r="J1877" i="4"/>
  <c r="I1878" i="4"/>
  <c r="J1878" i="4"/>
  <c r="I1879" i="4"/>
  <c r="J1879" i="4"/>
  <c r="I1880" i="4"/>
  <c r="J1880" i="4"/>
  <c r="I1881" i="4"/>
  <c r="J1881" i="4"/>
  <c r="I1882" i="4"/>
  <c r="J1882" i="4"/>
  <c r="I1883" i="4"/>
  <c r="J1883" i="4"/>
  <c r="I1884" i="4"/>
  <c r="J1884" i="4"/>
  <c r="I1885" i="4"/>
  <c r="J1885" i="4"/>
  <c r="I1886" i="4"/>
  <c r="J1886" i="4"/>
  <c r="I1887" i="4"/>
  <c r="J1887" i="4"/>
  <c r="I1888" i="4"/>
  <c r="J1888" i="4"/>
  <c r="I1889" i="4"/>
  <c r="J1889" i="4"/>
  <c r="I1890" i="4"/>
  <c r="J1890" i="4"/>
  <c r="I1891" i="4"/>
  <c r="J1891" i="4"/>
  <c r="I1892" i="4"/>
  <c r="J1892" i="4"/>
  <c r="I1893" i="4"/>
  <c r="J1893" i="4"/>
  <c r="I1894" i="4"/>
  <c r="J1894" i="4"/>
  <c r="I1895" i="4"/>
  <c r="J1895" i="4"/>
  <c r="I1896" i="4"/>
  <c r="J1896" i="4"/>
  <c r="I1897" i="4"/>
  <c r="J1897" i="4"/>
  <c r="I1898" i="4"/>
  <c r="J1898" i="4"/>
  <c r="I1899" i="4"/>
  <c r="J1899" i="4"/>
  <c r="I1900" i="4"/>
  <c r="J1900" i="4"/>
  <c r="I1901" i="4"/>
  <c r="J1901" i="4"/>
  <c r="I1902" i="4"/>
  <c r="J1902" i="4"/>
  <c r="I1903" i="4"/>
  <c r="J1903" i="4"/>
  <c r="I1904" i="4"/>
  <c r="J1904" i="4"/>
  <c r="I1905" i="4"/>
  <c r="J1905" i="4"/>
  <c r="I1906" i="4"/>
  <c r="J1906" i="4"/>
  <c r="I1907" i="4"/>
  <c r="J1907" i="4"/>
  <c r="I1908" i="4"/>
  <c r="J1908" i="4"/>
  <c r="I1909" i="4"/>
  <c r="J1909" i="4"/>
  <c r="I1910" i="4"/>
  <c r="J1910" i="4"/>
  <c r="I1911" i="4"/>
  <c r="J1911" i="4"/>
  <c r="I1912" i="4"/>
  <c r="J1912" i="4"/>
  <c r="I1913" i="4"/>
  <c r="J1913" i="4"/>
  <c r="I1914" i="4"/>
  <c r="J1914" i="4"/>
  <c r="I1915" i="4"/>
  <c r="J1915" i="4"/>
  <c r="I1916" i="4"/>
  <c r="J1916" i="4"/>
  <c r="I1917" i="4"/>
  <c r="J1917" i="4"/>
  <c r="I1918" i="4"/>
  <c r="J1918" i="4"/>
  <c r="I1919" i="4"/>
  <c r="J1919" i="4"/>
  <c r="I1920" i="4"/>
  <c r="J1920" i="4"/>
  <c r="I1921" i="4"/>
  <c r="J1921" i="4"/>
  <c r="I1922" i="4"/>
  <c r="J1922" i="4"/>
  <c r="I1923" i="4"/>
  <c r="J1923" i="4"/>
  <c r="I1924" i="4"/>
  <c r="J1924" i="4"/>
  <c r="I1925" i="4"/>
  <c r="J1925" i="4"/>
  <c r="I1926" i="4"/>
  <c r="J1926" i="4"/>
  <c r="I1927" i="4"/>
  <c r="J1927" i="4"/>
  <c r="I1928" i="4"/>
  <c r="J1928" i="4"/>
  <c r="I1929" i="4"/>
  <c r="J1929" i="4"/>
  <c r="I1930" i="4"/>
  <c r="J1930" i="4"/>
  <c r="I1931" i="4"/>
  <c r="J1931" i="4"/>
  <c r="I1932" i="4"/>
  <c r="J1932" i="4"/>
  <c r="I1933" i="4"/>
  <c r="J1933" i="4"/>
  <c r="I1934" i="4"/>
  <c r="J1934" i="4"/>
  <c r="I1935" i="4"/>
  <c r="J1935" i="4"/>
  <c r="I1936" i="4"/>
  <c r="J1936" i="4"/>
  <c r="I1937" i="4"/>
  <c r="J1937" i="4"/>
  <c r="I1938" i="4"/>
  <c r="J1938" i="4"/>
  <c r="I1939" i="4"/>
  <c r="J1939" i="4"/>
  <c r="I1940" i="4"/>
  <c r="J1940" i="4"/>
  <c r="I1941" i="4"/>
  <c r="J1941" i="4"/>
  <c r="I1942" i="4"/>
  <c r="J1942" i="4"/>
  <c r="I1943" i="4"/>
  <c r="J1943" i="4"/>
  <c r="I1944" i="4"/>
  <c r="J1944" i="4"/>
  <c r="I1945" i="4"/>
  <c r="J1945" i="4"/>
  <c r="I1946" i="4"/>
  <c r="J1946" i="4"/>
  <c r="I1947" i="4"/>
  <c r="J1947" i="4"/>
  <c r="I1948" i="4"/>
  <c r="J1948" i="4"/>
  <c r="I1949" i="4"/>
  <c r="J1949" i="4"/>
  <c r="I1950" i="4"/>
  <c r="J1950" i="4"/>
  <c r="I1951" i="4"/>
  <c r="J1951" i="4"/>
  <c r="I1952" i="4"/>
  <c r="J1952" i="4"/>
  <c r="I1953" i="4"/>
  <c r="J1953" i="4"/>
  <c r="I1954" i="4"/>
  <c r="J1954" i="4"/>
  <c r="I1955" i="4"/>
  <c r="J1955" i="4"/>
  <c r="I1956" i="4"/>
  <c r="J1956" i="4"/>
  <c r="I1957" i="4"/>
  <c r="J1957" i="4"/>
  <c r="I1958" i="4"/>
  <c r="J1958" i="4"/>
  <c r="I1959" i="4"/>
  <c r="J1959" i="4"/>
  <c r="I1960" i="4"/>
  <c r="J1960" i="4"/>
  <c r="I1961" i="4"/>
  <c r="J1961" i="4"/>
  <c r="I1962" i="4"/>
  <c r="J1962" i="4"/>
  <c r="I1963" i="4"/>
  <c r="J1963" i="4"/>
  <c r="I1964" i="4"/>
  <c r="J1964" i="4"/>
  <c r="I1965" i="4"/>
  <c r="J1965" i="4"/>
  <c r="I1966" i="4"/>
  <c r="J1966" i="4"/>
  <c r="I1967" i="4"/>
  <c r="J1967" i="4"/>
  <c r="I1968" i="4"/>
  <c r="J1968" i="4"/>
  <c r="I1969" i="4"/>
  <c r="J1969" i="4"/>
  <c r="I1970" i="4"/>
  <c r="J1970" i="4"/>
  <c r="I1971" i="4"/>
  <c r="J1971" i="4"/>
  <c r="I1972" i="4"/>
  <c r="J1972" i="4"/>
  <c r="I1973" i="4"/>
  <c r="J1973" i="4"/>
  <c r="I1974" i="4"/>
  <c r="J1974" i="4"/>
  <c r="I1975" i="4"/>
  <c r="J1975" i="4"/>
  <c r="I1976" i="4"/>
  <c r="J1976" i="4"/>
  <c r="I1977" i="4"/>
  <c r="J1977" i="4"/>
  <c r="I1978" i="4"/>
  <c r="J1978" i="4"/>
  <c r="I1979" i="4"/>
  <c r="J1979" i="4"/>
  <c r="I1980" i="4"/>
  <c r="J1980" i="4"/>
  <c r="I1981" i="4"/>
  <c r="J1981" i="4"/>
  <c r="I1982" i="4"/>
  <c r="J1982" i="4"/>
  <c r="I1983" i="4"/>
  <c r="J1983" i="4"/>
  <c r="I1984" i="4"/>
  <c r="J1984" i="4"/>
  <c r="I1985" i="4"/>
  <c r="J1985" i="4"/>
  <c r="I1986" i="4"/>
  <c r="J1986" i="4"/>
  <c r="I1987" i="4"/>
  <c r="J1987" i="4"/>
  <c r="I1988" i="4"/>
  <c r="J1988" i="4"/>
  <c r="I1989" i="4"/>
  <c r="J1989" i="4"/>
  <c r="I1990" i="4"/>
  <c r="J1990" i="4"/>
  <c r="I1991" i="4"/>
  <c r="J1991" i="4"/>
  <c r="I1992" i="4"/>
  <c r="J1992" i="4"/>
  <c r="I1993" i="4"/>
  <c r="J1993" i="4"/>
  <c r="I1994" i="4"/>
  <c r="J1994" i="4"/>
  <c r="I1995" i="4"/>
  <c r="J1995" i="4"/>
  <c r="I1996" i="4"/>
  <c r="J1996" i="4"/>
  <c r="I1997" i="4"/>
  <c r="J1997" i="4"/>
  <c r="I1998" i="4"/>
  <c r="J1998" i="4"/>
  <c r="I1999" i="4"/>
  <c r="J1999" i="4"/>
  <c r="I2000" i="4"/>
  <c r="J2000" i="4"/>
  <c r="I2001" i="4"/>
  <c r="J2001" i="4"/>
  <c r="I2002" i="4"/>
  <c r="J2002" i="4"/>
  <c r="I2003" i="4"/>
  <c r="J2003" i="4"/>
  <c r="I2004" i="4"/>
  <c r="J2004" i="4"/>
  <c r="I2005" i="4"/>
  <c r="J2005" i="4"/>
  <c r="I2006" i="4"/>
  <c r="J2006" i="4"/>
  <c r="I2007" i="4"/>
  <c r="J2007" i="4"/>
  <c r="I2008" i="4"/>
  <c r="J2008" i="4"/>
  <c r="I2009" i="4"/>
  <c r="J2009" i="4"/>
  <c r="I2010" i="4"/>
  <c r="J2010" i="4"/>
  <c r="I2011" i="4"/>
  <c r="J2011" i="4"/>
  <c r="I2012" i="4"/>
  <c r="J2012" i="4"/>
  <c r="I2013" i="4"/>
  <c r="J2013" i="4"/>
  <c r="I2014" i="4"/>
  <c r="J2014" i="4"/>
  <c r="I2015" i="4"/>
  <c r="J2015" i="4"/>
  <c r="I2016" i="4"/>
  <c r="J2016" i="4"/>
  <c r="I2017" i="4"/>
  <c r="J2017" i="4"/>
  <c r="I2018" i="4"/>
  <c r="J2018" i="4"/>
  <c r="I2019" i="4"/>
  <c r="J2019" i="4"/>
  <c r="I2020" i="4"/>
  <c r="J2020" i="4"/>
  <c r="I2021" i="4"/>
  <c r="J2021" i="4"/>
  <c r="I2022" i="4"/>
  <c r="J2022" i="4"/>
  <c r="I2023" i="4"/>
  <c r="J2023" i="4"/>
  <c r="I2024" i="4"/>
  <c r="J2024" i="4"/>
  <c r="I2025" i="4"/>
  <c r="J2025" i="4"/>
  <c r="I2026" i="4"/>
  <c r="J2026" i="4"/>
  <c r="I2027" i="4"/>
  <c r="J2027" i="4"/>
  <c r="I2028" i="4"/>
  <c r="J2028" i="4"/>
  <c r="I2029" i="4"/>
  <c r="J2029" i="4"/>
  <c r="I2030" i="4"/>
  <c r="J2030" i="4"/>
  <c r="I2031" i="4"/>
  <c r="J2031" i="4"/>
  <c r="I2032" i="4"/>
  <c r="J2032" i="4"/>
  <c r="I2033" i="4"/>
  <c r="J2033" i="4"/>
  <c r="I2034" i="4"/>
  <c r="J2034" i="4"/>
  <c r="I2035" i="4"/>
  <c r="J2035" i="4"/>
  <c r="I2036" i="4"/>
  <c r="J2036" i="4"/>
  <c r="I2037" i="4"/>
  <c r="J2037" i="4"/>
  <c r="I2038" i="4"/>
  <c r="J2038" i="4"/>
  <c r="I2039" i="4"/>
  <c r="J2039" i="4"/>
  <c r="I2040" i="4"/>
  <c r="J2040" i="4"/>
  <c r="I2041" i="4"/>
  <c r="J2041" i="4"/>
  <c r="I2042" i="4"/>
  <c r="J2042" i="4"/>
  <c r="I2043" i="4"/>
  <c r="J2043" i="4"/>
  <c r="I2044" i="4"/>
  <c r="J2044" i="4"/>
  <c r="I2045" i="4"/>
  <c r="J2045" i="4"/>
  <c r="I2046" i="4"/>
  <c r="J2046" i="4"/>
  <c r="I2047" i="4"/>
  <c r="J2047" i="4"/>
  <c r="I2048" i="4"/>
  <c r="J2048" i="4"/>
  <c r="I2049" i="4"/>
  <c r="J2049" i="4"/>
  <c r="I2050" i="4"/>
  <c r="J2050" i="4"/>
  <c r="I2051" i="4"/>
  <c r="J2051" i="4"/>
  <c r="I2052" i="4"/>
  <c r="J2052" i="4"/>
  <c r="I2053" i="4"/>
  <c r="J2053" i="4"/>
  <c r="I2054" i="4"/>
  <c r="J2054" i="4"/>
  <c r="I2055" i="4"/>
  <c r="J2055" i="4"/>
  <c r="I2056" i="4"/>
  <c r="J2056" i="4"/>
  <c r="I2057" i="4"/>
  <c r="J2057" i="4"/>
  <c r="I2058" i="4"/>
  <c r="J2058" i="4"/>
  <c r="I2059" i="4"/>
  <c r="J2059" i="4"/>
  <c r="I2060" i="4"/>
  <c r="J2060" i="4"/>
  <c r="I2061" i="4"/>
  <c r="J2061" i="4"/>
  <c r="I2062" i="4"/>
  <c r="J2062" i="4"/>
  <c r="I2063" i="4"/>
  <c r="J2063" i="4"/>
  <c r="I2064" i="4"/>
  <c r="J2064" i="4"/>
  <c r="I2065" i="4"/>
  <c r="J2065" i="4"/>
  <c r="I2066" i="4"/>
  <c r="J2066" i="4"/>
  <c r="I2067" i="4"/>
  <c r="J2067" i="4"/>
  <c r="I2068" i="4"/>
  <c r="J2068" i="4"/>
  <c r="I2069" i="4"/>
  <c r="J2069" i="4"/>
  <c r="I2070" i="4"/>
  <c r="J2070" i="4"/>
  <c r="I2071" i="4"/>
  <c r="J2071" i="4"/>
  <c r="I2072" i="4"/>
  <c r="J2072" i="4"/>
  <c r="I2073" i="4"/>
  <c r="J2073" i="4"/>
  <c r="I2074" i="4"/>
  <c r="J2074" i="4"/>
  <c r="I2075" i="4"/>
  <c r="J2075" i="4"/>
  <c r="I2076" i="4"/>
  <c r="J2076" i="4"/>
  <c r="I2077" i="4"/>
  <c r="J2077" i="4"/>
  <c r="I2078" i="4"/>
  <c r="J2078" i="4"/>
  <c r="I2079" i="4"/>
  <c r="J2079" i="4"/>
  <c r="I2080" i="4"/>
  <c r="J2080" i="4"/>
  <c r="I2081" i="4"/>
  <c r="J2081" i="4"/>
  <c r="I2082" i="4"/>
  <c r="J2082" i="4"/>
  <c r="I2083" i="4"/>
  <c r="J2083" i="4"/>
  <c r="I2084" i="4"/>
  <c r="J2084" i="4"/>
  <c r="I2085" i="4"/>
  <c r="J2085" i="4"/>
  <c r="I2086" i="4"/>
  <c r="J2086" i="4"/>
  <c r="I2087" i="4"/>
  <c r="J2087" i="4"/>
  <c r="I2088" i="4"/>
  <c r="J2088" i="4"/>
  <c r="I2089" i="4"/>
  <c r="J2089" i="4"/>
  <c r="I2090" i="4"/>
  <c r="J2090" i="4"/>
  <c r="I2091" i="4"/>
  <c r="J2091" i="4"/>
  <c r="I2092" i="4"/>
  <c r="J2092" i="4"/>
  <c r="I2093" i="4"/>
  <c r="J2093" i="4"/>
  <c r="I2094" i="4"/>
  <c r="J2094" i="4"/>
  <c r="I2095" i="4"/>
  <c r="J2095" i="4"/>
  <c r="I2096" i="4"/>
  <c r="J2096" i="4"/>
  <c r="I2097" i="4"/>
  <c r="J2097" i="4"/>
  <c r="I2098" i="4"/>
  <c r="J2098" i="4"/>
  <c r="I2099" i="4"/>
  <c r="J2099" i="4"/>
  <c r="I2100" i="4"/>
  <c r="J2100" i="4"/>
  <c r="I2101" i="4"/>
  <c r="J2101" i="4"/>
  <c r="I2102" i="4"/>
  <c r="J2102" i="4"/>
  <c r="I2103" i="4"/>
  <c r="J2103" i="4"/>
  <c r="I2104" i="4"/>
  <c r="J2104" i="4"/>
  <c r="I2105" i="4"/>
  <c r="J2105" i="4"/>
  <c r="I2106" i="4"/>
  <c r="J2106" i="4"/>
  <c r="I2107" i="4"/>
  <c r="J2107" i="4"/>
  <c r="I2108" i="4"/>
  <c r="J2108" i="4"/>
  <c r="I2109" i="4"/>
  <c r="J2109" i="4"/>
  <c r="I2110" i="4"/>
  <c r="J2110" i="4"/>
  <c r="I2111" i="4"/>
  <c r="J2111" i="4"/>
  <c r="I2112" i="4"/>
  <c r="J2112" i="4"/>
  <c r="I2113" i="4"/>
  <c r="J2113" i="4"/>
  <c r="I2114" i="4"/>
  <c r="J2114" i="4"/>
  <c r="I2115" i="4"/>
  <c r="J2115" i="4"/>
  <c r="I2116" i="4"/>
  <c r="J2116" i="4"/>
  <c r="I2117" i="4"/>
  <c r="J2117" i="4"/>
  <c r="I2118" i="4"/>
  <c r="J2118" i="4"/>
  <c r="I2119" i="4"/>
  <c r="J2119" i="4"/>
  <c r="I2120" i="4"/>
  <c r="J2120" i="4"/>
  <c r="I2121" i="4"/>
  <c r="J2121" i="4"/>
  <c r="I2122" i="4"/>
  <c r="J2122" i="4"/>
  <c r="I2123" i="4"/>
  <c r="J2123" i="4"/>
  <c r="I2124" i="4"/>
  <c r="J2124" i="4"/>
  <c r="I2125" i="4"/>
  <c r="J2125" i="4"/>
  <c r="I2126" i="4"/>
  <c r="J2126" i="4"/>
  <c r="I2127" i="4"/>
  <c r="J2127" i="4"/>
  <c r="I2128" i="4"/>
  <c r="J2128" i="4"/>
  <c r="I2129" i="4"/>
  <c r="J2129" i="4"/>
  <c r="I2130" i="4"/>
  <c r="J2130" i="4"/>
  <c r="I2131" i="4"/>
  <c r="J2131" i="4"/>
  <c r="I2132" i="4"/>
  <c r="J2132" i="4"/>
  <c r="I2133" i="4"/>
  <c r="J2133" i="4"/>
  <c r="I2134" i="4"/>
  <c r="J2134" i="4"/>
  <c r="I2135" i="4"/>
  <c r="J2135" i="4"/>
  <c r="I2136" i="4"/>
  <c r="J2136" i="4"/>
  <c r="I2137" i="4"/>
  <c r="J2137" i="4"/>
  <c r="I2138" i="4"/>
  <c r="J2138" i="4"/>
  <c r="I2139" i="4"/>
  <c r="J2139" i="4"/>
  <c r="I2140" i="4"/>
  <c r="J2140" i="4"/>
  <c r="I2141" i="4"/>
  <c r="J2141" i="4"/>
  <c r="I2142" i="4"/>
  <c r="J2142" i="4"/>
  <c r="I2143" i="4"/>
  <c r="J2143" i="4"/>
  <c r="I2144" i="4"/>
  <c r="J2144" i="4"/>
  <c r="I2145" i="4"/>
  <c r="J2145" i="4"/>
  <c r="I2146" i="4"/>
  <c r="J2146" i="4"/>
  <c r="I2147" i="4"/>
  <c r="J2147" i="4"/>
  <c r="I2148" i="4"/>
  <c r="J2148" i="4"/>
  <c r="I2149" i="4"/>
  <c r="J2149" i="4"/>
  <c r="I2150" i="4"/>
  <c r="J2150" i="4"/>
  <c r="I2151" i="4"/>
  <c r="J2151" i="4"/>
  <c r="I2152" i="4"/>
  <c r="J2152" i="4"/>
  <c r="I2153" i="4"/>
  <c r="J2153" i="4"/>
  <c r="I2154" i="4"/>
  <c r="J2154" i="4"/>
  <c r="I2155" i="4"/>
  <c r="J2155" i="4"/>
  <c r="I2156" i="4"/>
  <c r="J2156" i="4"/>
  <c r="I2157" i="4"/>
  <c r="J2157" i="4"/>
  <c r="I2158" i="4"/>
  <c r="J2158" i="4"/>
  <c r="I2159" i="4"/>
  <c r="J2159" i="4"/>
  <c r="I2160" i="4"/>
  <c r="J2160" i="4"/>
  <c r="I2161" i="4"/>
  <c r="J2161" i="4"/>
  <c r="I2162" i="4"/>
  <c r="J2162" i="4"/>
  <c r="I2163" i="4"/>
  <c r="J2163" i="4"/>
  <c r="I2164" i="4"/>
  <c r="J2164" i="4"/>
  <c r="I2165" i="4"/>
  <c r="J2165" i="4"/>
  <c r="I2166" i="4"/>
  <c r="J2166" i="4"/>
  <c r="I2167" i="4"/>
  <c r="J2167" i="4"/>
  <c r="I2168" i="4"/>
  <c r="J2168" i="4"/>
  <c r="I2169" i="4"/>
  <c r="J2169" i="4"/>
  <c r="I2170" i="4"/>
  <c r="J2170" i="4"/>
  <c r="I2171" i="4"/>
  <c r="J2171" i="4"/>
  <c r="I2172" i="4"/>
  <c r="J2172" i="4"/>
  <c r="I2173" i="4"/>
  <c r="J2173" i="4"/>
  <c r="I2174" i="4"/>
  <c r="J2174" i="4"/>
  <c r="I2175" i="4"/>
  <c r="J2175" i="4"/>
  <c r="I2176" i="4"/>
  <c r="J2176" i="4"/>
  <c r="I2177" i="4"/>
  <c r="J2177" i="4"/>
  <c r="I2178" i="4"/>
  <c r="J2178" i="4"/>
  <c r="I2179" i="4"/>
  <c r="J2179" i="4"/>
  <c r="I2180" i="4"/>
  <c r="J2180" i="4"/>
  <c r="I2181" i="4"/>
  <c r="J2181" i="4"/>
  <c r="I2182" i="4"/>
  <c r="J2182" i="4"/>
  <c r="I2183" i="4"/>
  <c r="J2183" i="4"/>
  <c r="I2184" i="4"/>
  <c r="J2184" i="4"/>
  <c r="I2185" i="4"/>
  <c r="J2185" i="4"/>
  <c r="I2186" i="4"/>
  <c r="J2186" i="4"/>
  <c r="I2187" i="4"/>
  <c r="J2187" i="4"/>
  <c r="I2188" i="4"/>
  <c r="J2188" i="4"/>
  <c r="I2189" i="4"/>
  <c r="J2189" i="4"/>
  <c r="I2190" i="4"/>
  <c r="J2190" i="4"/>
  <c r="I2191" i="4"/>
  <c r="J2191" i="4"/>
  <c r="I2192" i="4"/>
  <c r="J2192" i="4"/>
  <c r="I2193" i="4"/>
  <c r="J2193" i="4"/>
  <c r="I2194" i="4"/>
  <c r="J2194" i="4"/>
  <c r="I2195" i="4"/>
  <c r="J2195" i="4"/>
  <c r="I2196" i="4"/>
  <c r="J2196" i="4"/>
  <c r="I2197" i="4"/>
  <c r="J2197" i="4"/>
  <c r="I2198" i="4"/>
  <c r="J2198" i="4"/>
  <c r="I2199" i="4"/>
  <c r="J2199" i="4"/>
  <c r="I2200" i="4"/>
  <c r="J2200" i="4"/>
  <c r="I2201" i="4"/>
  <c r="J2201" i="4"/>
  <c r="I2202" i="4"/>
  <c r="J2202" i="4"/>
  <c r="I2203" i="4"/>
  <c r="J2203" i="4"/>
  <c r="I2204" i="4"/>
  <c r="J2204" i="4"/>
  <c r="I2205" i="4"/>
  <c r="J2205" i="4"/>
  <c r="I2206" i="4"/>
  <c r="J2206" i="4"/>
  <c r="I2207" i="4"/>
  <c r="J2207" i="4"/>
  <c r="I2208" i="4"/>
  <c r="J2208" i="4"/>
  <c r="I2209" i="4"/>
  <c r="J2209" i="4"/>
  <c r="I2210" i="4"/>
  <c r="J2210" i="4"/>
  <c r="I2211" i="4"/>
  <c r="J2211" i="4"/>
  <c r="I2212" i="4"/>
  <c r="J2212" i="4"/>
  <c r="I2213" i="4"/>
  <c r="J2213" i="4"/>
  <c r="I2214" i="4"/>
  <c r="J2214" i="4"/>
  <c r="I2215" i="4"/>
  <c r="J2215" i="4"/>
  <c r="I2216" i="4"/>
  <c r="J2216" i="4"/>
  <c r="I2217" i="4"/>
  <c r="J2217" i="4"/>
  <c r="I2218" i="4"/>
  <c r="J2218" i="4"/>
  <c r="I2219" i="4"/>
  <c r="J2219" i="4"/>
  <c r="I2220" i="4"/>
  <c r="J2220" i="4"/>
  <c r="I2221" i="4"/>
  <c r="J2221" i="4"/>
  <c r="I2222" i="4"/>
  <c r="J2222" i="4"/>
  <c r="I2223" i="4"/>
  <c r="J2223" i="4"/>
  <c r="I2224" i="4"/>
  <c r="J2224" i="4"/>
  <c r="I2225" i="4"/>
  <c r="J2225" i="4"/>
  <c r="I2226" i="4"/>
  <c r="J2226" i="4"/>
  <c r="I2227" i="4"/>
  <c r="J2227" i="4"/>
  <c r="I2228" i="4"/>
  <c r="J2228" i="4"/>
  <c r="I2229" i="4"/>
  <c r="J2229" i="4"/>
  <c r="I2230" i="4"/>
  <c r="J2230" i="4"/>
  <c r="I2231" i="4"/>
  <c r="J2231" i="4"/>
  <c r="I2232" i="4"/>
  <c r="J2232" i="4"/>
  <c r="I2233" i="4"/>
  <c r="J2233" i="4"/>
  <c r="I2234" i="4"/>
  <c r="J2234" i="4"/>
  <c r="I2235" i="4"/>
  <c r="J2235" i="4"/>
  <c r="I2236" i="4"/>
  <c r="J2236" i="4"/>
  <c r="I2237" i="4"/>
  <c r="J2237" i="4"/>
  <c r="I2238" i="4"/>
  <c r="J2238" i="4"/>
  <c r="I2239" i="4"/>
  <c r="J2239" i="4"/>
  <c r="I2240" i="4"/>
  <c r="J2240" i="4"/>
  <c r="I2241" i="4"/>
  <c r="J2241" i="4"/>
  <c r="I2242" i="4"/>
  <c r="J2242" i="4"/>
  <c r="I2243" i="4"/>
  <c r="J2243" i="4"/>
  <c r="I2244" i="4"/>
  <c r="J2244" i="4"/>
  <c r="I2245" i="4"/>
  <c r="J2245" i="4"/>
  <c r="I2246" i="4"/>
  <c r="J2246" i="4"/>
  <c r="I2247" i="4"/>
  <c r="J2247" i="4"/>
  <c r="I2248" i="4"/>
  <c r="J2248" i="4"/>
  <c r="I2249" i="4"/>
  <c r="J2249" i="4"/>
  <c r="I2250" i="4"/>
  <c r="J2250" i="4"/>
  <c r="I2251" i="4"/>
  <c r="J2251" i="4"/>
  <c r="I2252" i="4"/>
  <c r="J2252" i="4"/>
  <c r="I2253" i="4"/>
  <c r="J2253" i="4"/>
  <c r="I2254" i="4"/>
  <c r="J2254" i="4"/>
  <c r="I2255" i="4"/>
  <c r="J2255" i="4"/>
  <c r="I2256" i="4"/>
  <c r="J2256" i="4"/>
  <c r="I2257" i="4"/>
  <c r="J2257" i="4"/>
  <c r="I2258" i="4"/>
  <c r="J2258" i="4"/>
  <c r="I2259" i="4"/>
  <c r="J2259" i="4"/>
  <c r="I2260" i="4"/>
  <c r="J2260" i="4"/>
  <c r="I2261" i="4"/>
  <c r="J2261" i="4"/>
  <c r="I2262" i="4"/>
  <c r="J2262" i="4"/>
  <c r="I2263" i="4"/>
  <c r="J2263" i="4"/>
  <c r="I2264" i="4"/>
  <c r="J2264" i="4"/>
  <c r="I2265" i="4"/>
  <c r="J2265" i="4"/>
  <c r="I2266" i="4"/>
  <c r="J2266" i="4"/>
  <c r="I2267" i="4"/>
  <c r="J2267" i="4"/>
  <c r="I2268" i="4"/>
  <c r="J2268" i="4"/>
  <c r="I2269" i="4"/>
  <c r="J2269" i="4"/>
  <c r="I2270" i="4"/>
  <c r="J2270" i="4"/>
  <c r="I2271" i="4"/>
  <c r="J2271" i="4"/>
  <c r="I2272" i="4"/>
  <c r="J2272" i="4"/>
  <c r="I2273" i="4"/>
  <c r="J2273" i="4"/>
  <c r="I2274" i="4"/>
  <c r="J2274" i="4"/>
  <c r="I2275" i="4"/>
  <c r="J2275" i="4"/>
  <c r="I2276" i="4"/>
  <c r="J2276" i="4"/>
  <c r="I2277" i="4"/>
  <c r="J2277" i="4"/>
  <c r="I2278" i="4"/>
  <c r="J2278" i="4"/>
  <c r="I2279" i="4"/>
  <c r="J2279" i="4"/>
  <c r="I2280" i="4"/>
  <c r="J2280" i="4"/>
  <c r="I2281" i="4"/>
  <c r="J2281" i="4"/>
  <c r="I2282" i="4"/>
  <c r="J2282" i="4"/>
  <c r="I2283" i="4"/>
  <c r="J2283" i="4"/>
  <c r="I2284" i="4"/>
  <c r="J2284" i="4"/>
  <c r="I2285" i="4"/>
  <c r="J2285" i="4"/>
  <c r="I2286" i="4"/>
  <c r="J2286" i="4"/>
  <c r="I2287" i="4"/>
  <c r="J2287" i="4"/>
  <c r="I2288" i="4"/>
  <c r="J2288" i="4"/>
  <c r="I2289" i="4"/>
  <c r="J2289" i="4"/>
  <c r="I2290" i="4"/>
  <c r="J2290" i="4"/>
  <c r="I2291" i="4"/>
  <c r="J2291" i="4"/>
  <c r="I2292" i="4"/>
  <c r="J2292" i="4"/>
  <c r="I2293" i="4"/>
  <c r="J2293" i="4"/>
  <c r="I2294" i="4"/>
  <c r="J2294" i="4"/>
  <c r="I2295" i="4"/>
  <c r="J2295" i="4"/>
  <c r="I2296" i="4"/>
  <c r="J2296" i="4"/>
  <c r="I2297" i="4"/>
  <c r="J2297" i="4"/>
  <c r="I2298" i="4"/>
  <c r="J2298" i="4"/>
  <c r="I2299" i="4"/>
  <c r="J2299" i="4"/>
  <c r="I2300" i="4"/>
  <c r="J2300" i="4"/>
  <c r="I2301" i="4"/>
  <c r="J2301" i="4"/>
  <c r="I2302" i="4"/>
  <c r="J2302" i="4"/>
  <c r="I2303" i="4"/>
  <c r="J2303" i="4"/>
  <c r="I2304" i="4"/>
  <c r="J2304" i="4"/>
  <c r="I2305" i="4"/>
  <c r="J2305" i="4"/>
  <c r="I2306" i="4"/>
  <c r="J2306" i="4"/>
  <c r="I2307" i="4"/>
  <c r="J2307" i="4"/>
  <c r="I2308" i="4"/>
  <c r="J2308" i="4"/>
  <c r="I2309" i="4"/>
  <c r="J2309" i="4"/>
  <c r="I2310" i="4"/>
  <c r="J2310" i="4"/>
  <c r="I2311" i="4"/>
  <c r="J2311" i="4"/>
  <c r="I2312" i="4"/>
  <c r="J2312" i="4"/>
  <c r="I2313" i="4"/>
  <c r="J2313" i="4"/>
  <c r="I2314" i="4"/>
  <c r="J2314" i="4"/>
  <c r="I2315" i="4"/>
  <c r="J2315" i="4"/>
  <c r="I2316" i="4"/>
  <c r="J2316" i="4"/>
  <c r="I2317" i="4"/>
  <c r="J2317" i="4"/>
  <c r="I2318" i="4"/>
  <c r="J2318" i="4"/>
  <c r="I2319" i="4"/>
  <c r="J2319" i="4"/>
  <c r="I2320" i="4"/>
  <c r="J2320" i="4"/>
  <c r="I2321" i="4"/>
  <c r="J2321" i="4"/>
  <c r="I2322" i="4"/>
  <c r="J2322" i="4"/>
  <c r="I2323" i="4"/>
  <c r="J2323" i="4"/>
  <c r="I2324" i="4"/>
  <c r="J2324" i="4"/>
  <c r="I2325" i="4"/>
  <c r="J2325" i="4"/>
  <c r="I2326" i="4"/>
  <c r="J2326" i="4"/>
  <c r="I2327" i="4"/>
  <c r="J2327" i="4"/>
  <c r="I2328" i="4"/>
  <c r="J2328" i="4"/>
  <c r="I2329" i="4"/>
  <c r="J2329" i="4"/>
  <c r="I2330" i="4"/>
  <c r="J2330" i="4"/>
  <c r="I2331" i="4"/>
  <c r="J2331" i="4"/>
  <c r="I2332" i="4"/>
  <c r="J2332" i="4"/>
  <c r="I2333" i="4"/>
  <c r="J2333" i="4"/>
  <c r="I2334" i="4"/>
  <c r="J2334" i="4"/>
  <c r="I2335" i="4"/>
  <c r="J2335" i="4"/>
  <c r="I2336" i="4"/>
  <c r="J2336" i="4"/>
  <c r="I2337" i="4"/>
  <c r="J2337" i="4"/>
  <c r="I2338" i="4"/>
  <c r="J2338" i="4"/>
  <c r="I2339" i="4"/>
  <c r="J2339" i="4"/>
  <c r="I2340" i="4"/>
  <c r="J2340" i="4"/>
  <c r="I2341" i="4"/>
  <c r="J2341" i="4"/>
  <c r="I2342" i="4"/>
  <c r="J2342" i="4"/>
  <c r="I2343" i="4"/>
  <c r="J2343" i="4"/>
  <c r="I2344" i="4"/>
  <c r="J2344" i="4"/>
  <c r="I2345" i="4"/>
  <c r="J2345" i="4"/>
  <c r="I2346" i="4"/>
  <c r="J2346" i="4"/>
  <c r="I2347" i="4"/>
  <c r="J2347" i="4"/>
  <c r="I2348" i="4"/>
  <c r="J2348" i="4"/>
  <c r="I2349" i="4"/>
  <c r="J2349" i="4"/>
  <c r="I2350" i="4"/>
  <c r="J2350" i="4"/>
  <c r="I2351" i="4"/>
  <c r="J2351" i="4"/>
  <c r="I2352" i="4"/>
  <c r="J2352" i="4"/>
  <c r="I2353" i="4"/>
  <c r="J2353" i="4"/>
  <c r="I2354" i="4"/>
  <c r="J2354" i="4"/>
  <c r="I2355" i="4"/>
  <c r="J2355" i="4"/>
  <c r="I2356" i="4"/>
  <c r="J2356" i="4"/>
  <c r="I2357" i="4"/>
  <c r="J2357" i="4"/>
  <c r="I2358" i="4"/>
  <c r="J2358" i="4"/>
  <c r="I2359" i="4"/>
  <c r="J2359" i="4"/>
  <c r="I2360" i="4"/>
  <c r="J2360" i="4"/>
  <c r="I2361" i="4"/>
  <c r="J2361" i="4"/>
  <c r="I2362" i="4"/>
  <c r="J2362" i="4"/>
  <c r="I2363" i="4"/>
  <c r="J2363" i="4"/>
  <c r="I2364" i="4"/>
  <c r="J2364" i="4"/>
  <c r="I2365" i="4"/>
  <c r="J2365" i="4"/>
  <c r="I2366" i="4"/>
  <c r="J2366" i="4"/>
  <c r="I2367" i="4"/>
  <c r="J2367" i="4"/>
  <c r="I2368" i="4"/>
  <c r="J2368" i="4"/>
  <c r="I2369" i="4"/>
  <c r="J2369" i="4"/>
  <c r="I2370" i="4"/>
  <c r="J2370" i="4"/>
  <c r="I2371" i="4"/>
  <c r="J2371" i="4"/>
  <c r="I2372" i="4"/>
  <c r="J2372" i="4"/>
  <c r="I2373" i="4"/>
  <c r="J2373" i="4"/>
  <c r="I2374" i="4"/>
  <c r="J2374" i="4"/>
  <c r="I2375" i="4"/>
  <c r="J2375" i="4"/>
  <c r="I2376" i="4"/>
  <c r="J2376" i="4"/>
  <c r="I2377" i="4"/>
  <c r="J2377" i="4"/>
  <c r="I2378" i="4"/>
  <c r="J2378" i="4"/>
  <c r="I2379" i="4"/>
  <c r="J2379" i="4"/>
  <c r="I2380" i="4"/>
  <c r="J2380" i="4"/>
  <c r="I2381" i="4"/>
  <c r="J2381" i="4"/>
  <c r="I2382" i="4"/>
  <c r="J2382" i="4"/>
  <c r="I2383" i="4"/>
  <c r="J2383" i="4"/>
  <c r="I2384" i="4"/>
  <c r="J2384" i="4"/>
  <c r="I2385" i="4"/>
  <c r="J2385" i="4"/>
  <c r="I2386" i="4"/>
  <c r="J2386" i="4"/>
  <c r="I2387" i="4"/>
  <c r="J2387" i="4"/>
  <c r="I2388" i="4"/>
  <c r="J2388" i="4"/>
  <c r="I2389" i="4"/>
  <c r="J2389" i="4"/>
  <c r="I2390" i="4"/>
  <c r="J2390" i="4"/>
  <c r="I2391" i="4"/>
  <c r="J2391" i="4"/>
  <c r="I2392" i="4"/>
  <c r="J2392" i="4"/>
  <c r="I2393" i="4"/>
  <c r="J2393" i="4"/>
  <c r="I2394" i="4"/>
  <c r="J2394" i="4"/>
  <c r="I2395" i="4"/>
  <c r="J2395" i="4"/>
  <c r="I2396" i="4"/>
  <c r="J2396" i="4"/>
  <c r="I2397" i="4"/>
  <c r="J2397" i="4"/>
  <c r="I2398" i="4"/>
  <c r="J2398" i="4"/>
  <c r="I2399" i="4"/>
  <c r="J2399" i="4"/>
  <c r="I2400" i="4"/>
  <c r="J2400" i="4"/>
  <c r="I2401" i="4"/>
  <c r="J2401" i="4"/>
  <c r="I2402" i="4"/>
  <c r="J2402" i="4"/>
  <c r="I2403" i="4"/>
  <c r="J2403" i="4"/>
  <c r="I2404" i="4"/>
  <c r="J2404" i="4"/>
  <c r="I2405" i="4"/>
  <c r="J2405" i="4"/>
  <c r="I2406" i="4"/>
  <c r="J2406" i="4"/>
  <c r="I2407" i="4"/>
  <c r="J2407" i="4"/>
  <c r="I2408" i="4"/>
  <c r="J2408" i="4"/>
  <c r="I2409" i="4"/>
  <c r="J2409" i="4"/>
  <c r="I2410" i="4"/>
  <c r="J2410" i="4"/>
  <c r="I2411" i="4"/>
  <c r="J2411" i="4"/>
  <c r="I2412" i="4"/>
  <c r="J2412" i="4"/>
  <c r="I2413" i="4"/>
  <c r="J2413" i="4"/>
  <c r="I2414" i="4"/>
  <c r="J2414" i="4"/>
  <c r="I2415" i="4"/>
  <c r="J2415" i="4"/>
  <c r="I2416" i="4"/>
  <c r="J2416" i="4"/>
  <c r="I2417" i="4"/>
  <c r="J2417" i="4"/>
  <c r="I2418" i="4"/>
  <c r="J2418" i="4"/>
  <c r="I2419" i="4"/>
  <c r="J2419" i="4"/>
  <c r="I2420" i="4"/>
  <c r="J2420" i="4"/>
  <c r="I2421" i="4"/>
  <c r="J2421" i="4"/>
  <c r="I2422" i="4"/>
  <c r="J2422" i="4"/>
  <c r="I2423" i="4"/>
  <c r="J2423" i="4"/>
  <c r="I2424" i="4"/>
  <c r="J2424" i="4"/>
  <c r="I2425" i="4"/>
  <c r="J2425" i="4"/>
  <c r="I2426" i="4"/>
  <c r="J2426" i="4"/>
  <c r="I2427" i="4"/>
  <c r="J2427" i="4"/>
  <c r="I2428" i="4"/>
  <c r="J2428" i="4"/>
  <c r="I2429" i="4"/>
  <c r="J2429" i="4"/>
  <c r="I2430" i="4"/>
  <c r="J2430" i="4"/>
  <c r="I2431" i="4"/>
  <c r="J2431" i="4"/>
  <c r="I2432" i="4"/>
  <c r="J2432" i="4"/>
  <c r="I2433" i="4"/>
  <c r="J2433" i="4"/>
  <c r="I2434" i="4"/>
  <c r="J2434" i="4"/>
  <c r="I2435" i="4"/>
  <c r="J2435" i="4"/>
  <c r="I2436" i="4"/>
  <c r="J2436" i="4"/>
  <c r="I2437" i="4"/>
  <c r="J2437" i="4"/>
  <c r="I2438" i="4"/>
  <c r="J2438" i="4"/>
  <c r="I2439" i="4"/>
  <c r="J2439" i="4"/>
  <c r="I2440" i="4"/>
  <c r="J2440" i="4"/>
  <c r="I2441" i="4"/>
  <c r="J2441" i="4"/>
  <c r="I2442" i="4"/>
  <c r="J2442" i="4"/>
  <c r="I2443" i="4"/>
  <c r="J2443" i="4"/>
  <c r="I2444" i="4"/>
  <c r="J2444" i="4"/>
  <c r="I2445" i="4"/>
  <c r="J2445" i="4"/>
  <c r="I2446" i="4"/>
  <c r="J2446" i="4"/>
  <c r="I2447" i="4"/>
  <c r="J2447" i="4"/>
  <c r="I2448" i="4"/>
  <c r="J2448" i="4"/>
  <c r="I2449" i="4"/>
  <c r="J2449" i="4"/>
  <c r="I2450" i="4"/>
  <c r="J2450" i="4"/>
  <c r="I2451" i="4"/>
  <c r="J2451" i="4"/>
  <c r="I2452" i="4"/>
  <c r="J2452" i="4"/>
  <c r="I2453" i="4"/>
  <c r="J2453" i="4"/>
  <c r="I2454" i="4"/>
  <c r="J2454" i="4"/>
  <c r="I2455" i="4"/>
  <c r="J2455" i="4"/>
  <c r="I2456" i="4"/>
  <c r="J2456" i="4"/>
  <c r="I2457" i="4"/>
  <c r="J2457" i="4"/>
  <c r="I2458" i="4"/>
  <c r="J2458" i="4"/>
  <c r="I2459" i="4"/>
  <c r="J2459" i="4"/>
  <c r="I2460" i="4"/>
  <c r="J2460" i="4"/>
  <c r="I2461" i="4"/>
  <c r="J2461" i="4"/>
  <c r="I2462" i="4"/>
  <c r="J2462" i="4"/>
  <c r="I2463" i="4"/>
  <c r="J2463" i="4"/>
  <c r="I2464" i="4"/>
  <c r="J2464" i="4"/>
  <c r="I2465" i="4"/>
  <c r="J2465" i="4"/>
  <c r="I2466" i="4"/>
  <c r="J2466" i="4"/>
  <c r="I2467" i="4"/>
  <c r="J2467" i="4"/>
  <c r="I2468" i="4"/>
  <c r="J2468" i="4"/>
  <c r="I2469" i="4"/>
  <c r="J2469" i="4"/>
  <c r="I2470" i="4"/>
  <c r="J2470" i="4"/>
  <c r="I2471" i="4"/>
  <c r="J2471" i="4"/>
  <c r="I2472" i="4"/>
  <c r="J2472" i="4"/>
  <c r="I2473" i="4"/>
  <c r="J2473" i="4"/>
  <c r="I2474" i="4"/>
  <c r="J2474" i="4"/>
  <c r="I2475" i="4"/>
  <c r="J2475" i="4"/>
  <c r="I2476" i="4"/>
  <c r="J2476" i="4"/>
  <c r="I2477" i="4"/>
  <c r="J2477" i="4"/>
  <c r="I2478" i="4"/>
  <c r="J2478" i="4"/>
  <c r="I2479" i="4"/>
  <c r="J2479" i="4"/>
  <c r="I2480" i="4"/>
  <c r="J2480" i="4"/>
  <c r="I2481" i="4"/>
  <c r="J2481" i="4"/>
  <c r="I2482" i="4"/>
  <c r="J2482" i="4"/>
  <c r="I2483" i="4"/>
  <c r="J2483" i="4"/>
  <c r="I2484" i="4"/>
  <c r="J2484" i="4"/>
  <c r="I2485" i="4"/>
  <c r="J2485" i="4"/>
  <c r="I2486" i="4"/>
  <c r="J2486" i="4"/>
  <c r="I2487" i="4"/>
  <c r="J2487" i="4"/>
  <c r="I2488" i="4"/>
  <c r="J2488" i="4"/>
  <c r="I2489" i="4"/>
  <c r="I2490" i="4"/>
  <c r="I2491" i="4"/>
  <c r="I2492" i="4"/>
  <c r="I2493" i="4"/>
  <c r="I2494" i="4"/>
  <c r="I2495" i="4"/>
  <c r="I2496" i="4"/>
  <c r="I2497" i="4"/>
  <c r="J2497" i="4"/>
  <c r="I2498" i="4"/>
  <c r="J2498" i="4"/>
  <c r="I2499" i="4"/>
  <c r="J2499" i="4"/>
  <c r="I2500" i="4"/>
  <c r="J2500" i="4"/>
  <c r="I2501" i="4"/>
  <c r="J2501" i="4"/>
  <c r="I2502" i="4"/>
  <c r="J2502" i="4"/>
  <c r="I2503" i="4"/>
  <c r="J2503" i="4"/>
  <c r="I2504" i="4"/>
  <c r="J2504" i="4"/>
  <c r="I2505" i="4"/>
  <c r="J2505" i="4"/>
  <c r="I2506" i="4"/>
  <c r="J2506" i="4"/>
  <c r="I2507" i="4"/>
  <c r="J2507" i="4"/>
  <c r="I2508" i="4"/>
  <c r="J2508" i="4"/>
  <c r="I2509" i="4"/>
  <c r="J2509" i="4"/>
  <c r="I2510" i="4"/>
  <c r="J2510" i="4"/>
  <c r="I2511" i="4"/>
  <c r="J2511" i="4"/>
  <c r="I2512" i="4"/>
  <c r="J2512" i="4"/>
  <c r="I2513" i="4"/>
  <c r="J2513" i="4"/>
  <c r="I2514" i="4"/>
  <c r="J2514" i="4"/>
  <c r="I2515" i="4"/>
  <c r="J2515" i="4"/>
  <c r="I2516" i="4"/>
  <c r="J2516" i="4"/>
  <c r="I2517" i="4"/>
  <c r="J2517" i="4"/>
  <c r="I2518" i="4"/>
  <c r="J2518" i="4"/>
  <c r="I2519" i="4"/>
  <c r="J2519" i="4"/>
  <c r="I2520" i="4"/>
  <c r="J2520" i="4"/>
  <c r="I2521" i="4"/>
  <c r="J2521" i="4"/>
  <c r="I2522" i="4"/>
  <c r="J2522" i="4"/>
  <c r="I2523" i="4"/>
  <c r="J2523" i="4"/>
  <c r="I2524" i="4"/>
  <c r="J2524" i="4"/>
  <c r="I2525" i="4"/>
  <c r="J2525" i="4"/>
  <c r="I2526" i="4"/>
  <c r="J2526" i="4"/>
  <c r="I2527" i="4"/>
  <c r="J2527" i="4"/>
  <c r="I2528" i="4"/>
  <c r="J2528" i="4"/>
  <c r="I2529" i="4"/>
  <c r="J2529" i="4"/>
  <c r="I2530" i="4"/>
  <c r="J2530" i="4"/>
  <c r="I2531" i="4"/>
  <c r="J2531" i="4"/>
  <c r="I2532" i="4"/>
  <c r="J2532" i="4"/>
  <c r="I2533" i="4"/>
  <c r="J2533" i="4"/>
  <c r="I2534" i="4"/>
  <c r="J2534" i="4"/>
  <c r="I2535" i="4"/>
  <c r="I2536" i="4"/>
  <c r="I2537" i="4"/>
  <c r="I2538" i="4"/>
  <c r="I2539" i="4"/>
  <c r="I2540" i="4"/>
  <c r="I2541" i="4"/>
  <c r="J2541" i="4"/>
  <c r="I2542" i="4"/>
  <c r="J2542" i="4"/>
  <c r="I2543" i="4"/>
  <c r="J2543" i="4"/>
  <c r="I2544" i="4"/>
  <c r="J2544" i="4"/>
  <c r="I2545" i="4"/>
  <c r="J2545" i="4"/>
  <c r="I2546" i="4"/>
  <c r="J2546" i="4"/>
  <c r="I2547" i="4"/>
  <c r="J2547" i="4"/>
  <c r="I2548" i="4"/>
  <c r="J2548" i="4"/>
  <c r="I2549" i="4"/>
  <c r="J2549" i="4"/>
  <c r="I2550" i="4"/>
  <c r="J2550" i="4"/>
  <c r="I2551" i="4"/>
  <c r="J2551" i="4"/>
  <c r="I2552" i="4"/>
  <c r="J2552" i="4"/>
  <c r="I2553" i="4"/>
  <c r="J2553" i="4"/>
  <c r="I2554" i="4"/>
  <c r="J2554" i="4"/>
  <c r="I2555" i="4"/>
  <c r="J2555" i="4"/>
  <c r="I2556" i="4"/>
  <c r="J2556" i="4"/>
  <c r="I2557" i="4"/>
  <c r="J2557" i="4"/>
  <c r="I2558" i="4"/>
  <c r="J2558" i="4"/>
  <c r="I2559" i="4"/>
  <c r="J2559" i="4"/>
  <c r="I2560" i="4"/>
  <c r="J2560" i="4"/>
  <c r="I2561" i="4"/>
  <c r="J2561" i="4"/>
  <c r="I2562" i="4"/>
  <c r="J2562" i="4"/>
  <c r="I2563" i="4"/>
  <c r="J2563" i="4"/>
  <c r="I2564" i="4"/>
  <c r="I2565" i="4"/>
  <c r="I2566" i="4"/>
  <c r="I2567" i="4"/>
  <c r="I2568" i="4"/>
  <c r="I2569" i="4"/>
  <c r="J2569" i="4"/>
  <c r="I2570" i="4"/>
  <c r="J2570" i="4"/>
  <c r="I2571" i="4"/>
  <c r="J2571" i="4"/>
  <c r="I2572" i="4"/>
  <c r="J2572" i="4"/>
  <c r="I2573" i="4"/>
  <c r="J2573" i="4"/>
  <c r="I2574" i="4"/>
  <c r="J2574" i="4"/>
  <c r="I2575" i="4"/>
  <c r="J2575" i="4"/>
  <c r="I2576" i="4"/>
  <c r="J2576" i="4"/>
  <c r="I2577" i="4"/>
  <c r="J2577" i="4"/>
  <c r="I2578" i="4"/>
  <c r="J2578" i="4"/>
  <c r="I2579" i="4"/>
  <c r="J2579" i="4"/>
  <c r="I2580" i="4"/>
  <c r="J2580" i="4"/>
  <c r="I2581" i="4"/>
  <c r="I2582" i="4"/>
  <c r="I2583" i="4"/>
  <c r="I2584" i="4"/>
  <c r="I2585" i="4"/>
  <c r="I2586" i="4"/>
  <c r="J2" i="4"/>
  <c r="E2582" i="4"/>
  <c r="E2581" i="4"/>
  <c r="E2580" i="4"/>
  <c r="E2579" i="4"/>
  <c r="E2578" i="4"/>
  <c r="E2577" i="4"/>
  <c r="E2576" i="4"/>
  <c r="E2575" i="4"/>
  <c r="E2574" i="4"/>
  <c r="E2573" i="4"/>
  <c r="E2572" i="4"/>
  <c r="E2571" i="4"/>
  <c r="E2570" i="4"/>
  <c r="E2569" i="4"/>
  <c r="E2568" i="4"/>
  <c r="E2567" i="4"/>
  <c r="E2566" i="4"/>
  <c r="E2565" i="4"/>
  <c r="E2564" i="4"/>
  <c r="E2563" i="4"/>
  <c r="E2562" i="4"/>
  <c r="E2561" i="4"/>
  <c r="E2560" i="4"/>
  <c r="E2559" i="4"/>
  <c r="E2558" i="4"/>
  <c r="E2557" i="4"/>
  <c r="E2556" i="4"/>
  <c r="E2555" i="4"/>
  <c r="E2554" i="4"/>
  <c r="E2553" i="4"/>
  <c r="E2552" i="4"/>
  <c r="E2551" i="4"/>
  <c r="E2550" i="4"/>
  <c r="E2549" i="4"/>
  <c r="E2548" i="4"/>
  <c r="E2547" i="4"/>
  <c r="E2546" i="4"/>
  <c r="E2545" i="4"/>
  <c r="E2544" i="4"/>
  <c r="E2543" i="4"/>
  <c r="E2542" i="4"/>
  <c r="E2541" i="4"/>
  <c r="E2540" i="4"/>
  <c r="E2539" i="4"/>
  <c r="E2538" i="4"/>
  <c r="E2537" i="4"/>
  <c r="E2536" i="4"/>
  <c r="E2535" i="4"/>
  <c r="E2534" i="4"/>
  <c r="E2533" i="4"/>
  <c r="E2532" i="4"/>
  <c r="E2531" i="4"/>
  <c r="E2530" i="4"/>
  <c r="E2529" i="4"/>
  <c r="E2528" i="4"/>
  <c r="E2527" i="4"/>
  <c r="E2526" i="4"/>
  <c r="E2525" i="4"/>
  <c r="E2524" i="4"/>
  <c r="E2523" i="4"/>
  <c r="E2522" i="4"/>
  <c r="E2521" i="4"/>
  <c r="E2520" i="4"/>
  <c r="E2519" i="4"/>
  <c r="E2518" i="4"/>
  <c r="E2517" i="4"/>
  <c r="E2516" i="4"/>
  <c r="E2515" i="4"/>
  <c r="E2514" i="4"/>
  <c r="E2513" i="4"/>
  <c r="E2512" i="4"/>
  <c r="E2511" i="4"/>
  <c r="E2510" i="4"/>
  <c r="E2509" i="4"/>
  <c r="E2508" i="4"/>
  <c r="E2507" i="4"/>
  <c r="E2506" i="4"/>
  <c r="E2505" i="4"/>
  <c r="E2504" i="4"/>
  <c r="E2503" i="4"/>
  <c r="E2502" i="4"/>
  <c r="E2501" i="4"/>
  <c r="E2500" i="4"/>
  <c r="E2499" i="4"/>
  <c r="E2498" i="4"/>
  <c r="E2497" i="4"/>
  <c r="E2496" i="4"/>
  <c r="E2495" i="4"/>
  <c r="E2494" i="4"/>
  <c r="E2493" i="4"/>
  <c r="E2492" i="4"/>
  <c r="E2491" i="4"/>
  <c r="E2490" i="4"/>
  <c r="E2489" i="4"/>
  <c r="E2488" i="4"/>
  <c r="E2487" i="4"/>
  <c r="E2486" i="4"/>
  <c r="E2485" i="4"/>
  <c r="E2484" i="4"/>
  <c r="E2483" i="4"/>
  <c r="E2482" i="4"/>
  <c r="E2481" i="4"/>
  <c r="E2480" i="4"/>
  <c r="E2479" i="4"/>
  <c r="E2478" i="4"/>
  <c r="E2477" i="4"/>
  <c r="E2476" i="4"/>
  <c r="E2475" i="4"/>
  <c r="E2474" i="4"/>
  <c r="E2473" i="4"/>
  <c r="E2472" i="4"/>
  <c r="E2471" i="4"/>
  <c r="E2470" i="4"/>
  <c r="E2469" i="4"/>
  <c r="E2468" i="4"/>
  <c r="E2467" i="4"/>
  <c r="E2466" i="4"/>
  <c r="E2465" i="4"/>
  <c r="E2464" i="4"/>
  <c r="E2463" i="4"/>
  <c r="E2462" i="4"/>
  <c r="E2461" i="4"/>
  <c r="E2460" i="4"/>
  <c r="E2459" i="4"/>
  <c r="E2458" i="4"/>
  <c r="E2457" i="4"/>
  <c r="E2456" i="4"/>
  <c r="E2455" i="4"/>
  <c r="E2454" i="4"/>
  <c r="E2453" i="4"/>
  <c r="E2452" i="4"/>
  <c r="E2451" i="4"/>
  <c r="E2450" i="4"/>
  <c r="E2449" i="4"/>
  <c r="E2448" i="4"/>
  <c r="E2447" i="4"/>
  <c r="E2446" i="4"/>
  <c r="E2445" i="4"/>
  <c r="E2444" i="4"/>
  <c r="E2443" i="4"/>
  <c r="E2442" i="4"/>
  <c r="E2441" i="4"/>
  <c r="E2440" i="4"/>
  <c r="E2439" i="4"/>
  <c r="E2438" i="4"/>
  <c r="E2437" i="4"/>
  <c r="E2436" i="4"/>
  <c r="E2435" i="4"/>
  <c r="E2434" i="4"/>
  <c r="E2433" i="4"/>
  <c r="E2432" i="4"/>
  <c r="E2431" i="4"/>
  <c r="E2430" i="4"/>
  <c r="E2429" i="4"/>
  <c r="E2428" i="4"/>
  <c r="E2427" i="4"/>
  <c r="E2426" i="4"/>
  <c r="E2425" i="4"/>
  <c r="E2424" i="4"/>
  <c r="E2423" i="4"/>
  <c r="E2422" i="4"/>
  <c r="E2421" i="4"/>
  <c r="E2420" i="4"/>
  <c r="E2419" i="4"/>
  <c r="E2418" i="4"/>
  <c r="E2417" i="4"/>
  <c r="E2416" i="4"/>
  <c r="E2415" i="4"/>
  <c r="E2414" i="4"/>
  <c r="E2413" i="4"/>
  <c r="E2412" i="4"/>
  <c r="E2411" i="4"/>
  <c r="E2410" i="4"/>
  <c r="E2409" i="4"/>
  <c r="E2408" i="4"/>
  <c r="E2407" i="4"/>
  <c r="E2406" i="4"/>
  <c r="E2405" i="4"/>
  <c r="E2404" i="4"/>
  <c r="E2403" i="4"/>
  <c r="E2402" i="4"/>
  <c r="E2401" i="4"/>
  <c r="E2400" i="4"/>
  <c r="E2399" i="4"/>
  <c r="E2398" i="4"/>
  <c r="E2397" i="4"/>
  <c r="E2396" i="4"/>
  <c r="E2395" i="4"/>
  <c r="E2394" i="4"/>
  <c r="E2393" i="4"/>
  <c r="E2392" i="4"/>
  <c r="E2391" i="4"/>
  <c r="E2390" i="4"/>
  <c r="E2389" i="4"/>
  <c r="E2388" i="4"/>
  <c r="E2387" i="4"/>
  <c r="E2386" i="4"/>
  <c r="E2385" i="4"/>
  <c r="E2384" i="4"/>
  <c r="E2383" i="4"/>
  <c r="E2382" i="4"/>
  <c r="E2381" i="4"/>
  <c r="E2380" i="4"/>
  <c r="E2379" i="4"/>
  <c r="E2378" i="4"/>
  <c r="E2377" i="4"/>
  <c r="E2376" i="4"/>
  <c r="E2375" i="4"/>
  <c r="E2374" i="4"/>
  <c r="E2373" i="4"/>
  <c r="E2372" i="4"/>
  <c r="E2371" i="4"/>
  <c r="E2370" i="4"/>
  <c r="E2369" i="4"/>
  <c r="E2368" i="4"/>
  <c r="E2367" i="4"/>
  <c r="E2366" i="4"/>
  <c r="E2365" i="4"/>
  <c r="E2364" i="4"/>
  <c r="E2363" i="4"/>
  <c r="E2362" i="4"/>
  <c r="E2361" i="4"/>
  <c r="E2360" i="4"/>
  <c r="E2359" i="4"/>
  <c r="E2358" i="4"/>
  <c r="E2357" i="4"/>
  <c r="E2356" i="4"/>
  <c r="E2355" i="4"/>
  <c r="E2354" i="4"/>
  <c r="E2353" i="4"/>
  <c r="E2352" i="4"/>
  <c r="E2351" i="4"/>
  <c r="E2350" i="4"/>
  <c r="E2349" i="4"/>
  <c r="E2348" i="4"/>
  <c r="E2347" i="4"/>
  <c r="E2346" i="4"/>
  <c r="E2345" i="4"/>
  <c r="E2344" i="4"/>
  <c r="E2343" i="4"/>
  <c r="E2342" i="4"/>
  <c r="E2341" i="4"/>
  <c r="E2340" i="4"/>
  <c r="E2339" i="4"/>
  <c r="E2338" i="4"/>
  <c r="E2337" i="4"/>
  <c r="E2336" i="4"/>
  <c r="E2335" i="4"/>
  <c r="E2334" i="4"/>
  <c r="E2333" i="4"/>
  <c r="E2332" i="4"/>
  <c r="E2331" i="4"/>
  <c r="E2330" i="4"/>
  <c r="E2329" i="4"/>
  <c r="E2328" i="4"/>
  <c r="E2327" i="4"/>
  <c r="E2326" i="4"/>
  <c r="E2325" i="4"/>
  <c r="E2324" i="4"/>
  <c r="E2323" i="4"/>
  <c r="E2322" i="4"/>
  <c r="E2321" i="4"/>
  <c r="E2320" i="4"/>
  <c r="E2319" i="4"/>
  <c r="E2318" i="4"/>
  <c r="E2317" i="4"/>
  <c r="E2316" i="4"/>
  <c r="E2315" i="4"/>
  <c r="E2314" i="4"/>
  <c r="E2313" i="4"/>
  <c r="E2312" i="4"/>
  <c r="E2311" i="4"/>
  <c r="E2310" i="4"/>
  <c r="E2309" i="4"/>
  <c r="E2308" i="4"/>
  <c r="E2307" i="4"/>
  <c r="E2306" i="4"/>
  <c r="E2305" i="4"/>
  <c r="E2304" i="4"/>
  <c r="E2303" i="4"/>
  <c r="E2302" i="4"/>
  <c r="E2301" i="4"/>
  <c r="E2300" i="4"/>
  <c r="E2299" i="4"/>
  <c r="E2298" i="4"/>
  <c r="E2297" i="4"/>
  <c r="E2296" i="4"/>
  <c r="E2295" i="4"/>
  <c r="E2294" i="4"/>
  <c r="E2293" i="4"/>
  <c r="E2292" i="4"/>
  <c r="E2291" i="4"/>
  <c r="E2290" i="4"/>
  <c r="E2289" i="4"/>
  <c r="E2288" i="4"/>
  <c r="E2287" i="4"/>
  <c r="E2286" i="4"/>
  <c r="E2285" i="4"/>
  <c r="E2284" i="4"/>
  <c r="E2283" i="4"/>
  <c r="E2282" i="4"/>
  <c r="E2281" i="4"/>
  <c r="E2280" i="4"/>
  <c r="E2279" i="4"/>
  <c r="E2278" i="4"/>
  <c r="E2277" i="4"/>
  <c r="E2276" i="4"/>
  <c r="E2275" i="4"/>
  <c r="E2274" i="4"/>
  <c r="E2273" i="4"/>
  <c r="E2272" i="4"/>
  <c r="E2271" i="4"/>
  <c r="E2270" i="4"/>
  <c r="E2269" i="4"/>
  <c r="E2268" i="4"/>
  <c r="E2267" i="4"/>
  <c r="E2266" i="4"/>
  <c r="E2265" i="4"/>
  <c r="E2264" i="4"/>
  <c r="E2263" i="4"/>
  <c r="E2262" i="4"/>
  <c r="E2261" i="4"/>
  <c r="E2260" i="4"/>
  <c r="E2259" i="4"/>
  <c r="E2258" i="4"/>
  <c r="E2257" i="4"/>
  <c r="E2256" i="4"/>
  <c r="E2255" i="4"/>
  <c r="E2254" i="4"/>
  <c r="E2253" i="4"/>
  <c r="E2252" i="4"/>
  <c r="E2251" i="4"/>
  <c r="E2250" i="4"/>
  <c r="E2249" i="4"/>
  <c r="E2248" i="4"/>
  <c r="E2247" i="4"/>
  <c r="E2246" i="4"/>
  <c r="E2245" i="4"/>
  <c r="E2244" i="4"/>
  <c r="E2243" i="4"/>
  <c r="E2242" i="4"/>
  <c r="E2241" i="4"/>
  <c r="E2240" i="4"/>
  <c r="E2239" i="4"/>
  <c r="E2238" i="4"/>
  <c r="E2237" i="4"/>
  <c r="E2236" i="4"/>
  <c r="E2235" i="4"/>
  <c r="E2234" i="4"/>
  <c r="E2233" i="4"/>
  <c r="E2232" i="4"/>
  <c r="E2231" i="4"/>
  <c r="E2230" i="4"/>
  <c r="E2229" i="4"/>
  <c r="E2228" i="4"/>
  <c r="E2227" i="4"/>
  <c r="E2226" i="4"/>
  <c r="E2225" i="4"/>
  <c r="E2224" i="4"/>
  <c r="E2223" i="4"/>
  <c r="E2222" i="4"/>
  <c r="E2221" i="4"/>
  <c r="E2220" i="4"/>
  <c r="E2219" i="4"/>
  <c r="E2218" i="4"/>
  <c r="E2217" i="4"/>
  <c r="E2216" i="4"/>
  <c r="E2215" i="4"/>
  <c r="E2214" i="4"/>
  <c r="E2213" i="4"/>
  <c r="E2212" i="4"/>
  <c r="E2211" i="4"/>
  <c r="E2210" i="4"/>
  <c r="E2209" i="4"/>
  <c r="E2208" i="4"/>
  <c r="E2207" i="4"/>
  <c r="E2206" i="4"/>
  <c r="E2205" i="4"/>
  <c r="E2204" i="4"/>
  <c r="E2203" i="4"/>
  <c r="E2202" i="4"/>
  <c r="E2201" i="4"/>
  <c r="E2200" i="4"/>
  <c r="E2199" i="4"/>
  <c r="E2198" i="4"/>
  <c r="E2197" i="4"/>
  <c r="E2196" i="4"/>
  <c r="E2195" i="4"/>
  <c r="E2194" i="4"/>
  <c r="E2193" i="4"/>
  <c r="E2192" i="4"/>
  <c r="E2191" i="4"/>
  <c r="E2190" i="4"/>
  <c r="E2189" i="4"/>
  <c r="E2188" i="4"/>
  <c r="E2187" i="4"/>
  <c r="E2186" i="4"/>
  <c r="E2185" i="4"/>
  <c r="E2184" i="4"/>
  <c r="E2183" i="4"/>
  <c r="E2182" i="4"/>
  <c r="E2181" i="4"/>
  <c r="E2180" i="4"/>
  <c r="E2179" i="4"/>
  <c r="E2178" i="4"/>
  <c r="E2177" i="4"/>
  <c r="E2176" i="4"/>
  <c r="E2175" i="4"/>
  <c r="E2174" i="4"/>
  <c r="E2173" i="4"/>
  <c r="E2172" i="4"/>
  <c r="E2171" i="4"/>
  <c r="E2170" i="4"/>
  <c r="E2169" i="4"/>
  <c r="E2168" i="4"/>
  <c r="E2167" i="4"/>
  <c r="E2166" i="4"/>
  <c r="E2165" i="4"/>
  <c r="E2164" i="4"/>
  <c r="E2163" i="4"/>
  <c r="E2162" i="4"/>
  <c r="E2161" i="4"/>
  <c r="E2160" i="4"/>
  <c r="E2159" i="4"/>
  <c r="E2158" i="4"/>
  <c r="E2157" i="4"/>
  <c r="E2156" i="4"/>
  <c r="E2155" i="4"/>
  <c r="E2154" i="4"/>
  <c r="E2153" i="4"/>
  <c r="E2152" i="4"/>
  <c r="E2151" i="4"/>
  <c r="E2150" i="4"/>
  <c r="E2149" i="4"/>
  <c r="E2148" i="4"/>
  <c r="E2147" i="4"/>
  <c r="E2146" i="4"/>
  <c r="E2145" i="4"/>
  <c r="E2144" i="4"/>
  <c r="E2143" i="4"/>
  <c r="E2142" i="4"/>
  <c r="E2141" i="4"/>
  <c r="E2140" i="4"/>
  <c r="E2139" i="4"/>
  <c r="E2138" i="4"/>
  <c r="E2137" i="4"/>
  <c r="E2136" i="4"/>
  <c r="E2135" i="4"/>
  <c r="E2134" i="4"/>
  <c r="E2133" i="4"/>
  <c r="E2132" i="4"/>
  <c r="E2131" i="4"/>
  <c r="E2130" i="4"/>
  <c r="E2129" i="4"/>
  <c r="E2128" i="4"/>
  <c r="E2127" i="4"/>
  <c r="E2126" i="4"/>
  <c r="E2125" i="4"/>
  <c r="E2124" i="4"/>
  <c r="E2123" i="4"/>
  <c r="E2122" i="4"/>
  <c r="E2121" i="4"/>
  <c r="E2120" i="4"/>
  <c r="E2119" i="4"/>
  <c r="E2118" i="4"/>
  <c r="E2117" i="4"/>
  <c r="E2116" i="4"/>
  <c r="E2115" i="4"/>
  <c r="E2114" i="4"/>
  <c r="E2113" i="4"/>
  <c r="E2112" i="4"/>
  <c r="E2111" i="4"/>
  <c r="E2110" i="4"/>
  <c r="E2109" i="4"/>
  <c r="E2108" i="4"/>
  <c r="E2107" i="4"/>
  <c r="E2106" i="4"/>
  <c r="E2105" i="4"/>
  <c r="E2104" i="4"/>
  <c r="E2103" i="4"/>
  <c r="E2102" i="4"/>
  <c r="E2101" i="4"/>
  <c r="E2100" i="4"/>
  <c r="E2099" i="4"/>
  <c r="E2098" i="4"/>
  <c r="E2097" i="4"/>
  <c r="E2096" i="4"/>
  <c r="E2095" i="4"/>
  <c r="E2094" i="4"/>
  <c r="E2093" i="4"/>
  <c r="E2092" i="4"/>
  <c r="E2091" i="4"/>
  <c r="E2090" i="4"/>
  <c r="E2089" i="4"/>
  <c r="E2088" i="4"/>
  <c r="E2087" i="4"/>
  <c r="E2086" i="4"/>
  <c r="E2085" i="4"/>
  <c r="E2084" i="4"/>
  <c r="E2083" i="4"/>
  <c r="E2082" i="4"/>
  <c r="E2081" i="4"/>
  <c r="E2080" i="4"/>
  <c r="E2079" i="4"/>
  <c r="E2078" i="4"/>
  <c r="E2077" i="4"/>
  <c r="E2076" i="4"/>
  <c r="E2075" i="4"/>
  <c r="E2074" i="4"/>
  <c r="E2073" i="4"/>
  <c r="E2072" i="4"/>
  <c r="E2071" i="4"/>
  <c r="E2070" i="4"/>
  <c r="E2069" i="4"/>
  <c r="E2068" i="4"/>
  <c r="E2067" i="4"/>
  <c r="E2066" i="4"/>
  <c r="E2065" i="4"/>
  <c r="E2064" i="4"/>
  <c r="E2063" i="4"/>
  <c r="E2062" i="4"/>
  <c r="E2061" i="4"/>
  <c r="E2060" i="4"/>
  <c r="E2059" i="4"/>
  <c r="E2058" i="4"/>
  <c r="E2057" i="4"/>
  <c r="E2056" i="4"/>
  <c r="E2055" i="4"/>
  <c r="E2054" i="4"/>
  <c r="E2053" i="4"/>
  <c r="E2052" i="4"/>
  <c r="E2051" i="4"/>
  <c r="E2050" i="4"/>
  <c r="E2049" i="4"/>
  <c r="E2048" i="4"/>
  <c r="E2047" i="4"/>
  <c r="E2046" i="4"/>
  <c r="E2045" i="4"/>
  <c r="E2044" i="4"/>
  <c r="E2043" i="4"/>
  <c r="E2042" i="4"/>
  <c r="E2041" i="4"/>
  <c r="E2040" i="4"/>
  <c r="E2039" i="4"/>
  <c r="E2038" i="4"/>
  <c r="E2037" i="4"/>
  <c r="E2036" i="4"/>
  <c r="E2035" i="4"/>
  <c r="E2034" i="4"/>
  <c r="E2033" i="4"/>
  <c r="E2032" i="4"/>
  <c r="E2031" i="4"/>
  <c r="E2030" i="4"/>
  <c r="E2029" i="4"/>
  <c r="E2028" i="4"/>
  <c r="E2027" i="4"/>
  <c r="E2026" i="4"/>
  <c r="E2025" i="4"/>
  <c r="E2024" i="4"/>
  <c r="E2023" i="4"/>
  <c r="E2022" i="4"/>
  <c r="E2021" i="4"/>
  <c r="E2020" i="4"/>
  <c r="E2019" i="4"/>
  <c r="E2018" i="4"/>
  <c r="E2017" i="4"/>
  <c r="E2016" i="4"/>
  <c r="E2015" i="4"/>
  <c r="E2014" i="4"/>
  <c r="E2013" i="4"/>
  <c r="E2012" i="4"/>
  <c r="E2011" i="4"/>
  <c r="E2010" i="4"/>
  <c r="E2009" i="4"/>
  <c r="E2008" i="4"/>
  <c r="E2007" i="4"/>
  <c r="E2006" i="4"/>
  <c r="E2005" i="4"/>
  <c r="E2004" i="4"/>
  <c r="E2003" i="4"/>
  <c r="E2002" i="4"/>
  <c r="E2001" i="4"/>
  <c r="E2000" i="4"/>
  <c r="E1999" i="4"/>
  <c r="E1998" i="4"/>
  <c r="E1997" i="4"/>
  <c r="E1996" i="4"/>
  <c r="E1995" i="4"/>
  <c r="E1994" i="4"/>
  <c r="E1993" i="4"/>
  <c r="E1992" i="4"/>
  <c r="E1991" i="4"/>
  <c r="E1990" i="4"/>
  <c r="E1989" i="4"/>
  <c r="E1988" i="4"/>
  <c r="E1987" i="4"/>
  <c r="E1986" i="4"/>
  <c r="E1985" i="4"/>
  <c r="E1984" i="4"/>
  <c r="E1983" i="4"/>
  <c r="E1982" i="4"/>
  <c r="E1981" i="4"/>
  <c r="E1980" i="4"/>
  <c r="E1979" i="4"/>
  <c r="E1978" i="4"/>
  <c r="E1977" i="4"/>
  <c r="E1976" i="4"/>
  <c r="E1975" i="4"/>
  <c r="E1974" i="4"/>
  <c r="E1973" i="4"/>
  <c r="E1972" i="4"/>
  <c r="E1971" i="4"/>
  <c r="E1970" i="4"/>
  <c r="E1969" i="4"/>
  <c r="E1968" i="4"/>
  <c r="E1967" i="4"/>
  <c r="E1966" i="4"/>
  <c r="E1965" i="4"/>
  <c r="E1964" i="4"/>
  <c r="E1963" i="4"/>
  <c r="E1962" i="4"/>
  <c r="E1961" i="4"/>
  <c r="E1960" i="4"/>
  <c r="E1959" i="4"/>
  <c r="E1958" i="4"/>
  <c r="E1957" i="4"/>
  <c r="E1956" i="4"/>
  <c r="E1955" i="4"/>
  <c r="E1954" i="4"/>
  <c r="E1953" i="4"/>
  <c r="E1952" i="4"/>
  <c r="E1951" i="4"/>
  <c r="E1950" i="4"/>
  <c r="E1949" i="4"/>
  <c r="E1948" i="4"/>
  <c r="E1947" i="4"/>
  <c r="E1946" i="4"/>
  <c r="E1945" i="4"/>
  <c r="E1944" i="4"/>
  <c r="E1943" i="4"/>
  <c r="E1942" i="4"/>
  <c r="E1941" i="4"/>
  <c r="E1940" i="4"/>
  <c r="E1939" i="4"/>
  <c r="E1938" i="4"/>
  <c r="E1937" i="4"/>
  <c r="E1936" i="4"/>
  <c r="E1935" i="4"/>
  <c r="E1934" i="4"/>
  <c r="E1933" i="4"/>
  <c r="E1932" i="4"/>
  <c r="E1931" i="4"/>
  <c r="E1930" i="4"/>
  <c r="E1929" i="4"/>
  <c r="E1928" i="4"/>
  <c r="E1927" i="4"/>
  <c r="E1926" i="4"/>
  <c r="E1925" i="4"/>
  <c r="E1924" i="4"/>
  <c r="E1923" i="4"/>
  <c r="E1922" i="4"/>
  <c r="E1921" i="4"/>
  <c r="E1920" i="4"/>
  <c r="E1919" i="4"/>
  <c r="E1918" i="4"/>
  <c r="E1917" i="4"/>
  <c r="E1916" i="4"/>
  <c r="E1915" i="4"/>
  <c r="E1914" i="4"/>
  <c r="E1913" i="4"/>
  <c r="E1912" i="4"/>
  <c r="E1911" i="4"/>
  <c r="E1910" i="4"/>
  <c r="E1909" i="4"/>
  <c r="E1908" i="4"/>
  <c r="E1907" i="4"/>
  <c r="E1906" i="4"/>
  <c r="E1905" i="4"/>
  <c r="E1904" i="4"/>
  <c r="E1903" i="4"/>
  <c r="E1902" i="4"/>
  <c r="E1901" i="4"/>
  <c r="E1900" i="4"/>
  <c r="E1899" i="4"/>
  <c r="E1898" i="4"/>
  <c r="E1897" i="4"/>
  <c r="E1896" i="4"/>
  <c r="E1895" i="4"/>
  <c r="E1894" i="4"/>
  <c r="E1893" i="4"/>
  <c r="E1892" i="4"/>
  <c r="E1891" i="4"/>
  <c r="E1890" i="4"/>
  <c r="E1889" i="4"/>
  <c r="E1888" i="4"/>
  <c r="E1887" i="4"/>
  <c r="E1886" i="4"/>
  <c r="E1885" i="4"/>
  <c r="E1884" i="4"/>
  <c r="E1883" i="4"/>
  <c r="E1882" i="4"/>
  <c r="E1881" i="4"/>
  <c r="E1880" i="4"/>
  <c r="E1879" i="4"/>
  <c r="E1878" i="4"/>
  <c r="E1877" i="4"/>
  <c r="E1876" i="4"/>
  <c r="E1875" i="4"/>
  <c r="E1874" i="4"/>
  <c r="E1873" i="4"/>
  <c r="E1872" i="4"/>
  <c r="E1871" i="4"/>
  <c r="E1870" i="4"/>
  <c r="E1869" i="4"/>
  <c r="E1868" i="4"/>
  <c r="E1867" i="4"/>
  <c r="E1866" i="4"/>
  <c r="E1865" i="4"/>
  <c r="E1864" i="4"/>
  <c r="E1863" i="4"/>
  <c r="E1862" i="4"/>
  <c r="E1861" i="4"/>
  <c r="E1860" i="4"/>
  <c r="E1859" i="4"/>
  <c r="E1858" i="4"/>
  <c r="E1857" i="4"/>
  <c r="E1856" i="4"/>
  <c r="E1855" i="4"/>
  <c r="E1854" i="4"/>
  <c r="E1853" i="4"/>
  <c r="E1852" i="4"/>
  <c r="E1851" i="4"/>
  <c r="E1850" i="4"/>
  <c r="E1849" i="4"/>
  <c r="E1848" i="4"/>
  <c r="E1847" i="4"/>
  <c r="E1846" i="4"/>
  <c r="E1845" i="4"/>
  <c r="E1844" i="4"/>
  <c r="E1843" i="4"/>
  <c r="E1842" i="4"/>
  <c r="E1841" i="4"/>
  <c r="E1840" i="4"/>
  <c r="E1839" i="4"/>
  <c r="E1838" i="4"/>
  <c r="E1837" i="4"/>
  <c r="E1836" i="4"/>
  <c r="E1835" i="4"/>
  <c r="E1834" i="4"/>
  <c r="E1833" i="4"/>
  <c r="E1832" i="4"/>
  <c r="E1831" i="4"/>
  <c r="E1830" i="4"/>
  <c r="E1829" i="4"/>
  <c r="E1828" i="4"/>
  <c r="E1827" i="4"/>
  <c r="E1826" i="4"/>
  <c r="E1825" i="4"/>
  <c r="E1824" i="4"/>
  <c r="E1823" i="4"/>
  <c r="E1822" i="4"/>
  <c r="E1821" i="4"/>
  <c r="E1820" i="4"/>
  <c r="E1819" i="4"/>
  <c r="E1818" i="4"/>
  <c r="E1817" i="4"/>
  <c r="E1816" i="4"/>
  <c r="E1815" i="4"/>
  <c r="E1814" i="4"/>
  <c r="E1813" i="4"/>
  <c r="E1812" i="4"/>
  <c r="E1811" i="4"/>
  <c r="E1810" i="4"/>
  <c r="E1809" i="4"/>
  <c r="E1808" i="4"/>
  <c r="E1807" i="4"/>
  <c r="E1806" i="4"/>
  <c r="E1805" i="4"/>
  <c r="E1804" i="4"/>
  <c r="E1803" i="4"/>
  <c r="E1802" i="4"/>
  <c r="E1801" i="4"/>
  <c r="E1800" i="4"/>
  <c r="E1799" i="4"/>
  <c r="E1798" i="4"/>
  <c r="E1797" i="4"/>
  <c r="E1796" i="4"/>
  <c r="E1795" i="4"/>
  <c r="E1794" i="4"/>
  <c r="E1793" i="4"/>
  <c r="E1792" i="4"/>
  <c r="E1791" i="4"/>
  <c r="E1790" i="4"/>
  <c r="E1789" i="4"/>
  <c r="E1788" i="4"/>
  <c r="E1787" i="4"/>
  <c r="E1786" i="4"/>
  <c r="E1785" i="4"/>
  <c r="E1784" i="4"/>
  <c r="E1783" i="4"/>
  <c r="E1782" i="4"/>
  <c r="E1781" i="4"/>
  <c r="E1780" i="4"/>
  <c r="E1779" i="4"/>
  <c r="E1778" i="4"/>
  <c r="E1777" i="4"/>
  <c r="E1776" i="4"/>
  <c r="E1775" i="4"/>
  <c r="E1774" i="4"/>
  <c r="E1773" i="4"/>
  <c r="E1772" i="4"/>
  <c r="E1771" i="4"/>
  <c r="E1770" i="4"/>
  <c r="E1769" i="4"/>
  <c r="E1768" i="4"/>
  <c r="E1767" i="4"/>
  <c r="E1766" i="4"/>
  <c r="E1765" i="4"/>
  <c r="E1764" i="4"/>
  <c r="E1763" i="4"/>
  <c r="E1762" i="4"/>
  <c r="E1761" i="4"/>
  <c r="E1760" i="4"/>
  <c r="E1759" i="4"/>
  <c r="E1758" i="4"/>
  <c r="E1757" i="4"/>
  <c r="E1756" i="4"/>
  <c r="E1755" i="4"/>
  <c r="E1754" i="4"/>
  <c r="E1753" i="4"/>
  <c r="E1752" i="4"/>
  <c r="E1751" i="4"/>
  <c r="E1750" i="4"/>
  <c r="E1749" i="4"/>
  <c r="E1748" i="4"/>
  <c r="E1747" i="4"/>
  <c r="E1746" i="4"/>
  <c r="E1745" i="4"/>
  <c r="E1744" i="4"/>
  <c r="E1743" i="4"/>
  <c r="E1742" i="4"/>
  <c r="E1741" i="4"/>
  <c r="E1740" i="4"/>
  <c r="E1739" i="4"/>
  <c r="E1738" i="4"/>
  <c r="E1737" i="4"/>
  <c r="E1736" i="4"/>
  <c r="E1735" i="4"/>
  <c r="E1734" i="4"/>
  <c r="E1733" i="4"/>
  <c r="E1732" i="4"/>
  <c r="E1731" i="4"/>
  <c r="E1730" i="4"/>
  <c r="E1729" i="4"/>
  <c r="E1728" i="4"/>
  <c r="E1727" i="4"/>
  <c r="E1726" i="4"/>
  <c r="E1725" i="4"/>
  <c r="E1724" i="4"/>
  <c r="E1723" i="4"/>
  <c r="E1722" i="4"/>
  <c r="E1721" i="4"/>
  <c r="E1720" i="4"/>
  <c r="E1719" i="4"/>
  <c r="E1718" i="4"/>
  <c r="E1717" i="4"/>
  <c r="E1716" i="4"/>
  <c r="E1715" i="4"/>
  <c r="E1714" i="4"/>
  <c r="E1713" i="4"/>
  <c r="E1712" i="4"/>
  <c r="E1711" i="4"/>
  <c r="E1710" i="4"/>
  <c r="E1709" i="4"/>
  <c r="E1708" i="4"/>
  <c r="E1707" i="4"/>
  <c r="E1706" i="4"/>
  <c r="E1705" i="4"/>
  <c r="E1704" i="4"/>
  <c r="E1703" i="4"/>
  <c r="E1702" i="4"/>
  <c r="E1701" i="4"/>
  <c r="E1700" i="4"/>
  <c r="E1699" i="4"/>
  <c r="E1698" i="4"/>
  <c r="E1697" i="4"/>
  <c r="E1696" i="4"/>
  <c r="E1695" i="4"/>
  <c r="E1694" i="4"/>
  <c r="E1693" i="4"/>
  <c r="E1692" i="4"/>
  <c r="E1691" i="4"/>
  <c r="E1690" i="4"/>
  <c r="E1689" i="4"/>
  <c r="E1688" i="4"/>
  <c r="E1687" i="4"/>
  <c r="E1686" i="4"/>
  <c r="E1685" i="4"/>
  <c r="E1684" i="4"/>
  <c r="E1683" i="4"/>
  <c r="E1682" i="4"/>
  <c r="E1681" i="4"/>
  <c r="E1680" i="4"/>
  <c r="E1679" i="4"/>
  <c r="E1678" i="4"/>
  <c r="E1677" i="4"/>
  <c r="E1676" i="4"/>
  <c r="E1675" i="4"/>
  <c r="E1674" i="4"/>
  <c r="E1673" i="4"/>
  <c r="E1672" i="4"/>
  <c r="E1671" i="4"/>
  <c r="E1670" i="4"/>
  <c r="E1669" i="4"/>
  <c r="E1668" i="4"/>
  <c r="E1667" i="4"/>
  <c r="E1666" i="4"/>
  <c r="E1665" i="4"/>
  <c r="E1664" i="4"/>
  <c r="E1663" i="4"/>
  <c r="E1662" i="4"/>
  <c r="E1661" i="4"/>
  <c r="E1660" i="4"/>
  <c r="E1659" i="4"/>
  <c r="E1658" i="4"/>
  <c r="E1657" i="4"/>
  <c r="E1656" i="4"/>
  <c r="E1655" i="4"/>
  <c r="E1654" i="4"/>
  <c r="E1653" i="4"/>
  <c r="E1652" i="4"/>
  <c r="E1651" i="4"/>
  <c r="E1650" i="4"/>
  <c r="E1649" i="4"/>
  <c r="E1648" i="4"/>
  <c r="E1647" i="4"/>
  <c r="E1646" i="4"/>
  <c r="E1645" i="4"/>
  <c r="E1644" i="4"/>
  <c r="E1643" i="4"/>
  <c r="E1642" i="4"/>
  <c r="E1641" i="4"/>
  <c r="E1640" i="4"/>
  <c r="E1639" i="4"/>
  <c r="E1638" i="4"/>
  <c r="E1637" i="4"/>
  <c r="E1636" i="4"/>
  <c r="E1635" i="4"/>
  <c r="E1634" i="4"/>
  <c r="E1633" i="4"/>
  <c r="E1632" i="4"/>
  <c r="E1631" i="4"/>
  <c r="E1630" i="4"/>
  <c r="E1629" i="4"/>
  <c r="E1628" i="4"/>
  <c r="E1627" i="4"/>
  <c r="E1626" i="4"/>
  <c r="E1625" i="4"/>
  <c r="E1624" i="4"/>
  <c r="E1623" i="4"/>
  <c r="E1622" i="4"/>
  <c r="E1621" i="4"/>
  <c r="E1620" i="4"/>
  <c r="E1619" i="4"/>
  <c r="E1618" i="4"/>
  <c r="E1617" i="4"/>
  <c r="E1616" i="4"/>
  <c r="E1615" i="4"/>
  <c r="E1614" i="4"/>
  <c r="E1613" i="4"/>
  <c r="E1612" i="4"/>
  <c r="E1611" i="4"/>
  <c r="E1610" i="4"/>
  <c r="E1609" i="4"/>
  <c r="E1608" i="4"/>
  <c r="E1607" i="4"/>
  <c r="E1606" i="4"/>
  <c r="E1605" i="4"/>
  <c r="E1604" i="4"/>
  <c r="E1603" i="4"/>
  <c r="E1602" i="4"/>
  <c r="E1601" i="4"/>
  <c r="E1600" i="4"/>
  <c r="E1599" i="4"/>
  <c r="E1598" i="4"/>
  <c r="E1597" i="4"/>
  <c r="E1596" i="4"/>
  <c r="E1595" i="4"/>
  <c r="E1594" i="4"/>
  <c r="E1593" i="4"/>
  <c r="E1592" i="4"/>
  <c r="E1591" i="4"/>
  <c r="E1590" i="4"/>
  <c r="E1589" i="4"/>
  <c r="E1588" i="4"/>
  <c r="E1587" i="4"/>
  <c r="E1586" i="4"/>
  <c r="E1585" i="4"/>
  <c r="E1584" i="4"/>
  <c r="E1583" i="4"/>
  <c r="E1582" i="4"/>
  <c r="E1581" i="4"/>
  <c r="E1580" i="4"/>
  <c r="E1579" i="4"/>
  <c r="E1578" i="4"/>
  <c r="E1577" i="4"/>
  <c r="E1576" i="4"/>
  <c r="E1575" i="4"/>
  <c r="E1574" i="4"/>
  <c r="E1573" i="4"/>
  <c r="E1572" i="4"/>
  <c r="E1571" i="4"/>
  <c r="E1570" i="4"/>
  <c r="E1569" i="4"/>
  <c r="E1568" i="4"/>
  <c r="E1567" i="4"/>
  <c r="E1566" i="4"/>
  <c r="E1565" i="4"/>
  <c r="E1564" i="4"/>
  <c r="E1563" i="4"/>
  <c r="E1562" i="4"/>
  <c r="E1561" i="4"/>
  <c r="E1560" i="4"/>
  <c r="E1559" i="4"/>
  <c r="E1558" i="4"/>
  <c r="E1557" i="4"/>
  <c r="E1556" i="4"/>
  <c r="E1555" i="4"/>
  <c r="E1554" i="4"/>
  <c r="E1553" i="4"/>
  <c r="E1552" i="4"/>
  <c r="E1551" i="4"/>
  <c r="E1550" i="4"/>
  <c r="E1549" i="4"/>
  <c r="E1548" i="4"/>
  <c r="E1547" i="4"/>
  <c r="E1546" i="4"/>
  <c r="E1545" i="4"/>
  <c r="E1544" i="4"/>
  <c r="E1543" i="4"/>
  <c r="E1542" i="4"/>
  <c r="E1541" i="4"/>
  <c r="E1540" i="4"/>
  <c r="E1539" i="4"/>
  <c r="E1538" i="4"/>
  <c r="E1537" i="4"/>
  <c r="E1536" i="4"/>
  <c r="E1535" i="4"/>
  <c r="E1534" i="4"/>
  <c r="E1533" i="4"/>
  <c r="E1532" i="4"/>
  <c r="E1531" i="4"/>
  <c r="E1530" i="4"/>
  <c r="E1529" i="4"/>
  <c r="E1528" i="4"/>
  <c r="E1527" i="4"/>
  <c r="E1526" i="4"/>
  <c r="E1525" i="4"/>
  <c r="E1524" i="4"/>
  <c r="E1523" i="4"/>
  <c r="E1522" i="4"/>
  <c r="E1521" i="4"/>
  <c r="E1520" i="4"/>
  <c r="E1519" i="4"/>
  <c r="E1518" i="4"/>
  <c r="E1517" i="4"/>
  <c r="E1516" i="4"/>
  <c r="E1515" i="4"/>
  <c r="E1514" i="4"/>
  <c r="E1513" i="4"/>
  <c r="E1512" i="4"/>
  <c r="E1511" i="4"/>
  <c r="E1510" i="4"/>
  <c r="E1509" i="4"/>
  <c r="E1508" i="4"/>
  <c r="E1507" i="4"/>
  <c r="E1506" i="4"/>
  <c r="E1505" i="4"/>
  <c r="E1504" i="4"/>
  <c r="E1503" i="4"/>
  <c r="E1502" i="4"/>
  <c r="E1501" i="4"/>
  <c r="E1500" i="4"/>
  <c r="E1499" i="4"/>
  <c r="E1498" i="4"/>
  <c r="E1497" i="4"/>
  <c r="E1496" i="4"/>
  <c r="E1495" i="4"/>
  <c r="E1494" i="4"/>
  <c r="E1493" i="4"/>
  <c r="E1492" i="4"/>
  <c r="E1491" i="4"/>
  <c r="E1490" i="4"/>
  <c r="E1489" i="4"/>
  <c r="E1488" i="4"/>
  <c r="E1487" i="4"/>
  <c r="E1486" i="4"/>
  <c r="E1485" i="4"/>
  <c r="E1484" i="4"/>
  <c r="E1483" i="4"/>
  <c r="E1482" i="4"/>
  <c r="E1481" i="4"/>
  <c r="E1480" i="4"/>
  <c r="E1479" i="4"/>
  <c r="E1478" i="4"/>
  <c r="E1477" i="4"/>
  <c r="E1476" i="4"/>
  <c r="E1475" i="4"/>
  <c r="E1474" i="4"/>
  <c r="E1473" i="4"/>
  <c r="E1472" i="4"/>
  <c r="E1471" i="4"/>
  <c r="E1470" i="4"/>
  <c r="E1469" i="4"/>
  <c r="E1468" i="4"/>
  <c r="E1467" i="4"/>
  <c r="E1466" i="4"/>
  <c r="E1465" i="4"/>
  <c r="E1464" i="4"/>
  <c r="E1463" i="4"/>
  <c r="E1462" i="4"/>
  <c r="E1461" i="4"/>
  <c r="E1460" i="4"/>
  <c r="E1459" i="4"/>
  <c r="E1458" i="4"/>
  <c r="E1457" i="4"/>
  <c r="E1456" i="4"/>
  <c r="E1455" i="4"/>
  <c r="E1454" i="4"/>
  <c r="E1453" i="4"/>
  <c r="E1452" i="4"/>
  <c r="E1451" i="4"/>
  <c r="E1450" i="4"/>
  <c r="E1449" i="4"/>
  <c r="E1448" i="4"/>
  <c r="E1447" i="4"/>
  <c r="E1446" i="4"/>
  <c r="E1445" i="4"/>
  <c r="E1444" i="4"/>
  <c r="E1443" i="4"/>
  <c r="E1442" i="4"/>
  <c r="E1441" i="4"/>
  <c r="E1440" i="4"/>
  <c r="E1439" i="4"/>
  <c r="E1438" i="4"/>
  <c r="E1437" i="4"/>
  <c r="E1436" i="4"/>
  <c r="E1435" i="4"/>
  <c r="E1434" i="4"/>
  <c r="E1433" i="4"/>
  <c r="E1432" i="4"/>
  <c r="E1431" i="4"/>
  <c r="E1430" i="4"/>
  <c r="E1429" i="4"/>
  <c r="E1428" i="4"/>
  <c r="E1427" i="4"/>
  <c r="E1426" i="4"/>
  <c r="E1425" i="4"/>
  <c r="E1424" i="4"/>
  <c r="E1423" i="4"/>
  <c r="E1422" i="4"/>
  <c r="E1421" i="4"/>
  <c r="E1420" i="4"/>
  <c r="E1419" i="4"/>
  <c r="E1418" i="4"/>
  <c r="E1417" i="4"/>
  <c r="E1416" i="4"/>
  <c r="E1415" i="4"/>
  <c r="E1414" i="4"/>
  <c r="E1413" i="4"/>
  <c r="E1412" i="4"/>
  <c r="E1411" i="4"/>
  <c r="E1410" i="4"/>
  <c r="E1409" i="4"/>
  <c r="E1408" i="4"/>
  <c r="E1407" i="4"/>
  <c r="E1406" i="4"/>
  <c r="E1405" i="4"/>
  <c r="E1404" i="4"/>
  <c r="E1403" i="4"/>
  <c r="E1402" i="4"/>
  <c r="E1401" i="4"/>
  <c r="E1400" i="4"/>
  <c r="E1399" i="4"/>
  <c r="E1398" i="4"/>
  <c r="E1397" i="4"/>
  <c r="E1396" i="4"/>
  <c r="E1395" i="4"/>
  <c r="E1394" i="4"/>
  <c r="E1393" i="4"/>
  <c r="E1392" i="4"/>
  <c r="E1391" i="4"/>
  <c r="E1390" i="4"/>
  <c r="E1389" i="4"/>
  <c r="E1388" i="4"/>
  <c r="E1387" i="4"/>
  <c r="E1386" i="4"/>
  <c r="E1385" i="4"/>
  <c r="E1384" i="4"/>
  <c r="E1383" i="4"/>
  <c r="E1382" i="4"/>
  <c r="E1381" i="4"/>
  <c r="E1380" i="4"/>
  <c r="E1379" i="4"/>
  <c r="E1378" i="4"/>
  <c r="E1377" i="4"/>
  <c r="E1376" i="4"/>
  <c r="E1375" i="4"/>
  <c r="E1374" i="4"/>
  <c r="E1373" i="4"/>
  <c r="E1372" i="4"/>
  <c r="E1371" i="4"/>
  <c r="E1370" i="4"/>
  <c r="E1369" i="4"/>
  <c r="E1368" i="4"/>
  <c r="E1367" i="4"/>
  <c r="E1366" i="4"/>
  <c r="E1365" i="4"/>
  <c r="E1364" i="4"/>
  <c r="E1363" i="4"/>
  <c r="E1362" i="4"/>
  <c r="E1361" i="4"/>
  <c r="E1360" i="4"/>
  <c r="E1359" i="4"/>
  <c r="E1358" i="4"/>
  <c r="E1357" i="4"/>
  <c r="E1356" i="4"/>
  <c r="E1355" i="4"/>
  <c r="E1354" i="4"/>
  <c r="E1353" i="4"/>
  <c r="E1352" i="4"/>
  <c r="E1351" i="4"/>
  <c r="E1350" i="4"/>
  <c r="E1349" i="4"/>
  <c r="E1348" i="4"/>
  <c r="E1347" i="4"/>
  <c r="E1346" i="4"/>
  <c r="E1345" i="4"/>
  <c r="E1344" i="4"/>
  <c r="E1343" i="4"/>
  <c r="E1342" i="4"/>
  <c r="E1341" i="4"/>
  <c r="E1340" i="4"/>
  <c r="E1339" i="4"/>
  <c r="E1338" i="4"/>
  <c r="E1337" i="4"/>
  <c r="E1336" i="4"/>
  <c r="E1335" i="4"/>
  <c r="E1334" i="4"/>
  <c r="E1333" i="4"/>
  <c r="E1332" i="4"/>
  <c r="E1331" i="4"/>
  <c r="E1330" i="4"/>
  <c r="E1329" i="4"/>
  <c r="E1328" i="4"/>
  <c r="E1327" i="4"/>
  <c r="E1326" i="4"/>
  <c r="E1325" i="4"/>
  <c r="E1324" i="4"/>
  <c r="E1323" i="4"/>
  <c r="E1322" i="4"/>
  <c r="E1321" i="4"/>
  <c r="E1320" i="4"/>
  <c r="E1319" i="4"/>
  <c r="E1318" i="4"/>
  <c r="E1317" i="4"/>
  <c r="E1316" i="4"/>
  <c r="E1315" i="4"/>
  <c r="E1314" i="4"/>
  <c r="E1313" i="4"/>
  <c r="E1312" i="4"/>
  <c r="E1311" i="4"/>
  <c r="E1310" i="4"/>
  <c r="E1309" i="4"/>
  <c r="E1308" i="4"/>
  <c r="E1307" i="4"/>
  <c r="E1306" i="4"/>
  <c r="E1305" i="4"/>
  <c r="E1304" i="4"/>
  <c r="E1303" i="4"/>
  <c r="E1302" i="4"/>
  <c r="E1301" i="4"/>
  <c r="E1300" i="4"/>
  <c r="E1299" i="4"/>
  <c r="E1298" i="4"/>
  <c r="E1297" i="4"/>
  <c r="E1296" i="4"/>
  <c r="E1295" i="4"/>
  <c r="E1294" i="4"/>
  <c r="E1293" i="4"/>
  <c r="E1292" i="4"/>
  <c r="E1291" i="4"/>
  <c r="E1290" i="4"/>
  <c r="E1289" i="4"/>
  <c r="E1288" i="4"/>
  <c r="E1287" i="4"/>
  <c r="E1286" i="4"/>
  <c r="E1285" i="4"/>
  <c r="E1284" i="4"/>
  <c r="E1283" i="4"/>
  <c r="E1282" i="4"/>
  <c r="E1281" i="4"/>
  <c r="E1280" i="4"/>
  <c r="E1279" i="4"/>
  <c r="E1278" i="4"/>
  <c r="E1277" i="4"/>
  <c r="E1276" i="4"/>
  <c r="E1275" i="4"/>
  <c r="E1274" i="4"/>
  <c r="E1273" i="4"/>
  <c r="E1272" i="4"/>
  <c r="E1271" i="4"/>
  <c r="E1270" i="4"/>
  <c r="E1269" i="4"/>
  <c r="E1268" i="4"/>
  <c r="E1267" i="4"/>
  <c r="E1266" i="4"/>
  <c r="E1265" i="4"/>
  <c r="E1264" i="4"/>
  <c r="E1263" i="4"/>
  <c r="E1262" i="4"/>
  <c r="E1261" i="4"/>
  <c r="E1260" i="4"/>
  <c r="E1259" i="4"/>
  <c r="E1258" i="4"/>
  <c r="E1257" i="4"/>
  <c r="E1256" i="4"/>
  <c r="E1255" i="4"/>
  <c r="E1254" i="4"/>
  <c r="E1253" i="4"/>
  <c r="E1252" i="4"/>
  <c r="E1251" i="4"/>
  <c r="E1250" i="4"/>
  <c r="E1249" i="4"/>
  <c r="E1248" i="4"/>
  <c r="E1247" i="4"/>
  <c r="E1246" i="4"/>
  <c r="E1245" i="4"/>
  <c r="E1244" i="4"/>
  <c r="E1243" i="4"/>
  <c r="E1242" i="4"/>
  <c r="E1241" i="4"/>
  <c r="E1240" i="4"/>
  <c r="E1239" i="4"/>
  <c r="E1238" i="4"/>
  <c r="E1237" i="4"/>
  <c r="E1236" i="4"/>
  <c r="E1235" i="4"/>
  <c r="E1234" i="4"/>
  <c r="E1233" i="4"/>
  <c r="E1232" i="4"/>
  <c r="E1231" i="4"/>
  <c r="E1230" i="4"/>
  <c r="E1229" i="4"/>
  <c r="E1228" i="4"/>
  <c r="E1227" i="4"/>
  <c r="E1226" i="4"/>
  <c r="E1225" i="4"/>
  <c r="E1224" i="4"/>
  <c r="E1223" i="4"/>
  <c r="E1222" i="4"/>
  <c r="E1221" i="4"/>
  <c r="E1220" i="4"/>
  <c r="E1219" i="4"/>
  <c r="E1218" i="4"/>
  <c r="E1217" i="4"/>
  <c r="E1216" i="4"/>
  <c r="E1215" i="4"/>
  <c r="E1214" i="4"/>
  <c r="E1213" i="4"/>
  <c r="E1212" i="4"/>
  <c r="E1211" i="4"/>
  <c r="E1210" i="4"/>
  <c r="E1209" i="4"/>
  <c r="E1208" i="4"/>
  <c r="E1207" i="4"/>
  <c r="E1206" i="4"/>
  <c r="E1205" i="4"/>
  <c r="E1204" i="4"/>
  <c r="E1203" i="4"/>
  <c r="E1202" i="4"/>
  <c r="E1201" i="4"/>
  <c r="E1200" i="4"/>
  <c r="E1199" i="4"/>
  <c r="E1198" i="4"/>
  <c r="E1197" i="4"/>
  <c r="E1196" i="4"/>
  <c r="E1195" i="4"/>
  <c r="E1194" i="4"/>
  <c r="E1193" i="4"/>
  <c r="E1192" i="4"/>
  <c r="E1191" i="4"/>
  <c r="E1190" i="4"/>
  <c r="E1189" i="4"/>
  <c r="E1188" i="4"/>
  <c r="E1187" i="4"/>
  <c r="E1186" i="4"/>
  <c r="E1185" i="4"/>
  <c r="E1184" i="4"/>
  <c r="E1183" i="4"/>
  <c r="E1182" i="4"/>
  <c r="E1181" i="4"/>
  <c r="E1180" i="4"/>
  <c r="E1179" i="4"/>
  <c r="E1178" i="4"/>
  <c r="E1177" i="4"/>
  <c r="E1176" i="4"/>
  <c r="E1175" i="4"/>
  <c r="E1174" i="4"/>
  <c r="E1173" i="4"/>
  <c r="E1172" i="4"/>
  <c r="E1171" i="4"/>
  <c r="E1170" i="4"/>
  <c r="E1169" i="4"/>
  <c r="E1168" i="4"/>
  <c r="E1167" i="4"/>
  <c r="E1166" i="4"/>
  <c r="E1165" i="4"/>
  <c r="E1164" i="4"/>
  <c r="E1163" i="4"/>
  <c r="E1162" i="4"/>
  <c r="E1161" i="4"/>
  <c r="E1160" i="4"/>
  <c r="E1159" i="4"/>
  <c r="E1158" i="4"/>
  <c r="E1157" i="4"/>
  <c r="E1156" i="4"/>
  <c r="E1155" i="4"/>
  <c r="E1154" i="4"/>
  <c r="E1153" i="4"/>
  <c r="E1152" i="4"/>
  <c r="E1151" i="4"/>
  <c r="E1150" i="4"/>
  <c r="E1149" i="4"/>
  <c r="E1148" i="4"/>
  <c r="E1147" i="4"/>
  <c r="E1146" i="4"/>
  <c r="E1145" i="4"/>
  <c r="E1144" i="4"/>
  <c r="E1143" i="4"/>
  <c r="E1142" i="4"/>
  <c r="E1141" i="4"/>
  <c r="E1140" i="4"/>
  <c r="E1139" i="4"/>
  <c r="E1138" i="4"/>
  <c r="E1137" i="4"/>
  <c r="E1136" i="4"/>
  <c r="E1135" i="4"/>
  <c r="E1134" i="4"/>
  <c r="E1133" i="4"/>
  <c r="E1132" i="4"/>
  <c r="E1131" i="4"/>
  <c r="E1130" i="4"/>
  <c r="E1129" i="4"/>
  <c r="E1128" i="4"/>
  <c r="E1127" i="4"/>
  <c r="E1126" i="4"/>
  <c r="E1125" i="4"/>
  <c r="E1124" i="4"/>
  <c r="E1123" i="4"/>
  <c r="E1122" i="4"/>
  <c r="E1121" i="4"/>
  <c r="E1120" i="4"/>
  <c r="E1119" i="4"/>
  <c r="E1118" i="4"/>
  <c r="E1117" i="4"/>
  <c r="E1116" i="4"/>
  <c r="E1115" i="4"/>
  <c r="E1114" i="4"/>
  <c r="E1113" i="4"/>
  <c r="E1112" i="4"/>
  <c r="E1111" i="4"/>
  <c r="E1110" i="4"/>
  <c r="E1109" i="4"/>
  <c r="E1108" i="4"/>
  <c r="E1107" i="4"/>
  <c r="E1106" i="4"/>
  <c r="E1105" i="4"/>
  <c r="E1104" i="4"/>
  <c r="E1103" i="4"/>
  <c r="E1102" i="4"/>
  <c r="E1101" i="4"/>
  <c r="E1100" i="4"/>
  <c r="E1099" i="4"/>
  <c r="E1098" i="4"/>
  <c r="E1097" i="4"/>
  <c r="E1096" i="4"/>
  <c r="E1095" i="4"/>
  <c r="E1094" i="4"/>
  <c r="E1093" i="4"/>
  <c r="E1092" i="4"/>
  <c r="E1091" i="4"/>
  <c r="E1090" i="4"/>
  <c r="E1089" i="4"/>
  <c r="E1088" i="4"/>
  <c r="E1087" i="4"/>
  <c r="E1086" i="4"/>
  <c r="E1085" i="4"/>
  <c r="E1084" i="4"/>
  <c r="E1083" i="4"/>
  <c r="E1082" i="4"/>
  <c r="E1081" i="4"/>
  <c r="E1080" i="4"/>
  <c r="E1079" i="4"/>
  <c r="E1078" i="4"/>
  <c r="E1077" i="4"/>
  <c r="E1076" i="4"/>
  <c r="E1075" i="4"/>
  <c r="E1074" i="4"/>
  <c r="E1073" i="4"/>
  <c r="E1072" i="4"/>
  <c r="E1071" i="4"/>
  <c r="E1070" i="4"/>
  <c r="E1069" i="4"/>
  <c r="E1068" i="4"/>
  <c r="E1067" i="4"/>
  <c r="E1066" i="4"/>
  <c r="E1065" i="4"/>
  <c r="E1064" i="4"/>
  <c r="E1063" i="4"/>
  <c r="E1062" i="4"/>
  <c r="E1061" i="4"/>
  <c r="E1060" i="4"/>
  <c r="E1059" i="4"/>
  <c r="E1058" i="4"/>
  <c r="E1057" i="4"/>
  <c r="E1056" i="4"/>
  <c r="E1055" i="4"/>
  <c r="E1054" i="4"/>
  <c r="E1053" i="4"/>
  <c r="E1052" i="4"/>
  <c r="E1051" i="4"/>
  <c r="E1050" i="4"/>
  <c r="E1049" i="4"/>
  <c r="E1048" i="4"/>
  <c r="E1047" i="4"/>
  <c r="E1046" i="4"/>
  <c r="E1045" i="4"/>
  <c r="E1044" i="4"/>
  <c r="E1043" i="4"/>
  <c r="E1042" i="4"/>
  <c r="E1041" i="4"/>
  <c r="E1040" i="4"/>
  <c r="E1039" i="4"/>
  <c r="E1038" i="4"/>
  <c r="E1037" i="4"/>
  <c r="E1036" i="4"/>
  <c r="E1035" i="4"/>
  <c r="E1034" i="4"/>
  <c r="E1033" i="4"/>
  <c r="E1032" i="4"/>
  <c r="E1031" i="4"/>
  <c r="E1030" i="4"/>
  <c r="E1029" i="4"/>
  <c r="E1028" i="4"/>
  <c r="E1027" i="4"/>
  <c r="E1026" i="4"/>
  <c r="E1025" i="4"/>
  <c r="E1024" i="4"/>
  <c r="E1023" i="4"/>
  <c r="E1022" i="4"/>
  <c r="E1021" i="4"/>
  <c r="E1020" i="4"/>
  <c r="E1019" i="4"/>
  <c r="E1018" i="4"/>
  <c r="E1017" i="4"/>
  <c r="E1016" i="4"/>
  <c r="E1015" i="4"/>
  <c r="E1014" i="4"/>
  <c r="E1013" i="4"/>
  <c r="E1012" i="4"/>
  <c r="E1011" i="4"/>
  <c r="E1010" i="4"/>
  <c r="E1009" i="4"/>
  <c r="E1008" i="4"/>
  <c r="E1007" i="4"/>
  <c r="E1006" i="4"/>
  <c r="E1005" i="4"/>
  <c r="E1004" i="4"/>
  <c r="E1003" i="4"/>
  <c r="E1002" i="4"/>
  <c r="E1001" i="4"/>
  <c r="E1000" i="4"/>
  <c r="E999" i="4"/>
  <c r="E998" i="4"/>
  <c r="E997" i="4"/>
  <c r="E996" i="4"/>
  <c r="E995" i="4"/>
  <c r="E994" i="4"/>
  <c r="E993" i="4"/>
  <c r="E992" i="4"/>
  <c r="E991" i="4"/>
  <c r="E990" i="4"/>
  <c r="E989" i="4"/>
  <c r="E988" i="4"/>
  <c r="E987" i="4"/>
  <c r="E986" i="4"/>
  <c r="E985" i="4"/>
  <c r="E984" i="4"/>
  <c r="E983" i="4"/>
  <c r="E982" i="4"/>
  <c r="E981" i="4"/>
  <c r="E980" i="4"/>
  <c r="E979" i="4"/>
  <c r="E978" i="4"/>
  <c r="E977" i="4"/>
  <c r="E976" i="4"/>
  <c r="E975" i="4"/>
  <c r="E974" i="4"/>
  <c r="E973" i="4"/>
  <c r="E972" i="4"/>
  <c r="E971" i="4"/>
  <c r="E970" i="4"/>
  <c r="E969" i="4"/>
  <c r="E968" i="4"/>
  <c r="E967" i="4"/>
  <c r="E966" i="4"/>
  <c r="E965" i="4"/>
  <c r="E964" i="4"/>
  <c r="E963" i="4"/>
  <c r="E962" i="4"/>
  <c r="E961" i="4"/>
  <c r="E960" i="4"/>
  <c r="E959" i="4"/>
  <c r="E958" i="4"/>
  <c r="E957" i="4"/>
  <c r="E956" i="4"/>
  <c r="E955" i="4"/>
  <c r="E954" i="4"/>
  <c r="E953" i="4"/>
  <c r="E952" i="4"/>
  <c r="E951" i="4"/>
  <c r="E950" i="4"/>
  <c r="E949" i="4"/>
  <c r="E948" i="4"/>
  <c r="E947" i="4"/>
  <c r="E946" i="4"/>
  <c r="E945" i="4"/>
  <c r="E944" i="4"/>
  <c r="E943" i="4"/>
  <c r="E942" i="4"/>
  <c r="E941" i="4"/>
  <c r="E940" i="4"/>
  <c r="E939" i="4"/>
  <c r="E938" i="4"/>
  <c r="E937" i="4"/>
  <c r="E936" i="4"/>
  <c r="E935" i="4"/>
  <c r="E934" i="4"/>
  <c r="E933" i="4"/>
  <c r="E932" i="4"/>
  <c r="E931" i="4"/>
  <c r="E930" i="4"/>
  <c r="E929" i="4"/>
  <c r="E928" i="4"/>
  <c r="E927" i="4"/>
  <c r="E926" i="4"/>
  <c r="E925" i="4"/>
  <c r="E924" i="4"/>
  <c r="E923" i="4"/>
  <c r="E922" i="4"/>
  <c r="E921" i="4"/>
  <c r="E920" i="4"/>
  <c r="E919" i="4"/>
  <c r="E918" i="4"/>
  <c r="E917" i="4"/>
  <c r="E916" i="4"/>
  <c r="E915" i="4"/>
  <c r="E914" i="4"/>
  <c r="E913" i="4"/>
  <c r="E912" i="4"/>
  <c r="E911" i="4"/>
  <c r="E910" i="4"/>
  <c r="E909" i="4"/>
  <c r="E908" i="4"/>
  <c r="E907" i="4"/>
  <c r="E906" i="4"/>
  <c r="E905" i="4"/>
  <c r="E904" i="4"/>
  <c r="E903" i="4"/>
  <c r="E902" i="4"/>
  <c r="E901" i="4"/>
  <c r="E900" i="4"/>
  <c r="E899" i="4"/>
  <c r="E898" i="4"/>
  <c r="E897" i="4"/>
  <c r="E896" i="4"/>
  <c r="E895" i="4"/>
  <c r="E894" i="4"/>
  <c r="E893" i="4"/>
  <c r="E892" i="4"/>
  <c r="E891" i="4"/>
  <c r="E890" i="4"/>
  <c r="E889" i="4"/>
  <c r="E888" i="4"/>
  <c r="E887" i="4"/>
  <c r="E886" i="4"/>
  <c r="E885" i="4"/>
  <c r="E884" i="4"/>
  <c r="E883" i="4"/>
  <c r="E882" i="4"/>
  <c r="E881" i="4"/>
  <c r="E880" i="4"/>
  <c r="E879" i="4"/>
  <c r="E878" i="4"/>
  <c r="E877" i="4"/>
  <c r="E876" i="4"/>
  <c r="E875" i="4"/>
  <c r="E874" i="4"/>
  <c r="E873" i="4"/>
  <c r="E872" i="4"/>
  <c r="E871" i="4"/>
  <c r="E870" i="4"/>
  <c r="E869" i="4"/>
  <c r="E868" i="4"/>
  <c r="E867" i="4"/>
  <c r="E866" i="4"/>
  <c r="E865" i="4"/>
  <c r="E864" i="4"/>
  <c r="E863" i="4"/>
  <c r="E862" i="4"/>
  <c r="E861" i="4"/>
  <c r="E860" i="4"/>
  <c r="E859" i="4"/>
  <c r="E858" i="4"/>
  <c r="E857" i="4"/>
  <c r="E856" i="4"/>
  <c r="E855" i="4"/>
  <c r="E854" i="4"/>
  <c r="E853" i="4"/>
  <c r="E852" i="4"/>
  <c r="E851" i="4"/>
  <c r="E850" i="4"/>
  <c r="E849" i="4"/>
  <c r="E848" i="4"/>
  <c r="E847" i="4"/>
  <c r="E846" i="4"/>
  <c r="E845" i="4"/>
  <c r="E844" i="4"/>
  <c r="E843" i="4"/>
  <c r="E842" i="4"/>
  <c r="E841" i="4"/>
  <c r="E840" i="4"/>
  <c r="E839" i="4"/>
  <c r="E838" i="4"/>
  <c r="E837" i="4"/>
  <c r="E836" i="4"/>
  <c r="E835" i="4"/>
  <c r="E834" i="4"/>
  <c r="E833" i="4"/>
  <c r="E832" i="4"/>
  <c r="E831" i="4"/>
  <c r="E830" i="4"/>
  <c r="E829" i="4"/>
  <c r="E828" i="4"/>
  <c r="E827" i="4"/>
  <c r="E826" i="4"/>
  <c r="E825" i="4"/>
  <c r="E824" i="4"/>
  <c r="E823" i="4"/>
  <c r="E822" i="4"/>
  <c r="E821" i="4"/>
  <c r="E820" i="4"/>
  <c r="E819" i="4"/>
  <c r="E818" i="4"/>
  <c r="E817" i="4"/>
  <c r="E816" i="4"/>
  <c r="E815" i="4"/>
  <c r="E814" i="4"/>
  <c r="E813" i="4"/>
  <c r="E812" i="4"/>
  <c r="E811" i="4"/>
  <c r="E810" i="4"/>
  <c r="E809" i="4"/>
  <c r="E808" i="4"/>
  <c r="E807" i="4"/>
  <c r="E806" i="4"/>
  <c r="E805" i="4"/>
  <c r="E804" i="4"/>
  <c r="E803" i="4"/>
  <c r="E802" i="4"/>
  <c r="E801" i="4"/>
  <c r="E800" i="4"/>
  <c r="E799" i="4"/>
  <c r="E798" i="4"/>
  <c r="E797" i="4"/>
  <c r="E796" i="4"/>
  <c r="E795" i="4"/>
  <c r="E794" i="4"/>
  <c r="E793" i="4"/>
  <c r="E792" i="4"/>
  <c r="E791" i="4"/>
  <c r="E790" i="4"/>
  <c r="E789" i="4"/>
  <c r="E788" i="4"/>
  <c r="E787" i="4"/>
  <c r="E786" i="4"/>
  <c r="E785" i="4"/>
  <c r="E784" i="4"/>
  <c r="E783" i="4"/>
  <c r="E782" i="4"/>
  <c r="E781" i="4"/>
  <c r="E780" i="4"/>
  <c r="E779" i="4"/>
  <c r="E778" i="4"/>
  <c r="E777" i="4"/>
  <c r="E776" i="4"/>
  <c r="E775" i="4"/>
  <c r="E774" i="4"/>
  <c r="E773" i="4"/>
  <c r="E772" i="4"/>
  <c r="E771" i="4"/>
  <c r="E770" i="4"/>
  <c r="E769" i="4"/>
  <c r="E768" i="4"/>
  <c r="E767" i="4"/>
  <c r="E766" i="4"/>
  <c r="E765" i="4"/>
  <c r="E764" i="4"/>
  <c r="E763" i="4"/>
  <c r="E762" i="4"/>
  <c r="E761" i="4"/>
  <c r="E760" i="4"/>
  <c r="E759" i="4"/>
  <c r="E758" i="4"/>
  <c r="E757" i="4"/>
  <c r="E756" i="4"/>
  <c r="E755" i="4"/>
  <c r="E754" i="4"/>
  <c r="E753" i="4"/>
  <c r="E752" i="4"/>
  <c r="E751" i="4"/>
  <c r="E750" i="4"/>
  <c r="E749" i="4"/>
  <c r="E748" i="4"/>
  <c r="E747" i="4"/>
  <c r="E746" i="4"/>
  <c r="E745" i="4"/>
  <c r="E744" i="4"/>
  <c r="E743" i="4"/>
  <c r="E742" i="4"/>
  <c r="E741" i="4"/>
  <c r="E740" i="4"/>
  <c r="E739" i="4"/>
  <c r="E738" i="4"/>
  <c r="E737" i="4"/>
  <c r="E736" i="4"/>
  <c r="E735" i="4"/>
  <c r="E734" i="4"/>
  <c r="E733" i="4"/>
  <c r="E732" i="4"/>
  <c r="E731" i="4"/>
  <c r="E730" i="4"/>
  <c r="E729" i="4"/>
  <c r="E728" i="4"/>
  <c r="E727" i="4"/>
  <c r="E726" i="4"/>
  <c r="E725" i="4"/>
  <c r="E724" i="4"/>
  <c r="E723" i="4"/>
  <c r="E722" i="4"/>
  <c r="E721" i="4"/>
  <c r="E720" i="4"/>
  <c r="E719" i="4"/>
  <c r="E718" i="4"/>
  <c r="E717" i="4"/>
  <c r="E716" i="4"/>
  <c r="E715" i="4"/>
  <c r="E714" i="4"/>
  <c r="E713" i="4"/>
  <c r="E712" i="4"/>
  <c r="E711" i="4"/>
  <c r="E710" i="4"/>
  <c r="E709" i="4"/>
  <c r="E708" i="4"/>
  <c r="E707" i="4"/>
  <c r="E706" i="4"/>
  <c r="E705" i="4"/>
  <c r="E704" i="4"/>
  <c r="E703" i="4"/>
  <c r="E702" i="4"/>
  <c r="E701" i="4"/>
  <c r="E700" i="4"/>
  <c r="E699" i="4"/>
  <c r="E698" i="4"/>
  <c r="E697" i="4"/>
  <c r="E696" i="4"/>
  <c r="E695" i="4"/>
  <c r="E694" i="4"/>
  <c r="E693" i="4"/>
  <c r="E692" i="4"/>
  <c r="E691" i="4"/>
  <c r="E690" i="4"/>
  <c r="E689" i="4"/>
  <c r="E688" i="4"/>
  <c r="E687" i="4"/>
  <c r="E686" i="4"/>
  <c r="E685" i="4"/>
  <c r="E684" i="4"/>
  <c r="E683" i="4"/>
  <c r="E682" i="4"/>
  <c r="E681" i="4"/>
  <c r="E680" i="4"/>
  <c r="E679" i="4"/>
  <c r="E678" i="4"/>
  <c r="E677" i="4"/>
  <c r="E676" i="4"/>
  <c r="E675" i="4"/>
  <c r="E674" i="4"/>
  <c r="E673" i="4"/>
  <c r="E672" i="4"/>
  <c r="E671" i="4"/>
  <c r="E670" i="4"/>
  <c r="E669" i="4"/>
  <c r="E668" i="4"/>
  <c r="E667" i="4"/>
  <c r="E666" i="4"/>
  <c r="E665" i="4"/>
  <c r="E664" i="4"/>
  <c r="E663" i="4"/>
  <c r="E662" i="4"/>
  <c r="E661" i="4"/>
  <c r="E660" i="4"/>
  <c r="E659" i="4"/>
  <c r="E658" i="4"/>
  <c r="E657" i="4"/>
  <c r="E656" i="4"/>
  <c r="E655" i="4"/>
  <c r="E654" i="4"/>
  <c r="E653" i="4"/>
  <c r="E652" i="4"/>
  <c r="E651" i="4"/>
  <c r="E650" i="4"/>
  <c r="E649" i="4"/>
  <c r="E648" i="4"/>
  <c r="E647" i="4"/>
  <c r="E646" i="4"/>
  <c r="E645" i="4"/>
  <c r="E644" i="4"/>
  <c r="E643" i="4"/>
  <c r="E642" i="4"/>
  <c r="E641" i="4"/>
  <c r="E640" i="4"/>
  <c r="E639" i="4"/>
  <c r="E638" i="4"/>
  <c r="E637" i="4"/>
  <c r="E636" i="4"/>
  <c r="E635" i="4"/>
  <c r="E634" i="4"/>
  <c r="E633" i="4"/>
  <c r="E632" i="4"/>
  <c r="E631" i="4"/>
  <c r="E630" i="4"/>
  <c r="E629" i="4"/>
  <c r="E628" i="4"/>
  <c r="E627" i="4"/>
  <c r="E626" i="4"/>
  <c r="E625" i="4"/>
  <c r="E624" i="4"/>
  <c r="E623" i="4"/>
  <c r="E622" i="4"/>
  <c r="E621" i="4"/>
  <c r="E620" i="4"/>
  <c r="E619" i="4"/>
  <c r="E618" i="4"/>
  <c r="E617" i="4"/>
  <c r="E616" i="4"/>
  <c r="E615" i="4"/>
  <c r="E614" i="4"/>
  <c r="E613" i="4"/>
  <c r="E612" i="4"/>
  <c r="E611" i="4"/>
  <c r="E610" i="4"/>
  <c r="E609" i="4"/>
  <c r="E608" i="4"/>
  <c r="E607" i="4"/>
  <c r="E606" i="4"/>
  <c r="E605" i="4"/>
  <c r="E604" i="4"/>
  <c r="E603" i="4"/>
  <c r="E602" i="4"/>
  <c r="E601" i="4"/>
  <c r="E600" i="4"/>
  <c r="E599" i="4"/>
  <c r="E598" i="4"/>
  <c r="E597" i="4"/>
  <c r="E596" i="4"/>
  <c r="E595" i="4"/>
  <c r="E594" i="4"/>
  <c r="E593" i="4"/>
  <c r="E592" i="4"/>
  <c r="E591" i="4"/>
  <c r="E590" i="4"/>
  <c r="E589" i="4"/>
  <c r="E588" i="4"/>
  <c r="E587" i="4"/>
  <c r="E586" i="4"/>
  <c r="E585" i="4"/>
  <c r="E584" i="4"/>
  <c r="E583" i="4"/>
  <c r="E582" i="4"/>
  <c r="E581" i="4"/>
  <c r="E580" i="4"/>
  <c r="E579" i="4"/>
  <c r="E578" i="4"/>
  <c r="E577" i="4"/>
  <c r="E576" i="4"/>
  <c r="E575" i="4"/>
  <c r="E574" i="4"/>
  <c r="E573" i="4"/>
  <c r="E572" i="4"/>
  <c r="E571" i="4"/>
  <c r="E570" i="4"/>
  <c r="E569" i="4"/>
  <c r="E568" i="4"/>
  <c r="E567" i="4"/>
  <c r="E566" i="4"/>
  <c r="E565" i="4"/>
  <c r="E564" i="4"/>
  <c r="E563" i="4"/>
  <c r="E562" i="4"/>
  <c r="E561" i="4"/>
  <c r="E560" i="4"/>
  <c r="E559" i="4"/>
  <c r="E558" i="4"/>
  <c r="E557" i="4"/>
  <c r="E556" i="4"/>
  <c r="E555" i="4"/>
  <c r="E554" i="4"/>
  <c r="E553" i="4"/>
  <c r="E552" i="4"/>
  <c r="E551" i="4"/>
  <c r="E550" i="4"/>
  <c r="E549" i="4"/>
  <c r="E548" i="4"/>
  <c r="E547" i="4"/>
  <c r="E546" i="4"/>
  <c r="E545" i="4"/>
  <c r="E544" i="4"/>
  <c r="E543" i="4"/>
  <c r="E542" i="4"/>
  <c r="E541" i="4"/>
  <c r="E540" i="4"/>
  <c r="E539" i="4"/>
  <c r="E538" i="4"/>
  <c r="E537" i="4"/>
  <c r="E536" i="4"/>
  <c r="E535" i="4"/>
  <c r="E534" i="4"/>
  <c r="E533" i="4"/>
  <c r="E532" i="4"/>
  <c r="E531" i="4"/>
  <c r="E530" i="4"/>
  <c r="E529" i="4"/>
  <c r="E528" i="4"/>
  <c r="E527" i="4"/>
  <c r="E526" i="4"/>
  <c r="E525" i="4"/>
  <c r="E524" i="4"/>
  <c r="E523" i="4"/>
  <c r="E522" i="4"/>
  <c r="E521" i="4"/>
  <c r="E520" i="4"/>
  <c r="E519" i="4"/>
  <c r="E518" i="4"/>
  <c r="E517" i="4"/>
  <c r="E516" i="4"/>
  <c r="E515" i="4"/>
  <c r="E514" i="4"/>
  <c r="E513" i="4"/>
  <c r="E512" i="4"/>
  <c r="E511" i="4"/>
  <c r="E510" i="4"/>
  <c r="E509" i="4"/>
  <c r="E508" i="4"/>
  <c r="E507" i="4"/>
  <c r="E506" i="4"/>
  <c r="E505" i="4"/>
  <c r="E504" i="4"/>
  <c r="E503" i="4"/>
  <c r="E502" i="4"/>
  <c r="E501" i="4"/>
  <c r="E500" i="4"/>
  <c r="E499" i="4"/>
  <c r="E498" i="4"/>
  <c r="E497" i="4"/>
  <c r="E496" i="4"/>
  <c r="E495" i="4"/>
  <c r="E494" i="4"/>
  <c r="E493" i="4"/>
  <c r="E492" i="4"/>
  <c r="E491" i="4"/>
  <c r="E490" i="4"/>
  <c r="E489" i="4"/>
  <c r="E488" i="4"/>
  <c r="E487" i="4"/>
  <c r="E486" i="4"/>
  <c r="E485" i="4"/>
  <c r="E484" i="4"/>
  <c r="E483" i="4"/>
  <c r="E482" i="4"/>
  <c r="E481" i="4"/>
  <c r="E480" i="4"/>
  <c r="E479" i="4"/>
  <c r="E478" i="4"/>
  <c r="E477" i="4"/>
  <c r="E476" i="4"/>
  <c r="E475" i="4"/>
  <c r="E474" i="4"/>
  <c r="E473" i="4"/>
  <c r="E472" i="4"/>
  <c r="E471" i="4"/>
  <c r="E470" i="4"/>
  <c r="E469" i="4"/>
  <c r="E468" i="4"/>
  <c r="E467" i="4"/>
  <c r="E466" i="4"/>
  <c r="E465" i="4"/>
  <c r="E464" i="4"/>
  <c r="E463" i="4"/>
  <c r="E462" i="4"/>
  <c r="E461" i="4"/>
  <c r="E460" i="4"/>
  <c r="E459" i="4"/>
  <c r="E458" i="4"/>
  <c r="E457" i="4"/>
  <c r="E456" i="4"/>
  <c r="E455" i="4"/>
  <c r="E454" i="4"/>
  <c r="E453" i="4"/>
  <c r="E452" i="4"/>
  <c r="E451" i="4"/>
  <c r="E450" i="4"/>
  <c r="E449" i="4"/>
  <c r="E448" i="4"/>
  <c r="E447" i="4"/>
  <c r="E446" i="4"/>
  <c r="E445" i="4"/>
  <c r="E444" i="4"/>
  <c r="E443" i="4"/>
  <c r="E442" i="4"/>
  <c r="E441" i="4"/>
  <c r="E440" i="4"/>
  <c r="E439" i="4"/>
  <c r="E438" i="4"/>
  <c r="E437" i="4"/>
  <c r="E436" i="4"/>
  <c r="E435" i="4"/>
  <c r="E434" i="4"/>
  <c r="E433" i="4"/>
  <c r="E432" i="4"/>
  <c r="E431" i="4"/>
  <c r="E430" i="4"/>
  <c r="E429" i="4"/>
  <c r="E428" i="4"/>
  <c r="E427" i="4"/>
  <c r="E426" i="4"/>
  <c r="E425" i="4"/>
  <c r="E424" i="4"/>
  <c r="E423" i="4"/>
  <c r="E422" i="4"/>
  <c r="E421" i="4"/>
  <c r="E420" i="4"/>
  <c r="E419" i="4"/>
  <c r="E418" i="4"/>
  <c r="E417" i="4"/>
  <c r="E416" i="4"/>
  <c r="E415" i="4"/>
  <c r="E414" i="4"/>
  <c r="E413" i="4"/>
  <c r="E412" i="4"/>
  <c r="E411" i="4"/>
  <c r="E410" i="4"/>
  <c r="E409" i="4"/>
  <c r="E408" i="4"/>
  <c r="E407" i="4"/>
  <c r="E406" i="4"/>
  <c r="E405" i="4"/>
  <c r="E404" i="4"/>
  <c r="E403" i="4"/>
  <c r="E402" i="4"/>
  <c r="E401" i="4"/>
  <c r="E400" i="4"/>
  <c r="E399" i="4"/>
  <c r="E398" i="4"/>
  <c r="E397" i="4"/>
  <c r="E396" i="4"/>
  <c r="E395" i="4"/>
  <c r="E394" i="4"/>
  <c r="E393" i="4"/>
  <c r="E392" i="4"/>
  <c r="E391" i="4"/>
  <c r="E390" i="4"/>
  <c r="E389" i="4"/>
  <c r="E388" i="4"/>
  <c r="E387" i="4"/>
  <c r="E386" i="4"/>
  <c r="E385" i="4"/>
  <c r="E384" i="4"/>
  <c r="E383" i="4"/>
  <c r="E382" i="4"/>
  <c r="E381" i="4"/>
  <c r="E380" i="4"/>
  <c r="E379" i="4"/>
  <c r="E378" i="4"/>
  <c r="E377" i="4"/>
  <c r="E376" i="4"/>
  <c r="E375" i="4"/>
  <c r="E374" i="4"/>
  <c r="E373" i="4"/>
  <c r="E372" i="4"/>
  <c r="E371" i="4"/>
  <c r="E370" i="4"/>
  <c r="E369" i="4"/>
  <c r="E368" i="4"/>
  <c r="E367" i="4"/>
  <c r="E366" i="4"/>
  <c r="E365" i="4"/>
  <c r="E364" i="4"/>
  <c r="E363" i="4"/>
  <c r="E362" i="4"/>
  <c r="E361" i="4"/>
  <c r="E360" i="4"/>
  <c r="E359" i="4"/>
  <c r="E358" i="4"/>
  <c r="E357" i="4"/>
  <c r="E356" i="4"/>
  <c r="E355" i="4"/>
  <c r="E354" i="4"/>
  <c r="E353" i="4"/>
  <c r="E352" i="4"/>
  <c r="E351" i="4"/>
  <c r="E350" i="4"/>
  <c r="E349" i="4"/>
  <c r="E348" i="4"/>
  <c r="E347" i="4"/>
  <c r="E346" i="4"/>
  <c r="E345" i="4"/>
  <c r="E344" i="4"/>
  <c r="E343" i="4"/>
  <c r="E342" i="4"/>
  <c r="E341" i="4"/>
  <c r="E340" i="4"/>
  <c r="E339" i="4"/>
  <c r="E338" i="4"/>
  <c r="E337" i="4"/>
  <c r="E336" i="4"/>
  <c r="E335" i="4"/>
  <c r="E334" i="4"/>
  <c r="E333" i="4"/>
  <c r="E332" i="4"/>
  <c r="E331" i="4"/>
  <c r="E330" i="4"/>
  <c r="E329" i="4"/>
  <c r="E328" i="4"/>
  <c r="E327" i="4"/>
  <c r="E326" i="4"/>
  <c r="E325" i="4"/>
  <c r="E324" i="4"/>
  <c r="E323" i="4"/>
  <c r="E322" i="4"/>
  <c r="E321" i="4"/>
  <c r="E320" i="4"/>
  <c r="E319" i="4"/>
  <c r="E318" i="4"/>
  <c r="E317" i="4"/>
  <c r="E316" i="4"/>
  <c r="E315" i="4"/>
  <c r="E314" i="4"/>
  <c r="E313" i="4"/>
  <c r="E312" i="4"/>
  <c r="E311" i="4"/>
  <c r="E310" i="4"/>
  <c r="E309" i="4"/>
  <c r="E308" i="4"/>
  <c r="E307" i="4"/>
  <c r="E306" i="4"/>
  <c r="E305" i="4"/>
  <c r="E304" i="4"/>
  <c r="E303" i="4"/>
  <c r="E302" i="4"/>
  <c r="E301" i="4"/>
  <c r="E300" i="4"/>
  <c r="E299" i="4"/>
  <c r="E298" i="4"/>
  <c r="E297" i="4"/>
  <c r="E296" i="4"/>
  <c r="E295" i="4"/>
  <c r="E294" i="4"/>
  <c r="E293" i="4"/>
  <c r="E292" i="4"/>
  <c r="E291" i="4"/>
  <c r="E290" i="4"/>
  <c r="E289" i="4"/>
  <c r="E288" i="4"/>
  <c r="E287" i="4"/>
  <c r="E286" i="4"/>
  <c r="E285" i="4"/>
  <c r="E284" i="4"/>
  <c r="E283" i="4"/>
  <c r="E282" i="4"/>
  <c r="E281" i="4"/>
  <c r="E280" i="4"/>
  <c r="E279" i="4"/>
  <c r="E278" i="4"/>
  <c r="E277" i="4"/>
  <c r="E276" i="4"/>
  <c r="E275" i="4"/>
  <c r="E274" i="4"/>
  <c r="E273" i="4"/>
  <c r="E272" i="4"/>
  <c r="E271" i="4"/>
  <c r="E270" i="4"/>
  <c r="E269" i="4"/>
  <c r="E268" i="4"/>
  <c r="E267" i="4"/>
  <c r="E266" i="4"/>
  <c r="E265" i="4"/>
  <c r="E264" i="4"/>
  <c r="E263" i="4"/>
  <c r="E262" i="4"/>
  <c r="E261" i="4"/>
  <c r="E260" i="4"/>
  <c r="E259" i="4"/>
  <c r="E258" i="4"/>
  <c r="E257" i="4"/>
  <c r="E256" i="4"/>
  <c r="E255" i="4"/>
  <c r="E254" i="4"/>
  <c r="E253" i="4"/>
  <c r="E252" i="4"/>
  <c r="E251" i="4"/>
  <c r="E250" i="4"/>
  <c r="E249" i="4"/>
  <c r="E248" i="4"/>
  <c r="E247" i="4"/>
  <c r="E246" i="4"/>
  <c r="E245" i="4"/>
  <c r="E244" i="4"/>
  <c r="E243" i="4"/>
  <c r="E242" i="4"/>
  <c r="E241" i="4"/>
  <c r="E240" i="4"/>
  <c r="E239" i="4"/>
  <c r="E238" i="4"/>
  <c r="E237" i="4"/>
  <c r="E236" i="4"/>
  <c r="E235" i="4"/>
  <c r="E234" i="4"/>
  <c r="E233" i="4"/>
  <c r="E232" i="4"/>
  <c r="E231" i="4"/>
  <c r="E230" i="4"/>
  <c r="E229" i="4"/>
  <c r="E228" i="4"/>
  <c r="E227" i="4"/>
  <c r="E226" i="4"/>
  <c r="E225" i="4"/>
  <c r="E224" i="4"/>
  <c r="E223" i="4"/>
  <c r="E222" i="4"/>
  <c r="E221" i="4"/>
  <c r="E220" i="4"/>
  <c r="E219" i="4"/>
  <c r="E218" i="4"/>
  <c r="E217" i="4"/>
  <c r="E216" i="4"/>
  <c r="E215" i="4"/>
  <c r="E214" i="4"/>
  <c r="E213" i="4"/>
  <c r="E212" i="4"/>
  <c r="E211" i="4"/>
  <c r="E210" i="4"/>
  <c r="E209" i="4"/>
  <c r="E208" i="4"/>
  <c r="E207" i="4"/>
  <c r="E206" i="4"/>
  <c r="E205" i="4"/>
  <c r="E204" i="4"/>
  <c r="E203" i="4"/>
  <c r="E202" i="4"/>
  <c r="E201" i="4"/>
  <c r="E200" i="4"/>
  <c r="E199" i="4"/>
  <c r="E198" i="4"/>
  <c r="E197" i="4"/>
  <c r="E196" i="4"/>
  <c r="E195" i="4"/>
  <c r="E194" i="4"/>
  <c r="E193" i="4"/>
  <c r="E192" i="4"/>
  <c r="E191" i="4"/>
  <c r="E190" i="4"/>
  <c r="E189" i="4"/>
  <c r="E188" i="4"/>
  <c r="E187" i="4"/>
  <c r="E186" i="4"/>
  <c r="E185" i="4"/>
  <c r="E184" i="4"/>
  <c r="E183" i="4"/>
  <c r="E182" i="4"/>
  <c r="E181" i="4"/>
  <c r="E180" i="4"/>
  <c r="E179" i="4"/>
  <c r="E178" i="4"/>
  <c r="E177" i="4"/>
  <c r="E176" i="4"/>
  <c r="E175" i="4"/>
  <c r="E174" i="4"/>
  <c r="E173" i="4"/>
  <c r="E172" i="4"/>
  <c r="E171" i="4"/>
  <c r="E170" i="4"/>
  <c r="E169" i="4"/>
  <c r="E168" i="4"/>
  <c r="E167" i="4"/>
  <c r="E166" i="4"/>
  <c r="E165" i="4"/>
  <c r="E164" i="4"/>
  <c r="E163" i="4"/>
  <c r="E162" i="4"/>
  <c r="E161" i="4"/>
  <c r="E160" i="4"/>
  <c r="E159" i="4"/>
  <c r="E158" i="4"/>
  <c r="E157" i="4"/>
  <c r="E156" i="4"/>
  <c r="E155" i="4"/>
  <c r="E154" i="4"/>
  <c r="E153" i="4"/>
  <c r="E152" i="4"/>
  <c r="E151" i="4"/>
  <c r="E150" i="4"/>
  <c r="E149" i="4"/>
  <c r="E148" i="4"/>
  <c r="E147" i="4"/>
  <c r="E146" i="4"/>
  <c r="E145" i="4"/>
  <c r="E144" i="4"/>
  <c r="E143" i="4"/>
  <c r="E142" i="4"/>
  <c r="E141" i="4"/>
  <c r="E140" i="4"/>
  <c r="E139" i="4"/>
  <c r="E138" i="4"/>
  <c r="E137" i="4"/>
  <c r="E136" i="4"/>
  <c r="E135" i="4"/>
  <c r="E134" i="4"/>
  <c r="E133" i="4"/>
  <c r="E132" i="4"/>
  <c r="E131" i="4"/>
  <c r="E130" i="4"/>
  <c r="E129" i="4"/>
  <c r="E128" i="4"/>
  <c r="E127" i="4"/>
  <c r="E126" i="4"/>
  <c r="E125" i="4"/>
  <c r="E124" i="4"/>
  <c r="E123" i="4"/>
  <c r="E122" i="4"/>
  <c r="E121" i="4"/>
  <c r="E120" i="4"/>
  <c r="E119" i="4"/>
  <c r="E118" i="4"/>
  <c r="E117" i="4"/>
  <c r="E116" i="4"/>
  <c r="E115" i="4"/>
  <c r="E114" i="4"/>
  <c r="E113" i="4"/>
  <c r="E112" i="4"/>
  <c r="E111" i="4"/>
  <c r="E110" i="4"/>
  <c r="E109" i="4"/>
  <c r="E108" i="4"/>
  <c r="E107" i="4"/>
  <c r="E106" i="4"/>
  <c r="E105" i="4"/>
  <c r="E104" i="4"/>
  <c r="E103" i="4"/>
  <c r="E102" i="4"/>
  <c r="E101" i="4"/>
  <c r="E100" i="4"/>
  <c r="E99" i="4"/>
  <c r="E98" i="4"/>
  <c r="E97" i="4"/>
  <c r="E96" i="4"/>
  <c r="E95" i="4"/>
  <c r="E94" i="4"/>
  <c r="E93" i="4"/>
  <c r="E92" i="4"/>
  <c r="E91" i="4"/>
  <c r="E90" i="4"/>
  <c r="E89" i="4"/>
  <c r="E88" i="4"/>
  <c r="E87" i="4"/>
  <c r="E86" i="4"/>
  <c r="E85" i="4"/>
  <c r="E84" i="4"/>
  <c r="E83" i="4"/>
  <c r="E82" i="4"/>
  <c r="E81" i="4"/>
  <c r="E80" i="4"/>
  <c r="E79" i="4"/>
  <c r="E78" i="4"/>
  <c r="E77" i="4"/>
  <c r="E76" i="4"/>
  <c r="E75" i="4"/>
  <c r="E74" i="4"/>
  <c r="E73" i="4"/>
  <c r="E72" i="4"/>
  <c r="E71" i="4"/>
  <c r="E70" i="4"/>
  <c r="E69" i="4"/>
  <c r="E68" i="4"/>
  <c r="E67" i="4"/>
  <c r="E66" i="4"/>
  <c r="E65" i="4"/>
  <c r="E64" i="4"/>
  <c r="E63" i="4"/>
  <c r="E62" i="4"/>
  <c r="E61" i="4"/>
  <c r="E60" i="4"/>
  <c r="E59" i="4"/>
  <c r="E58" i="4"/>
  <c r="E57" i="4"/>
  <c r="E56" i="4"/>
  <c r="E55" i="4"/>
  <c r="E54" i="4"/>
  <c r="E53" i="4"/>
  <c r="E52" i="4"/>
  <c r="E51" i="4"/>
  <c r="E50" i="4"/>
  <c r="E49" i="4"/>
  <c r="E48" i="4"/>
  <c r="E47" i="4"/>
  <c r="E46" i="4"/>
  <c r="E45" i="4"/>
  <c r="E44" i="4"/>
  <c r="E43" i="4"/>
  <c r="E42" i="4"/>
  <c r="E41" i="4"/>
  <c r="E40" i="4"/>
  <c r="E39" i="4"/>
  <c r="E38" i="4"/>
  <c r="E37" i="4"/>
  <c r="E36" i="4"/>
  <c r="E35" i="4"/>
  <c r="E34" i="4"/>
  <c r="E33" i="4"/>
  <c r="E32" i="4"/>
  <c r="E31" i="4"/>
  <c r="E30" i="4"/>
  <c r="E29" i="4"/>
  <c r="E28" i="4"/>
  <c r="E27" i="4"/>
  <c r="E26" i="4"/>
  <c r="E25" i="4"/>
  <c r="E24" i="4"/>
  <c r="E23" i="4"/>
  <c r="E22" i="4"/>
  <c r="E21" i="4"/>
  <c r="E20" i="4"/>
  <c r="E19" i="4"/>
  <c r="E18" i="4"/>
  <c r="E17" i="4"/>
  <c r="E16" i="4"/>
  <c r="E15" i="4"/>
  <c r="E14" i="4"/>
  <c r="E13" i="4"/>
  <c r="E12" i="4"/>
  <c r="E11" i="4"/>
  <c r="E10" i="4"/>
  <c r="E9" i="4"/>
  <c r="E8" i="4"/>
  <c r="E7" i="4"/>
  <c r="E6" i="4"/>
  <c r="E5" i="4"/>
  <c r="E4" i="4"/>
  <c r="E3" i="4"/>
  <c r="E2" i="4"/>
  <c r="I2" i="4"/>
  <c r="K2505" i="4" l="1"/>
  <c r="K2506" i="4"/>
  <c r="L2506" i="4" s="1"/>
  <c r="K2507" i="4"/>
  <c r="K2508" i="4"/>
  <c r="K2509" i="4"/>
  <c r="K2510" i="4"/>
  <c r="L2510" i="4" s="1"/>
  <c r="K2511" i="4"/>
  <c r="K2512" i="4"/>
  <c r="K2513" i="4"/>
  <c r="K2514" i="4"/>
  <c r="L2514" i="4" s="1"/>
  <c r="K2515" i="4"/>
  <c r="K2516" i="4"/>
  <c r="K2517" i="4"/>
  <c r="M2517" i="4" s="1"/>
  <c r="K2518" i="4"/>
  <c r="L2518" i="4" s="1"/>
  <c r="K2519" i="4"/>
  <c r="K2520" i="4"/>
  <c r="K2521" i="4"/>
  <c r="K2522" i="4"/>
  <c r="L2522" i="4" s="1"/>
  <c r="K2523" i="4"/>
  <c r="K2524" i="4"/>
  <c r="K2525" i="4"/>
  <c r="K2526" i="4"/>
  <c r="L2526" i="4" s="1"/>
  <c r="K2527" i="4"/>
  <c r="K2528" i="4"/>
  <c r="K2529" i="4"/>
  <c r="K2530" i="4"/>
  <c r="L2530" i="4" s="1"/>
  <c r="K2531" i="4"/>
  <c r="K2532" i="4"/>
  <c r="K2533" i="4"/>
  <c r="M2533" i="4" s="1"/>
  <c r="K2534" i="4"/>
  <c r="L2534" i="4" s="1"/>
  <c r="K2535" i="4"/>
  <c r="K2536" i="4"/>
  <c r="K2537" i="4"/>
  <c r="K2538" i="4"/>
  <c r="L2538" i="4" s="1"/>
  <c r="K2539" i="4"/>
  <c r="K2540" i="4"/>
  <c r="K2541" i="4"/>
  <c r="K2542" i="4"/>
  <c r="L2542" i="4" s="1"/>
  <c r="K2543" i="4"/>
  <c r="K2544" i="4"/>
  <c r="K2545" i="4"/>
  <c r="M2545" i="4" s="1"/>
  <c r="K2546" i="4"/>
  <c r="L2546" i="4" s="1"/>
  <c r="K2547" i="4"/>
  <c r="K2548" i="4"/>
  <c r="K2549" i="4"/>
  <c r="K2550" i="4"/>
  <c r="L2550" i="4" s="1"/>
  <c r="K2551" i="4"/>
  <c r="K2552" i="4"/>
  <c r="K2553" i="4"/>
  <c r="K2554" i="4"/>
  <c r="L2554" i="4" s="1"/>
  <c r="K2555" i="4"/>
  <c r="K2556" i="4"/>
  <c r="K2557" i="4"/>
  <c r="K2558" i="4"/>
  <c r="L2558" i="4" s="1"/>
  <c r="K2559" i="4"/>
  <c r="K2560" i="4"/>
  <c r="K2561" i="4"/>
  <c r="M2561" i="4" s="1"/>
  <c r="K2562" i="4"/>
  <c r="L2562" i="4" s="1"/>
  <c r="K2563" i="4"/>
  <c r="K2564" i="4"/>
  <c r="L2564" i="4" s="1"/>
  <c r="K2565" i="4"/>
  <c r="K2566" i="4"/>
  <c r="L2566" i="4" s="1"/>
  <c r="K2567" i="4"/>
  <c r="K2568" i="4"/>
  <c r="K2569" i="4"/>
  <c r="M2569" i="4" s="1"/>
  <c r="K2570" i="4"/>
  <c r="L2570" i="4" s="1"/>
  <c r="K2571" i="4"/>
  <c r="K2572" i="4"/>
  <c r="L2572" i="4" s="1"/>
  <c r="K2573" i="4"/>
  <c r="K2574" i="4"/>
  <c r="L2574" i="4" s="1"/>
  <c r="K2575" i="4"/>
  <c r="K2576" i="4"/>
  <c r="K2577" i="4"/>
  <c r="M2577" i="4" s="1"/>
  <c r="K2578" i="4"/>
  <c r="L2578" i="4" s="1"/>
  <c r="K2579" i="4"/>
  <c r="K2580" i="4"/>
  <c r="L2580" i="4" s="1"/>
  <c r="K2581" i="4"/>
  <c r="K2582" i="4"/>
  <c r="L2582" i="4" s="1"/>
  <c r="K2583" i="4"/>
  <c r="K2584" i="4"/>
  <c r="K2585" i="4"/>
  <c r="M2585" i="4" s="1"/>
  <c r="K2586" i="4"/>
  <c r="L2586" i="4" s="1"/>
  <c r="K2587" i="4"/>
  <c r="K2588" i="4"/>
  <c r="L2588" i="4" s="1"/>
  <c r="K2589" i="4"/>
  <c r="K2590" i="4"/>
  <c r="L2590" i="4" s="1"/>
  <c r="K2591" i="4"/>
  <c r="B2505" i="4"/>
  <c r="C2505" i="4"/>
  <c r="B2506" i="4"/>
  <c r="C2506" i="4"/>
  <c r="B2507" i="4"/>
  <c r="C2507" i="4"/>
  <c r="B2508" i="4"/>
  <c r="C2508" i="4"/>
  <c r="B2509" i="4"/>
  <c r="C2509" i="4"/>
  <c r="B2510" i="4"/>
  <c r="C2510" i="4"/>
  <c r="B2511" i="4"/>
  <c r="C2511" i="4"/>
  <c r="B2512" i="4"/>
  <c r="C2512" i="4"/>
  <c r="B2513" i="4"/>
  <c r="C2513" i="4"/>
  <c r="B2514" i="4"/>
  <c r="C2514" i="4"/>
  <c r="B2515" i="4"/>
  <c r="C2515" i="4"/>
  <c r="B2516" i="4"/>
  <c r="C2516" i="4"/>
  <c r="B2517" i="4"/>
  <c r="C2517" i="4"/>
  <c r="B2518" i="4"/>
  <c r="C2518" i="4"/>
  <c r="B2519" i="4"/>
  <c r="C2519" i="4"/>
  <c r="B2520" i="4"/>
  <c r="C2520" i="4"/>
  <c r="B2521" i="4"/>
  <c r="C2521" i="4"/>
  <c r="B2522" i="4"/>
  <c r="C2522" i="4"/>
  <c r="B2523" i="4"/>
  <c r="C2523" i="4"/>
  <c r="B2524" i="4"/>
  <c r="C2524" i="4"/>
  <c r="B2525" i="4"/>
  <c r="C2525" i="4"/>
  <c r="B2526" i="4"/>
  <c r="C2526" i="4"/>
  <c r="B2527" i="4"/>
  <c r="C2527" i="4"/>
  <c r="B2528" i="4"/>
  <c r="C2528" i="4"/>
  <c r="B2529" i="4"/>
  <c r="C2529" i="4"/>
  <c r="B2530" i="4"/>
  <c r="C2530" i="4"/>
  <c r="B2531" i="4"/>
  <c r="C2531" i="4"/>
  <c r="B2532" i="4"/>
  <c r="C2532" i="4"/>
  <c r="B2533" i="4"/>
  <c r="C2533" i="4"/>
  <c r="B2534" i="4"/>
  <c r="C2534" i="4"/>
  <c r="B2535" i="4"/>
  <c r="C2535" i="4"/>
  <c r="B2536" i="4"/>
  <c r="C2536" i="4"/>
  <c r="B2537" i="4"/>
  <c r="C2537" i="4"/>
  <c r="B2538" i="4"/>
  <c r="C2538" i="4"/>
  <c r="B2539" i="4"/>
  <c r="C2539" i="4"/>
  <c r="B2540" i="4"/>
  <c r="C2540" i="4"/>
  <c r="B2541" i="4"/>
  <c r="C2541" i="4"/>
  <c r="B2542" i="4"/>
  <c r="C2542" i="4"/>
  <c r="B2543" i="4"/>
  <c r="C2543" i="4"/>
  <c r="B2544" i="4"/>
  <c r="C2544" i="4"/>
  <c r="B2545" i="4"/>
  <c r="C2545" i="4"/>
  <c r="B2546" i="4"/>
  <c r="C2546" i="4"/>
  <c r="B2547" i="4"/>
  <c r="C2547" i="4"/>
  <c r="B2548" i="4"/>
  <c r="C2548" i="4"/>
  <c r="B2549" i="4"/>
  <c r="C2549" i="4"/>
  <c r="B2550" i="4"/>
  <c r="C2550" i="4"/>
  <c r="B2551" i="4"/>
  <c r="C2551" i="4"/>
  <c r="B2552" i="4"/>
  <c r="C2552" i="4"/>
  <c r="B2553" i="4"/>
  <c r="C2553" i="4"/>
  <c r="B2554" i="4"/>
  <c r="C2554" i="4"/>
  <c r="B2555" i="4"/>
  <c r="C2555" i="4"/>
  <c r="B2556" i="4"/>
  <c r="C2556" i="4"/>
  <c r="B2557" i="4"/>
  <c r="C2557" i="4"/>
  <c r="B2558" i="4"/>
  <c r="C2558" i="4"/>
  <c r="B2559" i="4"/>
  <c r="C2559" i="4"/>
  <c r="B2560" i="4"/>
  <c r="C2560" i="4"/>
  <c r="B2561" i="4"/>
  <c r="C2561" i="4"/>
  <c r="B2562" i="4"/>
  <c r="C2562" i="4"/>
  <c r="B2563" i="4"/>
  <c r="C2563" i="4"/>
  <c r="B2564" i="4"/>
  <c r="C2564" i="4"/>
  <c r="B2565" i="4"/>
  <c r="C2565" i="4"/>
  <c r="B2566" i="4"/>
  <c r="C2566" i="4"/>
  <c r="B2567" i="4"/>
  <c r="C2567" i="4"/>
  <c r="B2568" i="4"/>
  <c r="C2568" i="4"/>
  <c r="B2569" i="4"/>
  <c r="C2569" i="4"/>
  <c r="B2570" i="4"/>
  <c r="C2570" i="4"/>
  <c r="B2571" i="4"/>
  <c r="C2571" i="4"/>
  <c r="B2572" i="4"/>
  <c r="C2572" i="4"/>
  <c r="B2573" i="4"/>
  <c r="C2573" i="4"/>
  <c r="B2574" i="4"/>
  <c r="C2574" i="4"/>
  <c r="B2575" i="4"/>
  <c r="C2575" i="4"/>
  <c r="B2576" i="4"/>
  <c r="C2576" i="4"/>
  <c r="B2577" i="4"/>
  <c r="C2577" i="4"/>
  <c r="B2578" i="4"/>
  <c r="C2578" i="4"/>
  <c r="B2579" i="4"/>
  <c r="C2579" i="4"/>
  <c r="B2580" i="4"/>
  <c r="C2580" i="4"/>
  <c r="B2581" i="4"/>
  <c r="C2581" i="4"/>
  <c r="B2582" i="4"/>
  <c r="C2582" i="4"/>
  <c r="B2583" i="4"/>
  <c r="C2583" i="4"/>
  <c r="B2584" i="4"/>
  <c r="C2584" i="4"/>
  <c r="B2585" i="4"/>
  <c r="C2585" i="4"/>
  <c r="B2586" i="4"/>
  <c r="C2586" i="4"/>
  <c r="B2587" i="4"/>
  <c r="C2587" i="4"/>
  <c r="B2588" i="4"/>
  <c r="C2588" i="4"/>
  <c r="B2589" i="4"/>
  <c r="C2589" i="4"/>
  <c r="B2590" i="4"/>
  <c r="C2590" i="4"/>
  <c r="B2591" i="4"/>
  <c r="C2591" i="4"/>
  <c r="M2549" i="4" l="1"/>
  <c r="L2549" i="4"/>
  <c r="M2521" i="4"/>
  <c r="L2521" i="4"/>
  <c r="L2585" i="4"/>
  <c r="L2577" i="4"/>
  <c r="L2569" i="4"/>
  <c r="L2561" i="4"/>
  <c r="L2533" i="4"/>
  <c r="M2589" i="4"/>
  <c r="L2589" i="4"/>
  <c r="M2581" i="4"/>
  <c r="L2581" i="4"/>
  <c r="M2573" i="4"/>
  <c r="L2573" i="4"/>
  <c r="M2565" i="4"/>
  <c r="L2565" i="4"/>
  <c r="M2557" i="4"/>
  <c r="L2557" i="4"/>
  <c r="M2553" i="4"/>
  <c r="L2553" i="4"/>
  <c r="M2529" i="4"/>
  <c r="L2529" i="4"/>
  <c r="M2525" i="4"/>
  <c r="L2525" i="4"/>
  <c r="M2541" i="4"/>
  <c r="L2541" i="4"/>
  <c r="M2537" i="4"/>
  <c r="L2537" i="4"/>
  <c r="M2513" i="4"/>
  <c r="L2513" i="4"/>
  <c r="M2584" i="4"/>
  <c r="L2584" i="4"/>
  <c r="L2576" i="4"/>
  <c r="M2576" i="4"/>
  <c r="M2568" i="4"/>
  <c r="L2568" i="4"/>
  <c r="M2560" i="4"/>
  <c r="L2560" i="4"/>
  <c r="M2532" i="4"/>
  <c r="L2532" i="4"/>
  <c r="M2588" i="4"/>
  <c r="M2580" i="4"/>
  <c r="M2572" i="4"/>
  <c r="M2564" i="4"/>
  <c r="L2545" i="4"/>
  <c r="L2517" i="4"/>
  <c r="L2555" i="4"/>
  <c r="M2555" i="4"/>
  <c r="L2539" i="4"/>
  <c r="M2539" i="4"/>
  <c r="L2511" i="4"/>
  <c r="M2511" i="4"/>
  <c r="L2591" i="4"/>
  <c r="M2591" i="4"/>
  <c r="L2583" i="4"/>
  <c r="M2583" i="4"/>
  <c r="L2575" i="4"/>
  <c r="M2575" i="4"/>
  <c r="L2567" i="4"/>
  <c r="M2567" i="4"/>
  <c r="L2559" i="4"/>
  <c r="M2559" i="4"/>
  <c r="L2552" i="4"/>
  <c r="M2552" i="4"/>
  <c r="L2543" i="4"/>
  <c r="M2543" i="4"/>
  <c r="L2536" i="4"/>
  <c r="M2536" i="4"/>
  <c r="L2531" i="4"/>
  <c r="M2531" i="4"/>
  <c r="M2524" i="4"/>
  <c r="L2524" i="4"/>
  <c r="L2515" i="4"/>
  <c r="M2515" i="4"/>
  <c r="M2509" i="4"/>
  <c r="L2509" i="4"/>
  <c r="L2507" i="4"/>
  <c r="M2507" i="4"/>
  <c r="M2548" i="4"/>
  <c r="L2548" i="4"/>
  <c r="L2527" i="4"/>
  <c r="M2527" i="4"/>
  <c r="L2520" i="4"/>
  <c r="M2520" i="4"/>
  <c r="M2556" i="4"/>
  <c r="L2556" i="4"/>
  <c r="L2547" i="4"/>
  <c r="M2547" i="4"/>
  <c r="M2540" i="4"/>
  <c r="L2540" i="4"/>
  <c r="L2528" i="4"/>
  <c r="M2528" i="4"/>
  <c r="L2519" i="4"/>
  <c r="M2519" i="4"/>
  <c r="M2512" i="4"/>
  <c r="L2512" i="4"/>
  <c r="M2505" i="4"/>
  <c r="L2505" i="4"/>
  <c r="L2587" i="4"/>
  <c r="M2587" i="4"/>
  <c r="L2579" i="4"/>
  <c r="M2579" i="4"/>
  <c r="L2571" i="4"/>
  <c r="M2571" i="4"/>
  <c r="L2563" i="4"/>
  <c r="M2563" i="4"/>
  <c r="L2551" i="4"/>
  <c r="M2551" i="4"/>
  <c r="L2544" i="4"/>
  <c r="M2544" i="4"/>
  <c r="L2535" i="4"/>
  <c r="M2535" i="4"/>
  <c r="L2523" i="4"/>
  <c r="M2523" i="4"/>
  <c r="L2516" i="4"/>
  <c r="M2516" i="4"/>
  <c r="L2508" i="4"/>
  <c r="M2508" i="4"/>
  <c r="M2590" i="4"/>
  <c r="M2586" i="4"/>
  <c r="M2582" i="4"/>
  <c r="M2578" i="4"/>
  <c r="M2574" i="4"/>
  <c r="M2570" i="4"/>
  <c r="M2566" i="4"/>
  <c r="M2562" i="4"/>
  <c r="M2558" i="4"/>
  <c r="M2554" i="4"/>
  <c r="M2550" i="4"/>
  <c r="M2546" i="4"/>
  <c r="M2542" i="4"/>
  <c r="M2538" i="4"/>
  <c r="M2534" i="4"/>
  <c r="M2530" i="4"/>
  <c r="M2526" i="4"/>
  <c r="M2522" i="4"/>
  <c r="M2518" i="4"/>
  <c r="M2514" i="4"/>
  <c r="M2510" i="4"/>
  <c r="M2506" i="4"/>
  <c r="K2428" i="4" l="1"/>
  <c r="K2429" i="4"/>
  <c r="M2429" i="4" s="1"/>
  <c r="P2460" i="4"/>
  <c r="O2459" i="4"/>
  <c r="P2459" i="4" s="1"/>
  <c r="K2459" i="4"/>
  <c r="B2459" i="4"/>
  <c r="C2459" i="4"/>
  <c r="L2429" i="4" l="1"/>
  <c r="M2428" i="4"/>
  <c r="L2428" i="4"/>
  <c r="L2459" i="4"/>
  <c r="M2459" i="4"/>
  <c r="O2428" i="4" l="1"/>
  <c r="P2428" i="4" s="1"/>
  <c r="B2428" i="4"/>
  <c r="C2428" i="4"/>
  <c r="B2429" i="4"/>
  <c r="C2429" i="4"/>
  <c r="B2430" i="4"/>
  <c r="C2430" i="4"/>
  <c r="O2427" i="4"/>
  <c r="P2427" i="4" s="1"/>
  <c r="K2427" i="4"/>
  <c r="B2427" i="4"/>
  <c r="C2427" i="4"/>
  <c r="O2429" i="4"/>
  <c r="P2429" i="4" s="1"/>
  <c r="K2430" i="4"/>
  <c r="K2431" i="4"/>
  <c r="K2432" i="4"/>
  <c r="M2427" i="4" l="1"/>
  <c r="L2427" i="4"/>
  <c r="M2432" i="4"/>
  <c r="L2432" i="4"/>
  <c r="L2431" i="4"/>
  <c r="M2431" i="4"/>
  <c r="L2430" i="4"/>
  <c r="M2430" i="4"/>
  <c r="O2418" i="4" l="1"/>
  <c r="O2426" i="4"/>
  <c r="O2425" i="4"/>
  <c r="O2424" i="4"/>
  <c r="O2423" i="4"/>
  <c r="O2422" i="4"/>
  <c r="O2421" i="4"/>
  <c r="O2420" i="4"/>
  <c r="O2419" i="4"/>
  <c r="O2480" i="4"/>
  <c r="O2479" i="4"/>
  <c r="O2478" i="4"/>
  <c r="O2477" i="4"/>
  <c r="O1844" i="4"/>
  <c r="O1843" i="4"/>
  <c r="O1842" i="4"/>
  <c r="O2096" i="4"/>
  <c r="O2095" i="4"/>
  <c r="O2094" i="4"/>
  <c r="O1815" i="4"/>
  <c r="O1814" i="4"/>
  <c r="O1813" i="4"/>
  <c r="O2481" i="4"/>
  <c r="O2476" i="4"/>
  <c r="O2475" i="4"/>
  <c r="O2474" i="4"/>
  <c r="O2473" i="4"/>
  <c r="O1894" i="4"/>
  <c r="O1893" i="4"/>
  <c r="O1869" i="4"/>
  <c r="O1868" i="4"/>
  <c r="O1867" i="4"/>
  <c r="O1866" i="4"/>
  <c r="O1865" i="4"/>
  <c r="O1864" i="4"/>
  <c r="O1895" i="4"/>
  <c r="O2084" i="4"/>
  <c r="O1977" i="4"/>
  <c r="O1939" i="4"/>
  <c r="O1845" i="4"/>
  <c r="O2458" i="4"/>
  <c r="O2457" i="4"/>
  <c r="O2456" i="4"/>
  <c r="O2440" i="4"/>
  <c r="O2439" i="4"/>
  <c r="O2438" i="4"/>
  <c r="O1692" i="4"/>
  <c r="O1691" i="4"/>
  <c r="O1690" i="4"/>
  <c r="O1631" i="4"/>
  <c r="O1630" i="4"/>
  <c r="O2201" i="4"/>
  <c r="O2203" i="4"/>
  <c r="O2202" i="4"/>
  <c r="O2200" i="4"/>
  <c r="O2199" i="4"/>
  <c r="O2008" i="4"/>
  <c r="O1588" i="4" l="1"/>
  <c r="O2121" i="4"/>
  <c r="O2120" i="4"/>
  <c r="O1854" i="4"/>
  <c r="O1590" i="4"/>
  <c r="O1589" i="4"/>
  <c r="O1441" i="4"/>
  <c r="O1440" i="4"/>
  <c r="O1439" i="4"/>
  <c r="O1423" i="4"/>
  <c r="O1472" i="4"/>
  <c r="O1468" i="4"/>
  <c r="O1467" i="4"/>
  <c r="O1444" i="4"/>
  <c r="O1443" i="4"/>
  <c r="O1442" i="4"/>
  <c r="O1438" i="4"/>
  <c r="O1430" i="4"/>
  <c r="O1429" i="4"/>
  <c r="O1428" i="4"/>
  <c r="O1426" i="4"/>
  <c r="O1425" i="4"/>
  <c r="O1424" i="4"/>
  <c r="O1820" i="4"/>
  <c r="O1768" i="4"/>
  <c r="O1767" i="4"/>
  <c r="O1736" i="4"/>
  <c r="O1735" i="4"/>
  <c r="O1734" i="4"/>
  <c r="O1733" i="4"/>
  <c r="O1732" i="4"/>
  <c r="O2437" i="4"/>
  <c r="O2436" i="4"/>
  <c r="O2435" i="4"/>
  <c r="O2434" i="4"/>
  <c r="O2433" i="4"/>
  <c r="O2432" i="4"/>
  <c r="O2431" i="4"/>
  <c r="O2430" i="4"/>
  <c r="O2379" i="4"/>
  <c r="O2378" i="4"/>
  <c r="O2377" i="4"/>
  <c r="O2376" i="4"/>
  <c r="O2375" i="4"/>
  <c r="O2374" i="4"/>
  <c r="O2373" i="4"/>
  <c r="P2363" i="4" l="1"/>
  <c r="P2364" i="4"/>
  <c r="P2365" i="4"/>
  <c r="P2366" i="4"/>
  <c r="P2367" i="4"/>
  <c r="P2368" i="4"/>
  <c r="P2369" i="4"/>
  <c r="P2370" i="4"/>
  <c r="P2371" i="4"/>
  <c r="P2372" i="4"/>
  <c r="P2373" i="4"/>
  <c r="P2374" i="4"/>
  <c r="P2375" i="4"/>
  <c r="P2376" i="4"/>
  <c r="P2377" i="4"/>
  <c r="P2378" i="4"/>
  <c r="P2379" i="4"/>
  <c r="P2380" i="4"/>
  <c r="P2381" i="4"/>
  <c r="P2382" i="4"/>
  <c r="P2383" i="4"/>
  <c r="P2384" i="4"/>
  <c r="P2385" i="4"/>
  <c r="P2386" i="4"/>
  <c r="P2387" i="4"/>
  <c r="P2388" i="4"/>
  <c r="P2389" i="4"/>
  <c r="P2390" i="4"/>
  <c r="P2391" i="4"/>
  <c r="P2392" i="4"/>
  <c r="P2393" i="4"/>
  <c r="P2394" i="4"/>
  <c r="P2395" i="4"/>
  <c r="P2396" i="4"/>
  <c r="P2397" i="4"/>
  <c r="P2398" i="4"/>
  <c r="P2399" i="4"/>
  <c r="P2400" i="4"/>
  <c r="P2401" i="4"/>
  <c r="P2402" i="4"/>
  <c r="P2403" i="4"/>
  <c r="P2404" i="4"/>
  <c r="P2405" i="4"/>
  <c r="P2406" i="4"/>
  <c r="P2407" i="4"/>
  <c r="P2408" i="4"/>
  <c r="P2409" i="4"/>
  <c r="P2410" i="4"/>
  <c r="P2411" i="4"/>
  <c r="P2412" i="4"/>
  <c r="P2413" i="4"/>
  <c r="P2414" i="4"/>
  <c r="P2415" i="4"/>
  <c r="P2416" i="4"/>
  <c r="P2417" i="4"/>
  <c r="P2418" i="4"/>
  <c r="P2419" i="4"/>
  <c r="P2420" i="4"/>
  <c r="P2421" i="4"/>
  <c r="P2422" i="4"/>
  <c r="P2423" i="4"/>
  <c r="P2424" i="4"/>
  <c r="P2425" i="4"/>
  <c r="P2426" i="4"/>
  <c r="P2430" i="4"/>
  <c r="P2431" i="4"/>
  <c r="P2432" i="4"/>
  <c r="P2433" i="4"/>
  <c r="P2434" i="4"/>
  <c r="P2435" i="4"/>
  <c r="P2436" i="4"/>
  <c r="P2437" i="4"/>
  <c r="P2438" i="4"/>
  <c r="P2439" i="4"/>
  <c r="P2440" i="4"/>
  <c r="P2441" i="4"/>
  <c r="P2442" i="4"/>
  <c r="P2443" i="4"/>
  <c r="P2444" i="4"/>
  <c r="P2445" i="4"/>
  <c r="P2446" i="4"/>
  <c r="P2447" i="4"/>
  <c r="P2448" i="4"/>
  <c r="P2449" i="4"/>
  <c r="P2450" i="4"/>
  <c r="P2451" i="4"/>
  <c r="P2452" i="4"/>
  <c r="P2453" i="4"/>
  <c r="P2454" i="4"/>
  <c r="P2455" i="4"/>
  <c r="P2456" i="4"/>
  <c r="P2457" i="4"/>
  <c r="P2458" i="4"/>
  <c r="P2461" i="4"/>
  <c r="P2462" i="4"/>
  <c r="P2463" i="4"/>
  <c r="P2464" i="4"/>
  <c r="P2465" i="4"/>
  <c r="P2466" i="4"/>
  <c r="P2467" i="4"/>
  <c r="P2468" i="4"/>
  <c r="P2469" i="4"/>
  <c r="P2470" i="4"/>
  <c r="P2471" i="4"/>
  <c r="P2472" i="4"/>
  <c r="P2473" i="4"/>
  <c r="P2474" i="4"/>
  <c r="P2475" i="4"/>
  <c r="P2476" i="4"/>
  <c r="P2477" i="4"/>
  <c r="P2478" i="4"/>
  <c r="P2479" i="4"/>
  <c r="P2480" i="4"/>
  <c r="P2481" i="4"/>
  <c r="P2482" i="4"/>
  <c r="P2483" i="4"/>
  <c r="P2484" i="4"/>
  <c r="P2485" i="4"/>
  <c r="P2486" i="4"/>
  <c r="P2487" i="4"/>
  <c r="P2488" i="4"/>
  <c r="P2489" i="4"/>
  <c r="P2490" i="4"/>
  <c r="P2491" i="4"/>
  <c r="P2492" i="4"/>
  <c r="P2493" i="4"/>
  <c r="P2494" i="4"/>
  <c r="P2495" i="4"/>
  <c r="P2496" i="4"/>
  <c r="P2497" i="4"/>
  <c r="P2498" i="4"/>
  <c r="P2499" i="4"/>
  <c r="P2500" i="4"/>
  <c r="P2501" i="4"/>
  <c r="P2502" i="4"/>
  <c r="P2503" i="4"/>
  <c r="P2504" i="4"/>
  <c r="K2363" i="4" l="1"/>
  <c r="M2363" i="4" s="1"/>
  <c r="K2364" i="4"/>
  <c r="K2365" i="4"/>
  <c r="K2366" i="4"/>
  <c r="L2366" i="4" s="1"/>
  <c r="K2367" i="4"/>
  <c r="K2368" i="4"/>
  <c r="K2369" i="4"/>
  <c r="L2369" i="4" s="1"/>
  <c r="K2370" i="4"/>
  <c r="K2371" i="4"/>
  <c r="M2371" i="4" s="1"/>
  <c r="K2372" i="4"/>
  <c r="K2373" i="4"/>
  <c r="L2373" i="4" s="1"/>
  <c r="K2374" i="4"/>
  <c r="K2375" i="4"/>
  <c r="M2375" i="4" s="1"/>
  <c r="K2376" i="4"/>
  <c r="K2377" i="4"/>
  <c r="L2377" i="4" s="1"/>
  <c r="K2378" i="4"/>
  <c r="M2378" i="4" s="1"/>
  <c r="K2379" i="4"/>
  <c r="K2380" i="4"/>
  <c r="K2381" i="4"/>
  <c r="L2381" i="4" s="1"/>
  <c r="K2382" i="4"/>
  <c r="M2382" i="4" s="1"/>
  <c r="K2383" i="4"/>
  <c r="M2383" i="4" s="1"/>
  <c r="K2384" i="4"/>
  <c r="K2385" i="4"/>
  <c r="K2386" i="4"/>
  <c r="L2386" i="4" s="1"/>
  <c r="K2387" i="4"/>
  <c r="M2387" i="4" s="1"/>
  <c r="K2388" i="4"/>
  <c r="K2389" i="4"/>
  <c r="K2390" i="4"/>
  <c r="L2390" i="4" s="1"/>
  <c r="K2391" i="4"/>
  <c r="M2391" i="4" s="1"/>
  <c r="K2392" i="4"/>
  <c r="K2393" i="4"/>
  <c r="L2393" i="4" s="1"/>
  <c r="K2394" i="4"/>
  <c r="L2394" i="4" s="1"/>
  <c r="K2395" i="4"/>
  <c r="K2396" i="4"/>
  <c r="K2397" i="4"/>
  <c r="L2397" i="4" s="1"/>
  <c r="K2398" i="4"/>
  <c r="L2398" i="4" s="1"/>
  <c r="K2399" i="4"/>
  <c r="M2399" i="4" s="1"/>
  <c r="K2400" i="4"/>
  <c r="K2401" i="4"/>
  <c r="L2401" i="4" s="1"/>
  <c r="K2402" i="4"/>
  <c r="K2403" i="4"/>
  <c r="M2403" i="4" s="1"/>
  <c r="K2404" i="4"/>
  <c r="K2405" i="4"/>
  <c r="L2405" i="4" s="1"/>
  <c r="K2406" i="4"/>
  <c r="K2407" i="4"/>
  <c r="M2407" i="4" s="1"/>
  <c r="K2408" i="4"/>
  <c r="K2409" i="4"/>
  <c r="L2409" i="4" s="1"/>
  <c r="K2410" i="4"/>
  <c r="K2411" i="4"/>
  <c r="M2411" i="4" s="1"/>
  <c r="K2412" i="4"/>
  <c r="K2413" i="4"/>
  <c r="L2413" i="4" s="1"/>
  <c r="K2414" i="4"/>
  <c r="K2415" i="4"/>
  <c r="M2415" i="4" s="1"/>
  <c r="K2416" i="4"/>
  <c r="K2417" i="4"/>
  <c r="K2418" i="4"/>
  <c r="L2418" i="4" s="1"/>
  <c r="K2419" i="4"/>
  <c r="K2420" i="4"/>
  <c r="K2421" i="4"/>
  <c r="K2422" i="4"/>
  <c r="L2422" i="4" s="1"/>
  <c r="K2423" i="4"/>
  <c r="M2423" i="4" s="1"/>
  <c r="K2424" i="4"/>
  <c r="K2425" i="4"/>
  <c r="L2425" i="4" s="1"/>
  <c r="K2426" i="4"/>
  <c r="L2426" i="4" s="1"/>
  <c r="K2433" i="4"/>
  <c r="M2433" i="4" s="1"/>
  <c r="K2434" i="4"/>
  <c r="K2435" i="4"/>
  <c r="L2435" i="4" s="1"/>
  <c r="K2436" i="4"/>
  <c r="K2437" i="4"/>
  <c r="M2437" i="4" s="1"/>
  <c r="K2438" i="4"/>
  <c r="K2439" i="4"/>
  <c r="K2440" i="4"/>
  <c r="K2441" i="4"/>
  <c r="M2441" i="4" s="1"/>
  <c r="K2442" i="4"/>
  <c r="K2443" i="4"/>
  <c r="L2443" i="4" s="1"/>
  <c r="K2444" i="4"/>
  <c r="M2444" i="4" s="1"/>
  <c r="K2445" i="4"/>
  <c r="M2445" i="4" s="1"/>
  <c r="K2446" i="4"/>
  <c r="K2447" i="4"/>
  <c r="L2447" i="4" s="1"/>
  <c r="K2448" i="4"/>
  <c r="K2449" i="4"/>
  <c r="M2449" i="4" s="1"/>
  <c r="K2450" i="4"/>
  <c r="K2451" i="4"/>
  <c r="K2452" i="4"/>
  <c r="M2452" i="4" s="1"/>
  <c r="K2453" i="4"/>
  <c r="M2453" i="4" s="1"/>
  <c r="K2454" i="4"/>
  <c r="K2455" i="4"/>
  <c r="K2456" i="4"/>
  <c r="L2456" i="4" s="1"/>
  <c r="K2457" i="4"/>
  <c r="M2457" i="4" s="1"/>
  <c r="K2458" i="4"/>
  <c r="K2460" i="4"/>
  <c r="L2460" i="4" s="1"/>
  <c r="K2461" i="4"/>
  <c r="L2461" i="4" s="1"/>
  <c r="K2462" i="4"/>
  <c r="K2463" i="4"/>
  <c r="K2464" i="4"/>
  <c r="L2464" i="4" s="1"/>
  <c r="K2465" i="4"/>
  <c r="L2465" i="4" s="1"/>
  <c r="K2466" i="4"/>
  <c r="M2466" i="4" s="1"/>
  <c r="K2467" i="4"/>
  <c r="K2468" i="4"/>
  <c r="L2468" i="4" s="1"/>
  <c r="K2469" i="4"/>
  <c r="K2470" i="4"/>
  <c r="M2470" i="4" s="1"/>
  <c r="K2471" i="4"/>
  <c r="K2472" i="4"/>
  <c r="L2472" i="4" s="1"/>
  <c r="K2473" i="4"/>
  <c r="K2474" i="4"/>
  <c r="M2474" i="4" s="1"/>
  <c r="K2475" i="4"/>
  <c r="K2476" i="4"/>
  <c r="L2476" i="4" s="1"/>
  <c r="K2477" i="4"/>
  <c r="K2478" i="4"/>
  <c r="M2478" i="4" s="1"/>
  <c r="K2479" i="4"/>
  <c r="K2480" i="4"/>
  <c r="K2481" i="4"/>
  <c r="K2482" i="4"/>
  <c r="L2482" i="4" s="1"/>
  <c r="K2483" i="4"/>
  <c r="K2484" i="4"/>
  <c r="K2485" i="4"/>
  <c r="K2486" i="4"/>
  <c r="L2486" i="4" s="1"/>
  <c r="K2487" i="4"/>
  <c r="K2488" i="4"/>
  <c r="M2488" i="4" s="1"/>
  <c r="K2489" i="4"/>
  <c r="M2489" i="4" s="1"/>
  <c r="K2490" i="4"/>
  <c r="L2490" i="4" s="1"/>
  <c r="K2491" i="4"/>
  <c r="K2492" i="4"/>
  <c r="K2493" i="4"/>
  <c r="K2494" i="4"/>
  <c r="L2494" i="4" s="1"/>
  <c r="K2495" i="4"/>
  <c r="K2496" i="4"/>
  <c r="L2496" i="4" s="1"/>
  <c r="K2497" i="4"/>
  <c r="K2498" i="4"/>
  <c r="L2498" i="4" s="1"/>
  <c r="K2499" i="4"/>
  <c r="K2500" i="4"/>
  <c r="K2501" i="4"/>
  <c r="M2501" i="4" s="1"/>
  <c r="K2502" i="4"/>
  <c r="L2502" i="4" s="1"/>
  <c r="K2503" i="4"/>
  <c r="K2504" i="4"/>
  <c r="M2504" i="4" s="1"/>
  <c r="B2363" i="4"/>
  <c r="C2363" i="4"/>
  <c r="B2364" i="4"/>
  <c r="C2364" i="4"/>
  <c r="B2365" i="4"/>
  <c r="C2365" i="4"/>
  <c r="B2366" i="4"/>
  <c r="C2366" i="4"/>
  <c r="B2367" i="4"/>
  <c r="C2367" i="4"/>
  <c r="B2368" i="4"/>
  <c r="C2368" i="4"/>
  <c r="B2369" i="4"/>
  <c r="C2369" i="4"/>
  <c r="B2370" i="4"/>
  <c r="C2370" i="4"/>
  <c r="B2371" i="4"/>
  <c r="C2371" i="4"/>
  <c r="B2372" i="4"/>
  <c r="C2372" i="4"/>
  <c r="B2373" i="4"/>
  <c r="C2373" i="4"/>
  <c r="B2374" i="4"/>
  <c r="C2374" i="4"/>
  <c r="B2375" i="4"/>
  <c r="C2375" i="4"/>
  <c r="B2376" i="4"/>
  <c r="C2376" i="4"/>
  <c r="B2377" i="4"/>
  <c r="C2377" i="4"/>
  <c r="B2378" i="4"/>
  <c r="C2378" i="4"/>
  <c r="B2379" i="4"/>
  <c r="C2379" i="4"/>
  <c r="B2380" i="4"/>
  <c r="C2380" i="4"/>
  <c r="B2381" i="4"/>
  <c r="C2381" i="4"/>
  <c r="B2382" i="4"/>
  <c r="C2382" i="4"/>
  <c r="B2383" i="4"/>
  <c r="C2383" i="4"/>
  <c r="B2384" i="4"/>
  <c r="C2384" i="4"/>
  <c r="B2385" i="4"/>
  <c r="C2385" i="4"/>
  <c r="B2386" i="4"/>
  <c r="C2386" i="4"/>
  <c r="B2387" i="4"/>
  <c r="C2387" i="4"/>
  <c r="B2388" i="4"/>
  <c r="C2388" i="4"/>
  <c r="B2389" i="4"/>
  <c r="C2389" i="4"/>
  <c r="B2390" i="4"/>
  <c r="C2390" i="4"/>
  <c r="B2391" i="4"/>
  <c r="C2391" i="4"/>
  <c r="B2392" i="4"/>
  <c r="C2392" i="4"/>
  <c r="B2393" i="4"/>
  <c r="C2393" i="4"/>
  <c r="B2394" i="4"/>
  <c r="C2394" i="4"/>
  <c r="B2395" i="4"/>
  <c r="C2395" i="4"/>
  <c r="B2396" i="4"/>
  <c r="C2396" i="4"/>
  <c r="B2397" i="4"/>
  <c r="C2397" i="4"/>
  <c r="B2398" i="4"/>
  <c r="C2398" i="4"/>
  <c r="B2399" i="4"/>
  <c r="C2399" i="4"/>
  <c r="B2400" i="4"/>
  <c r="C2400" i="4"/>
  <c r="B2401" i="4"/>
  <c r="C2401" i="4"/>
  <c r="B2402" i="4"/>
  <c r="C2402" i="4"/>
  <c r="B2403" i="4"/>
  <c r="C2403" i="4"/>
  <c r="B2404" i="4"/>
  <c r="C2404" i="4"/>
  <c r="B2405" i="4"/>
  <c r="C2405" i="4"/>
  <c r="B2406" i="4"/>
  <c r="C2406" i="4"/>
  <c r="B2407" i="4"/>
  <c r="C2407" i="4"/>
  <c r="B2408" i="4"/>
  <c r="C2408" i="4"/>
  <c r="B2409" i="4"/>
  <c r="C2409" i="4"/>
  <c r="B2410" i="4"/>
  <c r="C2410" i="4"/>
  <c r="B2411" i="4"/>
  <c r="C2411" i="4"/>
  <c r="B2412" i="4"/>
  <c r="C2412" i="4"/>
  <c r="B2413" i="4"/>
  <c r="C2413" i="4"/>
  <c r="B2414" i="4"/>
  <c r="C2414" i="4"/>
  <c r="B2415" i="4"/>
  <c r="C2415" i="4"/>
  <c r="B2416" i="4"/>
  <c r="C2416" i="4"/>
  <c r="B2417" i="4"/>
  <c r="C2417" i="4"/>
  <c r="B2418" i="4"/>
  <c r="C2418" i="4"/>
  <c r="B2419" i="4"/>
  <c r="C2419" i="4"/>
  <c r="B2420" i="4"/>
  <c r="C2420" i="4"/>
  <c r="B2421" i="4"/>
  <c r="C2421" i="4"/>
  <c r="B2422" i="4"/>
  <c r="C2422" i="4"/>
  <c r="B2423" i="4"/>
  <c r="C2423" i="4"/>
  <c r="B2424" i="4"/>
  <c r="C2424" i="4"/>
  <c r="B2425" i="4"/>
  <c r="C2425" i="4"/>
  <c r="B2426" i="4"/>
  <c r="C2426" i="4"/>
  <c r="B2431" i="4"/>
  <c r="C2431" i="4"/>
  <c r="B2432" i="4"/>
  <c r="C2432" i="4"/>
  <c r="B2433" i="4"/>
  <c r="C2433" i="4"/>
  <c r="B2434" i="4"/>
  <c r="C2434" i="4"/>
  <c r="B2435" i="4"/>
  <c r="C2435" i="4"/>
  <c r="B2436" i="4"/>
  <c r="C2436" i="4"/>
  <c r="B2437" i="4"/>
  <c r="C2437" i="4"/>
  <c r="B2438" i="4"/>
  <c r="C2438" i="4"/>
  <c r="B2439" i="4"/>
  <c r="C2439" i="4"/>
  <c r="B2440" i="4"/>
  <c r="C2440" i="4"/>
  <c r="B2441" i="4"/>
  <c r="C2441" i="4"/>
  <c r="B2442" i="4"/>
  <c r="C2442" i="4"/>
  <c r="B2443" i="4"/>
  <c r="C2443" i="4"/>
  <c r="B2444" i="4"/>
  <c r="C2444" i="4"/>
  <c r="B2445" i="4"/>
  <c r="C2445" i="4"/>
  <c r="B2446" i="4"/>
  <c r="C2446" i="4"/>
  <c r="B2447" i="4"/>
  <c r="C2447" i="4"/>
  <c r="B2448" i="4"/>
  <c r="C2448" i="4"/>
  <c r="B2449" i="4"/>
  <c r="C2449" i="4"/>
  <c r="B2450" i="4"/>
  <c r="C2450" i="4"/>
  <c r="B2451" i="4"/>
  <c r="C2451" i="4"/>
  <c r="B2452" i="4"/>
  <c r="C2452" i="4"/>
  <c r="B2453" i="4"/>
  <c r="C2453" i="4"/>
  <c r="B2454" i="4"/>
  <c r="C2454" i="4"/>
  <c r="B2455" i="4"/>
  <c r="C2455" i="4"/>
  <c r="B2456" i="4"/>
  <c r="C2456" i="4"/>
  <c r="B2457" i="4"/>
  <c r="C2457" i="4"/>
  <c r="B2458" i="4"/>
  <c r="C2458" i="4"/>
  <c r="B2460" i="4"/>
  <c r="C2460" i="4"/>
  <c r="B2461" i="4"/>
  <c r="C2461" i="4"/>
  <c r="B2462" i="4"/>
  <c r="C2462" i="4"/>
  <c r="B2463" i="4"/>
  <c r="C2463" i="4"/>
  <c r="B2464" i="4"/>
  <c r="C2464" i="4"/>
  <c r="B2465" i="4"/>
  <c r="C2465" i="4"/>
  <c r="B2466" i="4"/>
  <c r="C2466" i="4"/>
  <c r="B2467" i="4"/>
  <c r="C2467" i="4"/>
  <c r="B2468" i="4"/>
  <c r="C2468" i="4"/>
  <c r="B2469" i="4"/>
  <c r="C2469" i="4"/>
  <c r="B2470" i="4"/>
  <c r="C2470" i="4"/>
  <c r="B2471" i="4"/>
  <c r="C2471" i="4"/>
  <c r="B2472" i="4"/>
  <c r="C2472" i="4"/>
  <c r="B2473" i="4"/>
  <c r="C2473" i="4"/>
  <c r="B2474" i="4"/>
  <c r="C2474" i="4"/>
  <c r="B2475" i="4"/>
  <c r="C2475" i="4"/>
  <c r="B2476" i="4"/>
  <c r="C2476" i="4"/>
  <c r="B2477" i="4"/>
  <c r="C2477" i="4"/>
  <c r="B2478" i="4"/>
  <c r="C2478" i="4"/>
  <c r="B2479" i="4"/>
  <c r="C2479" i="4"/>
  <c r="B2480" i="4"/>
  <c r="C2480" i="4"/>
  <c r="B2481" i="4"/>
  <c r="C2481" i="4"/>
  <c r="B2482" i="4"/>
  <c r="C2482" i="4"/>
  <c r="B2483" i="4"/>
  <c r="C2483" i="4"/>
  <c r="B2484" i="4"/>
  <c r="C2484" i="4"/>
  <c r="B2485" i="4"/>
  <c r="C2485" i="4"/>
  <c r="B2486" i="4"/>
  <c r="C2486" i="4"/>
  <c r="B2487" i="4"/>
  <c r="C2487" i="4"/>
  <c r="B2488" i="4"/>
  <c r="C2488" i="4"/>
  <c r="B2489" i="4"/>
  <c r="C2489" i="4"/>
  <c r="B2490" i="4"/>
  <c r="C2490" i="4"/>
  <c r="B2491" i="4"/>
  <c r="C2491" i="4"/>
  <c r="B2492" i="4"/>
  <c r="C2492" i="4"/>
  <c r="B2493" i="4"/>
  <c r="C2493" i="4"/>
  <c r="B2494" i="4"/>
  <c r="C2494" i="4"/>
  <c r="B2495" i="4"/>
  <c r="C2495" i="4"/>
  <c r="B2496" i="4"/>
  <c r="C2496" i="4"/>
  <c r="B2497" i="4"/>
  <c r="C2497" i="4"/>
  <c r="B2498" i="4"/>
  <c r="C2498" i="4"/>
  <c r="B2499" i="4"/>
  <c r="C2499" i="4"/>
  <c r="B2500" i="4"/>
  <c r="C2500" i="4"/>
  <c r="B2501" i="4"/>
  <c r="C2501" i="4"/>
  <c r="B2502" i="4"/>
  <c r="C2502" i="4"/>
  <c r="B2503" i="4"/>
  <c r="C2503" i="4"/>
  <c r="B2504" i="4"/>
  <c r="C2504" i="4"/>
  <c r="M2369" i="4" l="1"/>
  <c r="M2461" i="4"/>
  <c r="L2457" i="4"/>
  <c r="L2453" i="4"/>
  <c r="M2397" i="4"/>
  <c r="M2465" i="4"/>
  <c r="M2472" i="4"/>
  <c r="M2468" i="4"/>
  <c r="M2496" i="4"/>
  <c r="L2478" i="4"/>
  <c r="L2452" i="4"/>
  <c r="L2445" i="4"/>
  <c r="M2418" i="4"/>
  <c r="L2391" i="4"/>
  <c r="L2492" i="4"/>
  <c r="M2492" i="4"/>
  <c r="L2439" i="4"/>
  <c r="M2439" i="4"/>
  <c r="M2367" i="4"/>
  <c r="L2367" i="4"/>
  <c r="L2480" i="4"/>
  <c r="M2480" i="4"/>
  <c r="M2419" i="4"/>
  <c r="L2419" i="4"/>
  <c r="M2379" i="4"/>
  <c r="L2379" i="4"/>
  <c r="L2504" i="4"/>
  <c r="M2447" i="4"/>
  <c r="M2435" i="4"/>
  <c r="L2411" i="4"/>
  <c r="M2405" i="4"/>
  <c r="M2401" i="4"/>
  <c r="L2375" i="4"/>
  <c r="L2371" i="4"/>
  <c r="L2363" i="4"/>
  <c r="L2423" i="4"/>
  <c r="M2413" i="4"/>
  <c r="L2403" i="4"/>
  <c r="L2387" i="4"/>
  <c r="M2381" i="4"/>
  <c r="M2373" i="4"/>
  <c r="M2485" i="4"/>
  <c r="L2485" i="4"/>
  <c r="M2481" i="4"/>
  <c r="L2481" i="4"/>
  <c r="M2477" i="4"/>
  <c r="L2477" i="4"/>
  <c r="L2473" i="4"/>
  <c r="M2473" i="4"/>
  <c r="M2448" i="4"/>
  <c r="L2448" i="4"/>
  <c r="L2436" i="4"/>
  <c r="M2436" i="4"/>
  <c r="M2414" i="4"/>
  <c r="L2414" i="4"/>
  <c r="M2410" i="4"/>
  <c r="L2410" i="4"/>
  <c r="L2406" i="4"/>
  <c r="M2406" i="4"/>
  <c r="L2402" i="4"/>
  <c r="M2402" i="4"/>
  <c r="L2374" i="4"/>
  <c r="M2374" i="4"/>
  <c r="L2484" i="4"/>
  <c r="M2484" i="4"/>
  <c r="L2370" i="4"/>
  <c r="M2370" i="4"/>
  <c r="L2500" i="4"/>
  <c r="M2500" i="4"/>
  <c r="L2474" i="4"/>
  <c r="M2464" i="4"/>
  <c r="M2456" i="4"/>
  <c r="L2451" i="4"/>
  <c r="M2451" i="4"/>
  <c r="M2426" i="4"/>
  <c r="M2395" i="4"/>
  <c r="L2395" i="4"/>
  <c r="L2382" i="4"/>
  <c r="L2365" i="4"/>
  <c r="M2365" i="4"/>
  <c r="L2440" i="4"/>
  <c r="M2440" i="4"/>
  <c r="L2489" i="4"/>
  <c r="L2470" i="4"/>
  <c r="L2441" i="4"/>
  <c r="M2422" i="4"/>
  <c r="L2417" i="4"/>
  <c r="M2417" i="4"/>
  <c r="M2398" i="4"/>
  <c r="M2394" i="4"/>
  <c r="M2390" i="4"/>
  <c r="M2386" i="4"/>
  <c r="M2497" i="4"/>
  <c r="L2497" i="4"/>
  <c r="L2469" i="4"/>
  <c r="M2469" i="4"/>
  <c r="L2421" i="4"/>
  <c r="M2421" i="4"/>
  <c r="M2493" i="4"/>
  <c r="L2493" i="4"/>
  <c r="L2501" i="4"/>
  <c r="L2488" i="4"/>
  <c r="M2462" i="4"/>
  <c r="L2462" i="4"/>
  <c r="L2455" i="4"/>
  <c r="M2455" i="4"/>
  <c r="L2444" i="4"/>
  <c r="L2437" i="4"/>
  <c r="L2407" i="4"/>
  <c r="L2389" i="4"/>
  <c r="M2389" i="4"/>
  <c r="L2385" i="4"/>
  <c r="M2385" i="4"/>
  <c r="L2378" i="4"/>
  <c r="L2499" i="4"/>
  <c r="M2499" i="4"/>
  <c r="L2491" i="4"/>
  <c r="M2491" i="4"/>
  <c r="L2483" i="4"/>
  <c r="M2483" i="4"/>
  <c r="L2446" i="4"/>
  <c r="M2446" i="4"/>
  <c r="L2380" i="4"/>
  <c r="M2380" i="4"/>
  <c r="L2503" i="4"/>
  <c r="M2503" i="4"/>
  <c r="L2495" i="4"/>
  <c r="M2495" i="4"/>
  <c r="L2487" i="4"/>
  <c r="M2487" i="4"/>
  <c r="L2479" i="4"/>
  <c r="M2479" i="4"/>
  <c r="L2412" i="4"/>
  <c r="M2412" i="4"/>
  <c r="L2368" i="4"/>
  <c r="M2368" i="4"/>
  <c r="L2463" i="4"/>
  <c r="M2463" i="4"/>
  <c r="L2396" i="4"/>
  <c r="M2396" i="4"/>
  <c r="L2467" i="4"/>
  <c r="M2467" i="4"/>
  <c r="L2450" i="4"/>
  <c r="M2450" i="4"/>
  <c r="L2434" i="4"/>
  <c r="M2434" i="4"/>
  <c r="L2416" i="4"/>
  <c r="M2416" i="4"/>
  <c r="L2400" i="4"/>
  <c r="M2400" i="4"/>
  <c r="L2384" i="4"/>
  <c r="M2384" i="4"/>
  <c r="L2471" i="4"/>
  <c r="M2471" i="4"/>
  <c r="L2454" i="4"/>
  <c r="M2454" i="4"/>
  <c r="L2438" i="4"/>
  <c r="M2438" i="4"/>
  <c r="L2420" i="4"/>
  <c r="M2420" i="4"/>
  <c r="L2404" i="4"/>
  <c r="M2404" i="4"/>
  <c r="L2388" i="4"/>
  <c r="M2388" i="4"/>
  <c r="L2372" i="4"/>
  <c r="M2372" i="4"/>
  <c r="L2364" i="4"/>
  <c r="M2364" i="4"/>
  <c r="M2502" i="4"/>
  <c r="M2498" i="4"/>
  <c r="M2494" i="4"/>
  <c r="M2490" i="4"/>
  <c r="M2486" i="4"/>
  <c r="M2482" i="4"/>
  <c r="L2475" i="4"/>
  <c r="M2475" i="4"/>
  <c r="L2458" i="4"/>
  <c r="M2458" i="4"/>
  <c r="L2442" i="4"/>
  <c r="M2442" i="4"/>
  <c r="L2424" i="4"/>
  <c r="M2424" i="4"/>
  <c r="L2408" i="4"/>
  <c r="M2408" i="4"/>
  <c r="L2392" i="4"/>
  <c r="M2392" i="4"/>
  <c r="L2376" i="4"/>
  <c r="M2376" i="4"/>
  <c r="M2366" i="4"/>
  <c r="M2476" i="4"/>
  <c r="L2466" i="4"/>
  <c r="M2460" i="4"/>
  <c r="L2449" i="4"/>
  <c r="M2443" i="4"/>
  <c r="L2433" i="4"/>
  <c r="M2425" i="4"/>
  <c r="L2415" i="4"/>
  <c r="M2409" i="4"/>
  <c r="L2399" i="4"/>
  <c r="M2393" i="4"/>
  <c r="L2383" i="4"/>
  <c r="M2377" i="4"/>
  <c r="O2268" i="4" l="1"/>
  <c r="O2267" i="4"/>
  <c r="O2266" i="4"/>
  <c r="O2265" i="4"/>
  <c r="O2264" i="4"/>
  <c r="O2263" i="4"/>
  <c r="O2262" i="4"/>
  <c r="O2261" i="4"/>
  <c r="O2260" i="4"/>
  <c r="O2334" i="4"/>
  <c r="O2333" i="4"/>
  <c r="O2332" i="4"/>
  <c r="O2331" i="4"/>
  <c r="O2330" i="4"/>
  <c r="O2312" i="4"/>
  <c r="O2305" i="4"/>
  <c r="O2304" i="4"/>
  <c r="O2303" i="4"/>
  <c r="O2302" i="4"/>
  <c r="O2301" i="4"/>
  <c r="O2300" i="4"/>
  <c r="O2299" i="4"/>
  <c r="O1599" i="4"/>
  <c r="O1598" i="4"/>
  <c r="O1597" i="4"/>
  <c r="O1596" i="4"/>
  <c r="O1585" i="4"/>
  <c r="O1584" i="4"/>
  <c r="O1583" i="4"/>
  <c r="O1422" i="4"/>
  <c r="O1421" i="4"/>
  <c r="O1420" i="4"/>
  <c r="O1413" i="4"/>
  <c r="O1412" i="4"/>
  <c r="O1411" i="4"/>
  <c r="O1410" i="4"/>
  <c r="O1409" i="4"/>
  <c r="O1408" i="4"/>
  <c r="O1407" i="4"/>
  <c r="O1406" i="4"/>
  <c r="O1673" i="4"/>
  <c r="O1672" i="4"/>
  <c r="O1671" i="4"/>
  <c r="O1670" i="4"/>
  <c r="O1669" i="4"/>
  <c r="O2277" i="4"/>
  <c r="O2276" i="4"/>
  <c r="O2275" i="4"/>
  <c r="P2260" i="4" l="1"/>
  <c r="P2261" i="4"/>
  <c r="P2262" i="4"/>
  <c r="P2263" i="4"/>
  <c r="P2264" i="4"/>
  <c r="P2265" i="4"/>
  <c r="P2266" i="4"/>
  <c r="P2267" i="4"/>
  <c r="P2268" i="4"/>
  <c r="P2269" i="4"/>
  <c r="P2275" i="4"/>
  <c r="P2276" i="4"/>
  <c r="P2277" i="4"/>
  <c r="P2278" i="4"/>
  <c r="P2279" i="4"/>
  <c r="P2280" i="4"/>
  <c r="P2281" i="4"/>
  <c r="P2282" i="4"/>
  <c r="P2283" i="4"/>
  <c r="P2284" i="4"/>
  <c r="P2285" i="4"/>
  <c r="P2286" i="4"/>
  <c r="P2287" i="4"/>
  <c r="P2288" i="4"/>
  <c r="P2289" i="4"/>
  <c r="P2290" i="4"/>
  <c r="P2291" i="4"/>
  <c r="P2292" i="4"/>
  <c r="P2293" i="4"/>
  <c r="P2294" i="4"/>
  <c r="P2295" i="4"/>
  <c r="P2296" i="4"/>
  <c r="P2297" i="4"/>
  <c r="P2298" i="4"/>
  <c r="P2299" i="4"/>
  <c r="P2300" i="4"/>
  <c r="P2301" i="4"/>
  <c r="P2302" i="4"/>
  <c r="P2303" i="4"/>
  <c r="P2304" i="4"/>
  <c r="P2305" i="4"/>
  <c r="P2306" i="4"/>
  <c r="P2307" i="4"/>
  <c r="P2308" i="4"/>
  <c r="P2309" i="4"/>
  <c r="P2310" i="4"/>
  <c r="P2311" i="4"/>
  <c r="P2312" i="4"/>
  <c r="P2313" i="4"/>
  <c r="P2314" i="4"/>
  <c r="P2315" i="4"/>
  <c r="P2316" i="4"/>
  <c r="P2317" i="4"/>
  <c r="P2318" i="4"/>
  <c r="P2319" i="4"/>
  <c r="P2320" i="4"/>
  <c r="P2321" i="4"/>
  <c r="P2322" i="4"/>
  <c r="P2323" i="4"/>
  <c r="P2324" i="4"/>
  <c r="P2325" i="4"/>
  <c r="P2326" i="4"/>
  <c r="P2327" i="4"/>
  <c r="P2328" i="4"/>
  <c r="P2329" i="4"/>
  <c r="P2330" i="4"/>
  <c r="P2331" i="4"/>
  <c r="P2332" i="4"/>
  <c r="P2333" i="4"/>
  <c r="P2334" i="4"/>
  <c r="P2335" i="4"/>
  <c r="P2336" i="4"/>
  <c r="P2337" i="4"/>
  <c r="P2338" i="4"/>
  <c r="P2339" i="4"/>
  <c r="P2340" i="4"/>
  <c r="P2341" i="4"/>
  <c r="P2342" i="4"/>
  <c r="P2343" i="4"/>
  <c r="P2344" i="4"/>
  <c r="P2345" i="4"/>
  <c r="P2346" i="4"/>
  <c r="P2347" i="4"/>
  <c r="P2348" i="4"/>
  <c r="P2349" i="4"/>
  <c r="P2350" i="4"/>
  <c r="P2351" i="4"/>
  <c r="P2352" i="4"/>
  <c r="P2353" i="4"/>
  <c r="P2354" i="4"/>
  <c r="P2355" i="4"/>
  <c r="P2356" i="4"/>
  <c r="P2357" i="4"/>
  <c r="P2358" i="4"/>
  <c r="P2359" i="4"/>
  <c r="P2360" i="4"/>
  <c r="P2361" i="4"/>
  <c r="P2362" i="4"/>
  <c r="O2274" i="4"/>
  <c r="P2274" i="4" s="1"/>
  <c r="O2273" i="4"/>
  <c r="P2273" i="4" s="1"/>
  <c r="O2272" i="4"/>
  <c r="P2272" i="4" s="1"/>
  <c r="O2271" i="4"/>
  <c r="P2271" i="4" s="1"/>
  <c r="O2270" i="4"/>
  <c r="P2270" i="4" s="1"/>
  <c r="O2178" i="4"/>
  <c r="K2270" i="4" l="1"/>
  <c r="K2271" i="4"/>
  <c r="K2272" i="4"/>
  <c r="K2273" i="4"/>
  <c r="L2273" i="4" s="1"/>
  <c r="K2274" i="4"/>
  <c r="K2275" i="4"/>
  <c r="K2276" i="4"/>
  <c r="K2277" i="4"/>
  <c r="L2277" i="4" s="1"/>
  <c r="K2278" i="4"/>
  <c r="K2279" i="4"/>
  <c r="K2280" i="4"/>
  <c r="K2281" i="4"/>
  <c r="L2281" i="4" s="1"/>
  <c r="K2282" i="4"/>
  <c r="M2282" i="4" s="1"/>
  <c r="K2283" i="4"/>
  <c r="K2284" i="4"/>
  <c r="K2285" i="4"/>
  <c r="L2285" i="4" s="1"/>
  <c r="K2286" i="4"/>
  <c r="K2287" i="4"/>
  <c r="K2288" i="4"/>
  <c r="K2289" i="4"/>
  <c r="L2289" i="4" s="1"/>
  <c r="K2290" i="4"/>
  <c r="K2291" i="4"/>
  <c r="K2292" i="4"/>
  <c r="K2293" i="4"/>
  <c r="L2293" i="4" s="1"/>
  <c r="K2294" i="4"/>
  <c r="K2295" i="4"/>
  <c r="K2296" i="4"/>
  <c r="K2297" i="4"/>
  <c r="L2297" i="4" s="1"/>
  <c r="K2298" i="4"/>
  <c r="M2298" i="4" s="1"/>
  <c r="K2299" i="4"/>
  <c r="K2300" i="4"/>
  <c r="K2301" i="4"/>
  <c r="L2301" i="4" s="1"/>
  <c r="K2302" i="4"/>
  <c r="M2302" i="4" s="1"/>
  <c r="K2303" i="4"/>
  <c r="K2304" i="4"/>
  <c r="K2305" i="4"/>
  <c r="M2305" i="4" s="1"/>
  <c r="K2306" i="4"/>
  <c r="M2306" i="4" s="1"/>
  <c r="K2307" i="4"/>
  <c r="K2308" i="4"/>
  <c r="L2308" i="4" s="1"/>
  <c r="K2309" i="4"/>
  <c r="L2309" i="4" s="1"/>
  <c r="K2310" i="4"/>
  <c r="K2311" i="4"/>
  <c r="K2312" i="4"/>
  <c r="L2312" i="4" s="1"/>
  <c r="K2313" i="4"/>
  <c r="M2313" i="4" s="1"/>
  <c r="K2314" i="4"/>
  <c r="M2314" i="4" s="1"/>
  <c r="K2315" i="4"/>
  <c r="K2316" i="4"/>
  <c r="L2316" i="4" s="1"/>
  <c r="K2317" i="4"/>
  <c r="L2317" i="4" s="1"/>
  <c r="K2318" i="4"/>
  <c r="K2319" i="4"/>
  <c r="K2320" i="4"/>
  <c r="L2320" i="4" s="1"/>
  <c r="K2321" i="4"/>
  <c r="M2321" i="4" s="1"/>
  <c r="K2322" i="4"/>
  <c r="L2322" i="4" s="1"/>
  <c r="K2323" i="4"/>
  <c r="K2324" i="4"/>
  <c r="K2325" i="4"/>
  <c r="L2325" i="4" s="1"/>
  <c r="K2326" i="4"/>
  <c r="K2327" i="4"/>
  <c r="K2328" i="4"/>
  <c r="K2329" i="4"/>
  <c r="L2329" i="4" s="1"/>
  <c r="K2330" i="4"/>
  <c r="K2331" i="4"/>
  <c r="K2332" i="4"/>
  <c r="K2333" i="4"/>
  <c r="L2333" i="4" s="1"/>
  <c r="K2334" i="4"/>
  <c r="K2335" i="4"/>
  <c r="M2335" i="4" s="1"/>
  <c r="K2336" i="4"/>
  <c r="L2336" i="4" s="1"/>
  <c r="K2337" i="4"/>
  <c r="M2337" i="4" s="1"/>
  <c r="K2338" i="4"/>
  <c r="L2338" i="4" s="1"/>
  <c r="K2339" i="4"/>
  <c r="K2340" i="4"/>
  <c r="K2341" i="4"/>
  <c r="L2341" i="4" s="1"/>
  <c r="K2342" i="4"/>
  <c r="L2342" i="4" s="1"/>
  <c r="K2343" i="4"/>
  <c r="K2344" i="4"/>
  <c r="K2345" i="4"/>
  <c r="L2345" i="4" s="1"/>
  <c r="K2346" i="4"/>
  <c r="K2347" i="4"/>
  <c r="M2347" i="4" s="1"/>
  <c r="K2348" i="4"/>
  <c r="L2348" i="4" s="1"/>
  <c r="K2349" i="4"/>
  <c r="L2349" i="4" s="1"/>
  <c r="K2350" i="4"/>
  <c r="M2350" i="4" s="1"/>
  <c r="K2351" i="4"/>
  <c r="M2351" i="4" s="1"/>
  <c r="K2352" i="4"/>
  <c r="L2352" i="4" s="1"/>
  <c r="K2353" i="4"/>
  <c r="M2353" i="4" s="1"/>
  <c r="K2354" i="4"/>
  <c r="L2354" i="4" s="1"/>
  <c r="K2355" i="4"/>
  <c r="K2356" i="4"/>
  <c r="K2357" i="4"/>
  <c r="L2357" i="4" s="1"/>
  <c r="K2358" i="4"/>
  <c r="K2359" i="4"/>
  <c r="K2360" i="4"/>
  <c r="K2361" i="4"/>
  <c r="L2361" i="4" s="1"/>
  <c r="K2362" i="4"/>
  <c r="B2270" i="4"/>
  <c r="C2270" i="4"/>
  <c r="B2271" i="4"/>
  <c r="C2271" i="4"/>
  <c r="B2272" i="4"/>
  <c r="C2272" i="4"/>
  <c r="B2273" i="4"/>
  <c r="C2273" i="4"/>
  <c r="B2274" i="4"/>
  <c r="C2274" i="4"/>
  <c r="B2275" i="4"/>
  <c r="C2275" i="4"/>
  <c r="B2276" i="4"/>
  <c r="C2276" i="4"/>
  <c r="B2277" i="4"/>
  <c r="C2277" i="4"/>
  <c r="B2278" i="4"/>
  <c r="C2278" i="4"/>
  <c r="B2279" i="4"/>
  <c r="C2279" i="4"/>
  <c r="B2280" i="4"/>
  <c r="C2280" i="4"/>
  <c r="B2281" i="4"/>
  <c r="C2281" i="4"/>
  <c r="B2282" i="4"/>
  <c r="C2282" i="4"/>
  <c r="B2283" i="4"/>
  <c r="C2283" i="4"/>
  <c r="B2284" i="4"/>
  <c r="C2284" i="4"/>
  <c r="B2285" i="4"/>
  <c r="C2285" i="4"/>
  <c r="B2286" i="4"/>
  <c r="C2286" i="4"/>
  <c r="B2287" i="4"/>
  <c r="C2287" i="4"/>
  <c r="B2288" i="4"/>
  <c r="C2288" i="4"/>
  <c r="B2289" i="4"/>
  <c r="C2289" i="4"/>
  <c r="B2290" i="4"/>
  <c r="C2290" i="4"/>
  <c r="B2291" i="4"/>
  <c r="C2291" i="4"/>
  <c r="B2292" i="4"/>
  <c r="C2292" i="4"/>
  <c r="B2293" i="4"/>
  <c r="C2293" i="4"/>
  <c r="B2294" i="4"/>
  <c r="C2294" i="4"/>
  <c r="B2295" i="4"/>
  <c r="C2295" i="4"/>
  <c r="B2296" i="4"/>
  <c r="C2296" i="4"/>
  <c r="B2297" i="4"/>
  <c r="C2297" i="4"/>
  <c r="B2298" i="4"/>
  <c r="C2298" i="4"/>
  <c r="B2299" i="4"/>
  <c r="C2299" i="4"/>
  <c r="B2300" i="4"/>
  <c r="C2300" i="4"/>
  <c r="B2301" i="4"/>
  <c r="C2301" i="4"/>
  <c r="B2302" i="4"/>
  <c r="C2302" i="4"/>
  <c r="B2303" i="4"/>
  <c r="C2303" i="4"/>
  <c r="B2304" i="4"/>
  <c r="C2304" i="4"/>
  <c r="B2305" i="4"/>
  <c r="C2305" i="4"/>
  <c r="B2306" i="4"/>
  <c r="C2306" i="4"/>
  <c r="B2307" i="4"/>
  <c r="C2307" i="4"/>
  <c r="B2308" i="4"/>
  <c r="C2308" i="4"/>
  <c r="B2309" i="4"/>
  <c r="C2309" i="4"/>
  <c r="B2310" i="4"/>
  <c r="C2310" i="4"/>
  <c r="B2311" i="4"/>
  <c r="C2311" i="4"/>
  <c r="B2312" i="4"/>
  <c r="C2312" i="4"/>
  <c r="B2313" i="4"/>
  <c r="C2313" i="4"/>
  <c r="B2314" i="4"/>
  <c r="C2314" i="4"/>
  <c r="B2315" i="4"/>
  <c r="C2315" i="4"/>
  <c r="B2316" i="4"/>
  <c r="C2316" i="4"/>
  <c r="B2317" i="4"/>
  <c r="C2317" i="4"/>
  <c r="B2318" i="4"/>
  <c r="C2318" i="4"/>
  <c r="B2319" i="4"/>
  <c r="C2319" i="4"/>
  <c r="B2320" i="4"/>
  <c r="C2320" i="4"/>
  <c r="B2321" i="4"/>
  <c r="C2321" i="4"/>
  <c r="B2322" i="4"/>
  <c r="C2322" i="4"/>
  <c r="B2323" i="4"/>
  <c r="C2323" i="4"/>
  <c r="B2324" i="4"/>
  <c r="C2324" i="4"/>
  <c r="B2325" i="4"/>
  <c r="C2325" i="4"/>
  <c r="B2326" i="4"/>
  <c r="C2326" i="4"/>
  <c r="B2327" i="4"/>
  <c r="C2327" i="4"/>
  <c r="B2328" i="4"/>
  <c r="C2328" i="4"/>
  <c r="B2329" i="4"/>
  <c r="C2329" i="4"/>
  <c r="B2330" i="4"/>
  <c r="C2330" i="4"/>
  <c r="B2331" i="4"/>
  <c r="C2331" i="4"/>
  <c r="B2332" i="4"/>
  <c r="C2332" i="4"/>
  <c r="B2333" i="4"/>
  <c r="C2333" i="4"/>
  <c r="B2334" i="4"/>
  <c r="C2334" i="4"/>
  <c r="B2335" i="4"/>
  <c r="C2335" i="4"/>
  <c r="B2336" i="4"/>
  <c r="C2336" i="4"/>
  <c r="B2337" i="4"/>
  <c r="C2337" i="4"/>
  <c r="B2338" i="4"/>
  <c r="C2338" i="4"/>
  <c r="B2339" i="4"/>
  <c r="C2339" i="4"/>
  <c r="B2340" i="4"/>
  <c r="C2340" i="4"/>
  <c r="B2341" i="4"/>
  <c r="C2341" i="4"/>
  <c r="B2342" i="4"/>
  <c r="C2342" i="4"/>
  <c r="B2343" i="4"/>
  <c r="C2343" i="4"/>
  <c r="B2344" i="4"/>
  <c r="C2344" i="4"/>
  <c r="B2345" i="4"/>
  <c r="C2345" i="4"/>
  <c r="B2346" i="4"/>
  <c r="C2346" i="4"/>
  <c r="B2347" i="4"/>
  <c r="C2347" i="4"/>
  <c r="B2348" i="4"/>
  <c r="C2348" i="4"/>
  <c r="B2349" i="4"/>
  <c r="C2349" i="4"/>
  <c r="B2350" i="4"/>
  <c r="C2350" i="4"/>
  <c r="B2351" i="4"/>
  <c r="C2351" i="4"/>
  <c r="B2352" i="4"/>
  <c r="C2352" i="4"/>
  <c r="B2353" i="4"/>
  <c r="C2353" i="4"/>
  <c r="B2354" i="4"/>
  <c r="C2354" i="4"/>
  <c r="B2355" i="4"/>
  <c r="C2355" i="4"/>
  <c r="B2356" i="4"/>
  <c r="C2356" i="4"/>
  <c r="B2357" i="4"/>
  <c r="C2357" i="4"/>
  <c r="B2358" i="4"/>
  <c r="C2358" i="4"/>
  <c r="B2359" i="4"/>
  <c r="C2359" i="4"/>
  <c r="B2360" i="4"/>
  <c r="C2360" i="4"/>
  <c r="B2361" i="4"/>
  <c r="C2361" i="4"/>
  <c r="B2362" i="4"/>
  <c r="C2362" i="4"/>
  <c r="M2349" i="4" l="1"/>
  <c r="M2309" i="4"/>
  <c r="M2345" i="4"/>
  <c r="M2286" i="4"/>
  <c r="L2286" i="4"/>
  <c r="M2316" i="4"/>
  <c r="L2305" i="4"/>
  <c r="L2302" i="4"/>
  <c r="L2337" i="4"/>
  <c r="M2346" i="4"/>
  <c r="L2346" i="4"/>
  <c r="M2334" i="4"/>
  <c r="L2334" i="4"/>
  <c r="L2332" i="4"/>
  <c r="M2332" i="4"/>
  <c r="L2330" i="4"/>
  <c r="M2330" i="4"/>
  <c r="L2326" i="4"/>
  <c r="M2326" i="4"/>
  <c r="M2318" i="4"/>
  <c r="L2318" i="4"/>
  <c r="M2294" i="4"/>
  <c r="L2294" i="4"/>
  <c r="M2290" i="4"/>
  <c r="L2290" i="4"/>
  <c r="M2278" i="4"/>
  <c r="L2278" i="4"/>
  <c r="M2274" i="4"/>
  <c r="L2274" i="4"/>
  <c r="M2270" i="4"/>
  <c r="L2270" i="4"/>
  <c r="M2310" i="4"/>
  <c r="L2310" i="4"/>
  <c r="L2362" i="4"/>
  <c r="M2362" i="4"/>
  <c r="L2358" i="4"/>
  <c r="M2358" i="4"/>
  <c r="M2331" i="4"/>
  <c r="L2331" i="4"/>
  <c r="M2333" i="4"/>
  <c r="M2317" i="4"/>
  <c r="L2313" i="4"/>
  <c r="M2361" i="4"/>
  <c r="L2353" i="4"/>
  <c r="M2329" i="4"/>
  <c r="L2321" i="4"/>
  <c r="L2350" i="4"/>
  <c r="M2348" i="4"/>
  <c r="L2347" i="4"/>
  <c r="M2342" i="4"/>
  <c r="M2308" i="4"/>
  <c r="L2298" i="4"/>
  <c r="L2282" i="4"/>
  <c r="L2360" i="4"/>
  <c r="M2360" i="4"/>
  <c r="M2355" i="4"/>
  <c r="L2355" i="4"/>
  <c r="M2343" i="4"/>
  <c r="L2343" i="4"/>
  <c r="L2340" i="4"/>
  <c r="M2340" i="4"/>
  <c r="L2328" i="4"/>
  <c r="M2328" i="4"/>
  <c r="M2323" i="4"/>
  <c r="L2323" i="4"/>
  <c r="L2311" i="4"/>
  <c r="M2311" i="4"/>
  <c r="M2359" i="4"/>
  <c r="L2359" i="4"/>
  <c r="L2356" i="4"/>
  <c r="M2356" i="4"/>
  <c r="L2344" i="4"/>
  <c r="M2344" i="4"/>
  <c r="M2339" i="4"/>
  <c r="L2339" i="4"/>
  <c r="M2327" i="4"/>
  <c r="L2327" i="4"/>
  <c r="L2324" i="4"/>
  <c r="M2324" i="4"/>
  <c r="L2319" i="4"/>
  <c r="M2319" i="4"/>
  <c r="L2315" i="4"/>
  <c r="M2315" i="4"/>
  <c r="L2303" i="4"/>
  <c r="M2303" i="4"/>
  <c r="L2295" i="4"/>
  <c r="M2295" i="4"/>
  <c r="L2291" i="4"/>
  <c r="M2291" i="4"/>
  <c r="L2287" i="4"/>
  <c r="M2287" i="4"/>
  <c r="L2279" i="4"/>
  <c r="M2279" i="4"/>
  <c r="L2275" i="4"/>
  <c r="M2275" i="4"/>
  <c r="L2271" i="4"/>
  <c r="M2271" i="4"/>
  <c r="M2357" i="4"/>
  <c r="M2354" i="4"/>
  <c r="M2341" i="4"/>
  <c r="M2338" i="4"/>
  <c r="M2325" i="4"/>
  <c r="M2322" i="4"/>
  <c r="L2307" i="4"/>
  <c r="M2307" i="4"/>
  <c r="L2299" i="4"/>
  <c r="M2299" i="4"/>
  <c r="L2283" i="4"/>
  <c r="M2283" i="4"/>
  <c r="M2352" i="4"/>
  <c r="L2351" i="4"/>
  <c r="M2336" i="4"/>
  <c r="L2335" i="4"/>
  <c r="M2320" i="4"/>
  <c r="L2314" i="4"/>
  <c r="M2312" i="4"/>
  <c r="L2306" i="4"/>
  <c r="L2304" i="4"/>
  <c r="M2304" i="4"/>
  <c r="L2300" i="4"/>
  <c r="M2300" i="4"/>
  <c r="L2296" i="4"/>
  <c r="M2296" i="4"/>
  <c r="L2292" i="4"/>
  <c r="M2292" i="4"/>
  <c r="L2288" i="4"/>
  <c r="M2288" i="4"/>
  <c r="L2284" i="4"/>
  <c r="M2284" i="4"/>
  <c r="L2280" i="4"/>
  <c r="M2280" i="4"/>
  <c r="L2276" i="4"/>
  <c r="M2276" i="4"/>
  <c r="L2272" i="4"/>
  <c r="M2272" i="4"/>
  <c r="M2301" i="4"/>
  <c r="M2297" i="4"/>
  <c r="M2293" i="4"/>
  <c r="M2289" i="4"/>
  <c r="M2285" i="4"/>
  <c r="M2281" i="4"/>
  <c r="M2277" i="4"/>
  <c r="M2273" i="4"/>
  <c r="K2269" i="4"/>
  <c r="L2269" i="4" l="1"/>
  <c r="M2269" i="4"/>
  <c r="B2269" i="4" l="1"/>
  <c r="C2269" i="4"/>
  <c r="O2242" i="4"/>
  <c r="O2241" i="4"/>
  <c r="O2240" i="4"/>
  <c r="O2239" i="4"/>
  <c r="O2238" i="4"/>
  <c r="O2177" i="4"/>
  <c r="O2007" i="4"/>
  <c r="O1951" i="4"/>
  <c r="O1950" i="4"/>
  <c r="O1949" i="4"/>
  <c r="O1557" i="4"/>
  <c r="O1556" i="4"/>
  <c r="O1555" i="4"/>
  <c r="O1554" i="4"/>
  <c r="O1553" i="4"/>
  <c r="O1504" i="4"/>
  <c r="O1503" i="4"/>
  <c r="O1502" i="4"/>
  <c r="O2212" i="4"/>
  <c r="O2211" i="4"/>
  <c r="O2210" i="4"/>
  <c r="O2209" i="4"/>
  <c r="O2208" i="4"/>
  <c r="O2176" i="4"/>
  <c r="O2175" i="4"/>
  <c r="O2174" i="4"/>
  <c r="O2173" i="4"/>
  <c r="O2172" i="4"/>
  <c r="O2171" i="4"/>
  <c r="O2170" i="4"/>
  <c r="O2102" i="4"/>
  <c r="O2101" i="4"/>
  <c r="O2001" i="4"/>
  <c r="O2000" i="4"/>
  <c r="O1999" i="4"/>
  <c r="O2139" i="4"/>
  <c r="O2138" i="4"/>
  <c r="O2137" i="4"/>
  <c r="O2136" i="4"/>
  <c r="O2135" i="4"/>
  <c r="O2134" i="4"/>
  <c r="O2133" i="4"/>
  <c r="O1398" i="4"/>
  <c r="O1397" i="4"/>
  <c r="O1396" i="4"/>
  <c r="O1395" i="4"/>
  <c r="O1394" i="4"/>
  <c r="O1540" i="4"/>
  <c r="O1539" i="4"/>
  <c r="O1538" i="4"/>
  <c r="O1427" i="4"/>
  <c r="O1633" i="4"/>
  <c r="O1632" i="4"/>
  <c r="O1384" i="4"/>
  <c r="O1383" i="4"/>
  <c r="O1382" i="4"/>
  <c r="O1381" i="4"/>
  <c r="O1380" i="4"/>
  <c r="O1379" i="4"/>
  <c r="O1369" i="4"/>
  <c r="O1368" i="4"/>
  <c r="O1367" i="4"/>
  <c r="O1366" i="4"/>
  <c r="O1365" i="4"/>
  <c r="O1359" i="4"/>
  <c r="O1358" i="4"/>
  <c r="O1357" i="4"/>
  <c r="O1356" i="4"/>
  <c r="O1355" i="4"/>
  <c r="O1354" i="4"/>
  <c r="O1353" i="4"/>
  <c r="O1337" i="4"/>
  <c r="O1336" i="4"/>
  <c r="O1335" i="4"/>
  <c r="O1334" i="4"/>
  <c r="O1720" i="4"/>
  <c r="O1719" i="4"/>
  <c r="O1718" i="4"/>
  <c r="O1654" i="4"/>
  <c r="O1482" i="4"/>
  <c r="O1481" i="4"/>
  <c r="O1480" i="4"/>
  <c r="K2261" i="4" l="1"/>
  <c r="M2261" i="4" s="1"/>
  <c r="K2262" i="4"/>
  <c r="L2262" i="4" s="1"/>
  <c r="K2263" i="4"/>
  <c r="K2264" i="4"/>
  <c r="K2265" i="4"/>
  <c r="K2266" i="4"/>
  <c r="L2266" i="4" s="1"/>
  <c r="K2267" i="4"/>
  <c r="K2268" i="4"/>
  <c r="B2261" i="4"/>
  <c r="C2261" i="4"/>
  <c r="B2262" i="4"/>
  <c r="C2262" i="4"/>
  <c r="B2263" i="4"/>
  <c r="C2263" i="4"/>
  <c r="B2264" i="4"/>
  <c r="C2264" i="4"/>
  <c r="B2265" i="4"/>
  <c r="C2265" i="4"/>
  <c r="B2266" i="4"/>
  <c r="C2266" i="4"/>
  <c r="B2267" i="4"/>
  <c r="C2267" i="4"/>
  <c r="B2268" i="4"/>
  <c r="C2268" i="4"/>
  <c r="P2259" i="4"/>
  <c r="K2259" i="4"/>
  <c r="K2260" i="4"/>
  <c r="L2260" i="4" s="1"/>
  <c r="B2259" i="4"/>
  <c r="C2259" i="4"/>
  <c r="B2260" i="4"/>
  <c r="C2260" i="4"/>
  <c r="P2229" i="4"/>
  <c r="P2230" i="4"/>
  <c r="P2231" i="4"/>
  <c r="P2232" i="4"/>
  <c r="P2233" i="4"/>
  <c r="P2234" i="4"/>
  <c r="P2235" i="4"/>
  <c r="P2236" i="4"/>
  <c r="P2237" i="4"/>
  <c r="P2239" i="4"/>
  <c r="P2240" i="4"/>
  <c r="P2241" i="4"/>
  <c r="P2242" i="4"/>
  <c r="P2243" i="4"/>
  <c r="P2244" i="4"/>
  <c r="P2245" i="4"/>
  <c r="P2246" i="4"/>
  <c r="P2247" i="4"/>
  <c r="P2248" i="4"/>
  <c r="P2249" i="4"/>
  <c r="P2250" i="4"/>
  <c r="P2251" i="4"/>
  <c r="P2252" i="4"/>
  <c r="P2253" i="4"/>
  <c r="P2254" i="4"/>
  <c r="P2255" i="4"/>
  <c r="P2256" i="4"/>
  <c r="P2257" i="4"/>
  <c r="P2258" i="4"/>
  <c r="K2229" i="4"/>
  <c r="L2229" i="4" s="1"/>
  <c r="K2230" i="4"/>
  <c r="L2230" i="4" s="1"/>
  <c r="K2231" i="4"/>
  <c r="K2232" i="4"/>
  <c r="K2233" i="4"/>
  <c r="L2233" i="4" s="1"/>
  <c r="K2234" i="4"/>
  <c r="L2234" i="4" s="1"/>
  <c r="K2235" i="4"/>
  <c r="K2236" i="4"/>
  <c r="K2237" i="4"/>
  <c r="L2237" i="4" s="1"/>
  <c r="K2238" i="4"/>
  <c r="L2238" i="4" s="1"/>
  <c r="K2239" i="4"/>
  <c r="K2240" i="4"/>
  <c r="K2241" i="4"/>
  <c r="L2241" i="4" s="1"/>
  <c r="K2242" i="4"/>
  <c r="L2242" i="4" s="1"/>
  <c r="K2243" i="4"/>
  <c r="K2244" i="4"/>
  <c r="K2245" i="4"/>
  <c r="L2245" i="4" s="1"/>
  <c r="K2246" i="4"/>
  <c r="L2246" i="4" s="1"/>
  <c r="K2247" i="4"/>
  <c r="K2248" i="4"/>
  <c r="K2249" i="4"/>
  <c r="L2249" i="4" s="1"/>
  <c r="K2250" i="4"/>
  <c r="L2250" i="4" s="1"/>
  <c r="K2251" i="4"/>
  <c r="K2252" i="4"/>
  <c r="K2253" i="4"/>
  <c r="L2253" i="4" s="1"/>
  <c r="K2254" i="4"/>
  <c r="L2254" i="4" s="1"/>
  <c r="K2255" i="4"/>
  <c r="K2256" i="4"/>
  <c r="K2257" i="4"/>
  <c r="L2257" i="4" s="1"/>
  <c r="K2258" i="4"/>
  <c r="L2258" i="4" s="1"/>
  <c r="B2229" i="4"/>
  <c r="C2229" i="4"/>
  <c r="B2230" i="4"/>
  <c r="C2230" i="4"/>
  <c r="B2231" i="4"/>
  <c r="C2231" i="4"/>
  <c r="B2232" i="4"/>
  <c r="C2232" i="4"/>
  <c r="B2233" i="4"/>
  <c r="C2233" i="4"/>
  <c r="B2234" i="4"/>
  <c r="C2234" i="4"/>
  <c r="B2235" i="4"/>
  <c r="C2235" i="4"/>
  <c r="B2236" i="4"/>
  <c r="C2236" i="4"/>
  <c r="B2237" i="4"/>
  <c r="C2237" i="4"/>
  <c r="B2238" i="4"/>
  <c r="C2238" i="4"/>
  <c r="B2239" i="4"/>
  <c r="C2239" i="4"/>
  <c r="B2240" i="4"/>
  <c r="C2240" i="4"/>
  <c r="B2241" i="4"/>
  <c r="C2241" i="4"/>
  <c r="B2242" i="4"/>
  <c r="C2242" i="4"/>
  <c r="B2243" i="4"/>
  <c r="C2243" i="4"/>
  <c r="B2244" i="4"/>
  <c r="C2244" i="4"/>
  <c r="B2245" i="4"/>
  <c r="C2245" i="4"/>
  <c r="B2246" i="4"/>
  <c r="C2246" i="4"/>
  <c r="B2247" i="4"/>
  <c r="C2247" i="4"/>
  <c r="B2248" i="4"/>
  <c r="C2248" i="4"/>
  <c r="B2249" i="4"/>
  <c r="C2249" i="4"/>
  <c r="B2250" i="4"/>
  <c r="C2250" i="4"/>
  <c r="B2251" i="4"/>
  <c r="C2251" i="4"/>
  <c r="B2252" i="4"/>
  <c r="C2252" i="4"/>
  <c r="B2253" i="4"/>
  <c r="C2253" i="4"/>
  <c r="B2254" i="4"/>
  <c r="C2254" i="4"/>
  <c r="B2255" i="4"/>
  <c r="C2255" i="4"/>
  <c r="B2256" i="4"/>
  <c r="C2256" i="4"/>
  <c r="B2257" i="4"/>
  <c r="C2257" i="4"/>
  <c r="B2258" i="4"/>
  <c r="C2258" i="4"/>
  <c r="K2044" i="4"/>
  <c r="M2044" i="4" s="1"/>
  <c r="K2045" i="4"/>
  <c r="K2046" i="4"/>
  <c r="K2047" i="4"/>
  <c r="K2048" i="4"/>
  <c r="M2048" i="4" s="1"/>
  <c r="K2049" i="4"/>
  <c r="K2050" i="4"/>
  <c r="K2051" i="4"/>
  <c r="K2052" i="4"/>
  <c r="M2052" i="4" s="1"/>
  <c r="K2053" i="4"/>
  <c r="K2054" i="4"/>
  <c r="K2055" i="4"/>
  <c r="K2056" i="4"/>
  <c r="M2056" i="4" s="1"/>
  <c r="K2057" i="4"/>
  <c r="K2058" i="4"/>
  <c r="K2059" i="4"/>
  <c r="K2060" i="4"/>
  <c r="M2060" i="4" s="1"/>
  <c r="K2061" i="4"/>
  <c r="K2062" i="4"/>
  <c r="K2063" i="4"/>
  <c r="K2064" i="4"/>
  <c r="M2064" i="4" s="1"/>
  <c r="K2065" i="4"/>
  <c r="K2066" i="4"/>
  <c r="K2067" i="4"/>
  <c r="K2068" i="4"/>
  <c r="M2068" i="4" s="1"/>
  <c r="K2069" i="4"/>
  <c r="K2070" i="4"/>
  <c r="K2071" i="4"/>
  <c r="K2072" i="4"/>
  <c r="M2072" i="4" s="1"/>
  <c r="K2073" i="4"/>
  <c r="K2074" i="4"/>
  <c r="K2075" i="4"/>
  <c r="K2076" i="4"/>
  <c r="M2076" i="4" s="1"/>
  <c r="K2077" i="4"/>
  <c r="K2078" i="4"/>
  <c r="K2079" i="4"/>
  <c r="K2080" i="4"/>
  <c r="M2080" i="4" s="1"/>
  <c r="K2081" i="4"/>
  <c r="K2082" i="4"/>
  <c r="K2083" i="4"/>
  <c r="K2084" i="4"/>
  <c r="M2084" i="4" s="1"/>
  <c r="K2085" i="4"/>
  <c r="K2086" i="4"/>
  <c r="K2087" i="4"/>
  <c r="K2088" i="4"/>
  <c r="M2088" i="4" s="1"/>
  <c r="K2089" i="4"/>
  <c r="K2090" i="4"/>
  <c r="K2091" i="4"/>
  <c r="K2092" i="4"/>
  <c r="M2092" i="4" s="1"/>
  <c r="K2093" i="4"/>
  <c r="K2094" i="4"/>
  <c r="K2095" i="4"/>
  <c r="K2096" i="4"/>
  <c r="M2096" i="4" s="1"/>
  <c r="K2097" i="4"/>
  <c r="K2098" i="4"/>
  <c r="K2099" i="4"/>
  <c r="L2099" i="4" s="1"/>
  <c r="K2100" i="4"/>
  <c r="M2100" i="4" s="1"/>
  <c r="K2101" i="4"/>
  <c r="K2102" i="4"/>
  <c r="K2103" i="4"/>
  <c r="M2103" i="4" s="1"/>
  <c r="K2104" i="4"/>
  <c r="M2104" i="4" s="1"/>
  <c r="K2105" i="4"/>
  <c r="K2106" i="4"/>
  <c r="K2107" i="4"/>
  <c r="K2108" i="4"/>
  <c r="M2108" i="4" s="1"/>
  <c r="K2109" i="4"/>
  <c r="K2110" i="4"/>
  <c r="K2111" i="4"/>
  <c r="K2112" i="4"/>
  <c r="M2112" i="4" s="1"/>
  <c r="K2113" i="4"/>
  <c r="K2114" i="4"/>
  <c r="K2115" i="4"/>
  <c r="K2116" i="4"/>
  <c r="M2116" i="4" s="1"/>
  <c r="K2117" i="4"/>
  <c r="K2118" i="4"/>
  <c r="K2119" i="4"/>
  <c r="K2120" i="4"/>
  <c r="L2120" i="4" s="1"/>
  <c r="K2121" i="4"/>
  <c r="K2122" i="4"/>
  <c r="K2123" i="4"/>
  <c r="K2124" i="4"/>
  <c r="L2124" i="4" s="1"/>
  <c r="K2125" i="4"/>
  <c r="K2126" i="4"/>
  <c r="K2127" i="4"/>
  <c r="K2128" i="4"/>
  <c r="L2128" i="4" s="1"/>
  <c r="K2129" i="4"/>
  <c r="K2130" i="4"/>
  <c r="K2131" i="4"/>
  <c r="M2131" i="4" s="1"/>
  <c r="K2132" i="4"/>
  <c r="L2132" i="4" s="1"/>
  <c r="K2133" i="4"/>
  <c r="K2134" i="4"/>
  <c r="K2135" i="4"/>
  <c r="K2136" i="4"/>
  <c r="L2136" i="4" s="1"/>
  <c r="K2137" i="4"/>
  <c r="K2138" i="4"/>
  <c r="L2138" i="4" s="1"/>
  <c r="K2139" i="4"/>
  <c r="K2140" i="4"/>
  <c r="M2140" i="4" s="1"/>
  <c r="K2141" i="4"/>
  <c r="L2141" i="4" s="1"/>
  <c r="K2142" i="4"/>
  <c r="K2143" i="4"/>
  <c r="K2144" i="4"/>
  <c r="K2145" i="4"/>
  <c r="L2145" i="4" s="1"/>
  <c r="K2146" i="4"/>
  <c r="K2147" i="4"/>
  <c r="K2148" i="4"/>
  <c r="K2149" i="4"/>
  <c r="L2149" i="4" s="1"/>
  <c r="K2150" i="4"/>
  <c r="K2151" i="4"/>
  <c r="K2152" i="4"/>
  <c r="M2152" i="4" s="1"/>
  <c r="K2153" i="4"/>
  <c r="L2153" i="4" s="1"/>
  <c r="K2154" i="4"/>
  <c r="K2155" i="4"/>
  <c r="K2156" i="4"/>
  <c r="L2156" i="4" s="1"/>
  <c r="K2157" i="4"/>
  <c r="K2158" i="4"/>
  <c r="K2159" i="4"/>
  <c r="K2160" i="4"/>
  <c r="L2160" i="4" s="1"/>
  <c r="K2161" i="4"/>
  <c r="K2162" i="4"/>
  <c r="K2163" i="4"/>
  <c r="K2164" i="4"/>
  <c r="L2164" i="4" s="1"/>
  <c r="K2165" i="4"/>
  <c r="K2166" i="4"/>
  <c r="K2167" i="4"/>
  <c r="M2167" i="4" s="1"/>
  <c r="K2168" i="4"/>
  <c r="K2169" i="4"/>
  <c r="L2169" i="4" s="1"/>
  <c r="K2170" i="4"/>
  <c r="M2170" i="4" s="1"/>
  <c r="K2171" i="4"/>
  <c r="K2172" i="4"/>
  <c r="L2172" i="4" s="1"/>
  <c r="K2173" i="4"/>
  <c r="K2174" i="4"/>
  <c r="L2174" i="4" s="1"/>
  <c r="K2175" i="4"/>
  <c r="K2176" i="4"/>
  <c r="L2176" i="4" s="1"/>
  <c r="K2177" i="4"/>
  <c r="K2178" i="4"/>
  <c r="L2178" i="4" s="1"/>
  <c r="K2179" i="4"/>
  <c r="K2180" i="4"/>
  <c r="L2180" i="4" s="1"/>
  <c r="K2181" i="4"/>
  <c r="K2182" i="4"/>
  <c r="L2182" i="4" s="1"/>
  <c r="K2183" i="4"/>
  <c r="K2184" i="4"/>
  <c r="L2184" i="4" s="1"/>
  <c r="K2185" i="4"/>
  <c r="K2186" i="4"/>
  <c r="K2187" i="4"/>
  <c r="K2188" i="4"/>
  <c r="L2188" i="4" s="1"/>
  <c r="K2189" i="4"/>
  <c r="K2190" i="4"/>
  <c r="L2190" i="4" s="1"/>
  <c r="K2191" i="4"/>
  <c r="K2192" i="4"/>
  <c r="L2192" i="4" s="1"/>
  <c r="K2193" i="4"/>
  <c r="K2194" i="4"/>
  <c r="K2195" i="4"/>
  <c r="K2196" i="4"/>
  <c r="L2196" i="4" s="1"/>
  <c r="K2197" i="4"/>
  <c r="K2198" i="4"/>
  <c r="K2199" i="4"/>
  <c r="K2200" i="4"/>
  <c r="L2200" i="4" s="1"/>
  <c r="K2201" i="4"/>
  <c r="K2202" i="4"/>
  <c r="K2203" i="4"/>
  <c r="K2204" i="4"/>
  <c r="L2204" i="4" s="1"/>
  <c r="K2205" i="4"/>
  <c r="K2206" i="4"/>
  <c r="L2206" i="4" s="1"/>
  <c r="K2207" i="4"/>
  <c r="K2208" i="4"/>
  <c r="L2208" i="4" s="1"/>
  <c r="K2209" i="4"/>
  <c r="K2210" i="4"/>
  <c r="L2210" i="4" s="1"/>
  <c r="K2211" i="4"/>
  <c r="K2212" i="4"/>
  <c r="L2212" i="4" s="1"/>
  <c r="K2213" i="4"/>
  <c r="K2214" i="4"/>
  <c r="K2215" i="4"/>
  <c r="K2216" i="4"/>
  <c r="L2216" i="4" s="1"/>
  <c r="K2217" i="4"/>
  <c r="K2218" i="4"/>
  <c r="K2219" i="4"/>
  <c r="K2220" i="4"/>
  <c r="K2221" i="4"/>
  <c r="L2221" i="4" s="1"/>
  <c r="K2222" i="4"/>
  <c r="K2223" i="4"/>
  <c r="K2224" i="4"/>
  <c r="K2225" i="4"/>
  <c r="L2225" i="4" s="1"/>
  <c r="K2226" i="4"/>
  <c r="K2227" i="4"/>
  <c r="K2228" i="4"/>
  <c r="P2215" i="4"/>
  <c r="P2216" i="4"/>
  <c r="P2217" i="4"/>
  <c r="P2218" i="4"/>
  <c r="P2219" i="4"/>
  <c r="P2220" i="4"/>
  <c r="P2221" i="4"/>
  <c r="P2222" i="4"/>
  <c r="P2223" i="4"/>
  <c r="P2224" i="4"/>
  <c r="P2225" i="4"/>
  <c r="P2226" i="4"/>
  <c r="P2227" i="4"/>
  <c r="P2228" i="4"/>
  <c r="B2215" i="4"/>
  <c r="C2215" i="4"/>
  <c r="B2216" i="4"/>
  <c r="C2216" i="4"/>
  <c r="B2217" i="4"/>
  <c r="C2217" i="4"/>
  <c r="B2218" i="4"/>
  <c r="C2218" i="4"/>
  <c r="B2219" i="4"/>
  <c r="C2219" i="4"/>
  <c r="B2220" i="4"/>
  <c r="C2220" i="4"/>
  <c r="B2221" i="4"/>
  <c r="C2221" i="4"/>
  <c r="B2222" i="4"/>
  <c r="C2222" i="4"/>
  <c r="B2223" i="4"/>
  <c r="C2223" i="4"/>
  <c r="B2224" i="4"/>
  <c r="C2224" i="4"/>
  <c r="B2225" i="4"/>
  <c r="C2225" i="4"/>
  <c r="B2226" i="4"/>
  <c r="C2226" i="4"/>
  <c r="B2227" i="4"/>
  <c r="C2227" i="4"/>
  <c r="B2228" i="4"/>
  <c r="C2228" i="4"/>
  <c r="P2204" i="4"/>
  <c r="P2183" i="4"/>
  <c r="P2178" i="4"/>
  <c r="B2171" i="4"/>
  <c r="C2171" i="4"/>
  <c r="B2172" i="4"/>
  <c r="C2172" i="4"/>
  <c r="B2173" i="4"/>
  <c r="C2173" i="4"/>
  <c r="B2174" i="4"/>
  <c r="C2174" i="4"/>
  <c r="B2175" i="4"/>
  <c r="C2175" i="4"/>
  <c r="B2176" i="4"/>
  <c r="C2176" i="4"/>
  <c r="B2177" i="4"/>
  <c r="C2177" i="4"/>
  <c r="B2178" i="4"/>
  <c r="C2178" i="4"/>
  <c r="B2179" i="4"/>
  <c r="C2179" i="4"/>
  <c r="B2180" i="4"/>
  <c r="C2180" i="4"/>
  <c r="B2181" i="4"/>
  <c r="C2181" i="4"/>
  <c r="B2182" i="4"/>
  <c r="C2182" i="4"/>
  <c r="B2183" i="4"/>
  <c r="C2183" i="4"/>
  <c r="B2184" i="4"/>
  <c r="C2184" i="4"/>
  <c r="B2185" i="4"/>
  <c r="C2185" i="4"/>
  <c r="B2186" i="4"/>
  <c r="C2186" i="4"/>
  <c r="B2187" i="4"/>
  <c r="C2187" i="4"/>
  <c r="B2188" i="4"/>
  <c r="C2188" i="4"/>
  <c r="B2189" i="4"/>
  <c r="C2189" i="4"/>
  <c r="B2190" i="4"/>
  <c r="C2190" i="4"/>
  <c r="B2191" i="4"/>
  <c r="C2191" i="4"/>
  <c r="B2192" i="4"/>
  <c r="C2192" i="4"/>
  <c r="B2193" i="4"/>
  <c r="C2193" i="4"/>
  <c r="B2194" i="4"/>
  <c r="C2194" i="4"/>
  <c r="B2195" i="4"/>
  <c r="C2195" i="4"/>
  <c r="B2196" i="4"/>
  <c r="C2196" i="4"/>
  <c r="B2197" i="4"/>
  <c r="C2197" i="4"/>
  <c r="B2198" i="4"/>
  <c r="C2198" i="4"/>
  <c r="B2199" i="4"/>
  <c r="C2199" i="4"/>
  <c r="B2200" i="4"/>
  <c r="C2200" i="4"/>
  <c r="B2201" i="4"/>
  <c r="C2201" i="4"/>
  <c r="B2202" i="4"/>
  <c r="C2202" i="4"/>
  <c r="B2203" i="4"/>
  <c r="C2203" i="4"/>
  <c r="B2204" i="4"/>
  <c r="C2204" i="4"/>
  <c r="B2205" i="4"/>
  <c r="C2205" i="4"/>
  <c r="B2206" i="4"/>
  <c r="C2206" i="4"/>
  <c r="B2207" i="4"/>
  <c r="C2207" i="4"/>
  <c r="B2208" i="4"/>
  <c r="C2208" i="4"/>
  <c r="B2209" i="4"/>
  <c r="C2209" i="4"/>
  <c r="B2210" i="4"/>
  <c r="C2210" i="4"/>
  <c r="B2211" i="4"/>
  <c r="C2211" i="4"/>
  <c r="B2212" i="4"/>
  <c r="C2212" i="4"/>
  <c r="B2213" i="4"/>
  <c r="C2213" i="4"/>
  <c r="B2214" i="4"/>
  <c r="C2214" i="4"/>
  <c r="B2170" i="4"/>
  <c r="C2170" i="4"/>
  <c r="P2170" i="4"/>
  <c r="P2171" i="4"/>
  <c r="P2172" i="4"/>
  <c r="P2173" i="4"/>
  <c r="P2174" i="4"/>
  <c r="P2175" i="4"/>
  <c r="P2176" i="4"/>
  <c r="P2177" i="4"/>
  <c r="P2179" i="4"/>
  <c r="P2180" i="4"/>
  <c r="P2181" i="4"/>
  <c r="P2182" i="4"/>
  <c r="P2184" i="4"/>
  <c r="P2185" i="4"/>
  <c r="P2186" i="4"/>
  <c r="P2187" i="4"/>
  <c r="P2188" i="4"/>
  <c r="P2189" i="4"/>
  <c r="P2190" i="4"/>
  <c r="P2191" i="4"/>
  <c r="P2192" i="4"/>
  <c r="P2193" i="4"/>
  <c r="P2194" i="4"/>
  <c r="P2195" i="4"/>
  <c r="P2196" i="4"/>
  <c r="P2197" i="4"/>
  <c r="P2198" i="4"/>
  <c r="P2199" i="4"/>
  <c r="P2200" i="4"/>
  <c r="P2201" i="4"/>
  <c r="P2202" i="4"/>
  <c r="P2203" i="4"/>
  <c r="P2205" i="4"/>
  <c r="P2206" i="4"/>
  <c r="P2207" i="4"/>
  <c r="P2208" i="4"/>
  <c r="P2209" i="4"/>
  <c r="P2210" i="4"/>
  <c r="P2211" i="4"/>
  <c r="P2212" i="4"/>
  <c r="P2213" i="4"/>
  <c r="P2214" i="4"/>
  <c r="O1433" i="4"/>
  <c r="O1571" i="4"/>
  <c r="O1527" i="4"/>
  <c r="O2014" i="4"/>
  <c r="O2013" i="4"/>
  <c r="O2012" i="4"/>
  <c r="O2011" i="4"/>
  <c r="O2010" i="4"/>
  <c r="O2009" i="4"/>
  <c r="O2126" i="4"/>
  <c r="P2126" i="4" s="1"/>
  <c r="O2057" i="4"/>
  <c r="P2057" i="4" s="1"/>
  <c r="O2056" i="4"/>
  <c r="P2056" i="4" s="1"/>
  <c r="O2055" i="4"/>
  <c r="P2055" i="4" s="1"/>
  <c r="O2054" i="4"/>
  <c r="P2054" i="4" s="1"/>
  <c r="O2053" i="4"/>
  <c r="P2053" i="4" s="1"/>
  <c r="O2052" i="4"/>
  <c r="P2052" i="4" s="1"/>
  <c r="O2051" i="4"/>
  <c r="P2051" i="4" s="1"/>
  <c r="O2050" i="4"/>
  <c r="P2050" i="4" s="1"/>
  <c r="O2026" i="4"/>
  <c r="O2025" i="4"/>
  <c r="O2024" i="4"/>
  <c r="O2023" i="4"/>
  <c r="O2090" i="4"/>
  <c r="P2090" i="4" s="1"/>
  <c r="O2093" i="4"/>
  <c r="P2093" i="4" s="1"/>
  <c r="O2092" i="4"/>
  <c r="P2092" i="4" s="1"/>
  <c r="O2091" i="4"/>
  <c r="P2091" i="4" s="1"/>
  <c r="O1924" i="4"/>
  <c r="O1923" i="4"/>
  <c r="O1747" i="4"/>
  <c r="O1746" i="4"/>
  <c r="O1745" i="4"/>
  <c r="O1744" i="4"/>
  <c r="O1743" i="4"/>
  <c r="O2146" i="4"/>
  <c r="P2146" i="4" s="1"/>
  <c r="O2145" i="4"/>
  <c r="P2145" i="4" s="1"/>
  <c r="O2144" i="4"/>
  <c r="P2144" i="4" s="1"/>
  <c r="O2143" i="4"/>
  <c r="P2143" i="4" s="1"/>
  <c r="O2142" i="4"/>
  <c r="P2142" i="4" s="1"/>
  <c r="O2141" i="4"/>
  <c r="P2141" i="4" s="1"/>
  <c r="O2140" i="4"/>
  <c r="P2140" i="4" s="1"/>
  <c r="O2108" i="4"/>
  <c r="P2108" i="4" s="1"/>
  <c r="O2107" i="4"/>
  <c r="P2107" i="4" s="1"/>
  <c r="O2106" i="4"/>
  <c r="P2106" i="4" s="1"/>
  <c r="O2105" i="4"/>
  <c r="P2105" i="4" s="1"/>
  <c r="O2104" i="4"/>
  <c r="P2104" i="4" s="1"/>
  <c r="O2103" i="4"/>
  <c r="P2103" i="4" s="1"/>
  <c r="O2109" i="4"/>
  <c r="P2109" i="4" s="1"/>
  <c r="O2074" i="4"/>
  <c r="P2074" i="4" s="1"/>
  <c r="O2073" i="4"/>
  <c r="P2073" i="4" s="1"/>
  <c r="O2072" i="4"/>
  <c r="P2072" i="4" s="1"/>
  <c r="O2071" i="4"/>
  <c r="P2071" i="4" s="1"/>
  <c r="O2070" i="4"/>
  <c r="P2070" i="4" s="1"/>
  <c r="O2069" i="4"/>
  <c r="P2069" i="4" s="1"/>
  <c r="O2068" i="4"/>
  <c r="P2068" i="4" s="1"/>
  <c r="O1625" i="4"/>
  <c r="O1627" i="4"/>
  <c r="O1626" i="4"/>
  <c r="O1624" i="4"/>
  <c r="O1623" i="4"/>
  <c r="O2067" i="4"/>
  <c r="P2067" i="4" s="1"/>
  <c r="O2049" i="4"/>
  <c r="P2049" i="4" s="1"/>
  <c r="O2048" i="4"/>
  <c r="P2048" i="4" s="1"/>
  <c r="O2037" i="4"/>
  <c r="O2036" i="4"/>
  <c r="O2035" i="4"/>
  <c r="O2034" i="4"/>
  <c r="O2033" i="4"/>
  <c r="O2032" i="4"/>
  <c r="O2031" i="4"/>
  <c r="O2030" i="4"/>
  <c r="O2029" i="4"/>
  <c r="O2022" i="4"/>
  <c r="O2021" i="4"/>
  <c r="O2020" i="4"/>
  <c r="O1998" i="4"/>
  <c r="O1997" i="4"/>
  <c r="O1996" i="4"/>
  <c r="O1995" i="4"/>
  <c r="O1994" i="4"/>
  <c r="P2094" i="4"/>
  <c r="O1323" i="4"/>
  <c r="O1322" i="4"/>
  <c r="O1321" i="4"/>
  <c r="O1320" i="4"/>
  <c r="O1315" i="4"/>
  <c r="O1314" i="4"/>
  <c r="O1313" i="4"/>
  <c r="O1312" i="4"/>
  <c r="O1311" i="4"/>
  <c r="O1310" i="4"/>
  <c r="O1295" i="4"/>
  <c r="O1285" i="4"/>
  <c r="O1284" i="4"/>
  <c r="O1283" i="4"/>
  <c r="O1282" i="4"/>
  <c r="O1281" i="4"/>
  <c r="P1281" i="4" s="1"/>
  <c r="O1275" i="4"/>
  <c r="O1274" i="4"/>
  <c r="O1273" i="4"/>
  <c r="O1272" i="4"/>
  <c r="P2168" i="4"/>
  <c r="P2169" i="4"/>
  <c r="B2168" i="4"/>
  <c r="C2168" i="4"/>
  <c r="B2169" i="4"/>
  <c r="C2169" i="4"/>
  <c r="P2155" i="4"/>
  <c r="P2156" i="4"/>
  <c r="P2157" i="4"/>
  <c r="P2158" i="4"/>
  <c r="P2159" i="4"/>
  <c r="P2160" i="4"/>
  <c r="P2161" i="4"/>
  <c r="P2162" i="4"/>
  <c r="P2163" i="4"/>
  <c r="P2164" i="4"/>
  <c r="P2165" i="4"/>
  <c r="P2166" i="4"/>
  <c r="P2167" i="4"/>
  <c r="B2155" i="4"/>
  <c r="C2155" i="4"/>
  <c r="B2156" i="4"/>
  <c r="C2156" i="4"/>
  <c r="B2157" i="4"/>
  <c r="C2157" i="4"/>
  <c r="B2158" i="4"/>
  <c r="C2158" i="4"/>
  <c r="B2159" i="4"/>
  <c r="C2159" i="4"/>
  <c r="B2160" i="4"/>
  <c r="C2160" i="4"/>
  <c r="B2161" i="4"/>
  <c r="C2161" i="4"/>
  <c r="B2162" i="4"/>
  <c r="C2162" i="4"/>
  <c r="B2163" i="4"/>
  <c r="C2163" i="4"/>
  <c r="B2164" i="4"/>
  <c r="C2164" i="4"/>
  <c r="B2165" i="4"/>
  <c r="C2165" i="4"/>
  <c r="B2166" i="4"/>
  <c r="C2166" i="4"/>
  <c r="B2167" i="4"/>
  <c r="C2167" i="4"/>
  <c r="B2140" i="4"/>
  <c r="C2140" i="4"/>
  <c r="B2141" i="4"/>
  <c r="C2141" i="4"/>
  <c r="B2142" i="4"/>
  <c r="C2142" i="4"/>
  <c r="B2143" i="4"/>
  <c r="C2143" i="4"/>
  <c r="B2144" i="4"/>
  <c r="C2144" i="4"/>
  <c r="B2145" i="4"/>
  <c r="C2145" i="4"/>
  <c r="B2146" i="4"/>
  <c r="C2146" i="4"/>
  <c r="B2147" i="4"/>
  <c r="C2147" i="4"/>
  <c r="B2148" i="4"/>
  <c r="C2148" i="4"/>
  <c r="B2149" i="4"/>
  <c r="C2149" i="4"/>
  <c r="B2150" i="4"/>
  <c r="C2150" i="4"/>
  <c r="B2151" i="4"/>
  <c r="C2151" i="4"/>
  <c r="B2152" i="4"/>
  <c r="C2152" i="4"/>
  <c r="B2153" i="4"/>
  <c r="C2153" i="4"/>
  <c r="B2154" i="4"/>
  <c r="C2154" i="4"/>
  <c r="P2147" i="4"/>
  <c r="P2148" i="4"/>
  <c r="P2149" i="4"/>
  <c r="P2150" i="4"/>
  <c r="P2151" i="4"/>
  <c r="P2152" i="4"/>
  <c r="P2153" i="4"/>
  <c r="P2154" i="4"/>
  <c r="P2119" i="4"/>
  <c r="P2120" i="4"/>
  <c r="P2121" i="4"/>
  <c r="P2122" i="4"/>
  <c r="P2123" i="4"/>
  <c r="P2124" i="4"/>
  <c r="P2125" i="4"/>
  <c r="P2127" i="4"/>
  <c r="P2128" i="4"/>
  <c r="P2129" i="4"/>
  <c r="P2130" i="4"/>
  <c r="P2131" i="4"/>
  <c r="P2132" i="4"/>
  <c r="P2133" i="4"/>
  <c r="P2134" i="4"/>
  <c r="P2135" i="4"/>
  <c r="P2136" i="4"/>
  <c r="P2137" i="4"/>
  <c r="P2138" i="4"/>
  <c r="P2139" i="4"/>
  <c r="B2119" i="4"/>
  <c r="C2119" i="4"/>
  <c r="B2120" i="4"/>
  <c r="C2120" i="4"/>
  <c r="B2121" i="4"/>
  <c r="C2121" i="4"/>
  <c r="B2122" i="4"/>
  <c r="C2122" i="4"/>
  <c r="B2123" i="4"/>
  <c r="C2123" i="4"/>
  <c r="B2124" i="4"/>
  <c r="C2124" i="4"/>
  <c r="B2125" i="4"/>
  <c r="C2125" i="4"/>
  <c r="B2126" i="4"/>
  <c r="C2126" i="4"/>
  <c r="B2127" i="4"/>
  <c r="C2127" i="4"/>
  <c r="B2128" i="4"/>
  <c r="C2128" i="4"/>
  <c r="B2129" i="4"/>
  <c r="C2129" i="4"/>
  <c r="B2130" i="4"/>
  <c r="C2130" i="4"/>
  <c r="B2131" i="4"/>
  <c r="C2131" i="4"/>
  <c r="B2132" i="4"/>
  <c r="C2132" i="4"/>
  <c r="B2133" i="4"/>
  <c r="C2133" i="4"/>
  <c r="B2134" i="4"/>
  <c r="C2134" i="4"/>
  <c r="B2135" i="4"/>
  <c r="C2135" i="4"/>
  <c r="B2136" i="4"/>
  <c r="C2136" i="4"/>
  <c r="B2137" i="4"/>
  <c r="C2137" i="4"/>
  <c r="B2138" i="4"/>
  <c r="C2138" i="4"/>
  <c r="B2139" i="4"/>
  <c r="C2139" i="4"/>
  <c r="P2078" i="4"/>
  <c r="P2044" i="4"/>
  <c r="P2045" i="4"/>
  <c r="P2046" i="4"/>
  <c r="P2047" i="4"/>
  <c r="P2058" i="4"/>
  <c r="P2059" i="4"/>
  <c r="P2060" i="4"/>
  <c r="P2061" i="4"/>
  <c r="P2062" i="4"/>
  <c r="P2063" i="4"/>
  <c r="P2064" i="4"/>
  <c r="P2065" i="4"/>
  <c r="P2066" i="4"/>
  <c r="P2075" i="4"/>
  <c r="P2076" i="4"/>
  <c r="P2077" i="4"/>
  <c r="P2079" i="4"/>
  <c r="P2080" i="4"/>
  <c r="P2081" i="4"/>
  <c r="P2082" i="4"/>
  <c r="P2083" i="4"/>
  <c r="P2084" i="4"/>
  <c r="P2085" i="4"/>
  <c r="P2086" i="4"/>
  <c r="P2087" i="4"/>
  <c r="P2088" i="4"/>
  <c r="P2089" i="4"/>
  <c r="P2095" i="4"/>
  <c r="P2096" i="4"/>
  <c r="P2097" i="4"/>
  <c r="P2098" i="4"/>
  <c r="P2099" i="4"/>
  <c r="P2100" i="4"/>
  <c r="P2101" i="4"/>
  <c r="P2102" i="4"/>
  <c r="P2110" i="4"/>
  <c r="P2111" i="4"/>
  <c r="P2112" i="4"/>
  <c r="P2113" i="4"/>
  <c r="P2114" i="4"/>
  <c r="P2115" i="4"/>
  <c r="P2116" i="4"/>
  <c r="P2117" i="4"/>
  <c r="P2118" i="4"/>
  <c r="B2044" i="4"/>
  <c r="C2044" i="4"/>
  <c r="B2045" i="4"/>
  <c r="C2045" i="4"/>
  <c r="B2046" i="4"/>
  <c r="C2046" i="4"/>
  <c r="B2047" i="4"/>
  <c r="C2047" i="4"/>
  <c r="B2048" i="4"/>
  <c r="C2048" i="4"/>
  <c r="B2049" i="4"/>
  <c r="C2049" i="4"/>
  <c r="B2050" i="4"/>
  <c r="C2050" i="4"/>
  <c r="B2051" i="4"/>
  <c r="C2051" i="4"/>
  <c r="B2052" i="4"/>
  <c r="C2052" i="4"/>
  <c r="B2053" i="4"/>
  <c r="C2053" i="4"/>
  <c r="B2054" i="4"/>
  <c r="C2054" i="4"/>
  <c r="B2055" i="4"/>
  <c r="C2055" i="4"/>
  <c r="B2056" i="4"/>
  <c r="C2056" i="4"/>
  <c r="B2057" i="4"/>
  <c r="C2057" i="4"/>
  <c r="B2058" i="4"/>
  <c r="C2058" i="4"/>
  <c r="B2059" i="4"/>
  <c r="C2059" i="4"/>
  <c r="B2060" i="4"/>
  <c r="C2060" i="4"/>
  <c r="B2061" i="4"/>
  <c r="C2061" i="4"/>
  <c r="B2062" i="4"/>
  <c r="C2062" i="4"/>
  <c r="B2063" i="4"/>
  <c r="C2063" i="4"/>
  <c r="B2064" i="4"/>
  <c r="C2064" i="4"/>
  <c r="B2065" i="4"/>
  <c r="C2065" i="4"/>
  <c r="B2066" i="4"/>
  <c r="C2066" i="4"/>
  <c r="B2067" i="4"/>
  <c r="C2067" i="4"/>
  <c r="B2068" i="4"/>
  <c r="C2068" i="4"/>
  <c r="B2069" i="4"/>
  <c r="C2069" i="4"/>
  <c r="B2070" i="4"/>
  <c r="C2070" i="4"/>
  <c r="B2071" i="4"/>
  <c r="C2071" i="4"/>
  <c r="B2072" i="4"/>
  <c r="C2072" i="4"/>
  <c r="B2073" i="4"/>
  <c r="C2073" i="4"/>
  <c r="B2074" i="4"/>
  <c r="C2074" i="4"/>
  <c r="B2075" i="4"/>
  <c r="C2075" i="4"/>
  <c r="B2076" i="4"/>
  <c r="C2076" i="4"/>
  <c r="B2077" i="4"/>
  <c r="C2077" i="4"/>
  <c r="B2078" i="4"/>
  <c r="C2078" i="4"/>
  <c r="B2079" i="4"/>
  <c r="C2079" i="4"/>
  <c r="B2080" i="4"/>
  <c r="C2080" i="4"/>
  <c r="B2081" i="4"/>
  <c r="C2081" i="4"/>
  <c r="B2082" i="4"/>
  <c r="C2082" i="4"/>
  <c r="B2083" i="4"/>
  <c r="C2083" i="4"/>
  <c r="B2084" i="4"/>
  <c r="C2084" i="4"/>
  <c r="B2085" i="4"/>
  <c r="C2085" i="4"/>
  <c r="B2086" i="4"/>
  <c r="C2086" i="4"/>
  <c r="B2087" i="4"/>
  <c r="C2087" i="4"/>
  <c r="B2088" i="4"/>
  <c r="C2088" i="4"/>
  <c r="B2089" i="4"/>
  <c r="C2089" i="4"/>
  <c r="B2090" i="4"/>
  <c r="C2090" i="4"/>
  <c r="B2091" i="4"/>
  <c r="C2091" i="4"/>
  <c r="B2092" i="4"/>
  <c r="C2092" i="4"/>
  <c r="B2093" i="4"/>
  <c r="C2093" i="4"/>
  <c r="B2094" i="4"/>
  <c r="C2094" i="4"/>
  <c r="B2095" i="4"/>
  <c r="C2095" i="4"/>
  <c r="B2096" i="4"/>
  <c r="C2096" i="4"/>
  <c r="B2097" i="4"/>
  <c r="C2097" i="4"/>
  <c r="B2098" i="4"/>
  <c r="C2098" i="4"/>
  <c r="B2099" i="4"/>
  <c r="C2099" i="4"/>
  <c r="B2100" i="4"/>
  <c r="C2100" i="4"/>
  <c r="B2101" i="4"/>
  <c r="C2101" i="4"/>
  <c r="B2102" i="4"/>
  <c r="C2102" i="4"/>
  <c r="B2103" i="4"/>
  <c r="C2103" i="4"/>
  <c r="B2104" i="4"/>
  <c r="C2104" i="4"/>
  <c r="B2105" i="4"/>
  <c r="C2105" i="4"/>
  <c r="B2106" i="4"/>
  <c r="C2106" i="4"/>
  <c r="B2107" i="4"/>
  <c r="C2107" i="4"/>
  <c r="B2108" i="4"/>
  <c r="C2108" i="4"/>
  <c r="B2109" i="4"/>
  <c r="C2109" i="4"/>
  <c r="B2110" i="4"/>
  <c r="C2110" i="4"/>
  <c r="B2111" i="4"/>
  <c r="C2111" i="4"/>
  <c r="B2112" i="4"/>
  <c r="C2112" i="4"/>
  <c r="B2113" i="4"/>
  <c r="C2113" i="4"/>
  <c r="B2114" i="4"/>
  <c r="C2114" i="4"/>
  <c r="B2115" i="4"/>
  <c r="C2115" i="4"/>
  <c r="B2116" i="4"/>
  <c r="C2116" i="4"/>
  <c r="B2117" i="4"/>
  <c r="C2117" i="4"/>
  <c r="B2118" i="4"/>
  <c r="C2118" i="4"/>
  <c r="O1990" i="4"/>
  <c r="O1974" i="4"/>
  <c r="O1936" i="4"/>
  <c r="O1759" i="4"/>
  <c r="O1602" i="4"/>
  <c r="O1601" i="4"/>
  <c r="O1600" i="4"/>
  <c r="O1564" i="4"/>
  <c r="M2265" i="4" l="1"/>
  <c r="L2265" i="4"/>
  <c r="L2261" i="4"/>
  <c r="L2267" i="4"/>
  <c r="M2267" i="4"/>
  <c r="M2264" i="4"/>
  <c r="L2264" i="4"/>
  <c r="L2268" i="4"/>
  <c r="M2268" i="4"/>
  <c r="L2263" i="4"/>
  <c r="M2263" i="4"/>
  <c r="M2266" i="4"/>
  <c r="M2262" i="4"/>
  <c r="M2259" i="4"/>
  <c r="L2259" i="4"/>
  <c r="M2260" i="4"/>
  <c r="L2256" i="4"/>
  <c r="M2256" i="4"/>
  <c r="L2252" i="4"/>
  <c r="M2252" i="4"/>
  <c r="L2248" i="4"/>
  <c r="M2248" i="4"/>
  <c r="L2244" i="4"/>
  <c r="M2244" i="4"/>
  <c r="L2240" i="4"/>
  <c r="M2240" i="4"/>
  <c r="M2255" i="4"/>
  <c r="L2255" i="4"/>
  <c r="M2251" i="4"/>
  <c r="L2251" i="4"/>
  <c r="M2247" i="4"/>
  <c r="L2247" i="4"/>
  <c r="M2243" i="4"/>
  <c r="L2243" i="4"/>
  <c r="M2239" i="4"/>
  <c r="L2239" i="4"/>
  <c r="L2236" i="4"/>
  <c r="M2236" i="4"/>
  <c r="L2235" i="4"/>
  <c r="M2235" i="4"/>
  <c r="M2231" i="4"/>
  <c r="L2231" i="4"/>
  <c r="L2232" i="4"/>
  <c r="M2232" i="4"/>
  <c r="M2257" i="4"/>
  <c r="M2253" i="4"/>
  <c r="M2249" i="4"/>
  <c r="M2245" i="4"/>
  <c r="M2241" i="4"/>
  <c r="M2237" i="4"/>
  <c r="M2233" i="4"/>
  <c r="M2229" i="4"/>
  <c r="M2258" i="4"/>
  <c r="M2254" i="4"/>
  <c r="M2250" i="4"/>
  <c r="M2246" i="4"/>
  <c r="M2242" i="4"/>
  <c r="M2238" i="4"/>
  <c r="M2234" i="4"/>
  <c r="M2230" i="4"/>
  <c r="L2226" i="4"/>
  <c r="M2226" i="4"/>
  <c r="L2222" i="4"/>
  <c r="M2222" i="4"/>
  <c r="M2228" i="4"/>
  <c r="L2228" i="4"/>
  <c r="M2224" i="4"/>
  <c r="L2224" i="4"/>
  <c r="M2227" i="4"/>
  <c r="L2227" i="4"/>
  <c r="M2220" i="4"/>
  <c r="L2220" i="4"/>
  <c r="L2223" i="4"/>
  <c r="M2223" i="4"/>
  <c r="M2225" i="4"/>
  <c r="M2221" i="4"/>
  <c r="M2218" i="4"/>
  <c r="L2218" i="4"/>
  <c r="M2219" i="4"/>
  <c r="L2219" i="4"/>
  <c r="L2217" i="4"/>
  <c r="M2217" i="4"/>
  <c r="M2215" i="4"/>
  <c r="L2215" i="4"/>
  <c r="M2216" i="4"/>
  <c r="M2210" i="4"/>
  <c r="L2214" i="4"/>
  <c r="M2214" i="4"/>
  <c r="L2202" i="4"/>
  <c r="M2202" i="4"/>
  <c r="M2206" i="4"/>
  <c r="L2198" i="4"/>
  <c r="M2198" i="4"/>
  <c r="L2194" i="4"/>
  <c r="M2194" i="4"/>
  <c r="M2190" i="4"/>
  <c r="L2186" i="4"/>
  <c r="M2186" i="4"/>
  <c r="M2182" i="4"/>
  <c r="M2178" i="4"/>
  <c r="M2174" i="4"/>
  <c r="L2201" i="4"/>
  <c r="M2201" i="4"/>
  <c r="M2179" i="4"/>
  <c r="L2179" i="4"/>
  <c r="M2211" i="4"/>
  <c r="L2211" i="4"/>
  <c r="L2205" i="4"/>
  <c r="M2205" i="4"/>
  <c r="M2199" i="4"/>
  <c r="L2199" i="4"/>
  <c r="L2189" i="4"/>
  <c r="M2189" i="4"/>
  <c r="M2183" i="4"/>
  <c r="L2183" i="4"/>
  <c r="L2173" i="4"/>
  <c r="M2173" i="4"/>
  <c r="L2213" i="4"/>
  <c r="M2213" i="4"/>
  <c r="M2207" i="4"/>
  <c r="L2207" i="4"/>
  <c r="L2197" i="4"/>
  <c r="M2197" i="4"/>
  <c r="M2191" i="4"/>
  <c r="L2191" i="4"/>
  <c r="L2181" i="4"/>
  <c r="M2181" i="4"/>
  <c r="M2175" i="4"/>
  <c r="L2175" i="4"/>
  <c r="M2195" i="4"/>
  <c r="L2195" i="4"/>
  <c r="L2185" i="4"/>
  <c r="M2185" i="4"/>
  <c r="L2209" i="4"/>
  <c r="M2209" i="4"/>
  <c r="M2203" i="4"/>
  <c r="L2203" i="4"/>
  <c r="L2193" i="4"/>
  <c r="M2193" i="4"/>
  <c r="M2187" i="4"/>
  <c r="L2187" i="4"/>
  <c r="L2177" i="4"/>
  <c r="M2177" i="4"/>
  <c r="M2171" i="4"/>
  <c r="L2171" i="4"/>
  <c r="L2170" i="4"/>
  <c r="M2212" i="4"/>
  <c r="M2208" i="4"/>
  <c r="M2204" i="4"/>
  <c r="M2200" i="4"/>
  <c r="M2196" i="4"/>
  <c r="M2192" i="4"/>
  <c r="M2188" i="4"/>
  <c r="M2184" i="4"/>
  <c r="M2180" i="4"/>
  <c r="M2176" i="4"/>
  <c r="M2172" i="4"/>
  <c r="M2168" i="4"/>
  <c r="L2168" i="4"/>
  <c r="M2169" i="4"/>
  <c r="L2167" i="4"/>
  <c r="M2163" i="4"/>
  <c r="L2163" i="4"/>
  <c r="M2159" i="4"/>
  <c r="L2159" i="4"/>
  <c r="M2155" i="4"/>
  <c r="L2155" i="4"/>
  <c r="M2165" i="4"/>
  <c r="L2165" i="4"/>
  <c r="L2162" i="4"/>
  <c r="M2162" i="4"/>
  <c r="L2161" i="4"/>
  <c r="M2161" i="4"/>
  <c r="M2158" i="4"/>
  <c r="L2158" i="4"/>
  <c r="L2166" i="4"/>
  <c r="M2166" i="4"/>
  <c r="L2157" i="4"/>
  <c r="M2157" i="4"/>
  <c r="M2164" i="4"/>
  <c r="M2160" i="4"/>
  <c r="M2156" i="4"/>
  <c r="L2152" i="4"/>
  <c r="M2148" i="4"/>
  <c r="L2148" i="4"/>
  <c r="M2144" i="4"/>
  <c r="L2144" i="4"/>
  <c r="L2140" i="4"/>
  <c r="L2146" i="4"/>
  <c r="M2146" i="4"/>
  <c r="M2147" i="4"/>
  <c r="L2147" i="4"/>
  <c r="L2150" i="4"/>
  <c r="M2150" i="4"/>
  <c r="L2143" i="4"/>
  <c r="M2143" i="4"/>
  <c r="L2154" i="4"/>
  <c r="M2154" i="4"/>
  <c r="M2151" i="4"/>
  <c r="L2151" i="4"/>
  <c r="L2142" i="4"/>
  <c r="M2142" i="4"/>
  <c r="M2153" i="4"/>
  <c r="M2149" i="4"/>
  <c r="M2145" i="4"/>
  <c r="M2141" i="4"/>
  <c r="M2139" i="4"/>
  <c r="L2139" i="4"/>
  <c r="M2135" i="4"/>
  <c r="L2135" i="4"/>
  <c r="M2138" i="4"/>
  <c r="L2131" i="4"/>
  <c r="M2127" i="4"/>
  <c r="L2127" i="4"/>
  <c r="M2123" i="4"/>
  <c r="L2123" i="4"/>
  <c r="M2119" i="4"/>
  <c r="L2119" i="4"/>
  <c r="M2134" i="4"/>
  <c r="L2134" i="4"/>
  <c r="M2129" i="4"/>
  <c r="L2129" i="4"/>
  <c r="M2133" i="4"/>
  <c r="L2133" i="4"/>
  <c r="M2126" i="4"/>
  <c r="L2126" i="4"/>
  <c r="L2125" i="4"/>
  <c r="M2125" i="4"/>
  <c r="L2122" i="4"/>
  <c r="M2122" i="4"/>
  <c r="L2137" i="4"/>
  <c r="M2137" i="4"/>
  <c r="L2130" i="4"/>
  <c r="M2130" i="4"/>
  <c r="M2121" i="4"/>
  <c r="L2121" i="4"/>
  <c r="M2136" i="4"/>
  <c r="M2132" i="4"/>
  <c r="M2128" i="4"/>
  <c r="M2124" i="4"/>
  <c r="M2120" i="4"/>
  <c r="M2107" i="4"/>
  <c r="L2107" i="4"/>
  <c r="L2103" i="4"/>
  <c r="M2099" i="4"/>
  <c r="L2118" i="4"/>
  <c r="M2118" i="4"/>
  <c r="L2111" i="4"/>
  <c r="M2111" i="4"/>
  <c r="L2105" i="4"/>
  <c r="M2105" i="4"/>
  <c r="L2101" i="4"/>
  <c r="M2101" i="4"/>
  <c r="L2081" i="4"/>
  <c r="M2081" i="4"/>
  <c r="L2074" i="4"/>
  <c r="M2074" i="4"/>
  <c r="L2065" i="4"/>
  <c r="M2065" i="4"/>
  <c r="L2058" i="4"/>
  <c r="M2058" i="4"/>
  <c r="L2051" i="4"/>
  <c r="M2051" i="4"/>
  <c r="L2095" i="4"/>
  <c r="M2095" i="4"/>
  <c r="L2086" i="4"/>
  <c r="M2086" i="4"/>
  <c r="L2079" i="4"/>
  <c r="M2079" i="4"/>
  <c r="L2061" i="4"/>
  <c r="M2061" i="4"/>
  <c r="L2054" i="4"/>
  <c r="M2054" i="4"/>
  <c r="L2045" i="4"/>
  <c r="M2045" i="4"/>
  <c r="L2117" i="4"/>
  <c r="M2117" i="4"/>
  <c r="L2110" i="4"/>
  <c r="M2110" i="4"/>
  <c r="L2106" i="4"/>
  <c r="M2106" i="4"/>
  <c r="L2102" i="4"/>
  <c r="M2102" i="4"/>
  <c r="L2098" i="4"/>
  <c r="M2098" i="4"/>
  <c r="L2091" i="4"/>
  <c r="M2091" i="4"/>
  <c r="L2089" i="4"/>
  <c r="M2089" i="4"/>
  <c r="L2082" i="4"/>
  <c r="M2082" i="4"/>
  <c r="L2075" i="4"/>
  <c r="M2075" i="4"/>
  <c r="L2073" i="4"/>
  <c r="M2073" i="4"/>
  <c r="L2066" i="4"/>
  <c r="M2066" i="4"/>
  <c r="L2059" i="4"/>
  <c r="M2059" i="4"/>
  <c r="L2057" i="4"/>
  <c r="M2057" i="4"/>
  <c r="L2050" i="4"/>
  <c r="M2050" i="4"/>
  <c r="L2109" i="4"/>
  <c r="M2109" i="4"/>
  <c r="L2097" i="4"/>
  <c r="M2097" i="4"/>
  <c r="L2090" i="4"/>
  <c r="M2090" i="4"/>
  <c r="L2083" i="4"/>
  <c r="M2083" i="4"/>
  <c r="L2067" i="4"/>
  <c r="M2067" i="4"/>
  <c r="L2049" i="4"/>
  <c r="M2049" i="4"/>
  <c r="L2114" i="4"/>
  <c r="M2114" i="4"/>
  <c r="L2093" i="4"/>
  <c r="M2093" i="4"/>
  <c r="L2077" i="4"/>
  <c r="M2077" i="4"/>
  <c r="L2070" i="4"/>
  <c r="M2070" i="4"/>
  <c r="L2063" i="4"/>
  <c r="M2063" i="4"/>
  <c r="L2047" i="4"/>
  <c r="M2047" i="4"/>
  <c r="L2115" i="4"/>
  <c r="M2115" i="4"/>
  <c r="L2113" i="4"/>
  <c r="M2113" i="4"/>
  <c r="L2094" i="4"/>
  <c r="M2094" i="4"/>
  <c r="L2087" i="4"/>
  <c r="M2087" i="4"/>
  <c r="L2085" i="4"/>
  <c r="M2085" i="4"/>
  <c r="L2078" i="4"/>
  <c r="M2078" i="4"/>
  <c r="L2071" i="4"/>
  <c r="M2071" i="4"/>
  <c r="L2069" i="4"/>
  <c r="M2069" i="4"/>
  <c r="L2062" i="4"/>
  <c r="M2062" i="4"/>
  <c r="L2055" i="4"/>
  <c r="M2055" i="4"/>
  <c r="L2053" i="4"/>
  <c r="M2053" i="4"/>
  <c r="L2046" i="4"/>
  <c r="M2046" i="4"/>
  <c r="L2116" i="4"/>
  <c r="L2112" i="4"/>
  <c r="L2108" i="4"/>
  <c r="L2104" i="4"/>
  <c r="L2100" i="4"/>
  <c r="L2096" i="4"/>
  <c r="L2092" i="4"/>
  <c r="L2088" i="4"/>
  <c r="L2084" i="4"/>
  <c r="L2080" i="4"/>
  <c r="L2076" i="4"/>
  <c r="L2072" i="4"/>
  <c r="L2068" i="4"/>
  <c r="L2064" i="4"/>
  <c r="L2060" i="4"/>
  <c r="L2056" i="4"/>
  <c r="L2052" i="4"/>
  <c r="L2048" i="4"/>
  <c r="L2044" i="4"/>
  <c r="O1271" i="4"/>
  <c r="O1270" i="4"/>
  <c r="O1265" i="4"/>
  <c r="O1269" i="4"/>
  <c r="O1268" i="4"/>
  <c r="O1267" i="4"/>
  <c r="O1266" i="4"/>
  <c r="O1264" i="4"/>
  <c r="O1676" i="4"/>
  <c r="O1675" i="4"/>
  <c r="O1674" i="4"/>
  <c r="O1485" i="4"/>
  <c r="O1484" i="4"/>
  <c r="O1483" i="4"/>
  <c r="O1976" i="4"/>
  <c r="O1975" i="4"/>
  <c r="O1902" i="4"/>
  <c r="O1901" i="4"/>
  <c r="O1900" i="4"/>
  <c r="O1899" i="4"/>
  <c r="O1898" i="4"/>
  <c r="O1897" i="4"/>
  <c r="O1896" i="4"/>
  <c r="O1983" i="4"/>
  <c r="O1982" i="4"/>
  <c r="O1981" i="4"/>
  <c r="O1980" i="4"/>
  <c r="O1993" i="4"/>
  <c r="O1992" i="4"/>
  <c r="O1991" i="4"/>
  <c r="O1979" i="4"/>
  <c r="O1978" i="4"/>
  <c r="O1973" i="4"/>
  <c r="O1938" i="4"/>
  <c r="O1937" i="4"/>
  <c r="O1907" i="4"/>
  <c r="O1880" i="4"/>
  <c r="O1870" i="4"/>
  <c r="O2005" i="4" l="1"/>
  <c r="P2005" i="4" s="1"/>
  <c r="O2004" i="4"/>
  <c r="P2004" i="4" s="1"/>
  <c r="O2003" i="4"/>
  <c r="P2003" i="4" s="1"/>
  <c r="O2002" i="4"/>
  <c r="P2002" i="4" s="1"/>
  <c r="O1967" i="4"/>
  <c r="P1967" i="4" s="1"/>
  <c r="O1966" i="4"/>
  <c r="P1966" i="4" s="1"/>
  <c r="O1965" i="4"/>
  <c r="P1965" i="4" s="1"/>
  <c r="O1964" i="4"/>
  <c r="P1964" i="4" s="1"/>
  <c r="O1942" i="4"/>
  <c r="P1942" i="4" s="1"/>
  <c r="O1941" i="4"/>
  <c r="P1941" i="4" s="1"/>
  <c r="O1940" i="4"/>
  <c r="P1940" i="4" s="1"/>
  <c r="O1565" i="4"/>
  <c r="O1570" i="4"/>
  <c r="O1569" i="4"/>
  <c r="O1568" i="4"/>
  <c r="O1567" i="4"/>
  <c r="O1566" i="4"/>
  <c r="P2030" i="4"/>
  <c r="P2031" i="4"/>
  <c r="P2032" i="4"/>
  <c r="P2033" i="4"/>
  <c r="P2034" i="4"/>
  <c r="P2035" i="4"/>
  <c r="P2036" i="4"/>
  <c r="P2037" i="4"/>
  <c r="P2038" i="4"/>
  <c r="P2039" i="4"/>
  <c r="P2040" i="4"/>
  <c r="P2041" i="4"/>
  <c r="P2042" i="4"/>
  <c r="P2043" i="4"/>
  <c r="K2028" i="4"/>
  <c r="K2029" i="4"/>
  <c r="L2029" i="4" s="1"/>
  <c r="K2030" i="4"/>
  <c r="K2031" i="4"/>
  <c r="K2032" i="4"/>
  <c r="M2032" i="4" s="1"/>
  <c r="K2033" i="4"/>
  <c r="L2033" i="4" s="1"/>
  <c r="K2034" i="4"/>
  <c r="K2035" i="4"/>
  <c r="K2036" i="4"/>
  <c r="K2037" i="4"/>
  <c r="L2037" i="4" s="1"/>
  <c r="K2038" i="4"/>
  <c r="K2039" i="4"/>
  <c r="K2040" i="4"/>
  <c r="K2041" i="4"/>
  <c r="L2041" i="4" s="1"/>
  <c r="K2042" i="4"/>
  <c r="K2043" i="4"/>
  <c r="B2030" i="4"/>
  <c r="C2030" i="4"/>
  <c r="B2031" i="4"/>
  <c r="C2031" i="4"/>
  <c r="B2032" i="4"/>
  <c r="C2032" i="4"/>
  <c r="B2033" i="4"/>
  <c r="C2033" i="4"/>
  <c r="B2034" i="4"/>
  <c r="C2034" i="4"/>
  <c r="B2035" i="4"/>
  <c r="C2035" i="4"/>
  <c r="B2036" i="4"/>
  <c r="C2036" i="4"/>
  <c r="B2037" i="4"/>
  <c r="C2037" i="4"/>
  <c r="B2038" i="4"/>
  <c r="C2038" i="4"/>
  <c r="B2039" i="4"/>
  <c r="C2039" i="4"/>
  <c r="B2040" i="4"/>
  <c r="C2040" i="4"/>
  <c r="B2041" i="4"/>
  <c r="C2041" i="4"/>
  <c r="B2042" i="4"/>
  <c r="C2042" i="4"/>
  <c r="B2043" i="4"/>
  <c r="C2043" i="4"/>
  <c r="P1977" i="4"/>
  <c r="P1945" i="4"/>
  <c r="P1936" i="4"/>
  <c r="P1937" i="4"/>
  <c r="P1938" i="4"/>
  <c r="P1939" i="4"/>
  <c r="P1943" i="4"/>
  <c r="P1944" i="4"/>
  <c r="P1946" i="4"/>
  <c r="P1947" i="4"/>
  <c r="P1948" i="4"/>
  <c r="P1949" i="4"/>
  <c r="P1950" i="4"/>
  <c r="P1951" i="4"/>
  <c r="P1952" i="4"/>
  <c r="P1953" i="4"/>
  <c r="P1954" i="4"/>
  <c r="P1955" i="4"/>
  <c r="P1956" i="4"/>
  <c r="P1957" i="4"/>
  <c r="P1958" i="4"/>
  <c r="P1959" i="4"/>
  <c r="P1960" i="4"/>
  <c r="P1961" i="4"/>
  <c r="P1962" i="4"/>
  <c r="P1963" i="4"/>
  <c r="P1968" i="4"/>
  <c r="P1969" i="4"/>
  <c r="P1970" i="4"/>
  <c r="P1971" i="4"/>
  <c r="P1972" i="4"/>
  <c r="P1973" i="4"/>
  <c r="P1974" i="4"/>
  <c r="P1975" i="4"/>
  <c r="P1976" i="4"/>
  <c r="P1978" i="4"/>
  <c r="P1979" i="4"/>
  <c r="P1980" i="4"/>
  <c r="P1981" i="4"/>
  <c r="P1982" i="4"/>
  <c r="P1983" i="4"/>
  <c r="P1984" i="4"/>
  <c r="P1985" i="4"/>
  <c r="P1986" i="4"/>
  <c r="P1987" i="4"/>
  <c r="P1988" i="4"/>
  <c r="P1989" i="4"/>
  <c r="P1990" i="4"/>
  <c r="P1991" i="4"/>
  <c r="P1992" i="4"/>
  <c r="P1993" i="4"/>
  <c r="P1994" i="4"/>
  <c r="P1995" i="4"/>
  <c r="P1996" i="4"/>
  <c r="P1997" i="4"/>
  <c r="P1998" i="4"/>
  <c r="P1999" i="4"/>
  <c r="P2000" i="4"/>
  <c r="P2001" i="4"/>
  <c r="P2006" i="4"/>
  <c r="P2007" i="4"/>
  <c r="P2008" i="4"/>
  <c r="P2009" i="4"/>
  <c r="P2010" i="4"/>
  <c r="P2011" i="4"/>
  <c r="P2012" i="4"/>
  <c r="P2013" i="4"/>
  <c r="P2014" i="4"/>
  <c r="P2015" i="4"/>
  <c r="P2016" i="4"/>
  <c r="P2017" i="4"/>
  <c r="P2018" i="4"/>
  <c r="P2019" i="4"/>
  <c r="P2020" i="4"/>
  <c r="P2021" i="4"/>
  <c r="P2022" i="4"/>
  <c r="P2023" i="4"/>
  <c r="P2024" i="4"/>
  <c r="P2025" i="4"/>
  <c r="P2026" i="4"/>
  <c r="P2027" i="4"/>
  <c r="P2028" i="4"/>
  <c r="P2029" i="4"/>
  <c r="K1936" i="4"/>
  <c r="M1936" i="4" s="1"/>
  <c r="K1937" i="4"/>
  <c r="K1938" i="4"/>
  <c r="K1939" i="4"/>
  <c r="K1940" i="4"/>
  <c r="M1940" i="4" s="1"/>
  <c r="K1941" i="4"/>
  <c r="K1942" i="4"/>
  <c r="K1943" i="4"/>
  <c r="K1944" i="4"/>
  <c r="M1944" i="4" s="1"/>
  <c r="K1945" i="4"/>
  <c r="K1946" i="4"/>
  <c r="L1946" i="4" s="1"/>
  <c r="K1947" i="4"/>
  <c r="K1948" i="4"/>
  <c r="M1948" i="4" s="1"/>
  <c r="K1949" i="4"/>
  <c r="K1950" i="4"/>
  <c r="K1951" i="4"/>
  <c r="K1952" i="4"/>
  <c r="M1952" i="4" s="1"/>
  <c r="K1953" i="4"/>
  <c r="K1954" i="4"/>
  <c r="L1954" i="4" s="1"/>
  <c r="K1955" i="4"/>
  <c r="K1956" i="4"/>
  <c r="M1956" i="4" s="1"/>
  <c r="K1957" i="4"/>
  <c r="K1958" i="4"/>
  <c r="K1959" i="4"/>
  <c r="K1960" i="4"/>
  <c r="M1960" i="4" s="1"/>
  <c r="K1961" i="4"/>
  <c r="K1962" i="4"/>
  <c r="K1963" i="4"/>
  <c r="K1964" i="4"/>
  <c r="M1964" i="4" s="1"/>
  <c r="K1965" i="4"/>
  <c r="K1966" i="4"/>
  <c r="K1967" i="4"/>
  <c r="K1968" i="4"/>
  <c r="M1968" i="4" s="1"/>
  <c r="K1969" i="4"/>
  <c r="K1970" i="4"/>
  <c r="K1971" i="4"/>
  <c r="K1972" i="4"/>
  <c r="M1972" i="4" s="1"/>
  <c r="K1973" i="4"/>
  <c r="K1974" i="4"/>
  <c r="L1974" i="4" s="1"/>
  <c r="K1975" i="4"/>
  <c r="K1976" i="4"/>
  <c r="M1976" i="4" s="1"/>
  <c r="K1977" i="4"/>
  <c r="K1978" i="4"/>
  <c r="K1979" i="4"/>
  <c r="K1980" i="4"/>
  <c r="M1980" i="4" s="1"/>
  <c r="K1981" i="4"/>
  <c r="K1982" i="4"/>
  <c r="K1983" i="4"/>
  <c r="K1984" i="4"/>
  <c r="M1984" i="4" s="1"/>
  <c r="K1985" i="4"/>
  <c r="K1986" i="4"/>
  <c r="K1987" i="4"/>
  <c r="K1988" i="4"/>
  <c r="M1988" i="4" s="1"/>
  <c r="K1989" i="4"/>
  <c r="K1990" i="4"/>
  <c r="L1990" i="4" s="1"/>
  <c r="K1991" i="4"/>
  <c r="K1992" i="4"/>
  <c r="M1992" i="4" s="1"/>
  <c r="K1993" i="4"/>
  <c r="K1994" i="4"/>
  <c r="K1995" i="4"/>
  <c r="K1996" i="4"/>
  <c r="M1996" i="4" s="1"/>
  <c r="K1997" i="4"/>
  <c r="K1998" i="4"/>
  <c r="L1998" i="4" s="1"/>
  <c r="K1999" i="4"/>
  <c r="K2000" i="4"/>
  <c r="L2000" i="4" s="1"/>
  <c r="K2001" i="4"/>
  <c r="K2002" i="4"/>
  <c r="K2003" i="4"/>
  <c r="K2004" i="4"/>
  <c r="M2004" i="4" s="1"/>
  <c r="K2005" i="4"/>
  <c r="K2006" i="4"/>
  <c r="L2006" i="4" s="1"/>
  <c r="K2007" i="4"/>
  <c r="K2008" i="4"/>
  <c r="L2008" i="4" s="1"/>
  <c r="K2009" i="4"/>
  <c r="K2010" i="4"/>
  <c r="L2010" i="4" s="1"/>
  <c r="K2011" i="4"/>
  <c r="K2012" i="4"/>
  <c r="M2012" i="4" s="1"/>
  <c r="K2013" i="4"/>
  <c r="K2014" i="4"/>
  <c r="L2014" i="4" s="1"/>
  <c r="K2015" i="4"/>
  <c r="K2016" i="4"/>
  <c r="K2017" i="4"/>
  <c r="K2018" i="4"/>
  <c r="K2019" i="4"/>
  <c r="M2019" i="4" s="1"/>
  <c r="K2020" i="4"/>
  <c r="K2021" i="4"/>
  <c r="K2022" i="4"/>
  <c r="K2023" i="4"/>
  <c r="M2023" i="4" s="1"/>
  <c r="K2024" i="4"/>
  <c r="K2025" i="4"/>
  <c r="K2026" i="4"/>
  <c r="K2027" i="4"/>
  <c r="M2027" i="4" s="1"/>
  <c r="B1936" i="4"/>
  <c r="C1936" i="4"/>
  <c r="B1937" i="4"/>
  <c r="C1937" i="4"/>
  <c r="B1938" i="4"/>
  <c r="C1938" i="4"/>
  <c r="B1939" i="4"/>
  <c r="C1939" i="4"/>
  <c r="B1940" i="4"/>
  <c r="C1940" i="4"/>
  <c r="B1941" i="4"/>
  <c r="C1941" i="4"/>
  <c r="B1942" i="4"/>
  <c r="C1942" i="4"/>
  <c r="B1943" i="4"/>
  <c r="C1943" i="4"/>
  <c r="B1944" i="4"/>
  <c r="C1944" i="4"/>
  <c r="B1945" i="4"/>
  <c r="C1945" i="4"/>
  <c r="B1946" i="4"/>
  <c r="C1946" i="4"/>
  <c r="B1947" i="4"/>
  <c r="C1947" i="4"/>
  <c r="B1948" i="4"/>
  <c r="C1948" i="4"/>
  <c r="B1949" i="4"/>
  <c r="C1949" i="4"/>
  <c r="B1950" i="4"/>
  <c r="C1950" i="4"/>
  <c r="B1951" i="4"/>
  <c r="C1951" i="4"/>
  <c r="B1952" i="4"/>
  <c r="C1952" i="4"/>
  <c r="B1953" i="4"/>
  <c r="C1953" i="4"/>
  <c r="B1954" i="4"/>
  <c r="C1954" i="4"/>
  <c r="B1955" i="4"/>
  <c r="C1955" i="4"/>
  <c r="B1956" i="4"/>
  <c r="C1956" i="4"/>
  <c r="B1957" i="4"/>
  <c r="C1957" i="4"/>
  <c r="B1958" i="4"/>
  <c r="C1958" i="4"/>
  <c r="B1959" i="4"/>
  <c r="C1959" i="4"/>
  <c r="B1960" i="4"/>
  <c r="C1960" i="4"/>
  <c r="B1961" i="4"/>
  <c r="C1961" i="4"/>
  <c r="B1962" i="4"/>
  <c r="C1962" i="4"/>
  <c r="B1963" i="4"/>
  <c r="C1963" i="4"/>
  <c r="B1964" i="4"/>
  <c r="C1964" i="4"/>
  <c r="B1965" i="4"/>
  <c r="C1965" i="4"/>
  <c r="B1966" i="4"/>
  <c r="C1966" i="4"/>
  <c r="B1967" i="4"/>
  <c r="C1967" i="4"/>
  <c r="B1968" i="4"/>
  <c r="C1968" i="4"/>
  <c r="B1969" i="4"/>
  <c r="C1969" i="4"/>
  <c r="B1970" i="4"/>
  <c r="C1970" i="4"/>
  <c r="B1971" i="4"/>
  <c r="C1971" i="4"/>
  <c r="B1972" i="4"/>
  <c r="C1972" i="4"/>
  <c r="B1973" i="4"/>
  <c r="C1973" i="4"/>
  <c r="B1974" i="4"/>
  <c r="C1974" i="4"/>
  <c r="B1975" i="4"/>
  <c r="C1975" i="4"/>
  <c r="B1976" i="4"/>
  <c r="C1976" i="4"/>
  <c r="B1977" i="4"/>
  <c r="C1977" i="4"/>
  <c r="B1978" i="4"/>
  <c r="C1978" i="4"/>
  <c r="B1979" i="4"/>
  <c r="C1979" i="4"/>
  <c r="B1980" i="4"/>
  <c r="C1980" i="4"/>
  <c r="B1981" i="4"/>
  <c r="C1981" i="4"/>
  <c r="B1982" i="4"/>
  <c r="C1982" i="4"/>
  <c r="B1983" i="4"/>
  <c r="C1983" i="4"/>
  <c r="B1984" i="4"/>
  <c r="C1984" i="4"/>
  <c r="B1985" i="4"/>
  <c r="C1985" i="4"/>
  <c r="B1986" i="4"/>
  <c r="C1986" i="4"/>
  <c r="B1987" i="4"/>
  <c r="C1987" i="4"/>
  <c r="B1988" i="4"/>
  <c r="C1988" i="4"/>
  <c r="B1989" i="4"/>
  <c r="C1989" i="4"/>
  <c r="B1990" i="4"/>
  <c r="C1990" i="4"/>
  <c r="B1991" i="4"/>
  <c r="C1991" i="4"/>
  <c r="B1992" i="4"/>
  <c r="C1992" i="4"/>
  <c r="B1993" i="4"/>
  <c r="C1993" i="4"/>
  <c r="B1994" i="4"/>
  <c r="C1994" i="4"/>
  <c r="B1995" i="4"/>
  <c r="C1995" i="4"/>
  <c r="B1996" i="4"/>
  <c r="C1996" i="4"/>
  <c r="B1997" i="4"/>
  <c r="C1997" i="4"/>
  <c r="B1998" i="4"/>
  <c r="C1998" i="4"/>
  <c r="B1999" i="4"/>
  <c r="C1999" i="4"/>
  <c r="B2000" i="4"/>
  <c r="C2000" i="4"/>
  <c r="B2001" i="4"/>
  <c r="C2001" i="4"/>
  <c r="B2002" i="4"/>
  <c r="C2002" i="4"/>
  <c r="B2003" i="4"/>
  <c r="C2003" i="4"/>
  <c r="B2004" i="4"/>
  <c r="C2004" i="4"/>
  <c r="B2005" i="4"/>
  <c r="C2005" i="4"/>
  <c r="B2006" i="4"/>
  <c r="C2006" i="4"/>
  <c r="B2007" i="4"/>
  <c r="C2007" i="4"/>
  <c r="B2008" i="4"/>
  <c r="C2008" i="4"/>
  <c r="B2009" i="4"/>
  <c r="C2009" i="4"/>
  <c r="B2010" i="4"/>
  <c r="C2010" i="4"/>
  <c r="B2011" i="4"/>
  <c r="C2011" i="4"/>
  <c r="B2012" i="4"/>
  <c r="C2012" i="4"/>
  <c r="B2013" i="4"/>
  <c r="C2013" i="4"/>
  <c r="B2014" i="4"/>
  <c r="C2014" i="4"/>
  <c r="B2015" i="4"/>
  <c r="C2015" i="4"/>
  <c r="B2016" i="4"/>
  <c r="C2016" i="4"/>
  <c r="B2017" i="4"/>
  <c r="C2017" i="4"/>
  <c r="B2018" i="4"/>
  <c r="C2018" i="4"/>
  <c r="B2019" i="4"/>
  <c r="C2019" i="4"/>
  <c r="B2020" i="4"/>
  <c r="C2020" i="4"/>
  <c r="B2021" i="4"/>
  <c r="C2021" i="4"/>
  <c r="B2022" i="4"/>
  <c r="C2022" i="4"/>
  <c r="B2023" i="4"/>
  <c r="C2023" i="4"/>
  <c r="B2024" i="4"/>
  <c r="C2024" i="4"/>
  <c r="B2025" i="4"/>
  <c r="C2025" i="4"/>
  <c r="B2026" i="4"/>
  <c r="C2026" i="4"/>
  <c r="B2027" i="4"/>
  <c r="C2027" i="4"/>
  <c r="B2028" i="4"/>
  <c r="C2028" i="4"/>
  <c r="B2029" i="4"/>
  <c r="C2029" i="4"/>
  <c r="M2028" i="4" l="1"/>
  <c r="L2028" i="4"/>
  <c r="M1974" i="4"/>
  <c r="M2040" i="4"/>
  <c r="L2040" i="4"/>
  <c r="M2036" i="4"/>
  <c r="L2036" i="4"/>
  <c r="L2032" i="4"/>
  <c r="L2043" i="4"/>
  <c r="M2043" i="4"/>
  <c r="M2038" i="4"/>
  <c r="L2038" i="4"/>
  <c r="L2034" i="4"/>
  <c r="M2034" i="4"/>
  <c r="L2031" i="4"/>
  <c r="M2031" i="4"/>
  <c r="L2042" i="4"/>
  <c r="M2042" i="4"/>
  <c r="M2035" i="4"/>
  <c r="L2035" i="4"/>
  <c r="L2039" i="4"/>
  <c r="M2039" i="4"/>
  <c r="L2030" i="4"/>
  <c r="M2030" i="4"/>
  <c r="M2041" i="4"/>
  <c r="M2037" i="4"/>
  <c r="M2033" i="4"/>
  <c r="M2029" i="4"/>
  <c r="L1938" i="4"/>
  <c r="M1938" i="4"/>
  <c r="L2026" i="4"/>
  <c r="M2026" i="4"/>
  <c r="L2023" i="4"/>
  <c r="M1946" i="4"/>
  <c r="L2027" i="4"/>
  <c r="L2022" i="4"/>
  <c r="M2022" i="4"/>
  <c r="L2018" i="4"/>
  <c r="M2018" i="4"/>
  <c r="L2019" i="4"/>
  <c r="M2010" i="4"/>
  <c r="M2014" i="4"/>
  <c r="M2006" i="4"/>
  <c r="L2002" i="4"/>
  <c r="M2002" i="4"/>
  <c r="L1994" i="4"/>
  <c r="M1994" i="4"/>
  <c r="M1998" i="4"/>
  <c r="L1986" i="4"/>
  <c r="M1986" i="4"/>
  <c r="M1990" i="4"/>
  <c r="L1982" i="4"/>
  <c r="M1982" i="4"/>
  <c r="L1978" i="4"/>
  <c r="M1978" i="4"/>
  <c r="L1970" i="4"/>
  <c r="M1970" i="4"/>
  <c r="L1966" i="4"/>
  <c r="M1966" i="4"/>
  <c r="L1962" i="4"/>
  <c r="M1962" i="4"/>
  <c r="M1954" i="4"/>
  <c r="L1958" i="4"/>
  <c r="M1958" i="4"/>
  <c r="L1950" i="4"/>
  <c r="M1950" i="4"/>
  <c r="L1942" i="4"/>
  <c r="M1942" i="4"/>
  <c r="L2025" i="4"/>
  <c r="M2025" i="4"/>
  <c r="L2021" i="4"/>
  <c r="M2021" i="4"/>
  <c r="L2017" i="4"/>
  <c r="M2017" i="4"/>
  <c r="L2011" i="4"/>
  <c r="M2011" i="4"/>
  <c r="L2001" i="4"/>
  <c r="M2001" i="4"/>
  <c r="L1995" i="4"/>
  <c r="M1995" i="4"/>
  <c r="L1985" i="4"/>
  <c r="M1985" i="4"/>
  <c r="L1979" i="4"/>
  <c r="M1979" i="4"/>
  <c r="L1969" i="4"/>
  <c r="M1969" i="4"/>
  <c r="M1963" i="4"/>
  <c r="L1963" i="4"/>
  <c r="L1953" i="4"/>
  <c r="M1953" i="4"/>
  <c r="L1947" i="4"/>
  <c r="M1947" i="4"/>
  <c r="L1937" i="4"/>
  <c r="M1937" i="4"/>
  <c r="M2015" i="4"/>
  <c r="L2015" i="4"/>
  <c r="L2005" i="4"/>
  <c r="M2005" i="4"/>
  <c r="M1999" i="4"/>
  <c r="L1999" i="4"/>
  <c r="L1989" i="4"/>
  <c r="M1989" i="4"/>
  <c r="M1983" i="4"/>
  <c r="L1983" i="4"/>
  <c r="L1973" i="4"/>
  <c r="M1973" i="4"/>
  <c r="M1967" i="4"/>
  <c r="L1967" i="4"/>
  <c r="L1957" i="4"/>
  <c r="M1957" i="4"/>
  <c r="L1951" i="4"/>
  <c r="M1951" i="4"/>
  <c r="L1941" i="4"/>
  <c r="M1941" i="4"/>
  <c r="M2024" i="4"/>
  <c r="L2024" i="4"/>
  <c r="M2020" i="4"/>
  <c r="L2020" i="4"/>
  <c r="M2016" i="4"/>
  <c r="L2016" i="4"/>
  <c r="L2009" i="4"/>
  <c r="M2009" i="4"/>
  <c r="L2003" i="4"/>
  <c r="M2003" i="4"/>
  <c r="L1993" i="4"/>
  <c r="M1993" i="4"/>
  <c r="L1987" i="4"/>
  <c r="M1987" i="4"/>
  <c r="L1977" i="4"/>
  <c r="M1977" i="4"/>
  <c r="L1971" i="4"/>
  <c r="M1971" i="4"/>
  <c r="L1961" i="4"/>
  <c r="M1961" i="4"/>
  <c r="L1955" i="4"/>
  <c r="M1955" i="4"/>
  <c r="L1945" i="4"/>
  <c r="M1945" i="4"/>
  <c r="L1939" i="4"/>
  <c r="M1939" i="4"/>
  <c r="L2013" i="4"/>
  <c r="M2013" i="4"/>
  <c r="M2007" i="4"/>
  <c r="L2007" i="4"/>
  <c r="L1997" i="4"/>
  <c r="M1997" i="4"/>
  <c r="M1991" i="4"/>
  <c r="L1991" i="4"/>
  <c r="L1981" i="4"/>
  <c r="M1981" i="4"/>
  <c r="M1975" i="4"/>
  <c r="L1975" i="4"/>
  <c r="L1965" i="4"/>
  <c r="M1965" i="4"/>
  <c r="L1959" i="4"/>
  <c r="M1959" i="4"/>
  <c r="L1949" i="4"/>
  <c r="M1949" i="4"/>
  <c r="L1943" i="4"/>
  <c r="M1943" i="4"/>
  <c r="M2008" i="4"/>
  <c r="M2000" i="4"/>
  <c r="L2012" i="4"/>
  <c r="L2004" i="4"/>
  <c r="L1996" i="4"/>
  <c r="L1992" i="4"/>
  <c r="L1988" i="4"/>
  <c r="L1984" i="4"/>
  <c r="L1980" i="4"/>
  <c r="L1976" i="4"/>
  <c r="L1972" i="4"/>
  <c r="L1968" i="4"/>
  <c r="L1964" i="4"/>
  <c r="L1960" i="4"/>
  <c r="L1956" i="4"/>
  <c r="L1952" i="4"/>
  <c r="L1948" i="4"/>
  <c r="L1944" i="4"/>
  <c r="L1940" i="4"/>
  <c r="L1936" i="4"/>
  <c r="P1907" i="4" l="1"/>
  <c r="O1653" i="4"/>
  <c r="O1935" i="4" l="1"/>
  <c r="O1934" i="4"/>
  <c r="O1933" i="4"/>
  <c r="O1932" i="4"/>
  <c r="O1931" i="4"/>
  <c r="O1930" i="4"/>
  <c r="O1929" i="4"/>
  <c r="O1928" i="4"/>
  <c r="O1927" i="4"/>
  <c r="O1926" i="4"/>
  <c r="O1925" i="4"/>
  <c r="O1552" i="4"/>
  <c r="O1551" i="4"/>
  <c r="O1550" i="4"/>
  <c r="O1549" i="4"/>
  <c r="O1548" i="4"/>
  <c r="O1547" i="4"/>
  <c r="O260" i="4"/>
  <c r="O1909" i="4" l="1"/>
  <c r="O1908" i="4"/>
  <c r="O1419" i="4"/>
  <c r="O1874" i="4"/>
  <c r="O1807" i="4"/>
  <c r="O1806" i="4"/>
  <c r="O1805" i="4"/>
  <c r="O1804" i="4"/>
  <c r="O1803" i="4"/>
  <c r="O1802" i="4"/>
  <c r="O1801" i="4"/>
  <c r="O1800" i="4"/>
  <c r="O1454" i="4"/>
  <c r="O1453" i="4"/>
  <c r="O1452" i="4"/>
  <c r="O1388" i="4"/>
  <c r="O1387" i="4"/>
  <c r="O1386" i="4"/>
  <c r="O1685" i="4"/>
  <c r="O1684" i="4"/>
  <c r="O1863" i="4"/>
  <c r="O1862" i="4"/>
  <c r="O1861" i="4"/>
  <c r="O1860" i="4"/>
  <c r="O1859" i="4"/>
  <c r="P1859" i="4" s="1"/>
  <c r="O1858" i="4"/>
  <c r="P1858" i="4" s="1"/>
  <c r="O1479" i="4"/>
  <c r="O1478" i="4"/>
  <c r="O1460" i="4"/>
  <c r="O1459" i="4"/>
  <c r="O1458" i="4"/>
  <c r="O1457" i="4"/>
  <c r="O1456" i="4"/>
  <c r="O1263" i="4"/>
  <c r="O1239" i="4"/>
  <c r="O1240" i="4"/>
  <c r="O1241" i="4"/>
  <c r="O1242" i="4"/>
  <c r="O1238" i="4"/>
  <c r="O1237" i="4"/>
  <c r="O1236" i="4"/>
  <c r="O1235" i="4"/>
  <c r="O1906" i="4"/>
  <c r="O1905" i="4"/>
  <c r="O1904" i="4"/>
  <c r="O1903" i="4"/>
  <c r="O1879" i="4"/>
  <c r="O1878" i="4"/>
  <c r="O1877" i="4"/>
  <c r="O1876" i="4"/>
  <c r="O1875" i="4"/>
  <c r="O1756" i="4"/>
  <c r="O1853" i="4"/>
  <c r="P1853" i="4" s="1"/>
  <c r="O1852" i="4"/>
  <c r="P1852" i="4" s="1"/>
  <c r="O1851" i="4"/>
  <c r="P1851" i="4" s="1"/>
  <c r="O1850" i="4"/>
  <c r="P1850" i="4" s="1"/>
  <c r="O1849" i="4"/>
  <c r="P1849" i="4" s="1"/>
  <c r="O1848" i="4"/>
  <c r="P1848" i="4" s="1"/>
  <c r="O1841" i="4"/>
  <c r="O1840" i="4"/>
  <c r="O1839" i="4"/>
  <c r="O1838" i="4"/>
  <c r="O1837" i="4"/>
  <c r="O1836" i="4"/>
  <c r="O1835" i="4"/>
  <c r="O1834" i="4"/>
  <c r="B1884" i="4"/>
  <c r="B1885" i="4"/>
  <c r="B1886" i="4"/>
  <c r="B1887" i="4"/>
  <c r="B1888" i="4"/>
  <c r="B1889" i="4"/>
  <c r="B1890" i="4"/>
  <c r="B1891" i="4"/>
  <c r="B1892" i="4"/>
  <c r="B1893" i="4"/>
  <c r="P1846" i="4"/>
  <c r="P1847" i="4"/>
  <c r="P1854" i="4"/>
  <c r="P1855" i="4"/>
  <c r="P1856" i="4"/>
  <c r="P1857" i="4"/>
  <c r="P1845" i="4" l="1"/>
  <c r="P1860" i="4"/>
  <c r="P1861" i="4"/>
  <c r="P1862" i="4"/>
  <c r="P1863" i="4"/>
  <c r="P1864" i="4"/>
  <c r="P1865" i="4"/>
  <c r="P1866" i="4"/>
  <c r="P1867" i="4"/>
  <c r="P1868" i="4"/>
  <c r="P1869" i="4"/>
  <c r="P1870" i="4"/>
  <c r="P1871" i="4"/>
  <c r="P1872" i="4"/>
  <c r="P1873" i="4"/>
  <c r="P1874" i="4"/>
  <c r="P1875" i="4"/>
  <c r="P1876" i="4"/>
  <c r="P1877" i="4"/>
  <c r="P1878" i="4"/>
  <c r="P1879" i="4"/>
  <c r="P1880" i="4"/>
  <c r="P1881" i="4"/>
  <c r="P1882" i="4"/>
  <c r="P1883" i="4"/>
  <c r="P1884" i="4"/>
  <c r="P1885" i="4"/>
  <c r="P1886" i="4"/>
  <c r="P1887" i="4"/>
  <c r="P1888" i="4"/>
  <c r="P1889" i="4"/>
  <c r="P1890" i="4"/>
  <c r="P1891" i="4"/>
  <c r="P1892" i="4"/>
  <c r="P1893" i="4"/>
  <c r="P1894" i="4"/>
  <c r="P1895" i="4"/>
  <c r="P1896" i="4"/>
  <c r="P1897" i="4"/>
  <c r="P1898" i="4"/>
  <c r="P1899" i="4"/>
  <c r="P1900" i="4"/>
  <c r="P1901" i="4"/>
  <c r="P1902" i="4"/>
  <c r="P1903" i="4"/>
  <c r="P1904" i="4"/>
  <c r="P1905" i="4"/>
  <c r="P1906" i="4"/>
  <c r="P1908" i="4"/>
  <c r="P1909" i="4"/>
  <c r="P1910" i="4"/>
  <c r="P1911" i="4"/>
  <c r="P1912" i="4"/>
  <c r="P1913" i="4"/>
  <c r="P1914" i="4"/>
  <c r="P1915" i="4"/>
  <c r="P1916" i="4"/>
  <c r="P1917" i="4"/>
  <c r="P1918" i="4"/>
  <c r="P1919" i="4"/>
  <c r="P1920" i="4"/>
  <c r="P1921" i="4"/>
  <c r="P1922" i="4"/>
  <c r="P1923" i="4"/>
  <c r="P1924" i="4"/>
  <c r="P1925" i="4"/>
  <c r="P1926" i="4"/>
  <c r="P1927" i="4"/>
  <c r="P1928" i="4"/>
  <c r="P1929" i="4"/>
  <c r="P1930" i="4"/>
  <c r="P1931" i="4"/>
  <c r="P1932" i="4"/>
  <c r="P1933" i="4"/>
  <c r="P1934" i="4"/>
  <c r="P1935" i="4"/>
  <c r="B1845" i="4"/>
  <c r="C1845" i="4"/>
  <c r="B1846" i="4"/>
  <c r="C1846" i="4"/>
  <c r="B1847" i="4"/>
  <c r="C1847" i="4"/>
  <c r="B1848" i="4"/>
  <c r="C1848" i="4"/>
  <c r="B1849" i="4"/>
  <c r="C1849" i="4"/>
  <c r="B1850" i="4"/>
  <c r="C1850" i="4"/>
  <c r="B1851" i="4"/>
  <c r="C1851" i="4"/>
  <c r="B1852" i="4"/>
  <c r="C1852" i="4"/>
  <c r="B1853" i="4"/>
  <c r="C1853" i="4"/>
  <c r="B1854" i="4"/>
  <c r="C1854" i="4"/>
  <c r="B1855" i="4"/>
  <c r="C1855" i="4"/>
  <c r="B1856" i="4"/>
  <c r="C1856" i="4"/>
  <c r="B1857" i="4"/>
  <c r="C1857" i="4"/>
  <c r="B1858" i="4"/>
  <c r="C1858" i="4"/>
  <c r="B1859" i="4"/>
  <c r="C1859" i="4"/>
  <c r="B1860" i="4"/>
  <c r="C1860" i="4"/>
  <c r="B1861" i="4"/>
  <c r="C1861" i="4"/>
  <c r="B1862" i="4"/>
  <c r="C1862" i="4"/>
  <c r="B1863" i="4"/>
  <c r="C1863" i="4"/>
  <c r="B1864" i="4"/>
  <c r="C1864" i="4"/>
  <c r="B1865" i="4"/>
  <c r="C1865" i="4"/>
  <c r="B1866" i="4"/>
  <c r="C1866" i="4"/>
  <c r="B1867" i="4"/>
  <c r="C1867" i="4"/>
  <c r="B1868" i="4"/>
  <c r="C1868" i="4"/>
  <c r="B1869" i="4"/>
  <c r="C1869" i="4"/>
  <c r="B1870" i="4"/>
  <c r="C1870" i="4"/>
  <c r="B1871" i="4"/>
  <c r="C1871" i="4"/>
  <c r="B1872" i="4"/>
  <c r="C1872" i="4"/>
  <c r="B1873" i="4"/>
  <c r="C1873" i="4"/>
  <c r="B1874" i="4"/>
  <c r="C1874" i="4"/>
  <c r="B1875" i="4"/>
  <c r="C1875" i="4"/>
  <c r="B1876" i="4"/>
  <c r="C1876" i="4"/>
  <c r="B1877" i="4"/>
  <c r="C1877" i="4"/>
  <c r="B1878" i="4"/>
  <c r="C1878" i="4"/>
  <c r="B1879" i="4"/>
  <c r="C1879" i="4"/>
  <c r="B1880" i="4"/>
  <c r="C1880" i="4"/>
  <c r="B1881" i="4"/>
  <c r="C1881" i="4"/>
  <c r="B1882" i="4"/>
  <c r="C1882" i="4"/>
  <c r="B1883" i="4"/>
  <c r="C1883" i="4"/>
  <c r="C1884" i="4"/>
  <c r="C1885" i="4"/>
  <c r="C1886" i="4"/>
  <c r="C1887" i="4"/>
  <c r="C1888" i="4"/>
  <c r="C1889" i="4"/>
  <c r="C1890" i="4"/>
  <c r="C1891" i="4"/>
  <c r="C1892" i="4"/>
  <c r="C1893" i="4"/>
  <c r="B1894" i="4"/>
  <c r="C1894" i="4"/>
  <c r="B1895" i="4"/>
  <c r="C1895" i="4"/>
  <c r="B1896" i="4"/>
  <c r="C1896" i="4"/>
  <c r="B1897" i="4"/>
  <c r="C1897" i="4"/>
  <c r="B1898" i="4"/>
  <c r="C1898" i="4"/>
  <c r="B1899" i="4"/>
  <c r="C1899" i="4"/>
  <c r="B1900" i="4"/>
  <c r="C1900" i="4"/>
  <c r="B1901" i="4"/>
  <c r="C1901" i="4"/>
  <c r="B1902" i="4"/>
  <c r="C1902" i="4"/>
  <c r="B1903" i="4"/>
  <c r="C1903" i="4"/>
  <c r="B1904" i="4"/>
  <c r="C1904" i="4"/>
  <c r="B1905" i="4"/>
  <c r="C1905" i="4"/>
  <c r="B1906" i="4"/>
  <c r="C1906" i="4"/>
  <c r="B1907" i="4"/>
  <c r="C1907" i="4"/>
  <c r="B1908" i="4"/>
  <c r="C1908" i="4"/>
  <c r="B1909" i="4"/>
  <c r="C1909" i="4"/>
  <c r="B1910" i="4"/>
  <c r="C1910" i="4"/>
  <c r="B1911" i="4"/>
  <c r="C1911" i="4"/>
  <c r="B1912" i="4"/>
  <c r="C1912" i="4"/>
  <c r="B1913" i="4"/>
  <c r="C1913" i="4"/>
  <c r="B1914" i="4"/>
  <c r="C1914" i="4"/>
  <c r="B1915" i="4"/>
  <c r="C1915" i="4"/>
  <c r="B1916" i="4"/>
  <c r="C1916" i="4"/>
  <c r="B1917" i="4"/>
  <c r="C1917" i="4"/>
  <c r="B1918" i="4"/>
  <c r="C1918" i="4"/>
  <c r="B1919" i="4"/>
  <c r="C1919" i="4"/>
  <c r="B1920" i="4"/>
  <c r="C1920" i="4"/>
  <c r="B1921" i="4"/>
  <c r="C1921" i="4"/>
  <c r="B1922" i="4"/>
  <c r="C1922" i="4"/>
  <c r="B1923" i="4"/>
  <c r="C1923" i="4"/>
  <c r="B1924" i="4"/>
  <c r="C1924" i="4"/>
  <c r="B1925" i="4"/>
  <c r="C1925" i="4"/>
  <c r="B1926" i="4"/>
  <c r="C1926" i="4"/>
  <c r="B1927" i="4"/>
  <c r="C1927" i="4"/>
  <c r="B1928" i="4"/>
  <c r="C1928" i="4"/>
  <c r="B1929" i="4"/>
  <c r="C1929" i="4"/>
  <c r="B1930" i="4"/>
  <c r="C1930" i="4"/>
  <c r="B1931" i="4"/>
  <c r="C1931" i="4"/>
  <c r="B1932" i="4"/>
  <c r="C1932" i="4"/>
  <c r="B1933" i="4"/>
  <c r="C1933" i="4"/>
  <c r="B1934" i="4"/>
  <c r="C1934" i="4"/>
  <c r="B1935" i="4"/>
  <c r="C1935" i="4"/>
  <c r="K1845" i="4" l="1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2" i="4"/>
  <c r="L1933" i="4" l="1"/>
  <c r="M1933" i="4"/>
  <c r="L1929" i="4"/>
  <c r="M1929" i="4"/>
  <c r="L1925" i="4"/>
  <c r="M1925" i="4"/>
  <c r="M1921" i="4"/>
  <c r="L1921" i="4"/>
  <c r="L1917" i="4"/>
  <c r="M1917" i="4"/>
  <c r="L1913" i="4"/>
  <c r="M1913" i="4"/>
  <c r="L1909" i="4"/>
  <c r="M1909" i="4"/>
  <c r="M1905" i="4"/>
  <c r="L1905" i="4"/>
  <c r="L1901" i="4"/>
  <c r="M1901" i="4"/>
  <c r="L1897" i="4"/>
  <c r="M1897" i="4"/>
  <c r="L1893" i="4"/>
  <c r="M1893" i="4"/>
  <c r="L1845" i="4"/>
  <c r="M1845" i="4"/>
  <c r="M1932" i="4"/>
  <c r="L1932" i="4"/>
  <c r="M1928" i="4"/>
  <c r="L1928" i="4"/>
  <c r="M1924" i="4"/>
  <c r="L1924" i="4"/>
  <c r="M1920" i="4"/>
  <c r="L1920" i="4"/>
  <c r="M1916" i="4"/>
  <c r="L1916" i="4"/>
  <c r="M1912" i="4"/>
  <c r="L1912" i="4"/>
  <c r="M1908" i="4"/>
  <c r="L1908" i="4"/>
  <c r="M1904" i="4"/>
  <c r="L1904" i="4"/>
  <c r="M1900" i="4"/>
  <c r="L1900" i="4"/>
  <c r="M1896" i="4"/>
  <c r="L1896" i="4"/>
  <c r="M1935" i="4"/>
  <c r="L1935" i="4"/>
  <c r="M1931" i="4"/>
  <c r="L1931" i="4"/>
  <c r="M1927" i="4"/>
  <c r="L1927" i="4"/>
  <c r="M1923" i="4"/>
  <c r="L1923" i="4"/>
  <c r="M1919" i="4"/>
  <c r="L1919" i="4"/>
  <c r="M1915" i="4"/>
  <c r="L1915" i="4"/>
  <c r="M1911" i="4"/>
  <c r="L1911" i="4"/>
  <c r="M1907" i="4"/>
  <c r="L1907" i="4"/>
  <c r="M1903" i="4"/>
  <c r="L1903" i="4"/>
  <c r="M1899" i="4"/>
  <c r="L1899" i="4"/>
  <c r="M1895" i="4"/>
  <c r="L1895" i="4"/>
  <c r="L1934" i="4"/>
  <c r="M1934" i="4"/>
  <c r="L1930" i="4"/>
  <c r="M1930" i="4"/>
  <c r="M1926" i="4"/>
  <c r="L1926" i="4"/>
  <c r="L1922" i="4"/>
  <c r="M1922" i="4"/>
  <c r="L1918" i="4"/>
  <c r="M1918" i="4"/>
  <c r="L1914" i="4"/>
  <c r="M1914" i="4"/>
  <c r="M1910" i="4"/>
  <c r="L1910" i="4"/>
  <c r="L1906" i="4"/>
  <c r="M1906" i="4"/>
  <c r="L1902" i="4"/>
  <c r="M1902" i="4"/>
  <c r="L1898" i="4"/>
  <c r="M1898" i="4"/>
  <c r="M1894" i="4"/>
  <c r="L1894" i="4"/>
  <c r="M1892" i="4"/>
  <c r="L1892" i="4"/>
  <c r="M1891" i="4"/>
  <c r="L1891" i="4"/>
  <c r="M1889" i="4"/>
  <c r="L1889" i="4"/>
  <c r="M1888" i="4"/>
  <c r="L1888" i="4"/>
  <c r="M1887" i="4"/>
  <c r="L1887" i="4"/>
  <c r="L1890" i="4"/>
  <c r="M1890" i="4"/>
  <c r="L1886" i="4"/>
  <c r="M1886" i="4"/>
  <c r="L1885" i="4"/>
  <c r="M1885" i="4"/>
  <c r="M1884" i="4"/>
  <c r="L1884" i="4"/>
  <c r="L1881" i="4"/>
  <c r="M1881" i="4"/>
  <c r="M1883" i="4"/>
  <c r="L1883" i="4"/>
  <c r="M1882" i="4"/>
  <c r="L1882" i="4"/>
  <c r="L1877" i="4"/>
  <c r="M1877" i="4"/>
  <c r="M1880" i="4"/>
  <c r="L1880" i="4"/>
  <c r="M1876" i="4"/>
  <c r="L1876" i="4"/>
  <c r="M1879" i="4"/>
  <c r="L1879" i="4"/>
  <c r="L1878" i="4"/>
  <c r="M1878" i="4"/>
  <c r="M1875" i="4"/>
  <c r="L1875" i="4"/>
  <c r="L1874" i="4"/>
  <c r="M1874" i="4"/>
  <c r="L1873" i="4"/>
  <c r="M1873" i="4"/>
  <c r="M1872" i="4"/>
  <c r="L1872" i="4"/>
  <c r="M1871" i="4"/>
  <c r="L1871" i="4"/>
  <c r="L1870" i="4"/>
  <c r="M1870" i="4"/>
  <c r="L1869" i="4"/>
  <c r="M1869" i="4"/>
  <c r="L1865" i="4"/>
  <c r="M1865" i="4"/>
  <c r="M1868" i="4"/>
  <c r="L1868" i="4"/>
  <c r="M1864" i="4"/>
  <c r="L1864" i="4"/>
  <c r="M1867" i="4"/>
  <c r="L1867" i="4"/>
  <c r="L1866" i="4"/>
  <c r="M1866" i="4"/>
  <c r="M1863" i="4"/>
  <c r="L1863" i="4"/>
  <c r="L1862" i="4"/>
  <c r="M1862" i="4"/>
  <c r="M1861" i="4"/>
  <c r="L1861" i="4"/>
  <c r="M1857" i="4"/>
  <c r="L1857" i="4"/>
  <c r="M1856" i="4"/>
  <c r="L1856" i="4"/>
  <c r="M1859" i="4"/>
  <c r="L1859" i="4"/>
  <c r="M1860" i="4"/>
  <c r="L1860" i="4"/>
  <c r="L1858" i="4"/>
  <c r="M1858" i="4"/>
  <c r="M1855" i="4"/>
  <c r="L1855" i="4"/>
  <c r="L1854" i="4"/>
  <c r="M1854" i="4"/>
  <c r="L1853" i="4"/>
  <c r="M1853" i="4"/>
  <c r="M1852" i="4"/>
  <c r="L1852" i="4"/>
  <c r="M1851" i="4"/>
  <c r="L1851" i="4"/>
  <c r="L1849" i="4"/>
  <c r="M1849" i="4"/>
  <c r="M1848" i="4"/>
  <c r="L1848" i="4"/>
  <c r="M1847" i="4"/>
  <c r="L1847" i="4"/>
  <c r="L1850" i="4"/>
  <c r="M1850" i="4"/>
  <c r="L1846" i="4"/>
  <c r="M1846" i="4"/>
  <c r="O1471" i="4" l="1"/>
  <c r="O1470" i="4"/>
  <c r="O1469" i="4"/>
  <c r="O1229" i="4"/>
  <c r="O1228" i="4"/>
  <c r="O1227" i="4"/>
  <c r="O1226" i="4"/>
  <c r="O1225" i="4"/>
  <c r="O1812" i="4"/>
  <c r="O1683" i="4"/>
  <c r="O1682" i="4"/>
  <c r="O1681" i="4"/>
  <c r="O1680" i="4"/>
  <c r="O1679" i="4"/>
  <c r="O1678" i="4"/>
  <c r="O1677" i="4"/>
  <c r="O1418" i="4"/>
  <c r="O1417" i="4"/>
  <c r="O1416" i="4"/>
  <c r="O1833" i="4"/>
  <c r="O1832" i="4"/>
  <c r="O1831" i="4"/>
  <c r="O1830" i="4"/>
  <c r="O1829" i="4"/>
  <c r="O1828" i="4"/>
  <c r="O1827" i="4"/>
  <c r="O1826" i="4"/>
  <c r="O1825" i="4"/>
  <c r="O1799" i="4"/>
  <c r="O1798" i="4"/>
  <c r="O1797" i="4"/>
  <c r="O1796" i="4"/>
  <c r="O1795" i="4"/>
  <c r="O1794" i="4"/>
  <c r="O1793" i="4"/>
  <c r="O1792" i="4"/>
  <c r="O1791" i="4"/>
  <c r="O1790" i="4"/>
  <c r="O1789" i="4"/>
  <c r="O1788" i="4"/>
  <c r="O1787" i="4"/>
  <c r="O1415" i="4"/>
  <c r="O1414" i="4"/>
  <c r="O1385" i="4"/>
  <c r="O1372" i="4"/>
  <c r="O1573" i="4"/>
  <c r="O1572" i="4"/>
  <c r="O1210" i="4"/>
  <c r="O1209" i="4"/>
  <c r="O1208" i="4"/>
  <c r="O1207" i="4"/>
  <c r="O1728" i="4"/>
  <c r="O1727" i="4"/>
  <c r="O1726" i="4"/>
  <c r="O1819" i="4" l="1"/>
  <c r="O1818" i="4"/>
  <c r="O1772" i="4"/>
  <c r="O1771" i="4"/>
  <c r="O1770" i="4"/>
  <c r="O1769" i="4"/>
  <c r="O1751" i="4"/>
  <c r="O1750" i="4"/>
  <c r="O1749" i="4"/>
  <c r="O1748" i="4"/>
  <c r="O1776" i="4"/>
  <c r="O1775" i="4"/>
  <c r="O1774" i="4"/>
  <c r="O1773" i="4"/>
  <c r="O1729" i="4"/>
  <c r="O1817" i="4" l="1"/>
  <c r="O1816" i="4"/>
  <c r="O1811" i="4"/>
  <c r="O1810" i="4"/>
  <c r="O1809" i="4"/>
  <c r="O1808" i="4"/>
  <c r="O1781" i="4"/>
  <c r="O1780" i="4"/>
  <c r="O1779" i="4"/>
  <c r="O1778" i="4"/>
  <c r="O1777" i="4"/>
  <c r="O1766" i="4"/>
  <c r="O1765" i="4"/>
  <c r="O1764" i="4"/>
  <c r="O1763" i="4"/>
  <c r="O1762" i="4"/>
  <c r="O1761" i="4"/>
  <c r="O1760" i="4"/>
  <c r="O1758" i="4"/>
  <c r="O1757" i="4"/>
  <c r="O1731" i="4"/>
  <c r="O1730" i="4"/>
  <c r="P1653" i="4"/>
  <c r="O1455" i="4" l="1"/>
  <c r="O1432" i="4"/>
  <c r="P1432" i="4" s="1"/>
  <c r="O1431" i="4"/>
  <c r="O1755" i="4"/>
  <c r="P1755" i="4" s="1"/>
  <c r="O1754" i="4"/>
  <c r="P1754" i="4" s="1"/>
  <c r="O1753" i="4"/>
  <c r="P1753" i="4" s="1"/>
  <c r="O1752" i="4"/>
  <c r="P1752" i="4" s="1"/>
  <c r="O1742" i="4"/>
  <c r="P1742" i="4" s="1"/>
  <c r="O1741" i="4"/>
  <c r="P1741" i="4" s="1"/>
  <c r="O1740" i="4"/>
  <c r="P1740" i="4" s="1"/>
  <c r="O1739" i="4"/>
  <c r="P1739" i="4" s="1"/>
  <c r="O1738" i="4"/>
  <c r="P1738" i="4" s="1"/>
  <c r="O1737" i="4"/>
  <c r="P1737" i="4" s="1"/>
  <c r="P1837" i="4"/>
  <c r="P1838" i="4"/>
  <c r="P1839" i="4"/>
  <c r="P1840" i="4"/>
  <c r="P1841" i="4"/>
  <c r="P1842" i="4"/>
  <c r="P1843" i="4"/>
  <c r="P1844" i="4"/>
  <c r="K1837" i="4"/>
  <c r="L1837" i="4" s="1"/>
  <c r="K1838" i="4"/>
  <c r="L1838" i="4" s="1"/>
  <c r="K1839" i="4"/>
  <c r="L1839" i="4" s="1"/>
  <c r="K1840" i="4"/>
  <c r="L1840" i="4" s="1"/>
  <c r="K1841" i="4"/>
  <c r="L1841" i="4" s="1"/>
  <c r="K1842" i="4"/>
  <c r="L1842" i="4" s="1"/>
  <c r="K1843" i="4"/>
  <c r="M1843" i="4" s="1"/>
  <c r="K1844" i="4"/>
  <c r="L1844" i="4" s="1"/>
  <c r="B1840" i="4"/>
  <c r="C1840" i="4"/>
  <c r="B1841" i="4"/>
  <c r="C1841" i="4"/>
  <c r="B1842" i="4"/>
  <c r="C1842" i="4"/>
  <c r="B1843" i="4"/>
  <c r="C1843" i="4"/>
  <c r="B1844" i="4"/>
  <c r="C1844" i="4"/>
  <c r="P1826" i="4"/>
  <c r="P1827" i="4"/>
  <c r="P1828" i="4"/>
  <c r="P1829" i="4"/>
  <c r="P1830" i="4"/>
  <c r="P1831" i="4"/>
  <c r="P1832" i="4"/>
  <c r="P1833" i="4"/>
  <c r="P1834" i="4"/>
  <c r="P1835" i="4"/>
  <c r="P1836" i="4"/>
  <c r="K1826" i="4"/>
  <c r="M1826" i="4" s="1"/>
  <c r="K1827" i="4"/>
  <c r="L1827" i="4" s="1"/>
  <c r="K1828" i="4"/>
  <c r="M1828" i="4" s="1"/>
  <c r="K1829" i="4"/>
  <c r="M1829" i="4" s="1"/>
  <c r="K1830" i="4"/>
  <c r="L1830" i="4" s="1"/>
  <c r="K1831" i="4"/>
  <c r="L1831" i="4" s="1"/>
  <c r="K1832" i="4"/>
  <c r="M1832" i="4" s="1"/>
  <c r="K1833" i="4"/>
  <c r="M1833" i="4" s="1"/>
  <c r="K1834" i="4"/>
  <c r="L1834" i="4" s="1"/>
  <c r="K1835" i="4"/>
  <c r="L1835" i="4" s="1"/>
  <c r="K1836" i="4"/>
  <c r="M1836" i="4" s="1"/>
  <c r="B1831" i="4"/>
  <c r="C1831" i="4"/>
  <c r="B1832" i="4"/>
  <c r="C1832" i="4"/>
  <c r="B1833" i="4"/>
  <c r="C1833" i="4"/>
  <c r="B1834" i="4"/>
  <c r="C1834" i="4"/>
  <c r="B1835" i="4"/>
  <c r="C1835" i="4"/>
  <c r="B1836" i="4"/>
  <c r="C1836" i="4"/>
  <c r="B1837" i="4"/>
  <c r="C1837" i="4"/>
  <c r="B1838" i="4"/>
  <c r="C1838" i="4"/>
  <c r="B1839" i="4"/>
  <c r="C1839" i="4"/>
  <c r="B1826" i="4"/>
  <c r="C1826" i="4"/>
  <c r="B1827" i="4"/>
  <c r="C1827" i="4"/>
  <c r="B1828" i="4"/>
  <c r="C1828" i="4"/>
  <c r="B1829" i="4"/>
  <c r="C1829" i="4"/>
  <c r="B1830" i="4"/>
  <c r="C1830" i="4"/>
  <c r="P1823" i="4"/>
  <c r="P1821" i="4"/>
  <c r="P1819" i="4"/>
  <c r="P1809" i="4"/>
  <c r="B1804" i="4"/>
  <c r="C1804" i="4"/>
  <c r="B1805" i="4"/>
  <c r="C1805" i="4"/>
  <c r="B1806" i="4"/>
  <c r="C1806" i="4"/>
  <c r="B1807" i="4"/>
  <c r="C1807" i="4"/>
  <c r="B1808" i="4"/>
  <c r="C1808" i="4"/>
  <c r="B1809" i="4"/>
  <c r="C1809" i="4"/>
  <c r="B1810" i="4"/>
  <c r="C1810" i="4"/>
  <c r="B1811" i="4"/>
  <c r="C1811" i="4"/>
  <c r="B1812" i="4"/>
  <c r="C1812" i="4"/>
  <c r="B1813" i="4"/>
  <c r="C1813" i="4"/>
  <c r="B1814" i="4"/>
  <c r="C1814" i="4"/>
  <c r="B1815" i="4"/>
  <c r="C1815" i="4"/>
  <c r="B1816" i="4"/>
  <c r="C1816" i="4"/>
  <c r="B1817" i="4"/>
  <c r="C1817" i="4"/>
  <c r="B1818" i="4"/>
  <c r="C1818" i="4"/>
  <c r="B1819" i="4"/>
  <c r="C1819" i="4"/>
  <c r="B1820" i="4"/>
  <c r="C1820" i="4"/>
  <c r="B1821" i="4"/>
  <c r="C1821" i="4"/>
  <c r="B1822" i="4"/>
  <c r="C1822" i="4"/>
  <c r="B1823" i="4"/>
  <c r="C1823" i="4"/>
  <c r="B1824" i="4"/>
  <c r="C1824" i="4"/>
  <c r="B1825" i="4"/>
  <c r="C1825" i="4"/>
  <c r="K1804" i="4"/>
  <c r="L1804" i="4" s="1"/>
  <c r="K1805" i="4"/>
  <c r="L1805" i="4" s="1"/>
  <c r="K1806" i="4"/>
  <c r="M1806" i="4" s="1"/>
  <c r="K1807" i="4"/>
  <c r="L1807" i="4" s="1"/>
  <c r="K1808" i="4"/>
  <c r="M1808" i="4" s="1"/>
  <c r="K1809" i="4"/>
  <c r="L1809" i="4" s="1"/>
  <c r="K1810" i="4"/>
  <c r="M1810" i="4" s="1"/>
  <c r="K1811" i="4"/>
  <c r="L1811" i="4" s="1"/>
  <c r="K1812" i="4"/>
  <c r="L1812" i="4" s="1"/>
  <c r="K1813" i="4"/>
  <c r="L1813" i="4" s="1"/>
  <c r="K1814" i="4"/>
  <c r="M1814" i="4" s="1"/>
  <c r="K1815" i="4"/>
  <c r="L1815" i="4" s="1"/>
  <c r="K1816" i="4"/>
  <c r="L1816" i="4" s="1"/>
  <c r="K1817" i="4"/>
  <c r="L1817" i="4" s="1"/>
  <c r="K1818" i="4"/>
  <c r="M1818" i="4" s="1"/>
  <c r="K1819" i="4"/>
  <c r="L1819" i="4" s="1"/>
  <c r="K1820" i="4"/>
  <c r="L1820" i="4" s="1"/>
  <c r="K1821" i="4"/>
  <c r="L1821" i="4" s="1"/>
  <c r="K1822" i="4"/>
  <c r="M1822" i="4" s="1"/>
  <c r="K1823" i="4"/>
  <c r="M1823" i="4" s="1"/>
  <c r="K1824" i="4"/>
  <c r="L1824" i="4" s="1"/>
  <c r="K1825" i="4"/>
  <c r="L1825" i="4" s="1"/>
  <c r="P1783" i="4"/>
  <c r="P1784" i="4"/>
  <c r="P1785" i="4"/>
  <c r="P1786" i="4"/>
  <c r="P1787" i="4"/>
  <c r="P1788" i="4"/>
  <c r="P1789" i="4"/>
  <c r="P1790" i="4"/>
  <c r="P1791" i="4"/>
  <c r="P1792" i="4"/>
  <c r="P1793" i="4"/>
  <c r="P1794" i="4"/>
  <c r="P1795" i="4"/>
  <c r="P1796" i="4"/>
  <c r="P1797" i="4"/>
  <c r="P1798" i="4"/>
  <c r="P1799" i="4"/>
  <c r="P1800" i="4"/>
  <c r="P1801" i="4"/>
  <c r="P1802" i="4"/>
  <c r="P1803" i="4"/>
  <c r="P1804" i="4"/>
  <c r="P1805" i="4"/>
  <c r="P1806" i="4"/>
  <c r="P1807" i="4"/>
  <c r="P1808" i="4"/>
  <c r="P1810" i="4"/>
  <c r="P1811" i="4"/>
  <c r="P1812" i="4"/>
  <c r="P1813" i="4"/>
  <c r="P1814" i="4"/>
  <c r="P1815" i="4"/>
  <c r="P1816" i="4"/>
  <c r="P1817" i="4"/>
  <c r="P1818" i="4"/>
  <c r="P1820" i="4"/>
  <c r="P1822" i="4"/>
  <c r="P1824" i="4"/>
  <c r="P1825" i="4"/>
  <c r="K1784" i="4"/>
  <c r="M1784" i="4" s="1"/>
  <c r="K1785" i="4"/>
  <c r="L1785" i="4" s="1"/>
  <c r="K1786" i="4"/>
  <c r="L1786" i="4" s="1"/>
  <c r="K1787" i="4"/>
  <c r="M1787" i="4" s="1"/>
  <c r="K1788" i="4"/>
  <c r="L1788" i="4" s="1"/>
  <c r="K1789" i="4"/>
  <c r="L1789" i="4" s="1"/>
  <c r="K1790" i="4"/>
  <c r="L1790" i="4" s="1"/>
  <c r="K1791" i="4"/>
  <c r="L1791" i="4" s="1"/>
  <c r="K1792" i="4"/>
  <c r="L1792" i="4" s="1"/>
  <c r="K1793" i="4"/>
  <c r="L1793" i="4" s="1"/>
  <c r="K1794" i="4"/>
  <c r="L1794" i="4" s="1"/>
  <c r="K1795" i="4"/>
  <c r="L1795" i="4" s="1"/>
  <c r="K1796" i="4"/>
  <c r="L1796" i="4" s="1"/>
  <c r="K1797" i="4"/>
  <c r="L1797" i="4" s="1"/>
  <c r="K1798" i="4"/>
  <c r="L1798" i="4" s="1"/>
  <c r="K1799" i="4"/>
  <c r="L1799" i="4" s="1"/>
  <c r="K1800" i="4"/>
  <c r="L1800" i="4" s="1"/>
  <c r="K1801" i="4"/>
  <c r="L1801" i="4" s="1"/>
  <c r="K1802" i="4"/>
  <c r="L1802" i="4" s="1"/>
  <c r="K1803" i="4"/>
  <c r="L1803" i="4" s="1"/>
  <c r="B1783" i="4"/>
  <c r="C1783" i="4"/>
  <c r="B1784" i="4"/>
  <c r="C1784" i="4"/>
  <c r="B1785" i="4"/>
  <c r="C1785" i="4"/>
  <c r="B1786" i="4"/>
  <c r="C1786" i="4"/>
  <c r="B1787" i="4"/>
  <c r="C1787" i="4"/>
  <c r="B1788" i="4"/>
  <c r="C1788" i="4"/>
  <c r="B1789" i="4"/>
  <c r="C1789" i="4"/>
  <c r="B1790" i="4"/>
  <c r="C1790" i="4"/>
  <c r="B1791" i="4"/>
  <c r="C1791" i="4"/>
  <c r="B1792" i="4"/>
  <c r="C1792" i="4"/>
  <c r="B1793" i="4"/>
  <c r="C1793" i="4"/>
  <c r="B1794" i="4"/>
  <c r="C1794" i="4"/>
  <c r="B1795" i="4"/>
  <c r="C1795" i="4"/>
  <c r="B1796" i="4"/>
  <c r="C1796" i="4"/>
  <c r="B1797" i="4"/>
  <c r="C1797" i="4"/>
  <c r="B1798" i="4"/>
  <c r="C1798" i="4"/>
  <c r="B1799" i="4"/>
  <c r="C1799" i="4"/>
  <c r="B1800" i="4"/>
  <c r="C1800" i="4"/>
  <c r="B1801" i="4"/>
  <c r="C1801" i="4"/>
  <c r="B1802" i="4"/>
  <c r="C1802" i="4"/>
  <c r="B1803" i="4"/>
  <c r="C1803" i="4"/>
  <c r="K1767" i="4"/>
  <c r="L1767" i="4" s="1"/>
  <c r="K1768" i="4"/>
  <c r="M1768" i="4" s="1"/>
  <c r="K1769" i="4"/>
  <c r="L1769" i="4" s="1"/>
  <c r="K1770" i="4"/>
  <c r="M1770" i="4" s="1"/>
  <c r="K1771" i="4"/>
  <c r="M1771" i="4" s="1"/>
  <c r="K1772" i="4"/>
  <c r="M1772" i="4" s="1"/>
  <c r="K1773" i="4"/>
  <c r="M1773" i="4" s="1"/>
  <c r="K1774" i="4"/>
  <c r="M1774" i="4" s="1"/>
  <c r="K1775" i="4"/>
  <c r="M1775" i="4" s="1"/>
  <c r="K1776" i="4"/>
  <c r="M1776" i="4" s="1"/>
  <c r="K1777" i="4"/>
  <c r="M1777" i="4" s="1"/>
  <c r="K1778" i="4"/>
  <c r="M1778" i="4" s="1"/>
  <c r="K1779" i="4"/>
  <c r="L1779" i="4" s="1"/>
  <c r="K1780" i="4"/>
  <c r="M1780" i="4" s="1"/>
  <c r="K1781" i="4"/>
  <c r="L1781" i="4" s="1"/>
  <c r="K1782" i="4"/>
  <c r="M1782" i="4" s="1"/>
  <c r="K1783" i="4"/>
  <c r="M1783" i="4" s="1"/>
  <c r="K1759" i="4"/>
  <c r="L1759" i="4" s="1"/>
  <c r="K1760" i="4"/>
  <c r="L1760" i="4" s="1"/>
  <c r="K1761" i="4"/>
  <c r="L1761" i="4" s="1"/>
  <c r="K1762" i="4"/>
  <c r="M1762" i="4" s="1"/>
  <c r="K1763" i="4"/>
  <c r="M1763" i="4" s="1"/>
  <c r="K1764" i="4"/>
  <c r="M1764" i="4" s="1"/>
  <c r="K1765" i="4"/>
  <c r="L1765" i="4" s="1"/>
  <c r="K1766" i="4"/>
  <c r="M1766" i="4" s="1"/>
  <c r="P1756" i="4"/>
  <c r="P1757" i="4"/>
  <c r="P1758" i="4"/>
  <c r="P1759" i="4"/>
  <c r="P1760" i="4"/>
  <c r="P1761" i="4"/>
  <c r="P1762" i="4"/>
  <c r="P1763" i="4"/>
  <c r="P1764" i="4"/>
  <c r="P1765" i="4"/>
  <c r="P1766" i="4"/>
  <c r="P1767" i="4"/>
  <c r="P1768" i="4"/>
  <c r="P1769" i="4"/>
  <c r="P1770" i="4"/>
  <c r="P1771" i="4"/>
  <c r="P1772" i="4"/>
  <c r="P1773" i="4"/>
  <c r="P1774" i="4"/>
  <c r="P1775" i="4"/>
  <c r="P1776" i="4"/>
  <c r="P1777" i="4"/>
  <c r="P1778" i="4"/>
  <c r="P1779" i="4"/>
  <c r="P1780" i="4"/>
  <c r="P1781" i="4"/>
  <c r="P1782" i="4"/>
  <c r="K1752" i="4"/>
  <c r="L1752" i="4" s="1"/>
  <c r="K1753" i="4"/>
  <c r="L1753" i="4" s="1"/>
  <c r="K1754" i="4"/>
  <c r="L1754" i="4" s="1"/>
  <c r="K1755" i="4"/>
  <c r="L1755" i="4" s="1"/>
  <c r="K1756" i="4"/>
  <c r="L1756" i="4" s="1"/>
  <c r="K1757" i="4"/>
  <c r="M1757" i="4" s="1"/>
  <c r="K1758" i="4"/>
  <c r="L1758" i="4" s="1"/>
  <c r="B1752" i="4"/>
  <c r="C1752" i="4"/>
  <c r="B1753" i="4"/>
  <c r="C1753" i="4"/>
  <c r="B1754" i="4"/>
  <c r="C1754" i="4"/>
  <c r="B1755" i="4"/>
  <c r="C1755" i="4"/>
  <c r="B1756" i="4"/>
  <c r="C1756" i="4"/>
  <c r="B1757" i="4"/>
  <c r="C1757" i="4"/>
  <c r="B1758" i="4"/>
  <c r="C1758" i="4"/>
  <c r="B1759" i="4"/>
  <c r="C1759" i="4"/>
  <c r="B1760" i="4"/>
  <c r="C1760" i="4"/>
  <c r="B1761" i="4"/>
  <c r="C1761" i="4"/>
  <c r="B1762" i="4"/>
  <c r="C1762" i="4"/>
  <c r="B1763" i="4"/>
  <c r="C1763" i="4"/>
  <c r="B1764" i="4"/>
  <c r="C1764" i="4"/>
  <c r="B1765" i="4"/>
  <c r="C1765" i="4"/>
  <c r="B1766" i="4"/>
  <c r="C1766" i="4"/>
  <c r="B1767" i="4"/>
  <c r="C1767" i="4"/>
  <c r="B1768" i="4"/>
  <c r="C1768" i="4"/>
  <c r="B1769" i="4"/>
  <c r="C1769" i="4"/>
  <c r="B1770" i="4"/>
  <c r="C1770" i="4"/>
  <c r="B1771" i="4"/>
  <c r="C1771" i="4"/>
  <c r="B1772" i="4"/>
  <c r="C1772" i="4"/>
  <c r="B1773" i="4"/>
  <c r="C1773" i="4"/>
  <c r="B1774" i="4"/>
  <c r="C1774" i="4"/>
  <c r="B1775" i="4"/>
  <c r="C1775" i="4"/>
  <c r="B1776" i="4"/>
  <c r="C1776" i="4"/>
  <c r="B1777" i="4"/>
  <c r="C1777" i="4"/>
  <c r="B1778" i="4"/>
  <c r="C1778" i="4"/>
  <c r="B1779" i="4"/>
  <c r="C1779" i="4"/>
  <c r="B1780" i="4"/>
  <c r="C1780" i="4"/>
  <c r="B1781" i="4"/>
  <c r="C1781" i="4"/>
  <c r="B1782" i="4"/>
  <c r="C1782" i="4"/>
  <c r="P1749" i="4"/>
  <c r="P1748" i="4"/>
  <c r="B1751" i="4"/>
  <c r="C1751" i="4"/>
  <c r="C1741" i="4"/>
  <c r="C1742" i="4"/>
  <c r="C1743" i="4"/>
  <c r="C1744" i="4"/>
  <c r="C1745" i="4"/>
  <c r="C1746" i="4"/>
  <c r="C1747" i="4"/>
  <c r="C1748" i="4"/>
  <c r="C1749" i="4"/>
  <c r="C1750" i="4"/>
  <c r="B1734" i="4"/>
  <c r="B1735" i="4"/>
  <c r="B1736" i="4"/>
  <c r="B1737" i="4"/>
  <c r="B1738" i="4"/>
  <c r="B1739" i="4"/>
  <c r="B1740" i="4"/>
  <c r="B1741" i="4"/>
  <c r="B1742" i="4"/>
  <c r="B1743" i="4"/>
  <c r="B1744" i="4"/>
  <c r="B1745" i="4"/>
  <c r="B1746" i="4"/>
  <c r="B1747" i="4"/>
  <c r="B1748" i="4"/>
  <c r="B1749" i="4"/>
  <c r="B1750" i="4"/>
  <c r="P1732" i="4"/>
  <c r="P1733" i="4"/>
  <c r="P1734" i="4"/>
  <c r="P1735" i="4"/>
  <c r="P1736" i="4"/>
  <c r="P1743" i="4"/>
  <c r="P1744" i="4"/>
  <c r="P1745" i="4"/>
  <c r="P1746" i="4"/>
  <c r="P1747" i="4"/>
  <c r="P1750" i="4"/>
  <c r="P1751" i="4"/>
  <c r="K1740" i="4"/>
  <c r="L1740" i="4" s="1"/>
  <c r="K1741" i="4"/>
  <c r="L1741" i="4" s="1"/>
  <c r="K1742" i="4"/>
  <c r="L1742" i="4" s="1"/>
  <c r="K1743" i="4"/>
  <c r="L1743" i="4" s="1"/>
  <c r="K1744" i="4"/>
  <c r="L1744" i="4" s="1"/>
  <c r="K1745" i="4"/>
  <c r="L1745" i="4" s="1"/>
  <c r="K1746" i="4"/>
  <c r="M1746" i="4" s="1"/>
  <c r="K1747" i="4"/>
  <c r="M1747" i="4" s="1"/>
  <c r="K1748" i="4"/>
  <c r="L1748" i="4" s="1"/>
  <c r="K1749" i="4"/>
  <c r="L1749" i="4" s="1"/>
  <c r="K1750" i="4"/>
  <c r="L1750" i="4" s="1"/>
  <c r="K1751" i="4"/>
  <c r="M1751" i="4" s="1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P1730" i="4"/>
  <c r="P1731" i="4"/>
  <c r="P1729" i="4"/>
  <c r="K1729" i="4"/>
  <c r="L1729" i="4" s="1"/>
  <c r="K1730" i="4"/>
  <c r="L1730" i="4" s="1"/>
  <c r="K1731" i="4"/>
  <c r="L1731" i="4" s="1"/>
  <c r="K1732" i="4"/>
  <c r="L1732" i="4" s="1"/>
  <c r="K1733" i="4"/>
  <c r="M1733" i="4" s="1"/>
  <c r="K1734" i="4"/>
  <c r="L1734" i="4" s="1"/>
  <c r="K1735" i="4"/>
  <c r="L1735" i="4" s="1"/>
  <c r="K1736" i="4"/>
  <c r="L1736" i="4" s="1"/>
  <c r="K1737" i="4"/>
  <c r="M1737" i="4" s="1"/>
  <c r="K1738" i="4"/>
  <c r="M1738" i="4" s="1"/>
  <c r="K1739" i="4"/>
  <c r="M1739" i="4" s="1"/>
  <c r="B1728" i="4"/>
  <c r="B1729" i="4"/>
  <c r="B1730" i="4"/>
  <c r="B1731" i="4"/>
  <c r="B1732" i="4"/>
  <c r="B1733" i="4"/>
  <c r="M1767" i="4" l="1"/>
  <c r="L1833" i="4"/>
  <c r="L1771" i="4"/>
  <c r="M1824" i="4"/>
  <c r="L1777" i="4"/>
  <c r="L1763" i="4"/>
  <c r="L1775" i="4"/>
  <c r="M1761" i="4"/>
  <c r="L1828" i="4"/>
  <c r="M1844" i="4"/>
  <c r="L1778" i="4"/>
  <c r="L1829" i="4"/>
  <c r="L1776" i="4"/>
  <c r="L1768" i="4"/>
  <c r="L1836" i="4"/>
  <c r="L1826" i="4"/>
  <c r="M1820" i="4"/>
  <c r="M1839" i="4"/>
  <c r="L1772" i="4"/>
  <c r="M1765" i="4"/>
  <c r="L1822" i="4"/>
  <c r="M1781" i="4"/>
  <c r="M1769" i="4"/>
  <c r="M1753" i="4"/>
  <c r="L1808" i="4"/>
  <c r="M1830" i="4"/>
  <c r="M1840" i="4"/>
  <c r="L1773" i="4"/>
  <c r="L1823" i="4"/>
  <c r="L1832" i="4"/>
  <c r="L1843" i="4"/>
  <c r="M1841" i="4"/>
  <c r="M1837" i="4"/>
  <c r="M1842" i="4"/>
  <c r="M1838" i="4"/>
  <c r="M1834" i="4"/>
  <c r="M1835" i="4"/>
  <c r="M1831" i="4"/>
  <c r="M1827" i="4"/>
  <c r="L1738" i="4"/>
  <c r="M1731" i="4"/>
  <c r="M1742" i="4"/>
  <c r="L1810" i="4"/>
  <c r="L1783" i="4"/>
  <c r="M1752" i="4"/>
  <c r="L1751" i="4"/>
  <c r="L1747" i="4"/>
  <c r="L1739" i="4"/>
  <c r="M1815" i="4"/>
  <c r="M1807" i="4"/>
  <c r="L1764" i="4"/>
  <c r="M1754" i="4"/>
  <c r="L1746" i="4"/>
  <c r="L1787" i="4"/>
  <c r="L1818" i="4"/>
  <c r="M1819" i="4"/>
  <c r="M1816" i="4"/>
  <c r="L1814" i="4"/>
  <c r="M1812" i="4"/>
  <c r="M1811" i="4"/>
  <c r="M1803" i="4"/>
  <c r="M1801" i="4"/>
  <c r="M1804" i="4"/>
  <c r="M1802" i="4"/>
  <c r="M1800" i="4"/>
  <c r="L1806" i="4"/>
  <c r="M1799" i="4"/>
  <c r="M1798" i="4"/>
  <c r="M1794" i="4"/>
  <c r="M1790" i="4"/>
  <c r="M1795" i="4"/>
  <c r="M1797" i="4"/>
  <c r="M1793" i="4"/>
  <c r="M1789" i="4"/>
  <c r="M1791" i="4"/>
  <c r="M1796" i="4"/>
  <c r="M1792" i="4"/>
  <c r="M1788" i="4"/>
  <c r="L1784" i="4"/>
  <c r="M1786" i="4"/>
  <c r="M1785" i="4"/>
  <c r="L1782" i="4"/>
  <c r="M1825" i="4"/>
  <c r="M1821" i="4"/>
  <c r="M1817" i="4"/>
  <c r="M1813" i="4"/>
  <c r="M1809" i="4"/>
  <c r="M1805" i="4"/>
  <c r="L1780" i="4"/>
  <c r="M1779" i="4"/>
  <c r="L1774" i="4"/>
  <c r="L1770" i="4"/>
  <c r="L1766" i="4"/>
  <c r="L1762" i="4"/>
  <c r="M1755" i="4"/>
  <c r="M1759" i="4"/>
  <c r="L1757" i="4"/>
  <c r="M1760" i="4"/>
  <c r="M1758" i="4"/>
  <c r="M1756" i="4"/>
  <c r="M1743" i="4"/>
  <c r="M1750" i="4"/>
  <c r="M1735" i="4"/>
  <c r="M1734" i="4"/>
  <c r="M1748" i="4"/>
  <c r="M1740" i="4"/>
  <c r="M1744" i="4"/>
  <c r="M1749" i="4"/>
  <c r="M1745" i="4"/>
  <c r="M1741" i="4"/>
  <c r="L1737" i="4"/>
  <c r="L1733" i="4"/>
  <c r="M1730" i="4"/>
  <c r="M1736" i="4"/>
  <c r="M1732" i="4"/>
  <c r="M1729" i="4"/>
  <c r="O1700" i="4" l="1"/>
  <c r="O1699" i="4"/>
  <c r="O1698" i="4"/>
  <c r="O1697" i="4"/>
  <c r="O1696" i="4"/>
  <c r="O1695" i="4"/>
  <c r="O1694" i="4"/>
  <c r="O1693" i="4"/>
  <c r="O1613" i="4"/>
  <c r="O1723" i="4"/>
  <c r="O1722" i="4"/>
  <c r="O1721" i="4"/>
  <c r="O1712" i="4"/>
  <c r="O1711" i="4"/>
  <c r="O1710" i="4"/>
  <c r="O1709" i="4"/>
  <c r="O1661" i="4"/>
  <c r="O1662" i="4"/>
  <c r="O1663" i="4"/>
  <c r="O1664" i="4"/>
  <c r="O1665" i="4"/>
  <c r="O1666" i="4"/>
  <c r="O1667" i="4"/>
  <c r="O1668" i="4"/>
  <c r="O1364" i="4"/>
  <c r="O1363" i="4"/>
  <c r="O1362" i="4"/>
  <c r="O1713" i="4"/>
  <c r="O1689" i="4"/>
  <c r="O1688" i="4"/>
  <c r="O1687" i="4"/>
  <c r="O1686" i="4"/>
  <c r="O1725" i="4"/>
  <c r="O1724" i="4"/>
  <c r="O1703" i="4"/>
  <c r="O1702" i="4"/>
  <c r="O1701" i="4"/>
  <c r="O1652" i="4"/>
  <c r="O1651" i="4"/>
  <c r="O1650" i="4"/>
  <c r="O1642" i="4"/>
  <c r="O1641" i="4"/>
  <c r="O1640" i="4"/>
  <c r="O1639" i="4"/>
  <c r="O1638" i="4"/>
  <c r="O1637" i="4"/>
  <c r="O1393" i="4"/>
  <c r="O1392" i="4"/>
  <c r="O1391" i="4"/>
  <c r="O1390" i="4"/>
  <c r="O1389" i="4"/>
  <c r="O1333" i="4"/>
  <c r="O1332" i="4"/>
  <c r="O1331" i="4"/>
  <c r="O1330" i="4"/>
  <c r="O1329" i="4"/>
  <c r="O1328" i="4"/>
  <c r="O1309" i="4"/>
  <c r="O1308" i="4"/>
  <c r="O1307" i="4"/>
  <c r="O1306" i="4"/>
  <c r="O1305" i="4"/>
  <c r="O1304" i="4"/>
  <c r="O1303" i="4"/>
  <c r="O1399" i="4"/>
  <c r="P1399" i="4" s="1"/>
  <c r="O1343" i="4"/>
  <c r="P1343" i="4" s="1"/>
  <c r="O1342" i="4"/>
  <c r="P1342" i="4" s="1"/>
  <c r="O1341" i="4"/>
  <c r="P1341" i="4" s="1"/>
  <c r="O1340" i="4"/>
  <c r="O1339" i="4"/>
  <c r="O1338" i="4"/>
  <c r="O1717" i="4"/>
  <c r="O1716" i="4"/>
  <c r="O1715" i="4"/>
  <c r="O1714" i="4"/>
  <c r="O1224" i="4"/>
  <c r="O1223" i="4"/>
  <c r="O1622" i="4"/>
  <c r="O1621" i="4"/>
  <c r="O1636" i="4"/>
  <c r="O1635" i="4"/>
  <c r="O1634" i="4"/>
  <c r="O1587" i="4"/>
  <c r="O1586" i="4"/>
  <c r="O1519" i="4"/>
  <c r="O1518" i="4"/>
  <c r="O1517" i="4"/>
  <c r="O1516" i="4"/>
  <c r="O1515" i="4"/>
  <c r="O1514" i="4"/>
  <c r="P1708" i="4" l="1"/>
  <c r="P1709" i="4"/>
  <c r="P1710" i="4"/>
  <c r="P1711" i="4"/>
  <c r="P1712" i="4"/>
  <c r="P1713" i="4"/>
  <c r="P1714" i="4"/>
  <c r="P1715" i="4"/>
  <c r="P1716" i="4"/>
  <c r="P1717" i="4"/>
  <c r="P1718" i="4"/>
  <c r="P1719" i="4"/>
  <c r="P1720" i="4"/>
  <c r="P1721" i="4"/>
  <c r="P1722" i="4"/>
  <c r="P1723" i="4"/>
  <c r="P1724" i="4"/>
  <c r="P1725" i="4"/>
  <c r="P1726" i="4"/>
  <c r="P1727" i="4"/>
  <c r="P1728" i="4"/>
  <c r="K1708" i="4"/>
  <c r="L1708" i="4" s="1"/>
  <c r="K1709" i="4"/>
  <c r="L1709" i="4" s="1"/>
  <c r="K1710" i="4"/>
  <c r="L1710" i="4" s="1"/>
  <c r="K1711" i="4"/>
  <c r="L1711" i="4" s="1"/>
  <c r="K1712" i="4"/>
  <c r="L1712" i="4" s="1"/>
  <c r="K1713" i="4"/>
  <c r="L1713" i="4" s="1"/>
  <c r="K1714" i="4"/>
  <c r="L1714" i="4" s="1"/>
  <c r="K1715" i="4"/>
  <c r="L1715" i="4" s="1"/>
  <c r="K1716" i="4"/>
  <c r="L1716" i="4" s="1"/>
  <c r="K1717" i="4"/>
  <c r="L1717" i="4" s="1"/>
  <c r="K1718" i="4"/>
  <c r="L1718" i="4" s="1"/>
  <c r="K1719" i="4"/>
  <c r="L1719" i="4" s="1"/>
  <c r="K1720" i="4"/>
  <c r="L1720" i="4" s="1"/>
  <c r="K1721" i="4"/>
  <c r="L1721" i="4" s="1"/>
  <c r="K1722" i="4"/>
  <c r="L1722" i="4" s="1"/>
  <c r="K1723" i="4"/>
  <c r="L1723" i="4" s="1"/>
  <c r="K1724" i="4"/>
  <c r="L1724" i="4" s="1"/>
  <c r="K1725" i="4"/>
  <c r="L1725" i="4" s="1"/>
  <c r="K1726" i="4"/>
  <c r="L1726" i="4" s="1"/>
  <c r="K1727" i="4"/>
  <c r="L1727" i="4" s="1"/>
  <c r="K1728" i="4"/>
  <c r="L1728" i="4" s="1"/>
  <c r="B1707" i="4"/>
  <c r="C1707" i="4"/>
  <c r="B1708" i="4"/>
  <c r="C1708" i="4"/>
  <c r="B1709" i="4"/>
  <c r="C1709" i="4"/>
  <c r="B1710" i="4"/>
  <c r="C1710" i="4"/>
  <c r="B1711" i="4"/>
  <c r="C1711" i="4"/>
  <c r="B1712" i="4"/>
  <c r="C1712" i="4"/>
  <c r="B1713" i="4"/>
  <c r="C1713" i="4"/>
  <c r="B1714" i="4"/>
  <c r="C1714" i="4"/>
  <c r="B1715" i="4"/>
  <c r="C1715" i="4"/>
  <c r="B1716" i="4"/>
  <c r="C1716" i="4"/>
  <c r="B1717" i="4"/>
  <c r="C1717" i="4"/>
  <c r="B1718" i="4"/>
  <c r="C1718" i="4"/>
  <c r="B1719" i="4"/>
  <c r="C1719" i="4"/>
  <c r="B1720" i="4"/>
  <c r="C1720" i="4"/>
  <c r="B1721" i="4"/>
  <c r="C1721" i="4"/>
  <c r="B1722" i="4"/>
  <c r="C1722" i="4"/>
  <c r="B1723" i="4"/>
  <c r="C1723" i="4"/>
  <c r="B1724" i="4"/>
  <c r="C1724" i="4"/>
  <c r="B1725" i="4"/>
  <c r="C1725" i="4"/>
  <c r="B1726" i="4"/>
  <c r="C1726" i="4"/>
  <c r="B1727" i="4"/>
  <c r="C1727" i="4"/>
  <c r="C1728" i="4"/>
  <c r="M1722" i="4" l="1"/>
  <c r="M1714" i="4"/>
  <c r="M1726" i="4"/>
  <c r="M1718" i="4"/>
  <c r="M1710" i="4"/>
  <c r="M1727" i="4"/>
  <c r="M1723" i="4"/>
  <c r="M1719" i="4"/>
  <c r="M1715" i="4"/>
  <c r="M1711" i="4"/>
  <c r="M1712" i="4"/>
  <c r="M1708" i="4"/>
  <c r="M1728" i="4"/>
  <c r="M1724" i="4"/>
  <c r="M1720" i="4"/>
  <c r="M1716" i="4"/>
  <c r="M1725" i="4"/>
  <c r="M1721" i="4"/>
  <c r="M1717" i="4"/>
  <c r="M1713" i="4"/>
  <c r="M1709" i="4"/>
  <c r="P1639" i="4" l="1"/>
  <c r="P1640" i="4"/>
  <c r="P1641" i="4"/>
  <c r="P1642" i="4"/>
  <c r="P1643" i="4"/>
  <c r="P1644" i="4"/>
  <c r="P1645" i="4"/>
  <c r="P1646" i="4"/>
  <c r="P1647" i="4"/>
  <c r="P1648" i="4"/>
  <c r="P1649" i="4"/>
  <c r="P1650" i="4"/>
  <c r="P1651" i="4"/>
  <c r="P1652" i="4"/>
  <c r="P1654" i="4"/>
  <c r="P1655" i="4"/>
  <c r="P1656" i="4"/>
  <c r="P1657" i="4"/>
  <c r="P1658" i="4"/>
  <c r="P1659" i="4"/>
  <c r="P1660" i="4"/>
  <c r="P1661" i="4"/>
  <c r="P1662" i="4"/>
  <c r="P1663" i="4"/>
  <c r="P1664" i="4"/>
  <c r="P1665" i="4"/>
  <c r="P1666" i="4"/>
  <c r="P1667" i="4"/>
  <c r="P1668" i="4"/>
  <c r="P1669" i="4"/>
  <c r="P1670" i="4"/>
  <c r="P1671" i="4"/>
  <c r="P1672" i="4"/>
  <c r="P1673" i="4"/>
  <c r="P1674" i="4"/>
  <c r="P1675" i="4"/>
  <c r="P1676" i="4"/>
  <c r="P1677" i="4"/>
  <c r="P1678" i="4"/>
  <c r="P1679" i="4"/>
  <c r="P1680" i="4"/>
  <c r="P1681" i="4"/>
  <c r="P1682" i="4"/>
  <c r="P1683" i="4"/>
  <c r="P1684" i="4"/>
  <c r="P1685" i="4"/>
  <c r="P1686" i="4"/>
  <c r="P1687" i="4"/>
  <c r="P1688" i="4"/>
  <c r="P1689" i="4"/>
  <c r="P1690" i="4"/>
  <c r="P1691" i="4"/>
  <c r="P1692" i="4"/>
  <c r="P1693" i="4"/>
  <c r="P1694" i="4"/>
  <c r="P1695" i="4"/>
  <c r="P1696" i="4"/>
  <c r="P1697" i="4"/>
  <c r="P1698" i="4"/>
  <c r="P1699" i="4"/>
  <c r="P1700" i="4"/>
  <c r="P1701" i="4"/>
  <c r="P1702" i="4"/>
  <c r="P1703" i="4"/>
  <c r="P1704" i="4"/>
  <c r="P1705" i="4"/>
  <c r="P1706" i="4"/>
  <c r="P1707" i="4"/>
  <c r="P1634" i="4"/>
  <c r="P1635" i="4"/>
  <c r="P1636" i="4"/>
  <c r="P1637" i="4"/>
  <c r="P1638" i="4"/>
  <c r="K1634" i="4"/>
  <c r="M1634" i="4" s="1"/>
  <c r="K1635" i="4"/>
  <c r="L1635" i="4" s="1"/>
  <c r="K1636" i="4"/>
  <c r="L1636" i="4" s="1"/>
  <c r="K1637" i="4"/>
  <c r="M1637" i="4" s="1"/>
  <c r="K1638" i="4"/>
  <c r="L1638" i="4" s="1"/>
  <c r="K1639" i="4"/>
  <c r="L1639" i="4" s="1"/>
  <c r="K1640" i="4"/>
  <c r="L1640" i="4" s="1"/>
  <c r="K1641" i="4"/>
  <c r="M1641" i="4" s="1"/>
  <c r="K1642" i="4"/>
  <c r="L1642" i="4" s="1"/>
  <c r="K1643" i="4"/>
  <c r="L1643" i="4" s="1"/>
  <c r="K1644" i="4"/>
  <c r="L1644" i="4" s="1"/>
  <c r="K1645" i="4"/>
  <c r="M1645" i="4" s="1"/>
  <c r="K1646" i="4"/>
  <c r="L1646" i="4" s="1"/>
  <c r="K1647" i="4"/>
  <c r="L1647" i="4" s="1"/>
  <c r="K1648" i="4"/>
  <c r="L1648" i="4" s="1"/>
  <c r="K1649" i="4"/>
  <c r="M1649" i="4" s="1"/>
  <c r="K1650" i="4"/>
  <c r="L1650" i="4" s="1"/>
  <c r="K1651" i="4"/>
  <c r="L1651" i="4" s="1"/>
  <c r="K1652" i="4"/>
  <c r="L1652" i="4" s="1"/>
  <c r="K1653" i="4"/>
  <c r="M1653" i="4" s="1"/>
  <c r="K1654" i="4"/>
  <c r="L1654" i="4" s="1"/>
  <c r="K1655" i="4"/>
  <c r="L1655" i="4" s="1"/>
  <c r="K1656" i="4"/>
  <c r="L1656" i="4" s="1"/>
  <c r="K1657" i="4"/>
  <c r="M1657" i="4" s="1"/>
  <c r="K1658" i="4"/>
  <c r="L1658" i="4" s="1"/>
  <c r="K1659" i="4"/>
  <c r="L1659" i="4" s="1"/>
  <c r="K1660" i="4"/>
  <c r="L1660" i="4" s="1"/>
  <c r="K1661" i="4"/>
  <c r="M1661" i="4" s="1"/>
  <c r="K1662" i="4"/>
  <c r="L1662" i="4" s="1"/>
  <c r="K1663" i="4"/>
  <c r="L1663" i="4" s="1"/>
  <c r="K1664" i="4"/>
  <c r="L1664" i="4" s="1"/>
  <c r="K1665" i="4"/>
  <c r="M1665" i="4" s="1"/>
  <c r="K1666" i="4"/>
  <c r="L1666" i="4" s="1"/>
  <c r="K1667" i="4"/>
  <c r="L1667" i="4" s="1"/>
  <c r="K1668" i="4"/>
  <c r="L1668" i="4" s="1"/>
  <c r="K1669" i="4"/>
  <c r="M1669" i="4" s="1"/>
  <c r="K1670" i="4"/>
  <c r="L1670" i="4" s="1"/>
  <c r="K1671" i="4"/>
  <c r="L1671" i="4" s="1"/>
  <c r="K1672" i="4"/>
  <c r="L1672" i="4" s="1"/>
  <c r="K1673" i="4"/>
  <c r="M1673" i="4" s="1"/>
  <c r="K1674" i="4"/>
  <c r="L1674" i="4" s="1"/>
  <c r="K1675" i="4"/>
  <c r="L1675" i="4" s="1"/>
  <c r="K1676" i="4"/>
  <c r="L1676" i="4" s="1"/>
  <c r="K1677" i="4"/>
  <c r="M1677" i="4" s="1"/>
  <c r="K1678" i="4"/>
  <c r="L1678" i="4" s="1"/>
  <c r="K1679" i="4"/>
  <c r="L1679" i="4" s="1"/>
  <c r="K1680" i="4"/>
  <c r="L1680" i="4" s="1"/>
  <c r="K1681" i="4"/>
  <c r="M1681" i="4" s="1"/>
  <c r="K1682" i="4"/>
  <c r="L1682" i="4" s="1"/>
  <c r="K1683" i="4"/>
  <c r="L1683" i="4" s="1"/>
  <c r="K1684" i="4"/>
  <c r="L1684" i="4" s="1"/>
  <c r="K1685" i="4"/>
  <c r="M1685" i="4" s="1"/>
  <c r="K1686" i="4"/>
  <c r="L1686" i="4" s="1"/>
  <c r="K1687" i="4"/>
  <c r="L1687" i="4" s="1"/>
  <c r="K1688" i="4"/>
  <c r="L1688" i="4" s="1"/>
  <c r="K1689" i="4"/>
  <c r="M1689" i="4" s="1"/>
  <c r="K1690" i="4"/>
  <c r="L1690" i="4" s="1"/>
  <c r="K1691" i="4"/>
  <c r="L1691" i="4" s="1"/>
  <c r="K1692" i="4"/>
  <c r="L1692" i="4" s="1"/>
  <c r="K1693" i="4"/>
  <c r="M1693" i="4" s="1"/>
  <c r="K1694" i="4"/>
  <c r="L1694" i="4" s="1"/>
  <c r="K1695" i="4"/>
  <c r="L1695" i="4" s="1"/>
  <c r="K1696" i="4"/>
  <c r="L1696" i="4" s="1"/>
  <c r="K1697" i="4"/>
  <c r="M1697" i="4" s="1"/>
  <c r="K1698" i="4"/>
  <c r="L1698" i="4" s="1"/>
  <c r="K1699" i="4"/>
  <c r="L1699" i="4" s="1"/>
  <c r="K1700" i="4"/>
  <c r="L1700" i="4" s="1"/>
  <c r="K1701" i="4"/>
  <c r="M1701" i="4" s="1"/>
  <c r="K1702" i="4"/>
  <c r="L1702" i="4" s="1"/>
  <c r="K1703" i="4"/>
  <c r="L1703" i="4" s="1"/>
  <c r="K1704" i="4"/>
  <c r="L1704" i="4" s="1"/>
  <c r="K1705" i="4"/>
  <c r="M1705" i="4" s="1"/>
  <c r="K1706" i="4"/>
  <c r="L1706" i="4" s="1"/>
  <c r="K1707" i="4"/>
  <c r="L1707" i="4" s="1"/>
  <c r="B1634" i="4"/>
  <c r="C1634" i="4"/>
  <c r="B1635" i="4"/>
  <c r="C1635" i="4"/>
  <c r="B1636" i="4"/>
  <c r="C1636" i="4"/>
  <c r="B1637" i="4"/>
  <c r="C1637" i="4"/>
  <c r="B1638" i="4"/>
  <c r="C1638" i="4"/>
  <c r="B1639" i="4"/>
  <c r="C1639" i="4"/>
  <c r="B1640" i="4"/>
  <c r="C1640" i="4"/>
  <c r="B1641" i="4"/>
  <c r="C1641" i="4"/>
  <c r="B1642" i="4"/>
  <c r="C1642" i="4"/>
  <c r="B1643" i="4"/>
  <c r="C1643" i="4"/>
  <c r="B1644" i="4"/>
  <c r="C1644" i="4"/>
  <c r="B1645" i="4"/>
  <c r="C1645" i="4"/>
  <c r="B1646" i="4"/>
  <c r="C1646" i="4"/>
  <c r="B1647" i="4"/>
  <c r="C1647" i="4"/>
  <c r="B1648" i="4"/>
  <c r="C1648" i="4"/>
  <c r="B1649" i="4"/>
  <c r="C1649" i="4"/>
  <c r="B1650" i="4"/>
  <c r="C1650" i="4"/>
  <c r="B1651" i="4"/>
  <c r="C1651" i="4"/>
  <c r="B1652" i="4"/>
  <c r="C1652" i="4"/>
  <c r="B1653" i="4"/>
  <c r="C1653" i="4"/>
  <c r="B1654" i="4"/>
  <c r="C1654" i="4"/>
  <c r="B1655" i="4"/>
  <c r="C1655" i="4"/>
  <c r="B1656" i="4"/>
  <c r="C1656" i="4"/>
  <c r="B1657" i="4"/>
  <c r="C1657" i="4"/>
  <c r="B1658" i="4"/>
  <c r="C1658" i="4"/>
  <c r="B1659" i="4"/>
  <c r="C1659" i="4"/>
  <c r="B1660" i="4"/>
  <c r="C1660" i="4"/>
  <c r="B1661" i="4"/>
  <c r="C1661" i="4"/>
  <c r="B1662" i="4"/>
  <c r="C1662" i="4"/>
  <c r="B1663" i="4"/>
  <c r="C1663" i="4"/>
  <c r="B1664" i="4"/>
  <c r="C1664" i="4"/>
  <c r="B1665" i="4"/>
  <c r="C1665" i="4"/>
  <c r="B1666" i="4"/>
  <c r="C1666" i="4"/>
  <c r="B1667" i="4"/>
  <c r="C1667" i="4"/>
  <c r="B1668" i="4"/>
  <c r="C1668" i="4"/>
  <c r="B1669" i="4"/>
  <c r="C1669" i="4"/>
  <c r="B1670" i="4"/>
  <c r="C1670" i="4"/>
  <c r="B1671" i="4"/>
  <c r="C1671" i="4"/>
  <c r="B1672" i="4"/>
  <c r="C1672" i="4"/>
  <c r="B1673" i="4"/>
  <c r="C1673" i="4"/>
  <c r="B1674" i="4"/>
  <c r="C1674" i="4"/>
  <c r="B1675" i="4"/>
  <c r="C1675" i="4"/>
  <c r="B1676" i="4"/>
  <c r="C1676" i="4"/>
  <c r="B1677" i="4"/>
  <c r="C1677" i="4"/>
  <c r="B1678" i="4"/>
  <c r="C1678" i="4"/>
  <c r="B1679" i="4"/>
  <c r="C1679" i="4"/>
  <c r="B1680" i="4"/>
  <c r="C1680" i="4"/>
  <c r="B1681" i="4"/>
  <c r="C1681" i="4"/>
  <c r="B1682" i="4"/>
  <c r="C1682" i="4"/>
  <c r="B1683" i="4"/>
  <c r="C1683" i="4"/>
  <c r="B1684" i="4"/>
  <c r="C1684" i="4"/>
  <c r="B1685" i="4"/>
  <c r="C1685" i="4"/>
  <c r="B1686" i="4"/>
  <c r="C1686" i="4"/>
  <c r="B1687" i="4"/>
  <c r="C1687" i="4"/>
  <c r="B1688" i="4"/>
  <c r="C1688" i="4"/>
  <c r="B1689" i="4"/>
  <c r="C1689" i="4"/>
  <c r="B1690" i="4"/>
  <c r="C1690" i="4"/>
  <c r="B1691" i="4"/>
  <c r="C1691" i="4"/>
  <c r="B1692" i="4"/>
  <c r="C1692" i="4"/>
  <c r="B1693" i="4"/>
  <c r="C1693" i="4"/>
  <c r="B1694" i="4"/>
  <c r="C1694" i="4"/>
  <c r="B1695" i="4"/>
  <c r="C1695" i="4"/>
  <c r="B1696" i="4"/>
  <c r="C1696" i="4"/>
  <c r="B1697" i="4"/>
  <c r="C1697" i="4"/>
  <c r="B1698" i="4"/>
  <c r="C1698" i="4"/>
  <c r="B1699" i="4"/>
  <c r="C1699" i="4"/>
  <c r="B1700" i="4"/>
  <c r="C1700" i="4"/>
  <c r="B1701" i="4"/>
  <c r="C1701" i="4"/>
  <c r="B1702" i="4"/>
  <c r="C1702" i="4"/>
  <c r="B1703" i="4"/>
  <c r="C1703" i="4"/>
  <c r="B1704" i="4"/>
  <c r="C1704" i="4"/>
  <c r="B1705" i="4"/>
  <c r="C1705" i="4"/>
  <c r="B1706" i="4"/>
  <c r="C1706" i="4"/>
  <c r="O1326" i="4"/>
  <c r="O1325" i="4"/>
  <c r="O1324" i="4"/>
  <c r="O1290" i="4"/>
  <c r="O1289" i="4"/>
  <c r="O1288" i="4"/>
  <c r="O1287" i="4"/>
  <c r="O1286" i="4"/>
  <c r="O1255" i="4"/>
  <c r="O1254" i="4"/>
  <c r="O1253" i="4"/>
  <c r="O1577" i="4"/>
  <c r="O1576" i="4"/>
  <c r="O1575" i="4"/>
  <c r="O1574" i="4"/>
  <c r="O1222" i="4"/>
  <c r="O1202" i="4"/>
  <c r="O1214" i="4"/>
  <c r="O1213" i="4"/>
  <c r="O1212" i="4"/>
  <c r="O1211" i="4"/>
  <c r="O1206" i="4"/>
  <c r="O1205" i="4"/>
  <c r="O1204" i="4"/>
  <c r="O1203" i="4"/>
  <c r="O1178" i="4"/>
  <c r="O1201" i="4"/>
  <c r="O1200" i="4"/>
  <c r="O1199" i="4"/>
  <c r="O1182" i="4"/>
  <c r="O1181" i="4"/>
  <c r="O1180" i="4"/>
  <c r="O1179" i="4"/>
  <c r="O1177" i="4"/>
  <c r="O1160" i="4"/>
  <c r="O1159" i="4"/>
  <c r="O1158" i="4"/>
  <c r="O1157" i="4"/>
  <c r="O1155" i="4"/>
  <c r="O1156" i="4"/>
  <c r="O1346" i="4"/>
  <c r="O1345" i="4"/>
  <c r="O1344" i="4"/>
  <c r="O1620" i="4"/>
  <c r="O1619" i="4"/>
  <c r="O1618" i="4"/>
  <c r="O1617" i="4"/>
  <c r="O1616" i="4"/>
  <c r="O1615" i="4"/>
  <c r="O1614" i="4"/>
  <c r="O1604" i="4"/>
  <c r="O1605" i="4"/>
  <c r="O1606" i="4"/>
  <c r="O1607" i="4"/>
  <c r="O1608" i="4"/>
  <c r="O1609" i="4"/>
  <c r="O1610" i="4"/>
  <c r="O1611" i="4"/>
  <c r="O1612" i="4"/>
  <c r="O1603" i="4"/>
  <c r="O1371" i="4"/>
  <c r="O1370" i="4"/>
  <c r="O1582" i="4"/>
  <c r="O1581" i="4"/>
  <c r="O1580" i="4"/>
  <c r="O1579" i="4"/>
  <c r="O1252" i="4"/>
  <c r="O1251" i="4"/>
  <c r="O1250" i="4"/>
  <c r="O1249" i="4"/>
  <c r="P1249" i="4" s="1"/>
  <c r="O1248" i="4"/>
  <c r="O1513" i="4"/>
  <c r="O1512" i="4"/>
  <c r="O1511" i="4"/>
  <c r="O1537" i="4"/>
  <c r="O1536" i="4"/>
  <c r="O1535" i="4"/>
  <c r="O1232" i="4"/>
  <c r="O1231" i="4"/>
  <c r="O1230" i="4"/>
  <c r="O1170" i="4"/>
  <c r="O1169" i="4"/>
  <c r="O1168" i="4"/>
  <c r="O1167" i="4"/>
  <c r="O1166" i="4"/>
  <c r="O1165" i="4"/>
  <c r="O1164" i="4"/>
  <c r="O1163" i="4"/>
  <c r="O1162" i="4"/>
  <c r="O1161" i="4"/>
  <c r="O1534" i="4"/>
  <c r="O1533" i="4"/>
  <c r="O1532" i="4"/>
  <c r="O1531" i="4"/>
  <c r="O1530" i="4"/>
  <c r="O1529" i="4"/>
  <c r="O1528" i="4"/>
  <c r="L1689" i="4" l="1"/>
  <c r="L1697" i="4"/>
  <c r="M1639" i="4"/>
  <c r="M1700" i="4"/>
  <c r="M1692" i="4"/>
  <c r="M1660" i="4"/>
  <c r="M1684" i="4"/>
  <c r="L1657" i="4"/>
  <c r="L1705" i="4"/>
  <c r="M1676" i="4"/>
  <c r="L1673" i="4"/>
  <c r="L1641" i="4"/>
  <c r="M1668" i="4"/>
  <c r="L1681" i="4"/>
  <c r="L1665" i="4"/>
  <c r="M1652" i="4"/>
  <c r="L1649" i="4"/>
  <c r="M1644" i="4"/>
  <c r="M1704" i="4"/>
  <c r="L1701" i="4"/>
  <c r="M1696" i="4"/>
  <c r="L1693" i="4"/>
  <c r="M1688" i="4"/>
  <c r="L1685" i="4"/>
  <c r="M1680" i="4"/>
  <c r="L1677" i="4"/>
  <c r="M1672" i="4"/>
  <c r="L1669" i="4"/>
  <c r="M1664" i="4"/>
  <c r="L1661" i="4"/>
  <c r="M1656" i="4"/>
  <c r="L1653" i="4"/>
  <c r="M1648" i="4"/>
  <c r="L1645" i="4"/>
  <c r="M1640" i="4"/>
  <c r="M1707" i="4"/>
  <c r="M1703" i="4"/>
  <c r="M1699" i="4"/>
  <c r="M1695" i="4"/>
  <c r="M1691" i="4"/>
  <c r="M1687" i="4"/>
  <c r="M1683" i="4"/>
  <c r="M1679" i="4"/>
  <c r="M1675" i="4"/>
  <c r="M1671" i="4"/>
  <c r="M1667" i="4"/>
  <c r="M1663" i="4"/>
  <c r="M1659" i="4"/>
  <c r="M1655" i="4"/>
  <c r="M1651" i="4"/>
  <c r="M1647" i="4"/>
  <c r="M1643" i="4"/>
  <c r="L1637" i="4"/>
  <c r="M1638" i="4"/>
  <c r="M1635" i="4"/>
  <c r="L1634" i="4"/>
  <c r="M1636" i="4"/>
  <c r="M1706" i="4"/>
  <c r="M1702" i="4"/>
  <c r="M1698" i="4"/>
  <c r="M1694" i="4"/>
  <c r="M1690" i="4"/>
  <c r="M1686" i="4"/>
  <c r="M1682" i="4"/>
  <c r="M1678" i="4"/>
  <c r="M1674" i="4"/>
  <c r="M1670" i="4"/>
  <c r="M1666" i="4"/>
  <c r="M1662" i="4"/>
  <c r="M1658" i="4"/>
  <c r="M1654" i="4"/>
  <c r="M1650" i="4"/>
  <c r="M1646" i="4"/>
  <c r="M1642" i="4"/>
  <c r="P1632" i="4"/>
  <c r="P1621" i="4"/>
  <c r="P1622" i="4"/>
  <c r="P1623" i="4"/>
  <c r="P1624" i="4"/>
  <c r="P1625" i="4"/>
  <c r="P1626" i="4"/>
  <c r="P1627" i="4"/>
  <c r="P1628" i="4"/>
  <c r="P1629" i="4"/>
  <c r="P1630" i="4"/>
  <c r="P1631" i="4"/>
  <c r="P1633" i="4"/>
  <c r="K1621" i="4"/>
  <c r="M1621" i="4" s="1"/>
  <c r="K1622" i="4"/>
  <c r="L1622" i="4" s="1"/>
  <c r="K1623" i="4"/>
  <c r="M1623" i="4" s="1"/>
  <c r="K1624" i="4"/>
  <c r="L1624" i="4" s="1"/>
  <c r="K1625" i="4"/>
  <c r="L1625" i="4" s="1"/>
  <c r="K1626" i="4"/>
  <c r="L1626" i="4" s="1"/>
  <c r="K1627" i="4"/>
  <c r="M1627" i="4" s="1"/>
  <c r="K1628" i="4"/>
  <c r="L1628" i="4" s="1"/>
  <c r="K1629" i="4"/>
  <c r="L1629" i="4" s="1"/>
  <c r="K1630" i="4"/>
  <c r="L1630" i="4" s="1"/>
  <c r="K1631" i="4"/>
  <c r="M1631" i="4" s="1"/>
  <c r="K1632" i="4"/>
  <c r="L1632" i="4" s="1"/>
  <c r="K1633" i="4"/>
  <c r="L1633" i="4" s="1"/>
  <c r="B1620" i="4"/>
  <c r="C1620" i="4"/>
  <c r="B1621" i="4"/>
  <c r="C1621" i="4"/>
  <c r="B1622" i="4"/>
  <c r="C1622" i="4"/>
  <c r="B1623" i="4"/>
  <c r="C1623" i="4"/>
  <c r="B1624" i="4"/>
  <c r="C1624" i="4"/>
  <c r="B1625" i="4"/>
  <c r="C1625" i="4"/>
  <c r="B1626" i="4"/>
  <c r="C1626" i="4"/>
  <c r="B1627" i="4"/>
  <c r="C1627" i="4"/>
  <c r="B1628" i="4"/>
  <c r="C1628" i="4"/>
  <c r="B1629" i="4"/>
  <c r="C1629" i="4"/>
  <c r="B1630" i="4"/>
  <c r="C1630" i="4"/>
  <c r="B1631" i="4"/>
  <c r="C1631" i="4"/>
  <c r="B1632" i="4"/>
  <c r="C1632" i="4"/>
  <c r="B1633" i="4"/>
  <c r="C1633" i="4"/>
  <c r="P1596" i="4"/>
  <c r="P1597" i="4"/>
  <c r="P1598" i="4"/>
  <c r="P1599" i="4"/>
  <c r="P1600" i="4"/>
  <c r="P1601" i="4"/>
  <c r="P1602" i="4"/>
  <c r="P1603" i="4"/>
  <c r="P1604" i="4"/>
  <c r="P1605" i="4"/>
  <c r="P1606" i="4"/>
  <c r="P1607" i="4"/>
  <c r="P1608" i="4"/>
  <c r="P1609" i="4"/>
  <c r="P1610" i="4"/>
  <c r="P1611" i="4"/>
  <c r="P1612" i="4"/>
  <c r="P1613" i="4"/>
  <c r="P1614" i="4"/>
  <c r="P1615" i="4"/>
  <c r="P1616" i="4"/>
  <c r="P1617" i="4"/>
  <c r="P1618" i="4"/>
  <c r="P1619" i="4"/>
  <c r="P1620" i="4"/>
  <c r="K1596" i="4"/>
  <c r="L1596" i="4" s="1"/>
  <c r="K1597" i="4"/>
  <c r="L1597" i="4" s="1"/>
  <c r="K1598" i="4"/>
  <c r="M1598" i="4" s="1"/>
  <c r="K1599" i="4"/>
  <c r="L1599" i="4" s="1"/>
  <c r="K1600" i="4"/>
  <c r="L1600" i="4" s="1"/>
  <c r="K1601" i="4"/>
  <c r="L1601" i="4" s="1"/>
  <c r="K1602" i="4"/>
  <c r="M1602" i="4" s="1"/>
  <c r="K1603" i="4"/>
  <c r="L1603" i="4" s="1"/>
  <c r="K1604" i="4"/>
  <c r="L1604" i="4" s="1"/>
  <c r="K1605" i="4"/>
  <c r="L1605" i="4" s="1"/>
  <c r="K1606" i="4"/>
  <c r="M1606" i="4" s="1"/>
  <c r="K1607" i="4"/>
  <c r="L1607" i="4" s="1"/>
  <c r="K1608" i="4"/>
  <c r="L1608" i="4" s="1"/>
  <c r="K1609" i="4"/>
  <c r="L1609" i="4" s="1"/>
  <c r="K1610" i="4"/>
  <c r="M1610" i="4" s="1"/>
  <c r="K1611" i="4"/>
  <c r="L1611" i="4" s="1"/>
  <c r="K1612" i="4"/>
  <c r="L1612" i="4" s="1"/>
  <c r="K1613" i="4"/>
  <c r="L1613" i="4" s="1"/>
  <c r="K1614" i="4"/>
  <c r="M1614" i="4" s="1"/>
  <c r="K1615" i="4"/>
  <c r="L1615" i="4" s="1"/>
  <c r="K1616" i="4"/>
  <c r="L1616" i="4" s="1"/>
  <c r="K1617" i="4"/>
  <c r="L1617" i="4" s="1"/>
  <c r="K1618" i="4"/>
  <c r="M1618" i="4" s="1"/>
  <c r="K1619" i="4"/>
  <c r="L1619" i="4" s="1"/>
  <c r="K1620" i="4"/>
  <c r="L1620" i="4" s="1"/>
  <c r="B1596" i="4"/>
  <c r="C1596" i="4"/>
  <c r="B1597" i="4"/>
  <c r="C1597" i="4"/>
  <c r="B1598" i="4"/>
  <c r="C1598" i="4"/>
  <c r="B1599" i="4"/>
  <c r="C1599" i="4"/>
  <c r="B1600" i="4"/>
  <c r="C1600" i="4"/>
  <c r="B1601" i="4"/>
  <c r="C1601" i="4"/>
  <c r="B1602" i="4"/>
  <c r="C1602" i="4"/>
  <c r="B1603" i="4"/>
  <c r="C1603" i="4"/>
  <c r="B1604" i="4"/>
  <c r="C1604" i="4"/>
  <c r="B1605" i="4"/>
  <c r="C1605" i="4"/>
  <c r="B1606" i="4"/>
  <c r="C1606" i="4"/>
  <c r="B1607" i="4"/>
  <c r="C1607" i="4"/>
  <c r="B1608" i="4"/>
  <c r="C1608" i="4"/>
  <c r="B1609" i="4"/>
  <c r="C1609" i="4"/>
  <c r="B1610" i="4"/>
  <c r="C1610" i="4"/>
  <c r="B1611" i="4"/>
  <c r="C1611" i="4"/>
  <c r="B1612" i="4"/>
  <c r="C1612" i="4"/>
  <c r="B1613" i="4"/>
  <c r="C1613" i="4"/>
  <c r="B1614" i="4"/>
  <c r="C1614" i="4"/>
  <c r="B1615" i="4"/>
  <c r="C1615" i="4"/>
  <c r="B1616" i="4"/>
  <c r="C1616" i="4"/>
  <c r="B1617" i="4"/>
  <c r="C1617" i="4"/>
  <c r="B1618" i="4"/>
  <c r="C1618" i="4"/>
  <c r="B1619" i="4"/>
  <c r="C1619" i="4"/>
  <c r="L1618" i="4" l="1"/>
  <c r="M1599" i="4"/>
  <c r="M1629" i="4"/>
  <c r="M1624" i="4"/>
  <c r="M1633" i="4"/>
  <c r="L1631" i="4"/>
  <c r="L1606" i="4"/>
  <c r="M1603" i="4"/>
  <c r="M1632" i="4"/>
  <c r="M1628" i="4"/>
  <c r="M1625" i="4"/>
  <c r="L1627" i="4"/>
  <c r="L1623" i="4"/>
  <c r="L1621" i="4"/>
  <c r="M1630" i="4"/>
  <c r="M1626" i="4"/>
  <c r="M1622" i="4"/>
  <c r="M1615" i="4"/>
  <c r="M1619" i="4"/>
  <c r="L1614" i="4"/>
  <c r="L1598" i="4"/>
  <c r="L1610" i="4"/>
  <c r="M1607" i="4"/>
  <c r="M1611" i="4"/>
  <c r="L1602" i="4"/>
  <c r="M1620" i="4"/>
  <c r="M1616" i="4"/>
  <c r="M1612" i="4"/>
  <c r="M1608" i="4"/>
  <c r="M1604" i="4"/>
  <c r="M1600" i="4"/>
  <c r="M1596" i="4"/>
  <c r="M1617" i="4"/>
  <c r="M1613" i="4"/>
  <c r="M1609" i="4"/>
  <c r="M1605" i="4"/>
  <c r="M1601" i="4"/>
  <c r="M1597" i="4"/>
  <c r="B1578" i="4" l="1"/>
  <c r="C1578" i="4"/>
  <c r="B1579" i="4"/>
  <c r="C1579" i="4"/>
  <c r="B1580" i="4"/>
  <c r="C1580" i="4"/>
  <c r="B1581" i="4"/>
  <c r="C1581" i="4"/>
  <c r="B1582" i="4"/>
  <c r="C1582" i="4"/>
  <c r="B1583" i="4"/>
  <c r="C1583" i="4"/>
  <c r="B1584" i="4"/>
  <c r="C1584" i="4"/>
  <c r="B1585" i="4"/>
  <c r="C1585" i="4"/>
  <c r="B1586" i="4"/>
  <c r="C1586" i="4"/>
  <c r="B1587" i="4"/>
  <c r="C1587" i="4"/>
  <c r="B1588" i="4"/>
  <c r="C1588" i="4"/>
  <c r="B1589" i="4"/>
  <c r="C1589" i="4"/>
  <c r="B1590" i="4"/>
  <c r="C1590" i="4"/>
  <c r="B1591" i="4"/>
  <c r="C1591" i="4"/>
  <c r="B1592" i="4"/>
  <c r="C1592" i="4"/>
  <c r="B1593" i="4"/>
  <c r="C1593" i="4"/>
  <c r="B1594" i="4"/>
  <c r="C1594" i="4"/>
  <c r="B1595" i="4"/>
  <c r="C1595" i="4"/>
  <c r="P1578" i="4"/>
  <c r="P1579" i="4"/>
  <c r="P1580" i="4"/>
  <c r="P1581" i="4"/>
  <c r="P1582" i="4"/>
  <c r="P1583" i="4"/>
  <c r="P1584" i="4"/>
  <c r="P1585" i="4"/>
  <c r="P1586" i="4"/>
  <c r="P1587" i="4"/>
  <c r="P1588" i="4"/>
  <c r="P1589" i="4"/>
  <c r="P1590" i="4"/>
  <c r="P1591" i="4"/>
  <c r="P1592" i="4"/>
  <c r="P1593" i="4"/>
  <c r="P1594" i="4"/>
  <c r="P1595" i="4"/>
  <c r="K1578" i="4"/>
  <c r="L1578" i="4" s="1"/>
  <c r="K1579" i="4"/>
  <c r="M1579" i="4" s="1"/>
  <c r="K1580" i="4"/>
  <c r="L1580" i="4" s="1"/>
  <c r="K1581" i="4"/>
  <c r="L1581" i="4" s="1"/>
  <c r="K1582" i="4"/>
  <c r="L1582" i="4" s="1"/>
  <c r="K1583" i="4"/>
  <c r="M1583" i="4" s="1"/>
  <c r="K1584" i="4"/>
  <c r="L1584" i="4" s="1"/>
  <c r="K1585" i="4"/>
  <c r="L1585" i="4" s="1"/>
  <c r="K1586" i="4"/>
  <c r="L1586" i="4" s="1"/>
  <c r="K1587" i="4"/>
  <c r="M1587" i="4" s="1"/>
  <c r="K1588" i="4"/>
  <c r="L1588" i="4" s="1"/>
  <c r="K1589" i="4"/>
  <c r="L1589" i="4" s="1"/>
  <c r="K1590" i="4"/>
  <c r="L1590" i="4" s="1"/>
  <c r="K1591" i="4"/>
  <c r="M1591" i="4" s="1"/>
  <c r="K1592" i="4"/>
  <c r="M1592" i="4" s="1"/>
  <c r="K1593" i="4"/>
  <c r="L1593" i="4" s="1"/>
  <c r="K1594" i="4"/>
  <c r="L1594" i="4" s="1"/>
  <c r="K1595" i="4"/>
  <c r="M1595" i="4" s="1"/>
  <c r="P1527" i="4"/>
  <c r="P1528" i="4"/>
  <c r="P1529" i="4"/>
  <c r="P1530" i="4"/>
  <c r="P1531" i="4"/>
  <c r="P1532" i="4"/>
  <c r="P1533" i="4"/>
  <c r="P1534" i="4"/>
  <c r="P1535" i="4"/>
  <c r="P1536" i="4"/>
  <c r="P1537" i="4"/>
  <c r="P1538" i="4"/>
  <c r="P1539" i="4"/>
  <c r="P1540" i="4"/>
  <c r="P1541" i="4"/>
  <c r="P1542" i="4"/>
  <c r="P1543" i="4"/>
  <c r="P1544" i="4"/>
  <c r="P1545" i="4"/>
  <c r="P1546" i="4"/>
  <c r="P1547" i="4"/>
  <c r="P1548" i="4"/>
  <c r="P1549" i="4"/>
  <c r="P1550" i="4"/>
  <c r="P1551" i="4"/>
  <c r="P1552" i="4"/>
  <c r="P1553" i="4"/>
  <c r="P1554" i="4"/>
  <c r="P1555" i="4"/>
  <c r="P1556" i="4"/>
  <c r="P1557" i="4"/>
  <c r="P1558" i="4"/>
  <c r="P1559" i="4"/>
  <c r="P1560" i="4"/>
  <c r="P1561" i="4"/>
  <c r="P1562" i="4"/>
  <c r="P1563" i="4"/>
  <c r="P1564" i="4"/>
  <c r="P1565" i="4"/>
  <c r="P1566" i="4"/>
  <c r="P1567" i="4"/>
  <c r="P1568" i="4"/>
  <c r="P1569" i="4"/>
  <c r="P1570" i="4"/>
  <c r="P1571" i="4"/>
  <c r="P1572" i="4"/>
  <c r="P1573" i="4"/>
  <c r="P1574" i="4"/>
  <c r="P1575" i="4"/>
  <c r="P1576" i="4"/>
  <c r="P1577" i="4"/>
  <c r="L1592" i="4" l="1"/>
  <c r="M1580" i="4"/>
  <c r="L1587" i="4"/>
  <c r="M1584" i="4"/>
  <c r="M1581" i="4"/>
  <c r="M1593" i="4"/>
  <c r="L1595" i="4"/>
  <c r="L1591" i="4"/>
  <c r="M1588" i="4"/>
  <c r="M1589" i="4"/>
  <c r="M1585" i="4"/>
  <c r="L1583" i="4"/>
  <c r="L1579" i="4"/>
  <c r="M1594" i="4"/>
  <c r="M1590" i="4"/>
  <c r="M1586" i="4"/>
  <c r="M1582" i="4"/>
  <c r="M1578" i="4"/>
  <c r="B1527" i="4" l="1"/>
  <c r="C1527" i="4"/>
  <c r="B1528" i="4"/>
  <c r="C1528" i="4"/>
  <c r="B1529" i="4"/>
  <c r="C1529" i="4"/>
  <c r="B1530" i="4"/>
  <c r="C1530" i="4"/>
  <c r="B1531" i="4"/>
  <c r="C1531" i="4"/>
  <c r="B1532" i="4"/>
  <c r="C1532" i="4"/>
  <c r="B1533" i="4"/>
  <c r="C1533" i="4"/>
  <c r="B1534" i="4"/>
  <c r="C1534" i="4"/>
  <c r="B1535" i="4"/>
  <c r="C1535" i="4"/>
  <c r="B1536" i="4"/>
  <c r="C1536" i="4"/>
  <c r="B1537" i="4"/>
  <c r="C1537" i="4"/>
  <c r="B1538" i="4"/>
  <c r="C1538" i="4"/>
  <c r="B1539" i="4"/>
  <c r="C1539" i="4"/>
  <c r="B1540" i="4"/>
  <c r="C1540" i="4"/>
  <c r="B1541" i="4"/>
  <c r="C1541" i="4"/>
  <c r="B1542" i="4"/>
  <c r="C1542" i="4"/>
  <c r="B1543" i="4"/>
  <c r="C1543" i="4"/>
  <c r="B1544" i="4"/>
  <c r="C1544" i="4"/>
  <c r="B1545" i="4"/>
  <c r="C1545" i="4"/>
  <c r="B1546" i="4"/>
  <c r="C1546" i="4"/>
  <c r="B1547" i="4"/>
  <c r="C1547" i="4"/>
  <c r="B1548" i="4"/>
  <c r="C1548" i="4"/>
  <c r="B1549" i="4"/>
  <c r="C1549" i="4"/>
  <c r="B1550" i="4"/>
  <c r="C1550" i="4"/>
  <c r="B1551" i="4"/>
  <c r="C1551" i="4"/>
  <c r="B1552" i="4"/>
  <c r="C1552" i="4"/>
  <c r="B1553" i="4"/>
  <c r="C1553" i="4"/>
  <c r="B1554" i="4"/>
  <c r="C1554" i="4"/>
  <c r="B1555" i="4"/>
  <c r="C1555" i="4"/>
  <c r="B1556" i="4"/>
  <c r="C1556" i="4"/>
  <c r="B1557" i="4"/>
  <c r="C1557" i="4"/>
  <c r="B1558" i="4"/>
  <c r="C1558" i="4"/>
  <c r="B1559" i="4"/>
  <c r="C1559" i="4"/>
  <c r="B1560" i="4"/>
  <c r="C1560" i="4"/>
  <c r="B1561" i="4"/>
  <c r="C1561" i="4"/>
  <c r="B1562" i="4"/>
  <c r="C1562" i="4"/>
  <c r="B1563" i="4"/>
  <c r="C1563" i="4"/>
  <c r="B1564" i="4"/>
  <c r="C1564" i="4"/>
  <c r="B1565" i="4"/>
  <c r="C1565" i="4"/>
  <c r="B1566" i="4"/>
  <c r="C1566" i="4"/>
  <c r="B1567" i="4"/>
  <c r="C1567" i="4"/>
  <c r="B1568" i="4"/>
  <c r="C1568" i="4"/>
  <c r="B1569" i="4"/>
  <c r="C1569" i="4"/>
  <c r="B1570" i="4"/>
  <c r="C1570" i="4"/>
  <c r="B1571" i="4"/>
  <c r="C1571" i="4"/>
  <c r="B1572" i="4"/>
  <c r="C1572" i="4"/>
  <c r="B1573" i="4"/>
  <c r="C1573" i="4"/>
  <c r="B1574" i="4"/>
  <c r="C1574" i="4"/>
  <c r="B1575" i="4"/>
  <c r="C1575" i="4"/>
  <c r="B1576" i="4"/>
  <c r="C1576" i="4"/>
  <c r="B1577" i="4"/>
  <c r="C1577" i="4"/>
  <c r="K1527" i="4"/>
  <c r="L1527" i="4" s="1"/>
  <c r="K1528" i="4"/>
  <c r="L1528" i="4" s="1"/>
  <c r="K1529" i="4"/>
  <c r="L1529" i="4" s="1"/>
  <c r="K1530" i="4"/>
  <c r="L1530" i="4" s="1"/>
  <c r="K1531" i="4"/>
  <c r="L1531" i="4" s="1"/>
  <c r="K1532" i="4"/>
  <c r="L1532" i="4" s="1"/>
  <c r="K1533" i="4"/>
  <c r="M1533" i="4" s="1"/>
  <c r="K1534" i="4"/>
  <c r="L1534" i="4" s="1"/>
  <c r="K1535" i="4"/>
  <c r="L1535" i="4" s="1"/>
  <c r="K1536" i="4"/>
  <c r="L1536" i="4" s="1"/>
  <c r="K1537" i="4"/>
  <c r="L1537" i="4" s="1"/>
  <c r="K1538" i="4"/>
  <c r="M1538" i="4" s="1"/>
  <c r="K1539" i="4"/>
  <c r="L1539" i="4" s="1"/>
  <c r="K1540" i="4"/>
  <c r="L1540" i="4" s="1"/>
  <c r="K1541" i="4"/>
  <c r="L1541" i="4" s="1"/>
  <c r="K1542" i="4"/>
  <c r="L1542" i="4" s="1"/>
  <c r="K1543" i="4"/>
  <c r="L1543" i="4" s="1"/>
  <c r="K1544" i="4"/>
  <c r="L1544" i="4" s="1"/>
  <c r="K1545" i="4"/>
  <c r="L1545" i="4" s="1"/>
  <c r="K1546" i="4"/>
  <c r="L1546" i="4" s="1"/>
  <c r="K1547" i="4"/>
  <c r="L1547" i="4" s="1"/>
  <c r="K1548" i="4"/>
  <c r="L1548" i="4" s="1"/>
  <c r="K1549" i="4"/>
  <c r="L1549" i="4" s="1"/>
  <c r="K1550" i="4"/>
  <c r="L1550" i="4" s="1"/>
  <c r="K1551" i="4"/>
  <c r="L1551" i="4" s="1"/>
  <c r="K1552" i="4"/>
  <c r="L1552" i="4" s="1"/>
  <c r="K1553" i="4"/>
  <c r="L1553" i="4" s="1"/>
  <c r="K1554" i="4"/>
  <c r="L1554" i="4" s="1"/>
  <c r="K1555" i="4"/>
  <c r="L1555" i="4" s="1"/>
  <c r="K1556" i="4"/>
  <c r="L1556" i="4" s="1"/>
  <c r="K1557" i="4"/>
  <c r="L1557" i="4" s="1"/>
  <c r="K1558" i="4"/>
  <c r="L1558" i="4" s="1"/>
  <c r="K1559" i="4"/>
  <c r="L1559" i="4" s="1"/>
  <c r="K1560" i="4"/>
  <c r="L1560" i="4" s="1"/>
  <c r="K1561" i="4"/>
  <c r="L1561" i="4" s="1"/>
  <c r="K1562" i="4"/>
  <c r="L1562" i="4" s="1"/>
  <c r="K1563" i="4"/>
  <c r="L1563" i="4" s="1"/>
  <c r="K1564" i="4"/>
  <c r="L1564" i="4" s="1"/>
  <c r="K1565" i="4"/>
  <c r="L1565" i="4" s="1"/>
  <c r="K1566" i="4"/>
  <c r="L1566" i="4" s="1"/>
  <c r="K1567" i="4"/>
  <c r="L1567" i="4" s="1"/>
  <c r="K1568" i="4"/>
  <c r="L1568" i="4" s="1"/>
  <c r="K1569" i="4"/>
  <c r="L1569" i="4" s="1"/>
  <c r="K1570" i="4"/>
  <c r="L1570" i="4" s="1"/>
  <c r="K1571" i="4"/>
  <c r="L1571" i="4" s="1"/>
  <c r="K1572" i="4"/>
  <c r="L1572" i="4" s="1"/>
  <c r="K1573" i="4"/>
  <c r="L1573" i="4" s="1"/>
  <c r="K1574" i="4"/>
  <c r="L1574" i="4" s="1"/>
  <c r="K1575" i="4"/>
  <c r="L1575" i="4" s="1"/>
  <c r="K1576" i="4"/>
  <c r="L1576" i="4" s="1"/>
  <c r="K1577" i="4"/>
  <c r="L1577" i="4" s="1"/>
  <c r="M1557" i="4" l="1"/>
  <c r="M1545" i="4"/>
  <c r="M1534" i="4"/>
  <c r="M1569" i="4"/>
  <c r="M1553" i="4"/>
  <c r="M1565" i="4"/>
  <c r="L1533" i="4"/>
  <c r="M1530" i="4"/>
  <c r="M1561" i="4"/>
  <c r="M1577" i="4"/>
  <c r="M1573" i="4"/>
  <c r="M1574" i="4"/>
  <c r="M1570" i="4"/>
  <c r="M1566" i="4"/>
  <c r="M1562" i="4"/>
  <c r="M1558" i="4"/>
  <c r="M1554" i="4"/>
  <c r="M1541" i="4"/>
  <c r="M1549" i="4"/>
  <c r="L1538" i="4"/>
  <c r="M1529" i="4"/>
  <c r="M1550" i="4"/>
  <c r="M1546" i="4"/>
  <c r="M1542" i="4"/>
  <c r="M1537" i="4"/>
  <c r="M1559" i="4"/>
  <c r="M1555" i="4"/>
  <c r="M1551" i="4"/>
  <c r="M1547" i="4"/>
  <c r="M1543" i="4"/>
  <c r="M1539" i="4"/>
  <c r="M1535" i="4"/>
  <c r="M1531" i="4"/>
  <c r="M1527" i="4"/>
  <c r="M1575" i="4"/>
  <c r="M1571" i="4"/>
  <c r="M1567" i="4"/>
  <c r="M1563" i="4"/>
  <c r="M1576" i="4"/>
  <c r="M1572" i="4"/>
  <c r="M1568" i="4"/>
  <c r="M1564" i="4"/>
  <c r="M1560" i="4"/>
  <c r="M1556" i="4"/>
  <c r="M1552" i="4"/>
  <c r="M1548" i="4"/>
  <c r="M1544" i="4"/>
  <c r="M1540" i="4"/>
  <c r="M1536" i="4"/>
  <c r="M1532" i="4"/>
  <c r="M1528" i="4"/>
  <c r="O1510" i="4" l="1"/>
  <c r="P1510" i="4" s="1"/>
  <c r="O1360" i="4"/>
  <c r="O1327" i="4"/>
  <c r="O1262" i="4"/>
  <c r="O1261" i="4"/>
  <c r="O1260" i="4"/>
  <c r="O1259" i="4"/>
  <c r="O1258" i="4"/>
  <c r="O1257" i="4"/>
  <c r="O1256" i="4"/>
  <c r="O1140" i="4"/>
  <c r="O1139" i="4"/>
  <c r="O1138" i="4"/>
  <c r="O1106" i="4"/>
  <c r="O1105" i="4"/>
  <c r="O1521" i="4"/>
  <c r="P1521" i="4" s="1"/>
  <c r="O1520" i="4"/>
  <c r="P1520" i="4" s="1"/>
  <c r="O1509" i="4"/>
  <c r="P1509" i="4" s="1"/>
  <c r="O1508" i="4"/>
  <c r="P1508" i="4" s="1"/>
  <c r="O1507" i="4"/>
  <c r="P1507" i="4" s="1"/>
  <c r="O1506" i="4"/>
  <c r="P1506" i="4" s="1"/>
  <c r="O1505" i="4"/>
  <c r="P1505" i="4" s="1"/>
  <c r="O1493" i="4"/>
  <c r="P1493" i="4" s="1"/>
  <c r="O1492" i="4"/>
  <c r="P1492" i="4" s="1"/>
  <c r="O1491" i="4"/>
  <c r="P1491" i="4" s="1"/>
  <c r="O1490" i="4"/>
  <c r="P1490" i="4" s="1"/>
  <c r="O1489" i="4"/>
  <c r="P1489" i="4" s="1"/>
  <c r="O1488" i="4"/>
  <c r="P1488" i="4" s="1"/>
  <c r="O1487" i="4"/>
  <c r="P1487" i="4" s="1"/>
  <c r="O1486" i="4"/>
  <c r="P1486" i="4" s="1"/>
  <c r="O1495" i="4"/>
  <c r="P1495" i="4" s="1"/>
  <c r="O1494" i="4"/>
  <c r="P1494" i="4" s="1"/>
  <c r="O1448" i="4"/>
  <c r="P1448" i="4" s="1"/>
  <c r="O1447" i="4"/>
  <c r="P1447" i="4" s="1"/>
  <c r="O1446" i="4"/>
  <c r="P1446" i="4" s="1"/>
  <c r="O1445" i="4"/>
  <c r="P1445" i="4" s="1"/>
  <c r="O1127" i="4"/>
  <c r="P1127" i="4" s="1"/>
  <c r="O1126" i="4"/>
  <c r="O1125" i="4"/>
  <c r="O1124" i="4"/>
  <c r="O1123" i="4"/>
  <c r="O1122" i="4"/>
  <c r="O1121" i="4"/>
  <c r="O1220" i="4"/>
  <c r="O1219" i="4"/>
  <c r="O1218" i="4"/>
  <c r="O1217" i="4"/>
  <c r="O1154" i="4"/>
  <c r="O1153" i="4"/>
  <c r="O1152" i="4"/>
  <c r="O1466" i="4"/>
  <c r="P1466" i="4" s="1"/>
  <c r="O1465" i="4"/>
  <c r="P1465" i="4" s="1"/>
  <c r="O1464" i="4"/>
  <c r="P1464" i="4" s="1"/>
  <c r="O1463" i="4"/>
  <c r="P1463" i="4" s="1"/>
  <c r="O1462" i="4"/>
  <c r="P1462" i="4" s="1"/>
  <c r="O1461" i="4"/>
  <c r="P1461" i="4" s="1"/>
  <c r="O1451" i="4"/>
  <c r="P1451" i="4" s="1"/>
  <c r="O1450" i="4"/>
  <c r="P1450" i="4" s="1"/>
  <c r="O1449" i="4"/>
  <c r="P1449" i="4" s="1"/>
  <c r="O1437" i="4"/>
  <c r="P1437" i="4" s="1"/>
  <c r="O1436" i="4"/>
  <c r="P1436" i="4" s="1"/>
  <c r="O1435" i="4"/>
  <c r="P1435" i="4" s="1"/>
  <c r="O1434" i="4"/>
  <c r="P1434" i="4" s="1"/>
  <c r="O1247" i="4"/>
  <c r="P1247" i="4" s="1"/>
  <c r="P1511" i="4"/>
  <c r="P1512" i="4"/>
  <c r="P1513" i="4"/>
  <c r="P1514" i="4"/>
  <c r="P1515" i="4"/>
  <c r="P1516" i="4"/>
  <c r="P1517" i="4"/>
  <c r="P1518" i="4"/>
  <c r="P1519" i="4"/>
  <c r="P1522" i="4"/>
  <c r="P1523" i="4"/>
  <c r="P1524" i="4"/>
  <c r="P1525" i="4"/>
  <c r="P1526" i="4"/>
  <c r="K1510" i="4"/>
  <c r="L1510" i="4" s="1"/>
  <c r="K1511" i="4"/>
  <c r="L1511" i="4" s="1"/>
  <c r="K1512" i="4"/>
  <c r="M1512" i="4" s="1"/>
  <c r="K1513" i="4"/>
  <c r="L1513" i="4" s="1"/>
  <c r="K1514" i="4"/>
  <c r="L1514" i="4" s="1"/>
  <c r="K1515" i="4"/>
  <c r="L1515" i="4" s="1"/>
  <c r="K1516" i="4"/>
  <c r="M1516" i="4" s="1"/>
  <c r="K1517" i="4"/>
  <c r="L1517" i="4" s="1"/>
  <c r="K1518" i="4"/>
  <c r="L1518" i="4" s="1"/>
  <c r="K1519" i="4"/>
  <c r="L1519" i="4" s="1"/>
  <c r="K1520" i="4"/>
  <c r="M1520" i="4" s="1"/>
  <c r="K1521" i="4"/>
  <c r="L1521" i="4" s="1"/>
  <c r="K1522" i="4"/>
  <c r="L1522" i="4" s="1"/>
  <c r="K1523" i="4"/>
  <c r="L1523" i="4" s="1"/>
  <c r="K1524" i="4"/>
  <c r="M1524" i="4" s="1"/>
  <c r="K1525" i="4"/>
  <c r="M1525" i="4" s="1"/>
  <c r="K1526" i="4"/>
  <c r="L1526" i="4" s="1"/>
  <c r="B1509" i="4"/>
  <c r="C1509" i="4"/>
  <c r="B1510" i="4"/>
  <c r="C1510" i="4"/>
  <c r="B1511" i="4"/>
  <c r="C1511" i="4"/>
  <c r="B1512" i="4"/>
  <c r="C1512" i="4"/>
  <c r="B1513" i="4"/>
  <c r="C1513" i="4"/>
  <c r="B1514" i="4"/>
  <c r="C1514" i="4"/>
  <c r="B1515" i="4"/>
  <c r="C1515" i="4"/>
  <c r="B1516" i="4"/>
  <c r="C1516" i="4"/>
  <c r="B1517" i="4"/>
  <c r="C1517" i="4"/>
  <c r="B1518" i="4"/>
  <c r="C1518" i="4"/>
  <c r="B1519" i="4"/>
  <c r="C1519" i="4"/>
  <c r="B1520" i="4"/>
  <c r="C1520" i="4"/>
  <c r="B1521" i="4"/>
  <c r="C1521" i="4"/>
  <c r="B1522" i="4"/>
  <c r="C1522" i="4"/>
  <c r="B1523" i="4"/>
  <c r="C1523" i="4"/>
  <c r="B1524" i="4"/>
  <c r="C1524" i="4"/>
  <c r="B1525" i="4"/>
  <c r="C1525" i="4"/>
  <c r="B1526" i="4"/>
  <c r="C1526" i="4"/>
  <c r="P1496" i="4"/>
  <c r="P1497" i="4"/>
  <c r="P1498" i="4"/>
  <c r="P1499" i="4"/>
  <c r="P1500" i="4"/>
  <c r="P1501" i="4"/>
  <c r="P1502" i="4"/>
  <c r="P1503" i="4"/>
  <c r="P1504" i="4"/>
  <c r="K1490" i="4"/>
  <c r="M1490" i="4" s="1"/>
  <c r="K1491" i="4"/>
  <c r="L1491" i="4" s="1"/>
  <c r="K1492" i="4"/>
  <c r="L1492" i="4" s="1"/>
  <c r="K1493" i="4"/>
  <c r="L1493" i="4" s="1"/>
  <c r="K1494" i="4"/>
  <c r="M1494" i="4" s="1"/>
  <c r="K1495" i="4"/>
  <c r="L1495" i="4" s="1"/>
  <c r="K1496" i="4"/>
  <c r="M1496" i="4" s="1"/>
  <c r="K1497" i="4"/>
  <c r="L1497" i="4" s="1"/>
  <c r="K1498" i="4"/>
  <c r="M1498" i="4" s="1"/>
  <c r="K1499" i="4"/>
  <c r="L1499" i="4" s="1"/>
  <c r="K1500" i="4"/>
  <c r="L1500" i="4" s="1"/>
  <c r="K1501" i="4"/>
  <c r="L1501" i="4" s="1"/>
  <c r="K1502" i="4"/>
  <c r="M1502" i="4" s="1"/>
  <c r="K1503" i="4"/>
  <c r="M1503" i="4" s="1"/>
  <c r="K1504" i="4"/>
  <c r="L1504" i="4" s="1"/>
  <c r="K1505" i="4"/>
  <c r="L1505" i="4" s="1"/>
  <c r="K1506" i="4"/>
  <c r="M1506" i="4" s="1"/>
  <c r="K1507" i="4"/>
  <c r="M1507" i="4" s="1"/>
  <c r="K1508" i="4"/>
  <c r="L1508" i="4" s="1"/>
  <c r="K1509" i="4"/>
  <c r="L1509" i="4" s="1"/>
  <c r="B1485" i="4"/>
  <c r="C1485" i="4"/>
  <c r="B1486" i="4"/>
  <c r="C1486" i="4"/>
  <c r="B1487" i="4"/>
  <c r="C1487" i="4"/>
  <c r="B1488" i="4"/>
  <c r="C1488" i="4"/>
  <c r="B1489" i="4"/>
  <c r="C1489" i="4"/>
  <c r="B1490" i="4"/>
  <c r="C1490" i="4"/>
  <c r="B1491" i="4"/>
  <c r="C1491" i="4"/>
  <c r="B1492" i="4"/>
  <c r="C1492" i="4"/>
  <c r="B1493" i="4"/>
  <c r="C1493" i="4"/>
  <c r="B1494" i="4"/>
  <c r="C1494" i="4"/>
  <c r="B1495" i="4"/>
  <c r="C1495" i="4"/>
  <c r="B1496" i="4"/>
  <c r="C1496" i="4"/>
  <c r="B1497" i="4"/>
  <c r="C1497" i="4"/>
  <c r="B1498" i="4"/>
  <c r="C1498" i="4"/>
  <c r="B1499" i="4"/>
  <c r="C1499" i="4"/>
  <c r="B1500" i="4"/>
  <c r="C1500" i="4"/>
  <c r="B1501" i="4"/>
  <c r="C1501" i="4"/>
  <c r="B1502" i="4"/>
  <c r="C1502" i="4"/>
  <c r="B1503" i="4"/>
  <c r="C1503" i="4"/>
  <c r="B1504" i="4"/>
  <c r="C1504" i="4"/>
  <c r="B1505" i="4"/>
  <c r="C1505" i="4"/>
  <c r="B1506" i="4"/>
  <c r="C1506" i="4"/>
  <c r="B1507" i="4"/>
  <c r="C1507" i="4"/>
  <c r="B1508" i="4"/>
  <c r="C1508" i="4"/>
  <c r="P1471" i="4"/>
  <c r="P1472" i="4"/>
  <c r="P1473" i="4"/>
  <c r="P1474" i="4"/>
  <c r="P1475" i="4"/>
  <c r="P1476" i="4"/>
  <c r="P1477" i="4"/>
  <c r="P1478" i="4"/>
  <c r="P1479" i="4"/>
  <c r="P1480" i="4"/>
  <c r="P1481" i="4"/>
  <c r="P1482" i="4"/>
  <c r="P1483" i="4"/>
  <c r="P1484" i="4"/>
  <c r="P1485" i="4"/>
  <c r="K1469" i="4"/>
  <c r="L1469" i="4" s="1"/>
  <c r="K1470" i="4"/>
  <c r="L1470" i="4" s="1"/>
  <c r="K1471" i="4"/>
  <c r="M1471" i="4" s="1"/>
  <c r="K1472" i="4"/>
  <c r="L1472" i="4" s="1"/>
  <c r="K1473" i="4"/>
  <c r="L1473" i="4" s="1"/>
  <c r="K1474" i="4"/>
  <c r="L1474" i="4" s="1"/>
  <c r="K1475" i="4"/>
  <c r="M1475" i="4" s="1"/>
  <c r="K1476" i="4"/>
  <c r="L1476" i="4" s="1"/>
  <c r="K1477" i="4"/>
  <c r="L1477" i="4" s="1"/>
  <c r="K1478" i="4"/>
  <c r="L1478" i="4" s="1"/>
  <c r="K1479" i="4"/>
  <c r="L1479" i="4" s="1"/>
  <c r="K1480" i="4"/>
  <c r="L1480" i="4" s="1"/>
  <c r="K1481" i="4"/>
  <c r="L1481" i="4" s="1"/>
  <c r="K1482" i="4"/>
  <c r="L1482" i="4" s="1"/>
  <c r="K1483" i="4"/>
  <c r="M1483" i="4" s="1"/>
  <c r="K1484" i="4"/>
  <c r="L1484" i="4" s="1"/>
  <c r="K1485" i="4"/>
  <c r="L1485" i="4" s="1"/>
  <c r="K1486" i="4"/>
  <c r="L1486" i="4" s="1"/>
  <c r="K1487" i="4"/>
  <c r="M1487" i="4" s="1"/>
  <c r="K1488" i="4"/>
  <c r="M1488" i="4" s="1"/>
  <c r="K1489" i="4"/>
  <c r="L1489" i="4" s="1"/>
  <c r="B1471" i="4"/>
  <c r="C1471" i="4"/>
  <c r="B1472" i="4"/>
  <c r="C1472" i="4"/>
  <c r="B1473" i="4"/>
  <c r="C1473" i="4"/>
  <c r="B1474" i="4"/>
  <c r="C1474" i="4"/>
  <c r="B1475" i="4"/>
  <c r="C1475" i="4"/>
  <c r="B1476" i="4"/>
  <c r="C1476" i="4"/>
  <c r="B1477" i="4"/>
  <c r="C1477" i="4"/>
  <c r="B1478" i="4"/>
  <c r="C1478" i="4"/>
  <c r="B1479" i="4"/>
  <c r="C1479" i="4"/>
  <c r="B1480" i="4"/>
  <c r="C1480" i="4"/>
  <c r="B1481" i="4"/>
  <c r="C1481" i="4"/>
  <c r="B1482" i="4"/>
  <c r="C1482" i="4"/>
  <c r="B1483" i="4"/>
  <c r="C1483" i="4"/>
  <c r="B1484" i="4"/>
  <c r="C1484" i="4"/>
  <c r="P1433" i="4"/>
  <c r="P1438" i="4"/>
  <c r="P1439" i="4"/>
  <c r="P1440" i="4"/>
  <c r="P1441" i="4"/>
  <c r="P1442" i="4"/>
  <c r="P1443" i="4"/>
  <c r="P1444" i="4"/>
  <c r="P1452" i="4"/>
  <c r="P1453" i="4"/>
  <c r="P1454" i="4"/>
  <c r="P1455" i="4"/>
  <c r="P1456" i="4"/>
  <c r="P1457" i="4"/>
  <c r="P1458" i="4"/>
  <c r="P1459" i="4"/>
  <c r="P1460" i="4"/>
  <c r="P1467" i="4"/>
  <c r="P1468" i="4"/>
  <c r="P1469" i="4"/>
  <c r="P1470" i="4"/>
  <c r="K1433" i="4"/>
  <c r="L1433" i="4" s="1"/>
  <c r="K1434" i="4"/>
  <c r="L1434" i="4" s="1"/>
  <c r="K1435" i="4"/>
  <c r="L1435" i="4" s="1"/>
  <c r="K1436" i="4"/>
  <c r="L1436" i="4" s="1"/>
  <c r="K1437" i="4"/>
  <c r="L1437" i="4" s="1"/>
  <c r="K1438" i="4"/>
  <c r="L1438" i="4" s="1"/>
  <c r="K1439" i="4"/>
  <c r="M1439" i="4" s="1"/>
  <c r="K1440" i="4"/>
  <c r="M1440" i="4" s="1"/>
  <c r="K1441" i="4"/>
  <c r="L1441" i="4" s="1"/>
  <c r="K1442" i="4"/>
  <c r="L1442" i="4" s="1"/>
  <c r="K1443" i="4"/>
  <c r="M1443" i="4" s="1"/>
  <c r="K1444" i="4"/>
  <c r="M1444" i="4" s="1"/>
  <c r="K1445" i="4"/>
  <c r="L1445" i="4" s="1"/>
  <c r="K1446" i="4"/>
  <c r="L1446" i="4" s="1"/>
  <c r="K1447" i="4"/>
  <c r="M1447" i="4" s="1"/>
  <c r="K1448" i="4"/>
  <c r="M1448" i="4" s="1"/>
  <c r="K1449" i="4"/>
  <c r="L1449" i="4" s="1"/>
  <c r="K1450" i="4"/>
  <c r="L1450" i="4" s="1"/>
  <c r="K1451" i="4"/>
  <c r="M1451" i="4" s="1"/>
  <c r="K1452" i="4"/>
  <c r="M1452" i="4" s="1"/>
  <c r="K1453" i="4"/>
  <c r="L1453" i="4" s="1"/>
  <c r="K1454" i="4"/>
  <c r="L1454" i="4" s="1"/>
  <c r="K1455" i="4"/>
  <c r="M1455" i="4" s="1"/>
  <c r="K1456" i="4"/>
  <c r="M1456" i="4" s="1"/>
  <c r="K1457" i="4"/>
  <c r="L1457" i="4" s="1"/>
  <c r="K1458" i="4"/>
  <c r="M1458" i="4" s="1"/>
  <c r="K1459" i="4"/>
  <c r="M1459" i="4" s="1"/>
  <c r="K1460" i="4"/>
  <c r="M1460" i="4" s="1"/>
  <c r="K1461" i="4"/>
  <c r="L1461" i="4" s="1"/>
  <c r="K1462" i="4"/>
  <c r="L1462" i="4" s="1"/>
  <c r="K1463" i="4"/>
  <c r="M1463" i="4" s="1"/>
  <c r="K1464" i="4"/>
  <c r="M1464" i="4" s="1"/>
  <c r="K1465" i="4"/>
  <c r="L1465" i="4" s="1"/>
  <c r="K1466" i="4"/>
  <c r="L1466" i="4" s="1"/>
  <c r="K1467" i="4"/>
  <c r="M1467" i="4" s="1"/>
  <c r="K1468" i="4"/>
  <c r="M1468" i="4" s="1"/>
  <c r="B1433" i="4"/>
  <c r="C1433" i="4"/>
  <c r="B1434" i="4"/>
  <c r="C1434" i="4"/>
  <c r="B1435" i="4"/>
  <c r="C1435" i="4"/>
  <c r="B1436" i="4"/>
  <c r="C1436" i="4"/>
  <c r="B1437" i="4"/>
  <c r="C1437" i="4"/>
  <c r="B1438" i="4"/>
  <c r="C1438" i="4"/>
  <c r="B1439" i="4"/>
  <c r="C1439" i="4"/>
  <c r="B1440" i="4"/>
  <c r="C1440" i="4"/>
  <c r="B1441" i="4"/>
  <c r="C1441" i="4"/>
  <c r="B1442" i="4"/>
  <c r="C1442" i="4"/>
  <c r="B1443" i="4"/>
  <c r="C1443" i="4"/>
  <c r="B1444" i="4"/>
  <c r="C1444" i="4"/>
  <c r="B1445" i="4"/>
  <c r="C1445" i="4"/>
  <c r="B1446" i="4"/>
  <c r="C1446" i="4"/>
  <c r="B1447" i="4"/>
  <c r="C1447" i="4"/>
  <c r="B1448" i="4"/>
  <c r="C1448" i="4"/>
  <c r="B1449" i="4"/>
  <c r="C1449" i="4"/>
  <c r="B1450" i="4"/>
  <c r="C1450" i="4"/>
  <c r="B1451" i="4"/>
  <c r="C1451" i="4"/>
  <c r="B1452" i="4"/>
  <c r="C1452" i="4"/>
  <c r="B1453" i="4"/>
  <c r="C1453" i="4"/>
  <c r="B1454" i="4"/>
  <c r="C1454" i="4"/>
  <c r="B1455" i="4"/>
  <c r="C1455" i="4"/>
  <c r="B1456" i="4"/>
  <c r="C1456" i="4"/>
  <c r="B1457" i="4"/>
  <c r="C1457" i="4"/>
  <c r="B1458" i="4"/>
  <c r="C1458" i="4"/>
  <c r="B1459" i="4"/>
  <c r="C1459" i="4"/>
  <c r="B1460" i="4"/>
  <c r="C1460" i="4"/>
  <c r="B1461" i="4"/>
  <c r="C1461" i="4"/>
  <c r="B1462" i="4"/>
  <c r="C1462" i="4"/>
  <c r="B1463" i="4"/>
  <c r="C1463" i="4"/>
  <c r="B1464" i="4"/>
  <c r="C1464" i="4"/>
  <c r="B1465" i="4"/>
  <c r="C1465" i="4"/>
  <c r="B1466" i="4"/>
  <c r="C1466" i="4"/>
  <c r="B1467" i="4"/>
  <c r="C1467" i="4"/>
  <c r="B1468" i="4"/>
  <c r="C1468" i="4"/>
  <c r="B1469" i="4"/>
  <c r="C1469" i="4"/>
  <c r="B1470" i="4"/>
  <c r="C1470" i="4"/>
  <c r="L1507" i="4" l="1"/>
  <c r="L1496" i="4"/>
  <c r="L1516" i="4"/>
  <c r="L1475" i="4"/>
  <c r="L1490" i="4"/>
  <c r="L1498" i="4"/>
  <c r="M1513" i="4"/>
  <c r="L1525" i="4"/>
  <c r="L1524" i="4"/>
  <c r="L1512" i="4"/>
  <c r="M1517" i="4"/>
  <c r="M1510" i="4"/>
  <c r="M1522" i="4"/>
  <c r="L1520" i="4"/>
  <c r="M1521" i="4"/>
  <c r="M1518" i="4"/>
  <c r="M1514" i="4"/>
  <c r="M1526" i="4"/>
  <c r="M1523" i="4"/>
  <c r="M1519" i="4"/>
  <c r="M1515" i="4"/>
  <c r="M1511" i="4"/>
  <c r="M1491" i="4"/>
  <c r="M1465" i="4"/>
  <c r="M1434" i="4"/>
  <c r="L1503" i="4"/>
  <c r="L1471" i="4"/>
  <c r="M1466" i="4"/>
  <c r="L1460" i="4"/>
  <c r="M1453" i="4"/>
  <c r="M1446" i="4"/>
  <c r="M1435" i="4"/>
  <c r="M1433" i="4"/>
  <c r="L1487" i="4"/>
  <c r="M1508" i="4"/>
  <c r="M1504" i="4"/>
  <c r="M1499" i="4"/>
  <c r="M1495" i="4"/>
  <c r="M1492" i="4"/>
  <c r="L1483" i="4"/>
  <c r="L1506" i="4"/>
  <c r="L1502" i="4"/>
  <c r="M1500" i="4"/>
  <c r="L1494" i="4"/>
  <c r="M1509" i="4"/>
  <c r="M1505" i="4"/>
  <c r="M1501" i="4"/>
  <c r="M1497" i="4"/>
  <c r="M1493" i="4"/>
  <c r="L1488" i="4"/>
  <c r="M1484" i="4"/>
  <c r="M1461" i="4"/>
  <c r="L1452" i="4"/>
  <c r="M1480" i="4"/>
  <c r="M1479" i="4"/>
  <c r="M1472" i="4"/>
  <c r="M1476" i="4"/>
  <c r="M1485" i="4"/>
  <c r="M1481" i="4"/>
  <c r="M1477" i="4"/>
  <c r="M1469" i="4"/>
  <c r="M1489" i="4"/>
  <c r="M1473" i="4"/>
  <c r="M1486" i="4"/>
  <c r="M1482" i="4"/>
  <c r="M1478" i="4"/>
  <c r="M1474" i="4"/>
  <c r="M1470" i="4"/>
  <c r="M1457" i="4"/>
  <c r="M1449" i="4"/>
  <c r="M1437" i="4"/>
  <c r="L1458" i="4"/>
  <c r="M1450" i="4"/>
  <c r="L1448" i="4"/>
  <c r="M1442" i="4"/>
  <c r="L1468" i="4"/>
  <c r="M1462" i="4"/>
  <c r="L1464" i="4"/>
  <c r="L1456" i="4"/>
  <c r="M1454" i="4"/>
  <c r="M1445" i="4"/>
  <c r="L1444" i="4"/>
  <c r="L1440" i="4"/>
  <c r="M1441" i="4"/>
  <c r="L1467" i="4"/>
  <c r="L1463" i="4"/>
  <c r="L1459" i="4"/>
  <c r="L1455" i="4"/>
  <c r="L1451" i="4"/>
  <c r="L1447" i="4"/>
  <c r="L1443" i="4"/>
  <c r="L1439" i="4"/>
  <c r="M1436" i="4"/>
  <c r="M1438" i="4"/>
  <c r="O1316" i="4" l="1"/>
  <c r="O1221" i="4"/>
  <c r="O1193" i="4"/>
  <c r="O1192" i="4"/>
  <c r="O1191" i="4"/>
  <c r="O1190" i="4"/>
  <c r="O1189" i="4"/>
  <c r="O1188" i="4"/>
  <c r="O1137" i="4"/>
  <c r="O1136" i="4"/>
  <c r="O1135" i="4"/>
  <c r="O1134" i="4"/>
  <c r="O1050" i="4"/>
  <c r="O1049" i="4"/>
  <c r="O1048" i="4"/>
  <c r="O1047" i="4"/>
  <c r="O1046" i="4"/>
  <c r="O1045" i="4"/>
  <c r="O1044" i="4"/>
  <c r="O1043" i="4"/>
  <c r="O1042" i="4"/>
  <c r="O1133" i="4"/>
  <c r="O1132" i="4"/>
  <c r="O1111" i="4"/>
  <c r="O1110" i="4"/>
  <c r="O1109" i="4"/>
  <c r="O1108" i="4"/>
  <c r="O1107" i="4"/>
  <c r="O1131" i="4"/>
  <c r="O1130" i="4"/>
  <c r="O1129" i="4"/>
  <c r="O1128" i="4"/>
  <c r="O1405" i="4"/>
  <c r="P1405" i="4" s="1"/>
  <c r="O1404" i="4"/>
  <c r="P1404" i="4" s="1"/>
  <c r="O1403" i="4"/>
  <c r="O1402" i="4"/>
  <c r="O1401" i="4"/>
  <c r="O1400" i="4"/>
  <c r="O1187" i="4"/>
  <c r="O1186" i="4"/>
  <c r="O1185" i="4"/>
  <c r="O1184" i="4"/>
  <c r="O1378" i="4"/>
  <c r="O1377" i="4"/>
  <c r="O1376" i="4"/>
  <c r="O1375" i="4"/>
  <c r="O1374" i="4"/>
  <c r="O1373" i="4"/>
  <c r="O1086" i="4"/>
  <c r="O1085" i="4"/>
  <c r="O1084" i="4"/>
  <c r="O1083" i="4"/>
  <c r="O1082" i="4"/>
  <c r="O1081" i="4"/>
  <c r="O1080" i="4"/>
  <c r="O1064" i="4"/>
  <c r="O1063" i="4"/>
  <c r="O1062" i="4"/>
  <c r="O1061" i="4"/>
  <c r="O1060" i="4"/>
  <c r="O1059" i="4"/>
  <c r="O1119" i="4"/>
  <c r="O1118" i="4"/>
  <c r="O1117" i="4"/>
  <c r="O1361" i="4"/>
  <c r="P1429" i="4"/>
  <c r="P1430" i="4"/>
  <c r="K1429" i="4"/>
  <c r="L1429" i="4" s="1"/>
  <c r="K1430" i="4"/>
  <c r="L1430" i="4" s="1"/>
  <c r="K1431" i="4"/>
  <c r="M1431" i="4" s="1"/>
  <c r="K1432" i="4"/>
  <c r="L1432" i="4" s="1"/>
  <c r="B1429" i="4"/>
  <c r="C1429" i="4"/>
  <c r="B1430" i="4"/>
  <c r="C1430" i="4"/>
  <c r="B1431" i="4"/>
  <c r="C1431" i="4"/>
  <c r="B1432" i="4"/>
  <c r="C1432" i="4"/>
  <c r="P1406" i="4"/>
  <c r="P1407" i="4"/>
  <c r="P1408" i="4"/>
  <c r="P1409" i="4"/>
  <c r="P1410" i="4"/>
  <c r="P1411" i="4"/>
  <c r="P1412" i="4"/>
  <c r="P1413" i="4"/>
  <c r="P1414" i="4"/>
  <c r="P1415" i="4"/>
  <c r="P1416" i="4"/>
  <c r="P1417" i="4"/>
  <c r="P1418" i="4"/>
  <c r="P1419" i="4"/>
  <c r="P1420" i="4"/>
  <c r="P1421" i="4"/>
  <c r="P1422" i="4"/>
  <c r="P1423" i="4"/>
  <c r="P1424" i="4"/>
  <c r="P1425" i="4"/>
  <c r="P1426" i="4"/>
  <c r="P1427" i="4"/>
  <c r="P1428" i="4"/>
  <c r="K1404" i="4"/>
  <c r="L1404" i="4" s="1"/>
  <c r="K1405" i="4"/>
  <c r="L1405" i="4" s="1"/>
  <c r="K1406" i="4"/>
  <c r="L1406" i="4" s="1"/>
  <c r="K1407" i="4"/>
  <c r="L1407" i="4" s="1"/>
  <c r="K1408" i="4"/>
  <c r="M1408" i="4" s="1"/>
  <c r="K1409" i="4"/>
  <c r="L1409" i="4" s="1"/>
  <c r="K1410" i="4"/>
  <c r="M1410" i="4" s="1"/>
  <c r="K1411" i="4"/>
  <c r="L1411" i="4" s="1"/>
  <c r="K1412" i="4"/>
  <c r="M1412" i="4" s="1"/>
  <c r="K1413" i="4"/>
  <c r="L1413" i="4" s="1"/>
  <c r="K1414" i="4"/>
  <c r="L1414" i="4" s="1"/>
  <c r="K1415" i="4"/>
  <c r="L1415" i="4" s="1"/>
  <c r="K1416" i="4"/>
  <c r="M1416" i="4" s="1"/>
  <c r="K1417" i="4"/>
  <c r="L1417" i="4" s="1"/>
  <c r="K1418" i="4"/>
  <c r="M1418" i="4" s="1"/>
  <c r="K1419" i="4"/>
  <c r="L1419" i="4" s="1"/>
  <c r="K1420" i="4"/>
  <c r="M1420" i="4" s="1"/>
  <c r="K1421" i="4"/>
  <c r="M1421" i="4" s="1"/>
  <c r="K1422" i="4"/>
  <c r="L1422" i="4" s="1"/>
  <c r="K1423" i="4"/>
  <c r="L1423" i="4" s="1"/>
  <c r="K1424" i="4"/>
  <c r="M1424" i="4" s="1"/>
  <c r="K1425" i="4"/>
  <c r="M1425" i="4" s="1"/>
  <c r="K1426" i="4"/>
  <c r="L1426" i="4" s="1"/>
  <c r="K1427" i="4"/>
  <c r="L1427" i="4" s="1"/>
  <c r="K1428" i="4"/>
  <c r="M1428" i="4" s="1"/>
  <c r="B1399" i="4"/>
  <c r="C1399" i="4"/>
  <c r="B1400" i="4"/>
  <c r="C1400" i="4"/>
  <c r="B1401" i="4"/>
  <c r="C1401" i="4"/>
  <c r="B1402" i="4"/>
  <c r="C1402" i="4"/>
  <c r="B1403" i="4"/>
  <c r="C1403" i="4"/>
  <c r="B1404" i="4"/>
  <c r="C1404" i="4"/>
  <c r="B1405" i="4"/>
  <c r="C1405" i="4"/>
  <c r="B1406" i="4"/>
  <c r="C1406" i="4"/>
  <c r="B1407" i="4"/>
  <c r="C1407" i="4"/>
  <c r="B1408" i="4"/>
  <c r="C1408" i="4"/>
  <c r="B1409" i="4"/>
  <c r="C1409" i="4"/>
  <c r="B1410" i="4"/>
  <c r="C1410" i="4"/>
  <c r="B1411" i="4"/>
  <c r="C1411" i="4"/>
  <c r="B1412" i="4"/>
  <c r="C1412" i="4"/>
  <c r="B1413" i="4"/>
  <c r="C1413" i="4"/>
  <c r="B1414" i="4"/>
  <c r="C1414" i="4"/>
  <c r="B1415" i="4"/>
  <c r="C1415" i="4"/>
  <c r="B1416" i="4"/>
  <c r="C1416" i="4"/>
  <c r="B1417" i="4"/>
  <c r="C1417" i="4"/>
  <c r="B1418" i="4"/>
  <c r="C1418" i="4"/>
  <c r="B1419" i="4"/>
  <c r="C1419" i="4"/>
  <c r="B1420" i="4"/>
  <c r="C1420" i="4"/>
  <c r="B1421" i="4"/>
  <c r="C1421" i="4"/>
  <c r="B1422" i="4"/>
  <c r="C1422" i="4"/>
  <c r="B1423" i="4"/>
  <c r="C1423" i="4"/>
  <c r="B1424" i="4"/>
  <c r="C1424" i="4"/>
  <c r="B1425" i="4"/>
  <c r="C1425" i="4"/>
  <c r="B1426" i="4"/>
  <c r="C1426" i="4"/>
  <c r="B1427" i="4"/>
  <c r="C1427" i="4"/>
  <c r="B1428" i="4"/>
  <c r="C1428" i="4"/>
  <c r="M1405" i="4" l="1"/>
  <c r="L1431" i="4"/>
  <c r="M1432" i="4"/>
  <c r="M1429" i="4"/>
  <c r="M1430" i="4"/>
  <c r="L1424" i="4"/>
  <c r="L1421" i="4"/>
  <c r="L1410" i="4"/>
  <c r="L1425" i="4"/>
  <c r="L1420" i="4"/>
  <c r="M1406" i="4"/>
  <c r="M1413" i="4"/>
  <c r="L1408" i="4"/>
  <c r="M1426" i="4"/>
  <c r="L1428" i="4"/>
  <c r="M1422" i="4"/>
  <c r="L1418" i="4"/>
  <c r="L1416" i="4"/>
  <c r="M1417" i="4"/>
  <c r="M1414" i="4"/>
  <c r="L1412" i="4"/>
  <c r="M1409" i="4"/>
  <c r="M1404" i="4"/>
  <c r="M1427" i="4"/>
  <c r="M1423" i="4"/>
  <c r="M1419" i="4"/>
  <c r="M1415" i="4"/>
  <c r="M1411" i="4"/>
  <c r="M1407" i="4"/>
  <c r="B1366" i="4" l="1"/>
  <c r="C1366" i="4"/>
  <c r="B1367" i="4"/>
  <c r="C1367" i="4"/>
  <c r="B1368" i="4"/>
  <c r="C1368" i="4"/>
  <c r="B1369" i="4"/>
  <c r="C1369" i="4"/>
  <c r="B1370" i="4"/>
  <c r="C1370" i="4"/>
  <c r="B1371" i="4"/>
  <c r="C1371" i="4"/>
  <c r="B1372" i="4"/>
  <c r="C1372" i="4"/>
  <c r="B1373" i="4"/>
  <c r="C1373" i="4"/>
  <c r="B1374" i="4"/>
  <c r="C1374" i="4"/>
  <c r="B1375" i="4"/>
  <c r="C1375" i="4"/>
  <c r="B1376" i="4"/>
  <c r="C1376" i="4"/>
  <c r="B1377" i="4"/>
  <c r="C1377" i="4"/>
  <c r="B1378" i="4"/>
  <c r="C1378" i="4"/>
  <c r="B1379" i="4"/>
  <c r="C1379" i="4"/>
  <c r="B1380" i="4"/>
  <c r="C1380" i="4"/>
  <c r="B1381" i="4"/>
  <c r="C1381" i="4"/>
  <c r="B1382" i="4"/>
  <c r="C1382" i="4"/>
  <c r="B1383" i="4"/>
  <c r="C1383" i="4"/>
  <c r="B1384" i="4"/>
  <c r="C1384" i="4"/>
  <c r="B1385" i="4"/>
  <c r="C1385" i="4"/>
  <c r="B1386" i="4"/>
  <c r="C1386" i="4"/>
  <c r="B1387" i="4"/>
  <c r="C1387" i="4"/>
  <c r="B1388" i="4"/>
  <c r="C1388" i="4"/>
  <c r="B1389" i="4"/>
  <c r="C1389" i="4"/>
  <c r="B1390" i="4"/>
  <c r="C1390" i="4"/>
  <c r="B1391" i="4"/>
  <c r="C1391" i="4"/>
  <c r="B1392" i="4"/>
  <c r="C1392" i="4"/>
  <c r="B1393" i="4"/>
  <c r="C1393" i="4"/>
  <c r="B1394" i="4"/>
  <c r="C1394" i="4"/>
  <c r="B1395" i="4"/>
  <c r="C1395" i="4"/>
  <c r="B1396" i="4"/>
  <c r="C1396" i="4"/>
  <c r="B1397" i="4"/>
  <c r="C1397" i="4"/>
  <c r="B1398" i="4"/>
  <c r="C1398" i="4"/>
  <c r="B1363" i="4"/>
  <c r="C1363" i="4"/>
  <c r="B1364" i="4"/>
  <c r="C1364" i="4"/>
  <c r="B1365" i="4"/>
  <c r="C1365" i="4"/>
  <c r="K1370" i="4"/>
  <c r="L1370" i="4" s="1"/>
  <c r="K1371" i="4"/>
  <c r="L1371" i="4" s="1"/>
  <c r="K1372" i="4"/>
  <c r="L1372" i="4" s="1"/>
  <c r="K1373" i="4"/>
  <c r="L1373" i="4" s="1"/>
  <c r="K1374" i="4"/>
  <c r="L1374" i="4" s="1"/>
  <c r="K1375" i="4"/>
  <c r="L1375" i="4" s="1"/>
  <c r="K1376" i="4"/>
  <c r="M1376" i="4" s="1"/>
  <c r="K1377" i="4"/>
  <c r="M1377" i="4" s="1"/>
  <c r="K1378" i="4"/>
  <c r="L1378" i="4" s="1"/>
  <c r="K1379" i="4"/>
  <c r="L1379" i="4" s="1"/>
  <c r="K1380" i="4"/>
  <c r="M1380" i="4" s="1"/>
  <c r="K1381" i="4"/>
  <c r="M1381" i="4" s="1"/>
  <c r="K1382" i="4"/>
  <c r="L1382" i="4" s="1"/>
  <c r="K1383" i="4"/>
  <c r="L1383" i="4" s="1"/>
  <c r="K1384" i="4"/>
  <c r="M1384" i="4" s="1"/>
  <c r="K1385" i="4"/>
  <c r="M1385" i="4" s="1"/>
  <c r="K1386" i="4"/>
  <c r="L1386" i="4" s="1"/>
  <c r="K1387" i="4"/>
  <c r="L1387" i="4" s="1"/>
  <c r="K1388" i="4"/>
  <c r="M1388" i="4" s="1"/>
  <c r="K1389" i="4"/>
  <c r="M1389" i="4" s="1"/>
  <c r="K1390" i="4"/>
  <c r="L1390" i="4" s="1"/>
  <c r="K1391" i="4"/>
  <c r="L1391" i="4" s="1"/>
  <c r="K1392" i="4"/>
  <c r="M1392" i="4" s="1"/>
  <c r="K1393" i="4"/>
  <c r="M1393" i="4" s="1"/>
  <c r="K1394" i="4"/>
  <c r="L1394" i="4" s="1"/>
  <c r="K1395" i="4"/>
  <c r="L1395" i="4" s="1"/>
  <c r="K1396" i="4"/>
  <c r="M1396" i="4" s="1"/>
  <c r="K1397" i="4"/>
  <c r="M1397" i="4" s="1"/>
  <c r="K1398" i="4"/>
  <c r="L1398" i="4" s="1"/>
  <c r="K1399" i="4"/>
  <c r="L1399" i="4" s="1"/>
  <c r="K1400" i="4"/>
  <c r="M1400" i="4" s="1"/>
  <c r="K1401" i="4"/>
  <c r="M1401" i="4" s="1"/>
  <c r="K1402" i="4"/>
  <c r="L1402" i="4" s="1"/>
  <c r="K1403" i="4"/>
  <c r="L1403" i="4" s="1"/>
  <c r="K1363" i="4"/>
  <c r="L1363" i="4" s="1"/>
  <c r="K1364" i="4"/>
  <c r="L1364" i="4" s="1"/>
  <c r="K1365" i="4"/>
  <c r="M1365" i="4" s="1"/>
  <c r="K1366" i="4"/>
  <c r="L1366" i="4" s="1"/>
  <c r="K1367" i="4"/>
  <c r="M1367" i="4" s="1"/>
  <c r="K1368" i="4"/>
  <c r="L1368" i="4" s="1"/>
  <c r="K1369" i="4"/>
  <c r="M1369" i="4" s="1"/>
  <c r="B1362" i="4"/>
  <c r="C1362" i="4"/>
  <c r="P1363" i="4"/>
  <c r="P1364" i="4"/>
  <c r="P1365" i="4"/>
  <c r="P1366" i="4"/>
  <c r="P1367" i="4"/>
  <c r="P1368" i="4"/>
  <c r="P1369" i="4"/>
  <c r="P1370" i="4"/>
  <c r="P1371" i="4"/>
  <c r="P1372" i="4"/>
  <c r="P1373" i="4"/>
  <c r="P1374" i="4"/>
  <c r="P1375" i="4"/>
  <c r="P1376" i="4"/>
  <c r="P1377" i="4"/>
  <c r="P1378" i="4"/>
  <c r="P1379" i="4"/>
  <c r="P1380" i="4"/>
  <c r="P1381" i="4"/>
  <c r="P1382" i="4"/>
  <c r="P1383" i="4"/>
  <c r="P1384" i="4"/>
  <c r="P1385" i="4"/>
  <c r="P1386" i="4"/>
  <c r="P1387" i="4"/>
  <c r="P1388" i="4"/>
  <c r="P1389" i="4"/>
  <c r="P1390" i="4"/>
  <c r="P1391" i="4"/>
  <c r="P1392" i="4"/>
  <c r="P1393" i="4"/>
  <c r="P1394" i="4"/>
  <c r="P1395" i="4"/>
  <c r="P1396" i="4"/>
  <c r="P1397" i="4"/>
  <c r="P1398" i="4"/>
  <c r="P1401" i="4"/>
  <c r="P1402" i="4"/>
  <c r="P1403" i="4"/>
  <c r="P1361" i="4"/>
  <c r="P1362" i="4"/>
  <c r="K1361" i="4"/>
  <c r="L1361" i="4" s="1"/>
  <c r="K1362" i="4"/>
  <c r="L1362" i="4" s="1"/>
  <c r="B1361" i="4"/>
  <c r="C1361" i="4"/>
  <c r="M1362" i="4" l="1"/>
  <c r="M1394" i="4"/>
  <c r="L1393" i="4"/>
  <c r="M1390" i="4"/>
  <c r="L1401" i="4"/>
  <c r="M1398" i="4"/>
  <c r="M1402" i="4"/>
  <c r="L1397" i="4"/>
  <c r="L1389" i="4"/>
  <c r="L1377" i="4"/>
  <c r="M1361" i="4"/>
  <c r="M1372" i="4"/>
  <c r="M1386" i="4"/>
  <c r="L1385" i="4"/>
  <c r="M1382" i="4"/>
  <c r="L1381" i="4"/>
  <c r="M1378" i="4"/>
  <c r="L1400" i="4"/>
  <c r="L1396" i="4"/>
  <c r="L1392" i="4"/>
  <c r="L1388" i="4"/>
  <c r="L1384" i="4"/>
  <c r="L1380" i="4"/>
  <c r="L1376" i="4"/>
  <c r="M1373" i="4"/>
  <c r="L1369" i="4"/>
  <c r="L1367" i="4"/>
  <c r="M1366" i="4"/>
  <c r="L1365" i="4"/>
  <c r="M1374" i="4"/>
  <c r="M1370" i="4"/>
  <c r="M1403" i="4"/>
  <c r="M1399" i="4"/>
  <c r="M1395" i="4"/>
  <c r="M1391" i="4"/>
  <c r="M1387" i="4"/>
  <c r="M1383" i="4"/>
  <c r="M1379" i="4"/>
  <c r="M1375" i="4"/>
  <c r="M1371" i="4"/>
  <c r="M1363" i="4"/>
  <c r="M1364" i="4"/>
  <c r="M1368" i="4"/>
  <c r="K1340" i="4" l="1"/>
  <c r="K1339" i="4"/>
  <c r="K1338" i="4"/>
  <c r="K1337" i="4"/>
  <c r="K1336" i="4"/>
  <c r="L1336" i="4" s="1"/>
  <c r="K1335" i="4"/>
  <c r="L1335" i="4" s="1"/>
  <c r="K1334" i="4"/>
  <c r="L1334" i="4" s="1"/>
  <c r="K1333" i="4"/>
  <c r="L1333" i="4" s="1"/>
  <c r="K1332" i="4"/>
  <c r="L1332" i="4" s="1"/>
  <c r="O1015" i="4" l="1"/>
  <c r="O1014" i="4"/>
  <c r="O1013" i="4"/>
  <c r="O1012" i="4"/>
  <c r="O1011" i="4"/>
  <c r="O1010" i="4"/>
  <c r="O1009" i="4"/>
  <c r="O1008" i="4"/>
  <c r="O1007" i="4"/>
  <c r="O1006" i="4"/>
  <c r="O1352" i="4" l="1"/>
  <c r="P1352" i="4" s="1"/>
  <c r="O1351" i="4"/>
  <c r="P1351" i="4" s="1"/>
  <c r="O1350" i="4"/>
  <c r="P1350" i="4" s="1"/>
  <c r="O1349" i="4"/>
  <c r="P1349" i="4" s="1"/>
  <c r="O1348" i="4"/>
  <c r="P1348" i="4" s="1"/>
  <c r="O1347" i="4"/>
  <c r="P1347" i="4" s="1"/>
  <c r="O1104" i="4"/>
  <c r="O1094" i="4"/>
  <c r="O1093" i="4"/>
  <c r="O1092" i="4"/>
  <c r="O1091" i="4"/>
  <c r="O1090" i="4"/>
  <c r="O1058" i="4"/>
  <c r="O1057" i="4"/>
  <c r="O1056" i="4"/>
  <c r="O1055" i="4"/>
  <c r="O1054" i="4"/>
  <c r="O1089" i="4"/>
  <c r="O1088" i="4"/>
  <c r="O1087" i="4"/>
  <c r="O1068" i="4"/>
  <c r="O1067" i="4"/>
  <c r="O1066" i="4"/>
  <c r="O1065" i="4"/>
  <c r="O1183" i="4"/>
  <c r="O994" i="4"/>
  <c r="O978" i="4"/>
  <c r="O1296" i="4"/>
  <c r="O1319" i="4"/>
  <c r="O1300" i="4"/>
  <c r="O1299" i="4"/>
  <c r="O1298" i="4"/>
  <c r="O1297" i="4"/>
  <c r="O1173" i="4"/>
  <c r="O1174" i="4"/>
  <c r="O1172" i="4"/>
  <c r="O1171" i="4"/>
  <c r="O1246" i="4"/>
  <c r="O1198" i="4"/>
  <c r="O1280" i="4"/>
  <c r="O1279" i="4"/>
  <c r="O1278" i="4"/>
  <c r="O1277" i="4"/>
  <c r="O1276" i="4"/>
  <c r="O1318" i="4"/>
  <c r="O1317" i="4"/>
  <c r="O1302" i="4"/>
  <c r="O1301" i="4"/>
  <c r="O1294" i="4"/>
  <c r="O1293" i="4"/>
  <c r="O1292" i="4"/>
  <c r="O1291" i="4"/>
  <c r="O1072" i="4"/>
  <c r="K1360" i="4"/>
  <c r="L1360" i="4" s="1"/>
  <c r="K1353" i="4"/>
  <c r="L1353" i="4" s="1"/>
  <c r="K1354" i="4"/>
  <c r="L1354" i="4" s="1"/>
  <c r="K1355" i="4"/>
  <c r="M1355" i="4" s="1"/>
  <c r="K1356" i="4"/>
  <c r="M1356" i="4" s="1"/>
  <c r="K1357" i="4"/>
  <c r="L1357" i="4" s="1"/>
  <c r="K1358" i="4"/>
  <c r="L1358" i="4" s="1"/>
  <c r="K1359" i="4"/>
  <c r="M1359" i="4" s="1"/>
  <c r="P1360" i="4"/>
  <c r="P1353" i="4"/>
  <c r="P1354" i="4"/>
  <c r="P1355" i="4"/>
  <c r="P1356" i="4"/>
  <c r="P1357" i="4"/>
  <c r="P1358" i="4"/>
  <c r="P1359" i="4"/>
  <c r="L1356" i="4" l="1"/>
  <c r="M1360" i="4"/>
  <c r="L1359" i="4"/>
  <c r="M1357" i="4"/>
  <c r="M1353" i="4"/>
  <c r="L1355" i="4"/>
  <c r="M1358" i="4"/>
  <c r="M1354" i="4"/>
  <c r="K1228" i="4"/>
  <c r="L1228" i="4" s="1"/>
  <c r="K1229" i="4"/>
  <c r="M1229" i="4" s="1"/>
  <c r="K1230" i="4"/>
  <c r="L1230" i="4" s="1"/>
  <c r="K1231" i="4"/>
  <c r="M1231" i="4" s="1"/>
  <c r="K1232" i="4"/>
  <c r="L1232" i="4" s="1"/>
  <c r="K1233" i="4"/>
  <c r="M1233" i="4" s="1"/>
  <c r="K1234" i="4"/>
  <c r="L1234" i="4" s="1"/>
  <c r="K1235" i="4"/>
  <c r="M1235" i="4" s="1"/>
  <c r="K1236" i="4"/>
  <c r="L1236" i="4" s="1"/>
  <c r="K1237" i="4"/>
  <c r="M1237" i="4" s="1"/>
  <c r="K1238" i="4"/>
  <c r="L1238" i="4" s="1"/>
  <c r="K1239" i="4"/>
  <c r="M1239" i="4" s="1"/>
  <c r="K1240" i="4"/>
  <c r="L1240" i="4" s="1"/>
  <c r="K1241" i="4"/>
  <c r="M1241" i="4" s="1"/>
  <c r="K1242" i="4"/>
  <c r="L1242" i="4" s="1"/>
  <c r="K1243" i="4"/>
  <c r="M1243" i="4" s="1"/>
  <c r="K1244" i="4"/>
  <c r="L1244" i="4" s="1"/>
  <c r="K1245" i="4"/>
  <c r="M1245" i="4" s="1"/>
  <c r="K1246" i="4"/>
  <c r="L1246" i="4" s="1"/>
  <c r="K1247" i="4"/>
  <c r="M1247" i="4" s="1"/>
  <c r="K1248" i="4"/>
  <c r="L1248" i="4" s="1"/>
  <c r="K1249" i="4"/>
  <c r="M1249" i="4" s="1"/>
  <c r="K1250" i="4"/>
  <c r="L1250" i="4" s="1"/>
  <c r="K1251" i="4"/>
  <c r="M1251" i="4" s="1"/>
  <c r="K1252" i="4"/>
  <c r="L1252" i="4" s="1"/>
  <c r="K1253" i="4"/>
  <c r="M1253" i="4" s="1"/>
  <c r="K1254" i="4"/>
  <c r="L1254" i="4" s="1"/>
  <c r="K1255" i="4"/>
  <c r="M1255" i="4" s="1"/>
  <c r="K1256" i="4"/>
  <c r="L1256" i="4" s="1"/>
  <c r="K1257" i="4"/>
  <c r="M1257" i="4" s="1"/>
  <c r="K1258" i="4"/>
  <c r="L1258" i="4" s="1"/>
  <c r="K1259" i="4"/>
  <c r="M1259" i="4" s="1"/>
  <c r="K1260" i="4"/>
  <c r="L1260" i="4" s="1"/>
  <c r="K1261" i="4"/>
  <c r="M1261" i="4" s="1"/>
  <c r="K1262" i="4"/>
  <c r="L1262" i="4" s="1"/>
  <c r="K1263" i="4"/>
  <c r="M1263" i="4" s="1"/>
  <c r="K1264" i="4"/>
  <c r="L1264" i="4" s="1"/>
  <c r="K1265" i="4"/>
  <c r="M1265" i="4" s="1"/>
  <c r="K1266" i="4"/>
  <c r="L1266" i="4" s="1"/>
  <c r="K1267" i="4"/>
  <c r="M1267" i="4" s="1"/>
  <c r="K1268" i="4"/>
  <c r="L1268" i="4" s="1"/>
  <c r="K1269" i="4"/>
  <c r="M1269" i="4" s="1"/>
  <c r="K1270" i="4"/>
  <c r="L1270" i="4" s="1"/>
  <c r="K1271" i="4"/>
  <c r="M1271" i="4" s="1"/>
  <c r="K1272" i="4"/>
  <c r="L1272" i="4" s="1"/>
  <c r="K1273" i="4"/>
  <c r="M1273" i="4" s="1"/>
  <c r="K1274" i="4"/>
  <c r="L1274" i="4" s="1"/>
  <c r="K1275" i="4"/>
  <c r="M1275" i="4" s="1"/>
  <c r="K1276" i="4"/>
  <c r="L1276" i="4" s="1"/>
  <c r="K1277" i="4"/>
  <c r="M1277" i="4" s="1"/>
  <c r="K1278" i="4"/>
  <c r="L1278" i="4" s="1"/>
  <c r="K1279" i="4"/>
  <c r="M1279" i="4" s="1"/>
  <c r="K1280" i="4"/>
  <c r="L1280" i="4" s="1"/>
  <c r="K1281" i="4"/>
  <c r="M1281" i="4" s="1"/>
  <c r="K1282" i="4"/>
  <c r="L1282" i="4" s="1"/>
  <c r="K1283" i="4"/>
  <c r="M1283" i="4" s="1"/>
  <c r="K1284" i="4"/>
  <c r="L1284" i="4" s="1"/>
  <c r="K1285" i="4"/>
  <c r="M1285" i="4" s="1"/>
  <c r="K1286" i="4"/>
  <c r="L1286" i="4" s="1"/>
  <c r="K1287" i="4"/>
  <c r="M1287" i="4" s="1"/>
  <c r="K1288" i="4"/>
  <c r="L1288" i="4" s="1"/>
  <c r="K1289" i="4"/>
  <c r="M1289" i="4" s="1"/>
  <c r="K1290" i="4"/>
  <c r="L1290" i="4" s="1"/>
  <c r="K1291" i="4"/>
  <c r="M1291" i="4" s="1"/>
  <c r="K1292" i="4"/>
  <c r="L1292" i="4" s="1"/>
  <c r="K1293" i="4"/>
  <c r="M1293" i="4" s="1"/>
  <c r="K1294" i="4"/>
  <c r="L1294" i="4" s="1"/>
  <c r="K1295" i="4"/>
  <c r="M1295" i="4" s="1"/>
  <c r="K1296" i="4"/>
  <c r="L1296" i="4" s="1"/>
  <c r="K1297" i="4"/>
  <c r="M1297" i="4" s="1"/>
  <c r="K1298" i="4"/>
  <c r="L1298" i="4" s="1"/>
  <c r="K1299" i="4"/>
  <c r="M1299" i="4" s="1"/>
  <c r="K1300" i="4"/>
  <c r="L1300" i="4" s="1"/>
  <c r="K1301" i="4"/>
  <c r="M1301" i="4" s="1"/>
  <c r="K1302" i="4"/>
  <c r="L1302" i="4" s="1"/>
  <c r="K1303" i="4"/>
  <c r="M1303" i="4" s="1"/>
  <c r="K1304" i="4"/>
  <c r="L1304" i="4" s="1"/>
  <c r="K1305" i="4"/>
  <c r="L1305" i="4" s="1"/>
  <c r="K1306" i="4"/>
  <c r="L1306" i="4" s="1"/>
  <c r="K1307" i="4"/>
  <c r="M1307" i="4" s="1"/>
  <c r="K1308" i="4"/>
  <c r="L1308" i="4" s="1"/>
  <c r="K1309" i="4"/>
  <c r="L1309" i="4" s="1"/>
  <c r="K1310" i="4"/>
  <c r="L1310" i="4" s="1"/>
  <c r="K1311" i="4"/>
  <c r="M1311" i="4" s="1"/>
  <c r="K1312" i="4"/>
  <c r="M1312" i="4" s="1"/>
  <c r="K1313" i="4"/>
  <c r="M1313" i="4" s="1"/>
  <c r="K1314" i="4"/>
  <c r="L1314" i="4" s="1"/>
  <c r="K1315" i="4"/>
  <c r="M1315" i="4" s="1"/>
  <c r="K1316" i="4"/>
  <c r="M1316" i="4" s="1"/>
  <c r="K1317" i="4"/>
  <c r="M1317" i="4" s="1"/>
  <c r="K1318" i="4"/>
  <c r="L1318" i="4" s="1"/>
  <c r="K1319" i="4"/>
  <c r="M1319" i="4" s="1"/>
  <c r="K1320" i="4"/>
  <c r="L1320" i="4" s="1"/>
  <c r="K1321" i="4"/>
  <c r="M1321" i="4" s="1"/>
  <c r="K1322" i="4"/>
  <c r="L1322" i="4" s="1"/>
  <c r="K1323" i="4"/>
  <c r="M1323" i="4" s="1"/>
  <c r="K1324" i="4"/>
  <c r="L1324" i="4" s="1"/>
  <c r="K1325" i="4"/>
  <c r="L1325" i="4" s="1"/>
  <c r="K1326" i="4"/>
  <c r="L1326" i="4" s="1"/>
  <c r="K1327" i="4"/>
  <c r="K1328" i="4"/>
  <c r="K1329" i="4"/>
  <c r="L1329" i="4" s="1"/>
  <c r="K1330" i="4"/>
  <c r="L1330" i="4" s="1"/>
  <c r="K1331" i="4"/>
  <c r="M1333" i="4"/>
  <c r="M1335" i="4"/>
  <c r="M1336" i="4"/>
  <c r="M1337" i="4"/>
  <c r="L1338" i="4"/>
  <c r="M1339" i="4"/>
  <c r="M1340" i="4"/>
  <c r="K1341" i="4"/>
  <c r="M1341" i="4" s="1"/>
  <c r="K1342" i="4"/>
  <c r="L1342" i="4" s="1"/>
  <c r="K1343" i="4"/>
  <c r="M1343" i="4" s="1"/>
  <c r="K1344" i="4"/>
  <c r="L1344" i="4" s="1"/>
  <c r="K1345" i="4"/>
  <c r="M1345" i="4" s="1"/>
  <c r="K1346" i="4"/>
  <c r="L1346" i="4" s="1"/>
  <c r="K1347" i="4"/>
  <c r="M1347" i="4" s="1"/>
  <c r="K1348" i="4"/>
  <c r="M1348" i="4" s="1"/>
  <c r="K1349" i="4"/>
  <c r="L1349" i="4" s="1"/>
  <c r="K1350" i="4"/>
  <c r="L1350" i="4" s="1"/>
  <c r="K1351" i="4"/>
  <c r="M1351" i="4" s="1"/>
  <c r="K1352" i="4"/>
  <c r="M1352" i="4" s="1"/>
  <c r="B1347" i="4"/>
  <c r="C1347" i="4"/>
  <c r="B1348" i="4"/>
  <c r="C1348" i="4"/>
  <c r="B1349" i="4"/>
  <c r="C1349" i="4"/>
  <c r="B1350" i="4"/>
  <c r="C1350" i="4"/>
  <c r="B1351" i="4"/>
  <c r="C1351" i="4"/>
  <c r="B1352" i="4"/>
  <c r="C1352" i="4"/>
  <c r="B1353" i="4"/>
  <c r="C1353" i="4"/>
  <c r="B1354" i="4"/>
  <c r="C1354" i="4"/>
  <c r="B1355" i="4"/>
  <c r="C1355" i="4"/>
  <c r="B1356" i="4"/>
  <c r="C1356" i="4"/>
  <c r="B1357" i="4"/>
  <c r="C1357" i="4"/>
  <c r="B1358" i="4"/>
  <c r="C1358" i="4"/>
  <c r="B1359" i="4"/>
  <c r="C1359" i="4"/>
  <c r="B1360" i="4"/>
  <c r="C1360" i="4"/>
  <c r="B1327" i="4"/>
  <c r="C1327" i="4"/>
  <c r="B1328" i="4"/>
  <c r="C1328" i="4"/>
  <c r="B1329" i="4"/>
  <c r="C1329" i="4"/>
  <c r="B1330" i="4"/>
  <c r="C1330" i="4"/>
  <c r="B1331" i="4"/>
  <c r="C1331" i="4"/>
  <c r="B1332" i="4"/>
  <c r="C1332" i="4"/>
  <c r="B1333" i="4"/>
  <c r="C1333" i="4"/>
  <c r="B1334" i="4"/>
  <c r="C1334" i="4"/>
  <c r="B1335" i="4"/>
  <c r="C1335" i="4"/>
  <c r="B1336" i="4"/>
  <c r="C1336" i="4"/>
  <c r="B1337" i="4"/>
  <c r="C1337" i="4"/>
  <c r="B1338" i="4"/>
  <c r="C1338" i="4"/>
  <c r="B1339" i="4"/>
  <c r="C1339" i="4"/>
  <c r="B1340" i="4"/>
  <c r="C1340" i="4"/>
  <c r="B1341" i="4"/>
  <c r="C1341" i="4"/>
  <c r="B1342" i="4"/>
  <c r="C1342" i="4"/>
  <c r="B1343" i="4"/>
  <c r="C1343" i="4"/>
  <c r="B1344" i="4"/>
  <c r="C1344" i="4"/>
  <c r="B1345" i="4"/>
  <c r="C1345" i="4"/>
  <c r="B1346" i="4"/>
  <c r="C1346" i="4"/>
  <c r="P1327" i="4"/>
  <c r="P1328" i="4"/>
  <c r="P1329" i="4"/>
  <c r="P1330" i="4"/>
  <c r="P1331" i="4"/>
  <c r="P1332" i="4"/>
  <c r="P1333" i="4"/>
  <c r="P1334" i="4"/>
  <c r="P1335" i="4"/>
  <c r="P1336" i="4"/>
  <c r="P1337" i="4"/>
  <c r="P1338" i="4"/>
  <c r="P1339" i="4"/>
  <c r="P1340" i="4"/>
  <c r="P1344" i="4"/>
  <c r="P1345" i="4"/>
  <c r="P1346" i="4"/>
  <c r="B1320" i="4"/>
  <c r="C1320" i="4"/>
  <c r="B1321" i="4"/>
  <c r="C1321" i="4"/>
  <c r="B1322" i="4"/>
  <c r="C1322" i="4"/>
  <c r="B1323" i="4"/>
  <c r="C1323" i="4"/>
  <c r="B1324" i="4"/>
  <c r="C1324" i="4"/>
  <c r="B1325" i="4"/>
  <c r="C1325" i="4"/>
  <c r="B1326" i="4"/>
  <c r="C1326" i="4"/>
  <c r="P1319" i="4"/>
  <c r="P1320" i="4"/>
  <c r="P1321" i="4"/>
  <c r="P1322" i="4"/>
  <c r="P1323" i="4"/>
  <c r="P1324" i="4"/>
  <c r="P1325" i="4"/>
  <c r="P1326" i="4"/>
  <c r="B1319" i="4"/>
  <c r="C1319" i="4"/>
  <c r="L1229" i="4" l="1"/>
  <c r="M1230" i="4"/>
  <c r="M1331" i="4"/>
  <c r="L1331" i="4"/>
  <c r="M1327" i="4"/>
  <c r="L1327" i="4"/>
  <c r="M1328" i="4"/>
  <c r="L1328" i="4"/>
  <c r="L1341" i="4"/>
  <c r="L1277" i="4"/>
  <c r="L1245" i="4"/>
  <c r="M1262" i="4"/>
  <c r="L1261" i="4"/>
  <c r="L1293" i="4"/>
  <c r="L1253" i="4"/>
  <c r="M1294" i="4"/>
  <c r="L1285" i="4"/>
  <c r="M1234" i="4"/>
  <c r="M1314" i="4"/>
  <c r="M1298" i="4"/>
  <c r="M1266" i="4"/>
  <c r="M1306" i="4"/>
  <c r="M1274" i="4"/>
  <c r="M1242" i="4"/>
  <c r="L1301" i="4"/>
  <c r="M1286" i="4"/>
  <c r="L1269" i="4"/>
  <c r="M1254" i="4"/>
  <c r="L1237" i="4"/>
  <c r="M1302" i="4"/>
  <c r="M1282" i="4"/>
  <c r="M1270" i="4"/>
  <c r="M1250" i="4"/>
  <c r="M1238" i="4"/>
  <c r="M1290" i="4"/>
  <c r="M1278" i="4"/>
  <c r="M1258" i="4"/>
  <c r="M1246" i="4"/>
  <c r="L1337" i="4"/>
  <c r="M1325" i="4"/>
  <c r="L1297" i="4"/>
  <c r="L1289" i="4"/>
  <c r="L1281" i="4"/>
  <c r="L1273" i="4"/>
  <c r="L1265" i="4"/>
  <c r="L1257" i="4"/>
  <c r="L1249" i="4"/>
  <c r="L1241" i="4"/>
  <c r="L1233" i="4"/>
  <c r="L1321" i="4"/>
  <c r="L1313" i="4"/>
  <c r="M1305" i="4"/>
  <c r="L1317" i="4"/>
  <c r="M1349" i="4"/>
  <c r="M1329" i="4"/>
  <c r="M1346" i="4"/>
  <c r="M1334" i="4"/>
  <c r="M1320" i="4"/>
  <c r="M1324" i="4"/>
  <c r="L1312" i="4"/>
  <c r="L1352" i="4"/>
  <c r="M1338" i="4"/>
  <c r="M1330" i="4"/>
  <c r="M1322" i="4"/>
  <c r="L1316" i="4"/>
  <c r="M1310" i="4"/>
  <c r="M1332" i="4"/>
  <c r="M1308" i="4"/>
  <c r="M1304" i="4"/>
  <c r="M1300" i="4"/>
  <c r="M1296" i="4"/>
  <c r="M1292" i="4"/>
  <c r="M1288" i="4"/>
  <c r="M1284" i="4"/>
  <c r="M1280" i="4"/>
  <c r="M1276" i="4"/>
  <c r="M1272" i="4"/>
  <c r="M1268" i="4"/>
  <c r="M1264" i="4"/>
  <c r="M1260" i="4"/>
  <c r="M1256" i="4"/>
  <c r="M1252" i="4"/>
  <c r="M1248" i="4"/>
  <c r="M1244" i="4"/>
  <c r="M1240" i="4"/>
  <c r="M1236" i="4"/>
  <c r="M1232" i="4"/>
  <c r="M1228" i="4"/>
  <c r="L1307" i="4"/>
  <c r="L1315" i="4"/>
  <c r="L1299" i="4"/>
  <c r="L1291" i="4"/>
  <c r="L1283" i="4"/>
  <c r="L1275" i="4"/>
  <c r="L1267" i="4"/>
  <c r="L1259" i="4"/>
  <c r="L1251" i="4"/>
  <c r="L1243" i="4"/>
  <c r="L1235" i="4"/>
  <c r="L1311" i="4"/>
  <c r="L1295" i="4"/>
  <c r="L1287" i="4"/>
  <c r="L1279" i="4"/>
  <c r="L1271" i="4"/>
  <c r="L1263" i="4"/>
  <c r="L1255" i="4"/>
  <c r="L1247" i="4"/>
  <c r="L1239" i="4"/>
  <c r="L1231" i="4"/>
  <c r="L1351" i="4"/>
  <c r="M1350" i="4"/>
  <c r="L1345" i="4"/>
  <c r="L1348" i="4"/>
  <c r="L1347" i="4"/>
  <c r="L1343" i="4"/>
  <c r="M1342" i="4"/>
  <c r="L1340" i="4"/>
  <c r="L1339" i="4"/>
  <c r="M1326" i="4"/>
  <c r="M1318" i="4"/>
  <c r="L1319" i="4"/>
  <c r="L1323" i="4"/>
  <c r="M1344" i="4"/>
  <c r="M1309" i="4"/>
  <c r="L1303" i="4"/>
  <c r="O997" i="4" l="1"/>
  <c r="O1002" i="4"/>
  <c r="O999" i="4"/>
  <c r="O998" i="4"/>
  <c r="O995" i="4"/>
  <c r="O996" i="4"/>
  <c r="O992" i="4"/>
  <c r="O993" i="4"/>
  <c r="O921" i="4"/>
  <c r="O991" i="4"/>
  <c r="O990" i="4"/>
  <c r="O977" i="4"/>
  <c r="O976" i="4"/>
  <c r="O975" i="4"/>
  <c r="O974" i="4"/>
  <c r="O953" i="4"/>
  <c r="O952" i="4"/>
  <c r="O951" i="4"/>
  <c r="O950" i="4"/>
  <c r="O949" i="4"/>
  <c r="O946" i="4"/>
  <c r="O945" i="4"/>
  <c r="O944" i="4"/>
  <c r="O943" i="4"/>
  <c r="O924" i="4"/>
  <c r="O923" i="4"/>
  <c r="O922" i="4"/>
  <c r="P1313" i="4"/>
  <c r="P1314" i="4"/>
  <c r="P1315" i="4"/>
  <c r="P1316" i="4"/>
  <c r="P1317" i="4"/>
  <c r="P1318" i="4"/>
  <c r="B1313" i="4"/>
  <c r="C1313" i="4"/>
  <c r="B1314" i="4"/>
  <c r="C1314" i="4"/>
  <c r="B1315" i="4"/>
  <c r="C1315" i="4"/>
  <c r="B1316" i="4"/>
  <c r="C1316" i="4"/>
  <c r="B1317" i="4"/>
  <c r="C1317" i="4"/>
  <c r="B1318" i="4"/>
  <c r="C1318" i="4"/>
  <c r="P1291" i="4"/>
  <c r="P1292" i="4"/>
  <c r="P1293" i="4"/>
  <c r="P1294" i="4"/>
  <c r="P1295" i="4"/>
  <c r="P1296" i="4"/>
  <c r="P1297" i="4"/>
  <c r="P1298" i="4"/>
  <c r="P1299" i="4"/>
  <c r="P1300" i="4"/>
  <c r="P1301" i="4"/>
  <c r="P1302" i="4"/>
  <c r="P1303" i="4"/>
  <c r="P1304" i="4"/>
  <c r="P1305" i="4"/>
  <c r="P1306" i="4"/>
  <c r="P1307" i="4"/>
  <c r="P1308" i="4"/>
  <c r="P1309" i="4"/>
  <c r="P1310" i="4"/>
  <c r="P1311" i="4"/>
  <c r="P1312" i="4"/>
  <c r="B1291" i="4"/>
  <c r="C1291" i="4"/>
  <c r="B1292" i="4"/>
  <c r="C1292" i="4"/>
  <c r="B1293" i="4"/>
  <c r="C1293" i="4"/>
  <c r="B1294" i="4"/>
  <c r="C1294" i="4"/>
  <c r="B1295" i="4"/>
  <c r="C1295" i="4"/>
  <c r="B1296" i="4"/>
  <c r="C1296" i="4"/>
  <c r="B1297" i="4"/>
  <c r="C1297" i="4"/>
  <c r="B1298" i="4"/>
  <c r="C1298" i="4"/>
  <c r="B1299" i="4"/>
  <c r="C1299" i="4"/>
  <c r="B1300" i="4"/>
  <c r="C1300" i="4"/>
  <c r="B1301" i="4"/>
  <c r="C1301" i="4"/>
  <c r="B1302" i="4"/>
  <c r="C1302" i="4"/>
  <c r="B1303" i="4"/>
  <c r="C1303" i="4"/>
  <c r="B1304" i="4"/>
  <c r="C1304" i="4"/>
  <c r="B1305" i="4"/>
  <c r="C1305" i="4"/>
  <c r="B1306" i="4"/>
  <c r="C1306" i="4"/>
  <c r="B1307" i="4"/>
  <c r="C1307" i="4"/>
  <c r="B1308" i="4"/>
  <c r="C1308" i="4"/>
  <c r="B1309" i="4"/>
  <c r="C1309" i="4"/>
  <c r="B1310" i="4"/>
  <c r="C1310" i="4"/>
  <c r="B1311" i="4"/>
  <c r="C1311" i="4"/>
  <c r="B1312" i="4"/>
  <c r="C1312" i="4"/>
  <c r="P1270" i="4"/>
  <c r="P1271" i="4"/>
  <c r="P1272" i="4"/>
  <c r="P1273" i="4"/>
  <c r="P1274" i="4"/>
  <c r="P1275" i="4"/>
  <c r="P1276" i="4"/>
  <c r="P1277" i="4"/>
  <c r="P1278" i="4"/>
  <c r="P1279" i="4"/>
  <c r="P1280" i="4"/>
  <c r="P1282" i="4"/>
  <c r="P1283" i="4"/>
  <c r="P1284" i="4"/>
  <c r="P1285" i="4"/>
  <c r="P1286" i="4"/>
  <c r="P1287" i="4"/>
  <c r="P1288" i="4"/>
  <c r="P1289" i="4"/>
  <c r="P1290" i="4"/>
  <c r="B1277" i="4"/>
  <c r="C1277" i="4"/>
  <c r="B1278" i="4"/>
  <c r="C1278" i="4"/>
  <c r="B1279" i="4"/>
  <c r="C1279" i="4"/>
  <c r="B1280" i="4"/>
  <c r="C1280" i="4"/>
  <c r="B1281" i="4"/>
  <c r="C1281" i="4"/>
  <c r="B1282" i="4"/>
  <c r="C1282" i="4"/>
  <c r="B1283" i="4"/>
  <c r="C1283" i="4"/>
  <c r="B1284" i="4"/>
  <c r="C1284" i="4"/>
  <c r="B1285" i="4"/>
  <c r="C1285" i="4"/>
  <c r="B1286" i="4"/>
  <c r="C1286" i="4"/>
  <c r="B1287" i="4"/>
  <c r="C1287" i="4"/>
  <c r="B1288" i="4"/>
  <c r="C1288" i="4"/>
  <c r="B1289" i="4"/>
  <c r="C1289" i="4"/>
  <c r="B1290" i="4"/>
  <c r="C1290" i="4"/>
  <c r="B1270" i="4"/>
  <c r="C1270" i="4"/>
  <c r="B1271" i="4"/>
  <c r="C1271" i="4"/>
  <c r="B1272" i="4"/>
  <c r="C1272" i="4"/>
  <c r="B1273" i="4"/>
  <c r="C1273" i="4"/>
  <c r="B1274" i="4"/>
  <c r="C1274" i="4"/>
  <c r="B1275" i="4"/>
  <c r="C1275" i="4"/>
  <c r="B1276" i="4"/>
  <c r="C1276" i="4"/>
  <c r="O920" i="4" l="1"/>
  <c r="O919" i="4"/>
  <c r="O918" i="4"/>
  <c r="O917" i="4"/>
  <c r="O916" i="4"/>
  <c r="O915" i="4"/>
  <c r="O865" i="4"/>
  <c r="O914" i="4"/>
  <c r="O913" i="4"/>
  <c r="O904" i="4"/>
  <c r="O903" i="4"/>
  <c r="O902" i="4"/>
  <c r="O901" i="4"/>
  <c r="O886" i="4"/>
  <c r="O885" i="4"/>
  <c r="O884" i="4"/>
  <c r="O883" i="4"/>
  <c r="O877" i="4"/>
  <c r="O876" i="4"/>
  <c r="O875" i="4"/>
  <c r="O874" i="4"/>
  <c r="O873" i="4"/>
  <c r="O872" i="4"/>
  <c r="O849" i="4"/>
  <c r="O864" i="4"/>
  <c r="O863" i="4"/>
  <c r="O862" i="4"/>
  <c r="O850" i="4"/>
  <c r="O844" i="4"/>
  <c r="O848" i="4"/>
  <c r="O847" i="4"/>
  <c r="O845" i="4"/>
  <c r="O841" i="4"/>
  <c r="O843" i="4"/>
  <c r="O842" i="4"/>
  <c r="O836" i="4"/>
  <c r="O835" i="4"/>
  <c r="O834" i="4"/>
  <c r="O833" i="4"/>
  <c r="O832" i="4"/>
  <c r="O825" i="4"/>
  <c r="O824" i="4"/>
  <c r="O823" i="4"/>
  <c r="O822" i="4"/>
  <c r="O821" i="4"/>
  <c r="O815" i="4"/>
  <c r="O814" i="4"/>
  <c r="O813" i="4"/>
  <c r="O812" i="4"/>
  <c r="O807" i="4"/>
  <c r="O806" i="4"/>
  <c r="O805" i="4"/>
  <c r="O804" i="4"/>
  <c r="O800" i="4"/>
  <c r="O799" i="4"/>
  <c r="P799" i="4" s="1"/>
  <c r="O798" i="4"/>
  <c r="P798" i="4" s="1"/>
  <c r="O797" i="4"/>
  <c r="P797" i="4" s="1"/>
  <c r="O796" i="4"/>
  <c r="P796" i="4" s="1"/>
  <c r="O791" i="4"/>
  <c r="P791" i="4" s="1"/>
  <c r="O790" i="4"/>
  <c r="P790" i="4" s="1"/>
  <c r="O789" i="4"/>
  <c r="P789" i="4" s="1"/>
  <c r="O788" i="4"/>
  <c r="P788" i="4" s="1"/>
  <c r="O1216" i="4"/>
  <c r="P1216" i="4" s="1"/>
  <c r="O1215" i="4"/>
  <c r="P1215" i="4" s="1"/>
  <c r="O1147" i="4"/>
  <c r="O1146" i="4"/>
  <c r="O1035" i="4"/>
  <c r="O1034" i="4"/>
  <c r="O1033" i="4"/>
  <c r="O1032" i="4"/>
  <c r="O1031" i="4"/>
  <c r="O1020" i="4"/>
  <c r="O1019" i="4"/>
  <c r="O1018" i="4"/>
  <c r="O1017" i="4"/>
  <c r="O1030" i="4"/>
  <c r="O1029" i="4"/>
  <c r="O1028" i="4"/>
  <c r="O1027" i="4"/>
  <c r="O1026" i="4"/>
  <c r="O1025" i="4"/>
  <c r="O869" i="4"/>
  <c r="O1234" i="4"/>
  <c r="P1234" i="4" s="1"/>
  <c r="O1233" i="4"/>
  <c r="P1233" i="4" s="1"/>
  <c r="O1245" i="4"/>
  <c r="P1245" i="4" s="1"/>
  <c r="O1244" i="4"/>
  <c r="P1244" i="4" s="1"/>
  <c r="O1243" i="4"/>
  <c r="P1243" i="4" s="1"/>
  <c r="O1071" i="4"/>
  <c r="O1070" i="4"/>
  <c r="O1069" i="4"/>
  <c r="O1175" i="4"/>
  <c r="O1197" i="4"/>
  <c r="P1197" i="4" s="1"/>
  <c r="P1198" i="4"/>
  <c r="P1199" i="4"/>
  <c r="P1200" i="4"/>
  <c r="P1201" i="4"/>
  <c r="P1202" i="4"/>
  <c r="P1203" i="4"/>
  <c r="P1204" i="4"/>
  <c r="P1205" i="4"/>
  <c r="P1206" i="4"/>
  <c r="P1207" i="4"/>
  <c r="P1208" i="4"/>
  <c r="P1209" i="4"/>
  <c r="P1210" i="4"/>
  <c r="P1211" i="4"/>
  <c r="P1212" i="4"/>
  <c r="P1213" i="4"/>
  <c r="P1214" i="4"/>
  <c r="P1217" i="4"/>
  <c r="P1218" i="4"/>
  <c r="P1219" i="4"/>
  <c r="P1220" i="4"/>
  <c r="P1221" i="4"/>
  <c r="P1222" i="4"/>
  <c r="P1223" i="4"/>
  <c r="P1224" i="4"/>
  <c r="P1225" i="4"/>
  <c r="P1226" i="4"/>
  <c r="P1227" i="4"/>
  <c r="P1228" i="4"/>
  <c r="P1229" i="4"/>
  <c r="P1230" i="4"/>
  <c r="P1231" i="4"/>
  <c r="P1232" i="4"/>
  <c r="P1235" i="4"/>
  <c r="P1236" i="4"/>
  <c r="P1237" i="4"/>
  <c r="P1238" i="4"/>
  <c r="P1239" i="4"/>
  <c r="P1240" i="4"/>
  <c r="P1241" i="4"/>
  <c r="P1242" i="4"/>
  <c r="P1246" i="4"/>
  <c r="P1250" i="4"/>
  <c r="P1251" i="4"/>
  <c r="P1252" i="4"/>
  <c r="P1253" i="4"/>
  <c r="P1254" i="4"/>
  <c r="P1255" i="4"/>
  <c r="P1256" i="4"/>
  <c r="P1257" i="4"/>
  <c r="P1258" i="4"/>
  <c r="P1259" i="4"/>
  <c r="P1260" i="4"/>
  <c r="P1261" i="4"/>
  <c r="P1262" i="4"/>
  <c r="P1264" i="4"/>
  <c r="P1265" i="4"/>
  <c r="P1266" i="4"/>
  <c r="P1267" i="4"/>
  <c r="P1268" i="4"/>
  <c r="P1269" i="4"/>
  <c r="B1268" i="4" l="1"/>
  <c r="C1268" i="4"/>
  <c r="B1269" i="4"/>
  <c r="C1269" i="4"/>
  <c r="B1256" i="4"/>
  <c r="C1256" i="4"/>
  <c r="B1257" i="4"/>
  <c r="C1257" i="4"/>
  <c r="B1258" i="4"/>
  <c r="C1258" i="4"/>
  <c r="B1259" i="4"/>
  <c r="C1259" i="4"/>
  <c r="B1260" i="4"/>
  <c r="C1260" i="4"/>
  <c r="B1261" i="4"/>
  <c r="C1261" i="4"/>
  <c r="B1262" i="4"/>
  <c r="C1262" i="4"/>
  <c r="B1263" i="4"/>
  <c r="C1263" i="4"/>
  <c r="B1264" i="4"/>
  <c r="C1264" i="4"/>
  <c r="B1265" i="4"/>
  <c r="C1265" i="4"/>
  <c r="B1266" i="4"/>
  <c r="C1266" i="4"/>
  <c r="B1267" i="4"/>
  <c r="C1267" i="4"/>
  <c r="B1255" i="4"/>
  <c r="C1255" i="4"/>
  <c r="B1242" i="4"/>
  <c r="C1242" i="4"/>
  <c r="B1243" i="4"/>
  <c r="C1243" i="4"/>
  <c r="B1244" i="4"/>
  <c r="C1244" i="4"/>
  <c r="B1245" i="4"/>
  <c r="C1245" i="4"/>
  <c r="B1246" i="4"/>
  <c r="C1246" i="4"/>
  <c r="B1247" i="4"/>
  <c r="C1247" i="4"/>
  <c r="B1248" i="4"/>
  <c r="C1248" i="4"/>
  <c r="B1249" i="4"/>
  <c r="C1249" i="4"/>
  <c r="B1250" i="4"/>
  <c r="C1250" i="4"/>
  <c r="B1251" i="4"/>
  <c r="C1251" i="4"/>
  <c r="B1252" i="4"/>
  <c r="C1252" i="4"/>
  <c r="B1253" i="4"/>
  <c r="C1253" i="4"/>
  <c r="B1254" i="4"/>
  <c r="C1254" i="4"/>
  <c r="K1224" i="4"/>
  <c r="L1224" i="4" s="1"/>
  <c r="K1225" i="4"/>
  <c r="L1225" i="4" s="1"/>
  <c r="K1226" i="4"/>
  <c r="K1227" i="4"/>
  <c r="B1221" i="4"/>
  <c r="C1221" i="4"/>
  <c r="B1222" i="4"/>
  <c r="C1222" i="4"/>
  <c r="B1223" i="4"/>
  <c r="C1223" i="4"/>
  <c r="B1224" i="4"/>
  <c r="C1224" i="4"/>
  <c r="B1225" i="4"/>
  <c r="C1225" i="4"/>
  <c r="B1226" i="4"/>
  <c r="C1226" i="4"/>
  <c r="B1227" i="4"/>
  <c r="C1227" i="4"/>
  <c r="B1228" i="4"/>
  <c r="C1228" i="4"/>
  <c r="B1229" i="4"/>
  <c r="C1229" i="4"/>
  <c r="B1230" i="4"/>
  <c r="C1230" i="4"/>
  <c r="B1231" i="4"/>
  <c r="C1231" i="4"/>
  <c r="B1232" i="4"/>
  <c r="C1232" i="4"/>
  <c r="B1233" i="4"/>
  <c r="C1233" i="4"/>
  <c r="B1234" i="4"/>
  <c r="C1234" i="4"/>
  <c r="B1235" i="4"/>
  <c r="C1235" i="4"/>
  <c r="B1236" i="4"/>
  <c r="C1236" i="4"/>
  <c r="B1237" i="4"/>
  <c r="C1237" i="4"/>
  <c r="B1238" i="4"/>
  <c r="C1238" i="4"/>
  <c r="B1239" i="4"/>
  <c r="C1239" i="4"/>
  <c r="B1240" i="4"/>
  <c r="C1240" i="4"/>
  <c r="B1241" i="4"/>
  <c r="C1241" i="4"/>
  <c r="K1215" i="4"/>
  <c r="L1215" i="4" s="1"/>
  <c r="K1216" i="4"/>
  <c r="L1216" i="4" s="1"/>
  <c r="K1217" i="4"/>
  <c r="M1217" i="4" s="1"/>
  <c r="K1218" i="4"/>
  <c r="M1218" i="4" s="1"/>
  <c r="K1219" i="4"/>
  <c r="L1219" i="4" s="1"/>
  <c r="K1220" i="4"/>
  <c r="L1220" i="4" s="1"/>
  <c r="K1221" i="4"/>
  <c r="M1221" i="4" s="1"/>
  <c r="K1222" i="4"/>
  <c r="M1222" i="4" s="1"/>
  <c r="K1223" i="4"/>
  <c r="L1223" i="4" s="1"/>
  <c r="K1211" i="4"/>
  <c r="L1211" i="4" s="1"/>
  <c r="K1212" i="4"/>
  <c r="M1212" i="4" s="1"/>
  <c r="K1213" i="4"/>
  <c r="M1213" i="4" s="1"/>
  <c r="K1214" i="4"/>
  <c r="M1214" i="4" s="1"/>
  <c r="B1211" i="4"/>
  <c r="C1211" i="4"/>
  <c r="B1212" i="4"/>
  <c r="C1212" i="4"/>
  <c r="B1213" i="4"/>
  <c r="C1213" i="4"/>
  <c r="B1214" i="4"/>
  <c r="C1214" i="4"/>
  <c r="B1215" i="4"/>
  <c r="C1215" i="4"/>
  <c r="B1216" i="4"/>
  <c r="C1216" i="4"/>
  <c r="B1217" i="4"/>
  <c r="C1217" i="4"/>
  <c r="B1218" i="4"/>
  <c r="C1218" i="4"/>
  <c r="B1219" i="4"/>
  <c r="C1219" i="4"/>
  <c r="B1220" i="4"/>
  <c r="C1220" i="4"/>
  <c r="K1207" i="4"/>
  <c r="L1207" i="4" s="1"/>
  <c r="K1208" i="4"/>
  <c r="M1208" i="4" s="1"/>
  <c r="K1209" i="4"/>
  <c r="M1209" i="4" s="1"/>
  <c r="K1210" i="4"/>
  <c r="L1210" i="4" s="1"/>
  <c r="K1203" i="4"/>
  <c r="L1203" i="4" s="1"/>
  <c r="K1204" i="4"/>
  <c r="L1204" i="4" s="1"/>
  <c r="K1205" i="4"/>
  <c r="L1205" i="4" s="1"/>
  <c r="K1206" i="4"/>
  <c r="L1206" i="4" s="1"/>
  <c r="L1226" i="4" l="1"/>
  <c r="M1226" i="4"/>
  <c r="L1227" i="4"/>
  <c r="M1227" i="4"/>
  <c r="L1209" i="4"/>
  <c r="L1208" i="4"/>
  <c r="L1213" i="4"/>
  <c r="L1221" i="4"/>
  <c r="L1218" i="4"/>
  <c r="M1215" i="4"/>
  <c r="L1214" i="4"/>
  <c r="L1212" i="4"/>
  <c r="L1222" i="4"/>
  <c r="M1204" i="4"/>
  <c r="M1224" i="4"/>
  <c r="M1223" i="4"/>
  <c r="M1225" i="4"/>
  <c r="M1219" i="4"/>
  <c r="L1217" i="4"/>
  <c r="M1220" i="4"/>
  <c r="M1216" i="4"/>
  <c r="M1211" i="4"/>
  <c r="M1210" i="4"/>
  <c r="M1207" i="4"/>
  <c r="M1205" i="4"/>
  <c r="M1206" i="4"/>
  <c r="M1203" i="4"/>
  <c r="K1198" i="4"/>
  <c r="L1198" i="4" s="1"/>
  <c r="K1199" i="4"/>
  <c r="L1199" i="4" s="1"/>
  <c r="K1200" i="4"/>
  <c r="M1200" i="4" s="1"/>
  <c r="K1201" i="4"/>
  <c r="L1201" i="4" s="1"/>
  <c r="K1202" i="4"/>
  <c r="L1202" i="4" s="1"/>
  <c r="B1198" i="4"/>
  <c r="C1198" i="4"/>
  <c r="B1199" i="4"/>
  <c r="C1199" i="4"/>
  <c r="B1200" i="4"/>
  <c r="C1200" i="4"/>
  <c r="B1201" i="4"/>
  <c r="C1201" i="4"/>
  <c r="B1202" i="4"/>
  <c r="C1202" i="4"/>
  <c r="B1203" i="4"/>
  <c r="C1203" i="4"/>
  <c r="B1204" i="4"/>
  <c r="C1204" i="4"/>
  <c r="B1205" i="4"/>
  <c r="C1205" i="4"/>
  <c r="B1206" i="4"/>
  <c r="C1206" i="4"/>
  <c r="B1207" i="4"/>
  <c r="C1207" i="4"/>
  <c r="B1208" i="4"/>
  <c r="C1208" i="4"/>
  <c r="B1209" i="4"/>
  <c r="C1209" i="4"/>
  <c r="B1210" i="4"/>
  <c r="C1210" i="4"/>
  <c r="K1197" i="4"/>
  <c r="M1197" i="4" s="1"/>
  <c r="B1197" i="4"/>
  <c r="C1197" i="4"/>
  <c r="M1201" i="4" l="1"/>
  <c r="M1198" i="4"/>
  <c r="M1202" i="4"/>
  <c r="L1200" i="4"/>
  <c r="M1199" i="4"/>
  <c r="L1197" i="4"/>
  <c r="O1196" i="4" l="1"/>
  <c r="P1196" i="4" s="1"/>
  <c r="O1195" i="4"/>
  <c r="P1195" i="4" s="1"/>
  <c r="O1194" i="4"/>
  <c r="P1194" i="4" s="1"/>
  <c r="K1196" i="4"/>
  <c r="L1196" i="4" s="1"/>
  <c r="K1195" i="4"/>
  <c r="L1195" i="4" s="1"/>
  <c r="K1194" i="4"/>
  <c r="L1194" i="4" s="1"/>
  <c r="B1194" i="4"/>
  <c r="C1194" i="4"/>
  <c r="B1195" i="4"/>
  <c r="C1195" i="4"/>
  <c r="B1196" i="4"/>
  <c r="C1196" i="4"/>
  <c r="O1113" i="4"/>
  <c r="O1112" i="4"/>
  <c r="M1194" i="4" l="1"/>
  <c r="M1196" i="4"/>
  <c r="M1195" i="4"/>
  <c r="O983" i="4"/>
  <c r="O982" i="4"/>
  <c r="O981" i="4"/>
  <c r="O980" i="4"/>
  <c r="O979" i="4"/>
  <c r="O1074" i="4"/>
  <c r="O1073" i="4"/>
  <c r="P1190" i="4"/>
  <c r="P1183" i="4"/>
  <c r="P1184" i="4"/>
  <c r="P1185" i="4"/>
  <c r="P1186" i="4"/>
  <c r="P1187" i="4"/>
  <c r="P1188" i="4"/>
  <c r="P1189" i="4"/>
  <c r="P1191" i="4"/>
  <c r="P1192" i="4"/>
  <c r="P1193" i="4"/>
  <c r="O1176" i="4"/>
  <c r="O1151" i="4"/>
  <c r="O1150" i="4"/>
  <c r="O1149" i="4"/>
  <c r="O1148" i="4"/>
  <c r="O1145" i="4"/>
  <c r="O1144" i="4"/>
  <c r="O1143" i="4"/>
  <c r="O960" i="4"/>
  <c r="O959" i="4"/>
  <c r="O958" i="4"/>
  <c r="O957" i="4"/>
  <c r="O956" i="4"/>
  <c r="O955" i="4"/>
  <c r="O933" i="4"/>
  <c r="O932" i="4"/>
  <c r="O898" i="4"/>
  <c r="O1005" i="4"/>
  <c r="O1004" i="4"/>
  <c r="O1003" i="4"/>
  <c r="O1076" i="4"/>
  <c r="O1077" i="4"/>
  <c r="O1078" i="4"/>
  <c r="O1079" i="4"/>
  <c r="O1075" i="4"/>
  <c r="O1024" i="4"/>
  <c r="O1023" i="4"/>
  <c r="O1022" i="4"/>
  <c r="O1021" i="4"/>
  <c r="O768" i="4"/>
  <c r="O767" i="4"/>
  <c r="O766" i="4"/>
  <c r="O1142" i="4"/>
  <c r="O1141" i="4"/>
  <c r="K1183" i="4"/>
  <c r="M1183" i="4" s="1"/>
  <c r="K1184" i="4"/>
  <c r="L1184" i="4" s="1"/>
  <c r="K1185" i="4"/>
  <c r="L1185" i="4" s="1"/>
  <c r="K1186" i="4"/>
  <c r="L1186" i="4" s="1"/>
  <c r="K1187" i="4"/>
  <c r="M1187" i="4" s="1"/>
  <c r="K1188" i="4"/>
  <c r="L1188" i="4" s="1"/>
  <c r="K1189" i="4"/>
  <c r="L1189" i="4" s="1"/>
  <c r="K1190" i="4"/>
  <c r="L1190" i="4" s="1"/>
  <c r="K1191" i="4"/>
  <c r="M1191" i="4" s="1"/>
  <c r="K1192" i="4"/>
  <c r="L1192" i="4" s="1"/>
  <c r="K1193" i="4"/>
  <c r="L1193" i="4" s="1"/>
  <c r="B1183" i="4"/>
  <c r="C1183" i="4"/>
  <c r="B1184" i="4"/>
  <c r="C1184" i="4"/>
  <c r="B1185" i="4"/>
  <c r="C1185" i="4"/>
  <c r="B1186" i="4"/>
  <c r="C1186" i="4"/>
  <c r="B1187" i="4"/>
  <c r="C1187" i="4"/>
  <c r="B1188" i="4"/>
  <c r="C1188" i="4"/>
  <c r="B1189" i="4"/>
  <c r="C1189" i="4"/>
  <c r="B1190" i="4"/>
  <c r="C1190" i="4"/>
  <c r="B1191" i="4"/>
  <c r="C1191" i="4"/>
  <c r="B1192" i="4"/>
  <c r="C1192" i="4"/>
  <c r="B1193" i="4"/>
  <c r="C1193" i="4"/>
  <c r="M1188" i="4" l="1"/>
  <c r="M1184" i="4"/>
  <c r="M1192" i="4"/>
  <c r="M1193" i="4"/>
  <c r="M1189" i="4"/>
  <c r="M1185" i="4"/>
  <c r="L1191" i="4"/>
  <c r="L1187" i="4"/>
  <c r="L1183" i="4"/>
  <c r="M1190" i="4"/>
  <c r="M1186" i="4"/>
  <c r="K1143" i="4" l="1"/>
  <c r="L1143" i="4" s="1"/>
  <c r="K1144" i="4"/>
  <c r="L1144" i="4" s="1"/>
  <c r="K1145" i="4"/>
  <c r="M1145" i="4" s="1"/>
  <c r="K1146" i="4"/>
  <c r="L1146" i="4" s="1"/>
  <c r="K1147" i="4"/>
  <c r="M1147" i="4" s="1"/>
  <c r="K1148" i="4"/>
  <c r="L1148" i="4" s="1"/>
  <c r="K1149" i="4"/>
  <c r="L1149" i="4" s="1"/>
  <c r="K1150" i="4"/>
  <c r="L1150" i="4" s="1"/>
  <c r="K1151" i="4"/>
  <c r="L1151" i="4" s="1"/>
  <c r="K1152" i="4"/>
  <c r="L1152" i="4" s="1"/>
  <c r="K1153" i="4"/>
  <c r="L1153" i="4" s="1"/>
  <c r="K1154" i="4"/>
  <c r="L1154" i="4" s="1"/>
  <c r="K1155" i="4"/>
  <c r="L1155" i="4" s="1"/>
  <c r="K1156" i="4"/>
  <c r="L1156" i="4" s="1"/>
  <c r="K1157" i="4"/>
  <c r="L1157" i="4" s="1"/>
  <c r="K1158" i="4"/>
  <c r="L1158" i="4" s="1"/>
  <c r="K1159" i="4"/>
  <c r="L1159" i="4" s="1"/>
  <c r="K1160" i="4"/>
  <c r="L1160" i="4" s="1"/>
  <c r="K1161" i="4"/>
  <c r="L1161" i="4" s="1"/>
  <c r="K1162" i="4"/>
  <c r="L1162" i="4" s="1"/>
  <c r="K1163" i="4"/>
  <c r="L1163" i="4" s="1"/>
  <c r="K1164" i="4"/>
  <c r="L1164" i="4" s="1"/>
  <c r="K1165" i="4"/>
  <c r="M1165" i="4" s="1"/>
  <c r="K1166" i="4"/>
  <c r="L1166" i="4" s="1"/>
  <c r="K1167" i="4"/>
  <c r="L1167" i="4" s="1"/>
  <c r="K1168" i="4"/>
  <c r="L1168" i="4" s="1"/>
  <c r="K1169" i="4"/>
  <c r="M1169" i="4" s="1"/>
  <c r="K1170" i="4"/>
  <c r="L1170" i="4" s="1"/>
  <c r="K1171" i="4"/>
  <c r="L1171" i="4" s="1"/>
  <c r="K1172" i="4"/>
  <c r="L1172" i="4" s="1"/>
  <c r="K1173" i="4"/>
  <c r="M1173" i="4" s="1"/>
  <c r="K1174" i="4"/>
  <c r="L1174" i="4" s="1"/>
  <c r="K1175" i="4"/>
  <c r="L1175" i="4" s="1"/>
  <c r="K1176" i="4"/>
  <c r="L1176" i="4" s="1"/>
  <c r="K1177" i="4"/>
  <c r="M1177" i="4" s="1"/>
  <c r="K1178" i="4"/>
  <c r="L1178" i="4" s="1"/>
  <c r="K1179" i="4"/>
  <c r="L1179" i="4" s="1"/>
  <c r="K1180" i="4"/>
  <c r="L1180" i="4" s="1"/>
  <c r="K1181" i="4"/>
  <c r="M1181" i="4" s="1"/>
  <c r="K1182" i="4"/>
  <c r="L1182" i="4" s="1"/>
  <c r="K1141" i="4"/>
  <c r="L1141" i="4" s="1"/>
  <c r="K1142" i="4"/>
  <c r="L1142" i="4" s="1"/>
  <c r="P1151" i="4"/>
  <c r="P1152" i="4"/>
  <c r="P1153" i="4"/>
  <c r="P1154" i="4"/>
  <c r="P1155" i="4"/>
  <c r="P1156" i="4"/>
  <c r="P1157" i="4"/>
  <c r="P1158" i="4"/>
  <c r="P1159" i="4"/>
  <c r="P1160" i="4"/>
  <c r="P1161" i="4"/>
  <c r="P1162" i="4"/>
  <c r="P1163" i="4"/>
  <c r="P1164" i="4"/>
  <c r="P1165" i="4"/>
  <c r="P1166" i="4"/>
  <c r="P1167" i="4"/>
  <c r="P1168" i="4"/>
  <c r="P1169" i="4"/>
  <c r="P1170" i="4"/>
  <c r="P1171" i="4"/>
  <c r="P1172" i="4"/>
  <c r="P1173" i="4"/>
  <c r="P1174" i="4"/>
  <c r="P1175" i="4"/>
  <c r="P1176" i="4"/>
  <c r="P1177" i="4"/>
  <c r="P1178" i="4"/>
  <c r="P1179" i="4"/>
  <c r="P1180" i="4"/>
  <c r="P1181" i="4"/>
  <c r="P1182" i="4"/>
  <c r="B1150" i="4"/>
  <c r="C1150" i="4"/>
  <c r="B1151" i="4"/>
  <c r="C1151" i="4"/>
  <c r="B1152" i="4"/>
  <c r="C1152" i="4"/>
  <c r="B1153" i="4"/>
  <c r="C1153" i="4"/>
  <c r="B1154" i="4"/>
  <c r="C1154" i="4"/>
  <c r="B1155" i="4"/>
  <c r="C1155" i="4"/>
  <c r="B1156" i="4"/>
  <c r="C1156" i="4"/>
  <c r="B1157" i="4"/>
  <c r="C1157" i="4"/>
  <c r="B1158" i="4"/>
  <c r="C1158" i="4"/>
  <c r="B1159" i="4"/>
  <c r="C1159" i="4"/>
  <c r="B1160" i="4"/>
  <c r="C1160" i="4"/>
  <c r="B1161" i="4"/>
  <c r="C1161" i="4"/>
  <c r="B1162" i="4"/>
  <c r="C1162" i="4"/>
  <c r="B1163" i="4"/>
  <c r="C1163" i="4"/>
  <c r="B1164" i="4"/>
  <c r="C1164" i="4"/>
  <c r="B1165" i="4"/>
  <c r="C1165" i="4"/>
  <c r="B1166" i="4"/>
  <c r="C1166" i="4"/>
  <c r="B1167" i="4"/>
  <c r="C1167" i="4"/>
  <c r="B1168" i="4"/>
  <c r="C1168" i="4"/>
  <c r="B1169" i="4"/>
  <c r="C1169" i="4"/>
  <c r="B1170" i="4"/>
  <c r="C1170" i="4"/>
  <c r="B1171" i="4"/>
  <c r="C1171" i="4"/>
  <c r="B1172" i="4"/>
  <c r="C1172" i="4"/>
  <c r="B1173" i="4"/>
  <c r="C1173" i="4"/>
  <c r="B1174" i="4"/>
  <c r="C1174" i="4"/>
  <c r="B1175" i="4"/>
  <c r="C1175" i="4"/>
  <c r="B1176" i="4"/>
  <c r="C1176" i="4"/>
  <c r="B1177" i="4"/>
  <c r="C1177" i="4"/>
  <c r="B1178" i="4"/>
  <c r="C1178" i="4"/>
  <c r="B1179" i="4"/>
  <c r="C1179" i="4"/>
  <c r="B1180" i="4"/>
  <c r="C1180" i="4"/>
  <c r="B1181" i="4"/>
  <c r="C1181" i="4"/>
  <c r="B1182" i="4"/>
  <c r="C1182" i="4"/>
  <c r="B1141" i="4"/>
  <c r="C1141" i="4"/>
  <c r="B1142" i="4"/>
  <c r="C1142" i="4"/>
  <c r="B1143" i="4"/>
  <c r="C1143" i="4"/>
  <c r="B1144" i="4"/>
  <c r="C1144" i="4"/>
  <c r="B1145" i="4"/>
  <c r="C1145" i="4"/>
  <c r="B1146" i="4"/>
  <c r="C1146" i="4"/>
  <c r="B1147" i="4"/>
  <c r="C1147" i="4"/>
  <c r="B1148" i="4"/>
  <c r="C1148" i="4"/>
  <c r="B1149" i="4"/>
  <c r="C1149" i="4"/>
  <c r="P1140" i="4"/>
  <c r="P1141" i="4"/>
  <c r="P1142" i="4"/>
  <c r="P1143" i="4"/>
  <c r="P1144" i="4"/>
  <c r="P1145" i="4"/>
  <c r="P1146" i="4"/>
  <c r="P1147" i="4"/>
  <c r="P1148" i="4"/>
  <c r="P1149" i="4"/>
  <c r="P1150" i="4"/>
  <c r="K1140" i="4"/>
  <c r="L1140" i="4" s="1"/>
  <c r="B1140" i="4"/>
  <c r="C1140" i="4"/>
  <c r="P1132" i="4"/>
  <c r="P1133" i="4"/>
  <c r="P1134" i="4"/>
  <c r="P1135" i="4"/>
  <c r="P1136" i="4"/>
  <c r="P1137" i="4"/>
  <c r="P1138" i="4"/>
  <c r="P1139" i="4"/>
  <c r="B1133" i="4"/>
  <c r="C1133" i="4"/>
  <c r="B1134" i="4"/>
  <c r="C1134" i="4"/>
  <c r="B1135" i="4"/>
  <c r="C1135" i="4"/>
  <c r="B1136" i="4"/>
  <c r="C1136" i="4"/>
  <c r="B1137" i="4"/>
  <c r="C1137" i="4"/>
  <c r="B1138" i="4"/>
  <c r="C1138" i="4"/>
  <c r="B1139" i="4"/>
  <c r="C1139" i="4"/>
  <c r="K1132" i="4"/>
  <c r="L1132" i="4" s="1"/>
  <c r="K1133" i="4"/>
  <c r="L1133" i="4" s="1"/>
  <c r="K1134" i="4"/>
  <c r="M1134" i="4" s="1"/>
  <c r="K1135" i="4"/>
  <c r="L1135" i="4" s="1"/>
  <c r="K1136" i="4"/>
  <c r="L1136" i="4" s="1"/>
  <c r="K1137" i="4"/>
  <c r="L1137" i="4" s="1"/>
  <c r="K1138" i="4"/>
  <c r="M1138" i="4" s="1"/>
  <c r="K1139" i="4"/>
  <c r="L1139" i="4" s="1"/>
  <c r="B1132" i="4"/>
  <c r="C1132" i="4"/>
  <c r="M1170" i="4" l="1"/>
  <c r="L1147" i="4"/>
  <c r="M1161" i="4"/>
  <c r="M1179" i="4"/>
  <c r="M1175" i="4"/>
  <c r="L1181" i="4"/>
  <c r="L1177" i="4"/>
  <c r="M1153" i="4"/>
  <c r="M1182" i="4"/>
  <c r="M1178" i="4"/>
  <c r="L1145" i="4"/>
  <c r="M1174" i="4"/>
  <c r="M1171" i="4"/>
  <c r="L1173" i="4"/>
  <c r="L1165" i="4"/>
  <c r="M1162" i="4"/>
  <c r="L1169" i="4"/>
  <c r="M1166" i="4"/>
  <c r="M1157" i="4"/>
  <c r="M1158" i="4"/>
  <c r="M1154" i="4"/>
  <c r="M1149" i="4"/>
  <c r="M1150" i="4"/>
  <c r="M1146" i="4"/>
  <c r="M1167" i="4"/>
  <c r="M1163" i="4"/>
  <c r="M1159" i="4"/>
  <c r="M1155" i="4"/>
  <c r="M1151" i="4"/>
  <c r="M1143" i="4"/>
  <c r="M1180" i="4"/>
  <c r="M1176" i="4"/>
  <c r="M1172" i="4"/>
  <c r="M1168" i="4"/>
  <c r="M1164" i="4"/>
  <c r="M1160" i="4"/>
  <c r="M1156" i="4"/>
  <c r="M1152" i="4"/>
  <c r="M1148" i="4"/>
  <c r="M1144" i="4"/>
  <c r="M1141" i="4"/>
  <c r="M1142" i="4"/>
  <c r="M1140" i="4"/>
  <c r="M1139" i="4"/>
  <c r="M1132" i="4"/>
  <c r="L1138" i="4"/>
  <c r="M1135" i="4"/>
  <c r="M1136" i="4"/>
  <c r="L1134" i="4"/>
  <c r="M1137" i="4"/>
  <c r="M1133" i="4"/>
  <c r="K954" i="4"/>
  <c r="L954" i="4" s="1"/>
  <c r="P954" i="4"/>
  <c r="M954" i="4" l="1"/>
  <c r="O755" i="4"/>
  <c r="O731" i="4"/>
  <c r="O729" i="4"/>
  <c r="O1120" i="4" l="1"/>
  <c r="P1120" i="4" s="1"/>
  <c r="O765" i="4"/>
  <c r="O763" i="4"/>
  <c r="O762" i="4"/>
  <c r="O761" i="4"/>
  <c r="O760" i="4"/>
  <c r="O759" i="4"/>
  <c r="O758" i="4"/>
  <c r="O757" i="4"/>
  <c r="O756" i="4"/>
  <c r="O754" i="4"/>
  <c r="O747" i="4"/>
  <c r="O746" i="4"/>
  <c r="O745" i="4"/>
  <c r="O744" i="4"/>
  <c r="O743" i="4"/>
  <c r="O733" i="4"/>
  <c r="O732" i="4"/>
  <c r="O1116" i="4"/>
  <c r="P1116" i="4" s="1"/>
  <c r="O1115" i="4"/>
  <c r="P1115" i="4" s="1"/>
  <c r="O1114" i="4"/>
  <c r="P1114" i="4" s="1"/>
  <c r="O707" i="4"/>
  <c r="O730" i="4"/>
  <c r="O717" i="4"/>
  <c r="O716" i="4"/>
  <c r="O715" i="4"/>
  <c r="O710" i="4"/>
  <c r="O984" i="4"/>
  <c r="O973" i="4"/>
  <c r="O972" i="4"/>
  <c r="O971" i="4"/>
  <c r="O970" i="4"/>
  <c r="O965" i="4"/>
  <c r="O964" i="4"/>
  <c r="O963" i="4"/>
  <c r="O962" i="4"/>
  <c r="O961" i="4"/>
  <c r="O929" i="4"/>
  <c r="O928" i="4"/>
  <c r="O927" i="4"/>
  <c r="O926" i="4"/>
  <c r="O1103" i="4"/>
  <c r="P1103" i="4" s="1"/>
  <c r="O1102" i="4"/>
  <c r="P1102" i="4" s="1"/>
  <c r="O1101" i="4"/>
  <c r="P1101" i="4" s="1"/>
  <c r="O1100" i="4"/>
  <c r="P1100" i="4" s="1"/>
  <c r="O1099" i="4"/>
  <c r="P1099" i="4" s="1"/>
  <c r="O1098" i="4"/>
  <c r="P1098" i="4" s="1"/>
  <c r="O1097" i="4"/>
  <c r="P1097" i="4" s="1"/>
  <c r="O1096" i="4"/>
  <c r="P1096" i="4" s="1"/>
  <c r="O1095" i="4"/>
  <c r="P1095" i="4" s="1"/>
  <c r="O969" i="4"/>
  <c r="O968" i="4"/>
  <c r="O967" i="4"/>
  <c r="O966" i="4"/>
  <c r="O931" i="4"/>
  <c r="O930" i="4"/>
  <c r="O882" i="4"/>
  <c r="O881" i="4"/>
  <c r="O880" i="4"/>
  <c r="O879" i="4"/>
  <c r="O989" i="4"/>
  <c r="O988" i="4"/>
  <c r="O987" i="4"/>
  <c r="O986" i="4"/>
  <c r="O985" i="4"/>
  <c r="O1016" i="4"/>
  <c r="P1119" i="4"/>
  <c r="P1118" i="4"/>
  <c r="P1117" i="4"/>
  <c r="P1080" i="4"/>
  <c r="P1081" i="4"/>
  <c r="P1082" i="4"/>
  <c r="P1083" i="4"/>
  <c r="P1084" i="4"/>
  <c r="P1085" i="4"/>
  <c r="P1086" i="4"/>
  <c r="P1087" i="4"/>
  <c r="P1088" i="4"/>
  <c r="P1089" i="4"/>
  <c r="P1090" i="4"/>
  <c r="P1091" i="4"/>
  <c r="P1092" i="4"/>
  <c r="P1093" i="4"/>
  <c r="P1094" i="4"/>
  <c r="P1104" i="4"/>
  <c r="P1105" i="4"/>
  <c r="P1106" i="4"/>
  <c r="P1107" i="4"/>
  <c r="P1108" i="4"/>
  <c r="P1109" i="4"/>
  <c r="P1110" i="4"/>
  <c r="P1111" i="4"/>
  <c r="P1112" i="4"/>
  <c r="P1113" i="4"/>
  <c r="P1121" i="4"/>
  <c r="P1122" i="4"/>
  <c r="P1123" i="4"/>
  <c r="P1124" i="4"/>
  <c r="P1125" i="4"/>
  <c r="P1126" i="4"/>
  <c r="P1128" i="4"/>
  <c r="P1129" i="4"/>
  <c r="P1130" i="4"/>
  <c r="P1131" i="4"/>
  <c r="B1080" i="4"/>
  <c r="C1080" i="4"/>
  <c r="B1081" i="4"/>
  <c r="C1081" i="4"/>
  <c r="B1082" i="4"/>
  <c r="C1082" i="4"/>
  <c r="B1083" i="4"/>
  <c r="C1083" i="4"/>
  <c r="B1084" i="4"/>
  <c r="C1084" i="4"/>
  <c r="B1085" i="4"/>
  <c r="C1085" i="4"/>
  <c r="B1086" i="4"/>
  <c r="C1086" i="4"/>
  <c r="B1087" i="4"/>
  <c r="C1087" i="4"/>
  <c r="B1088" i="4"/>
  <c r="C1088" i="4"/>
  <c r="B1089" i="4"/>
  <c r="C1089" i="4"/>
  <c r="B1090" i="4"/>
  <c r="C1090" i="4"/>
  <c r="B1091" i="4"/>
  <c r="C1091" i="4"/>
  <c r="B1092" i="4"/>
  <c r="C1092" i="4"/>
  <c r="B1093" i="4"/>
  <c r="C1093" i="4"/>
  <c r="B1094" i="4"/>
  <c r="C1094" i="4"/>
  <c r="B1095" i="4"/>
  <c r="C1095" i="4"/>
  <c r="B1096" i="4"/>
  <c r="C1096" i="4"/>
  <c r="B1097" i="4"/>
  <c r="C1097" i="4"/>
  <c r="B1098" i="4"/>
  <c r="C1098" i="4"/>
  <c r="B1099" i="4"/>
  <c r="C1099" i="4"/>
  <c r="B1100" i="4"/>
  <c r="C1100" i="4"/>
  <c r="B1101" i="4"/>
  <c r="C1101" i="4"/>
  <c r="B1102" i="4"/>
  <c r="C1102" i="4"/>
  <c r="B1103" i="4"/>
  <c r="C1103" i="4"/>
  <c r="B1104" i="4"/>
  <c r="C1104" i="4"/>
  <c r="B1105" i="4"/>
  <c r="C1105" i="4"/>
  <c r="B1106" i="4"/>
  <c r="C1106" i="4"/>
  <c r="B1107" i="4"/>
  <c r="C1107" i="4"/>
  <c r="B1108" i="4"/>
  <c r="C1108" i="4"/>
  <c r="B1109" i="4"/>
  <c r="C1109" i="4"/>
  <c r="B1110" i="4"/>
  <c r="C1110" i="4"/>
  <c r="B1111" i="4"/>
  <c r="C1111" i="4"/>
  <c r="B1112" i="4"/>
  <c r="C1112" i="4"/>
  <c r="B1113" i="4"/>
  <c r="C1113" i="4"/>
  <c r="B1114" i="4"/>
  <c r="C1114" i="4"/>
  <c r="B1115" i="4"/>
  <c r="C1115" i="4"/>
  <c r="B1116" i="4"/>
  <c r="C1116" i="4"/>
  <c r="B1117" i="4"/>
  <c r="C1117" i="4"/>
  <c r="B1118" i="4"/>
  <c r="C1118" i="4"/>
  <c r="B1119" i="4"/>
  <c r="C1119" i="4"/>
  <c r="B1120" i="4"/>
  <c r="C1120" i="4"/>
  <c r="B1121" i="4"/>
  <c r="C1121" i="4"/>
  <c r="B1122" i="4"/>
  <c r="C1122" i="4"/>
  <c r="B1123" i="4"/>
  <c r="C1123" i="4"/>
  <c r="B1124" i="4"/>
  <c r="C1124" i="4"/>
  <c r="B1125" i="4"/>
  <c r="C1125" i="4"/>
  <c r="B1126" i="4"/>
  <c r="C1126" i="4"/>
  <c r="B1127" i="4"/>
  <c r="C1127" i="4"/>
  <c r="B1128" i="4"/>
  <c r="C1128" i="4"/>
  <c r="B1129" i="4"/>
  <c r="C1129" i="4"/>
  <c r="B1130" i="4"/>
  <c r="C1130" i="4"/>
  <c r="B1131" i="4"/>
  <c r="C1131" i="4"/>
  <c r="K1080" i="4"/>
  <c r="L1080" i="4" s="1"/>
  <c r="K1081" i="4"/>
  <c r="L1081" i="4" s="1"/>
  <c r="K1082" i="4"/>
  <c r="M1082" i="4" s="1"/>
  <c r="K1083" i="4"/>
  <c r="L1083" i="4" s="1"/>
  <c r="K1084" i="4"/>
  <c r="L1084" i="4" s="1"/>
  <c r="K1085" i="4"/>
  <c r="L1085" i="4" s="1"/>
  <c r="K1086" i="4"/>
  <c r="M1086" i="4" s="1"/>
  <c r="K1087" i="4"/>
  <c r="L1087" i="4" s="1"/>
  <c r="K1088" i="4"/>
  <c r="L1088" i="4" s="1"/>
  <c r="K1089" i="4"/>
  <c r="L1089" i="4" s="1"/>
  <c r="K1090" i="4"/>
  <c r="M1090" i="4" s="1"/>
  <c r="K1091" i="4"/>
  <c r="L1091" i="4" s="1"/>
  <c r="K1092" i="4"/>
  <c r="L1092" i="4" s="1"/>
  <c r="K1093" i="4"/>
  <c r="L1093" i="4" s="1"/>
  <c r="K1094" i="4"/>
  <c r="M1094" i="4" s="1"/>
  <c r="K1095" i="4"/>
  <c r="L1095" i="4" s="1"/>
  <c r="K1096" i="4"/>
  <c r="L1096" i="4" s="1"/>
  <c r="K1097" i="4"/>
  <c r="L1097" i="4" s="1"/>
  <c r="K1098" i="4"/>
  <c r="M1098" i="4" s="1"/>
  <c r="K1099" i="4"/>
  <c r="L1099" i="4" s="1"/>
  <c r="K1100" i="4"/>
  <c r="L1100" i="4" s="1"/>
  <c r="K1101" i="4"/>
  <c r="L1101" i="4" s="1"/>
  <c r="K1102" i="4"/>
  <c r="M1102" i="4" s="1"/>
  <c r="K1103" i="4"/>
  <c r="M1103" i="4" s="1"/>
  <c r="K1104" i="4"/>
  <c r="L1104" i="4" s="1"/>
  <c r="K1105" i="4"/>
  <c r="L1105" i="4" s="1"/>
  <c r="K1106" i="4"/>
  <c r="M1106" i="4" s="1"/>
  <c r="K1107" i="4"/>
  <c r="L1107" i="4" s="1"/>
  <c r="K1108" i="4"/>
  <c r="L1108" i="4" s="1"/>
  <c r="K1109" i="4"/>
  <c r="L1109" i="4" s="1"/>
  <c r="K1110" i="4"/>
  <c r="M1110" i="4" s="1"/>
  <c r="K1111" i="4"/>
  <c r="L1111" i="4" s="1"/>
  <c r="K1112" i="4"/>
  <c r="L1112" i="4" s="1"/>
  <c r="K1113" i="4"/>
  <c r="L1113" i="4" s="1"/>
  <c r="K1114" i="4"/>
  <c r="M1114" i="4" s="1"/>
  <c r="K1115" i="4"/>
  <c r="L1115" i="4" s="1"/>
  <c r="K1116" i="4"/>
  <c r="L1116" i="4" s="1"/>
  <c r="K1117" i="4"/>
  <c r="L1117" i="4" s="1"/>
  <c r="K1118" i="4"/>
  <c r="M1118" i="4" s="1"/>
  <c r="K1119" i="4"/>
  <c r="L1119" i="4" s="1"/>
  <c r="K1120" i="4"/>
  <c r="L1120" i="4" s="1"/>
  <c r="K1121" i="4"/>
  <c r="L1121" i="4" s="1"/>
  <c r="K1122" i="4"/>
  <c r="M1122" i="4" s="1"/>
  <c r="K1123" i="4"/>
  <c r="L1123" i="4" s="1"/>
  <c r="K1124" i="4"/>
  <c r="L1124" i="4" s="1"/>
  <c r="K1125" i="4"/>
  <c r="L1125" i="4" s="1"/>
  <c r="K1126" i="4"/>
  <c r="M1126" i="4" s="1"/>
  <c r="K1127" i="4"/>
  <c r="M1127" i="4" s="1"/>
  <c r="K1128" i="4"/>
  <c r="L1128" i="4" s="1"/>
  <c r="K1129" i="4"/>
  <c r="L1129" i="4" s="1"/>
  <c r="K1130" i="4"/>
  <c r="M1130" i="4" s="1"/>
  <c r="K1131" i="4"/>
  <c r="L1131" i="4" s="1"/>
  <c r="K1072" i="4"/>
  <c r="L1072" i="4" s="1"/>
  <c r="K1073" i="4"/>
  <c r="L1073" i="4" s="1"/>
  <c r="K1074" i="4"/>
  <c r="M1074" i="4" s="1"/>
  <c r="K1075" i="4"/>
  <c r="M1075" i="4" s="1"/>
  <c r="K1076" i="4"/>
  <c r="L1076" i="4" s="1"/>
  <c r="K1077" i="4"/>
  <c r="L1077" i="4" s="1"/>
  <c r="K1078" i="4"/>
  <c r="M1078" i="4" s="1"/>
  <c r="K1079" i="4"/>
  <c r="M1079" i="4" s="1"/>
  <c r="K1069" i="4"/>
  <c r="L1069" i="4" s="1"/>
  <c r="K1070" i="4"/>
  <c r="L1070" i="4" s="1"/>
  <c r="K1071" i="4"/>
  <c r="M1071" i="4" s="1"/>
  <c r="K1065" i="4"/>
  <c r="L1065" i="4" s="1"/>
  <c r="K1066" i="4"/>
  <c r="L1066" i="4" s="1"/>
  <c r="K1067" i="4"/>
  <c r="M1067" i="4" s="1"/>
  <c r="K1068" i="4"/>
  <c r="L1068" i="4" s="1"/>
  <c r="K1059" i="4"/>
  <c r="L1059" i="4" s="1"/>
  <c r="K1060" i="4"/>
  <c r="L1060" i="4" s="1"/>
  <c r="K1061" i="4"/>
  <c r="M1061" i="4" s="1"/>
  <c r="K1062" i="4"/>
  <c r="M1062" i="4" s="1"/>
  <c r="K1063" i="4"/>
  <c r="L1063" i="4" s="1"/>
  <c r="K1064" i="4"/>
  <c r="L1064" i="4" s="1"/>
  <c r="P1054" i="4"/>
  <c r="P1055" i="4"/>
  <c r="P1056" i="4"/>
  <c r="P1057" i="4"/>
  <c r="P1058" i="4"/>
  <c r="P1059" i="4"/>
  <c r="P1060" i="4"/>
  <c r="P1061" i="4"/>
  <c r="P1062" i="4"/>
  <c r="P1063" i="4"/>
  <c r="P1064" i="4"/>
  <c r="P1065" i="4"/>
  <c r="P1066" i="4"/>
  <c r="P1067" i="4"/>
  <c r="P1068" i="4"/>
  <c r="P1069" i="4"/>
  <c r="P1070" i="4"/>
  <c r="P1071" i="4"/>
  <c r="P1072" i="4"/>
  <c r="P1073" i="4"/>
  <c r="P1074" i="4"/>
  <c r="P1075" i="4"/>
  <c r="P1076" i="4"/>
  <c r="P1077" i="4"/>
  <c r="P1078" i="4"/>
  <c r="P1079" i="4"/>
  <c r="K1054" i="4"/>
  <c r="L1054" i="4" s="1"/>
  <c r="K1055" i="4"/>
  <c r="L1055" i="4" s="1"/>
  <c r="K1056" i="4"/>
  <c r="L1056" i="4" s="1"/>
  <c r="K1057" i="4"/>
  <c r="L1057" i="4" s="1"/>
  <c r="K1058" i="4"/>
  <c r="L1058" i="4" s="1"/>
  <c r="B1055" i="4"/>
  <c r="C1055" i="4"/>
  <c r="B1056" i="4"/>
  <c r="C1056" i="4"/>
  <c r="B1057" i="4"/>
  <c r="C1057" i="4"/>
  <c r="B1058" i="4"/>
  <c r="C1058" i="4"/>
  <c r="B1059" i="4"/>
  <c r="C1059" i="4"/>
  <c r="B1060" i="4"/>
  <c r="C1060" i="4"/>
  <c r="B1061" i="4"/>
  <c r="C1061" i="4"/>
  <c r="B1062" i="4"/>
  <c r="C1062" i="4"/>
  <c r="B1063" i="4"/>
  <c r="C1063" i="4"/>
  <c r="B1064" i="4"/>
  <c r="C1064" i="4"/>
  <c r="B1065" i="4"/>
  <c r="C1065" i="4"/>
  <c r="B1066" i="4"/>
  <c r="C1066" i="4"/>
  <c r="B1067" i="4"/>
  <c r="C1067" i="4"/>
  <c r="B1068" i="4"/>
  <c r="C1068" i="4"/>
  <c r="B1069" i="4"/>
  <c r="C1069" i="4"/>
  <c r="B1070" i="4"/>
  <c r="C1070" i="4"/>
  <c r="B1071" i="4"/>
  <c r="C1071" i="4"/>
  <c r="B1072" i="4"/>
  <c r="C1072" i="4"/>
  <c r="B1073" i="4"/>
  <c r="C1073" i="4"/>
  <c r="B1074" i="4"/>
  <c r="C1074" i="4"/>
  <c r="B1075" i="4"/>
  <c r="C1075" i="4"/>
  <c r="B1076" i="4"/>
  <c r="C1076" i="4"/>
  <c r="B1077" i="4"/>
  <c r="C1077" i="4"/>
  <c r="B1078" i="4"/>
  <c r="C1078" i="4"/>
  <c r="B1079" i="4"/>
  <c r="C1079" i="4"/>
  <c r="B1054" i="4"/>
  <c r="C1054" i="4"/>
  <c r="M1083" i="4" l="1"/>
  <c r="M1128" i="4"/>
  <c r="M1111" i="4"/>
  <c r="M1069" i="4"/>
  <c r="M1116" i="4"/>
  <c r="L1118" i="4"/>
  <c r="L1103" i="4"/>
  <c r="L1075" i="4"/>
  <c r="M1072" i="4"/>
  <c r="L1130" i="4"/>
  <c r="M1123" i="4"/>
  <c r="L1106" i="4"/>
  <c r="M1076" i="4"/>
  <c r="L1110" i="4"/>
  <c r="M1107" i="4"/>
  <c r="M1060" i="4"/>
  <c r="L1078" i="4"/>
  <c r="L1127" i="4"/>
  <c r="M1124" i="4"/>
  <c r="L1114" i="4"/>
  <c r="L1102" i="4"/>
  <c r="M1099" i="4"/>
  <c r="M1119" i="4"/>
  <c r="M1131" i="4"/>
  <c r="L1126" i="4"/>
  <c r="M1120" i="4"/>
  <c r="M1115" i="4"/>
  <c r="L1079" i="4"/>
  <c r="L1122" i="4"/>
  <c r="M1088" i="4"/>
  <c r="M1112" i="4"/>
  <c r="M1108" i="4"/>
  <c r="M1084" i="4"/>
  <c r="L1098" i="4"/>
  <c r="M1095" i="4"/>
  <c r="M1104" i="4"/>
  <c r="M1100" i="4"/>
  <c r="M1096" i="4"/>
  <c r="L1094" i="4"/>
  <c r="M1092" i="4"/>
  <c r="M1091" i="4"/>
  <c r="L1090" i="4"/>
  <c r="M1087" i="4"/>
  <c r="L1086" i="4"/>
  <c r="L1082" i="4"/>
  <c r="M1080" i="4"/>
  <c r="M1129" i="4"/>
  <c r="M1125" i="4"/>
  <c r="M1121" i="4"/>
  <c r="M1117" i="4"/>
  <c r="M1113" i="4"/>
  <c r="M1109" i="4"/>
  <c r="M1105" i="4"/>
  <c r="M1101" i="4"/>
  <c r="M1097" i="4"/>
  <c r="M1093" i="4"/>
  <c r="M1089" i="4"/>
  <c r="M1085" i="4"/>
  <c r="M1081" i="4"/>
  <c r="M1068" i="4"/>
  <c r="M1064" i="4"/>
  <c r="L1062" i="4"/>
  <c r="M1065" i="4"/>
  <c r="L1067" i="4"/>
  <c r="M1054" i="4"/>
  <c r="M1056" i="4"/>
  <c r="M1063" i="4"/>
  <c r="L1074" i="4"/>
  <c r="M1077" i="4"/>
  <c r="M1073" i="4"/>
  <c r="L1071" i="4"/>
  <c r="M1070" i="4"/>
  <c r="M1066" i="4"/>
  <c r="L1061" i="4"/>
  <c r="M1059" i="4"/>
  <c r="M1057" i="4"/>
  <c r="M1058" i="4"/>
  <c r="M1055" i="4"/>
  <c r="O771" i="4" l="1"/>
  <c r="O770" i="4"/>
  <c r="O769" i="4"/>
  <c r="O942" i="4"/>
  <c r="O941" i="4"/>
  <c r="O940" i="4"/>
  <c r="O939" i="4"/>
  <c r="O938" i="4"/>
  <c r="O937" i="4"/>
  <c r="O936" i="4"/>
  <c r="O935" i="4"/>
  <c r="O934" i="4"/>
  <c r="O1041" i="4"/>
  <c r="O1040" i="4"/>
  <c r="O1039" i="4"/>
  <c r="O1038" i="4"/>
  <c r="O1037" i="4"/>
  <c r="O1036" i="4"/>
  <c r="O858" i="4"/>
  <c r="O846" i="4"/>
  <c r="O780" i="4"/>
  <c r="O779" i="4"/>
  <c r="O778" i="4"/>
  <c r="O777" i="4"/>
  <c r="O776" i="4"/>
  <c r="O897" i="4"/>
  <c r="O896" i="4"/>
  <c r="O895" i="4"/>
  <c r="O894" i="4"/>
  <c r="O893" i="4"/>
  <c r="O892" i="4"/>
  <c r="O857" i="4"/>
  <c r="O856" i="4"/>
  <c r="O855" i="4"/>
  <c r="O854" i="4"/>
  <c r="O853" i="4"/>
  <c r="O831" i="4" l="1"/>
  <c r="O861" i="4"/>
  <c r="O860" i="4"/>
  <c r="O859" i="4"/>
  <c r="O1052" i="4"/>
  <c r="P1052" i="4" s="1"/>
  <c r="O1053" i="4"/>
  <c r="P1053" i="4" s="1"/>
  <c r="O1051" i="4"/>
  <c r="P1051" i="4" s="1"/>
  <c r="O1001" i="4"/>
  <c r="O1000" i="4"/>
  <c r="O840" i="4"/>
  <c r="O839" i="4"/>
  <c r="O838" i="4"/>
  <c r="O837" i="4"/>
  <c r="O698" i="4"/>
  <c r="O709" i="4"/>
  <c r="O708" i="4"/>
  <c r="O706" i="4"/>
  <c r="O700" i="4"/>
  <c r="O699" i="4"/>
  <c r="O697" i="4"/>
  <c r="O687" i="4"/>
  <c r="O686" i="4"/>
  <c r="O685" i="4"/>
  <c r="O684" i="4"/>
  <c r="O671" i="4"/>
  <c r="O670" i="4"/>
  <c r="O669" i="4"/>
  <c r="O668" i="4"/>
  <c r="O667" i="4"/>
  <c r="O666" i="4"/>
  <c r="P1042" i="4"/>
  <c r="P1043" i="4"/>
  <c r="P1044" i="4"/>
  <c r="P1045" i="4"/>
  <c r="P1046" i="4"/>
  <c r="P1047" i="4"/>
  <c r="P1048" i="4"/>
  <c r="P1049" i="4"/>
  <c r="P1050" i="4"/>
  <c r="K1042" i="4"/>
  <c r="L1042" i="4" s="1"/>
  <c r="K1043" i="4"/>
  <c r="L1043" i="4" s="1"/>
  <c r="K1044" i="4"/>
  <c r="M1044" i="4" s="1"/>
  <c r="K1045" i="4"/>
  <c r="L1045" i="4" s="1"/>
  <c r="K1046" i="4"/>
  <c r="L1046" i="4" s="1"/>
  <c r="K1047" i="4"/>
  <c r="L1047" i="4" s="1"/>
  <c r="K1048" i="4"/>
  <c r="M1048" i="4" s="1"/>
  <c r="K1049" i="4"/>
  <c r="M1049" i="4" s="1"/>
  <c r="K1050" i="4"/>
  <c r="L1050" i="4" s="1"/>
  <c r="K1051" i="4"/>
  <c r="L1051" i="4" s="1"/>
  <c r="K1052" i="4"/>
  <c r="M1052" i="4" s="1"/>
  <c r="K1053" i="4"/>
  <c r="M1053" i="4" s="1"/>
  <c r="B1043" i="4"/>
  <c r="C1043" i="4"/>
  <c r="B1044" i="4"/>
  <c r="C1044" i="4"/>
  <c r="B1045" i="4"/>
  <c r="C1045" i="4"/>
  <c r="B1046" i="4"/>
  <c r="C1046" i="4"/>
  <c r="B1047" i="4"/>
  <c r="C1047" i="4"/>
  <c r="B1048" i="4"/>
  <c r="C1048" i="4"/>
  <c r="B1049" i="4"/>
  <c r="C1049" i="4"/>
  <c r="B1050" i="4"/>
  <c r="C1050" i="4"/>
  <c r="B1051" i="4"/>
  <c r="C1051" i="4"/>
  <c r="B1052" i="4"/>
  <c r="C1052" i="4"/>
  <c r="B1053" i="4"/>
  <c r="C1053" i="4"/>
  <c r="B1042" i="4"/>
  <c r="C1042" i="4"/>
  <c r="K1036" i="4"/>
  <c r="L1036" i="4" s="1"/>
  <c r="K1037" i="4"/>
  <c r="L1037" i="4" s="1"/>
  <c r="K1038" i="4"/>
  <c r="M1038" i="4" s="1"/>
  <c r="K1039" i="4"/>
  <c r="L1039" i="4" s="1"/>
  <c r="K1040" i="4"/>
  <c r="L1040" i="4" s="1"/>
  <c r="K1041" i="4"/>
  <c r="L1041" i="4" s="1"/>
  <c r="B1036" i="4"/>
  <c r="C1036" i="4"/>
  <c r="B1037" i="4"/>
  <c r="C1037" i="4"/>
  <c r="B1038" i="4"/>
  <c r="C1038" i="4"/>
  <c r="B1039" i="4"/>
  <c r="C1039" i="4"/>
  <c r="B1040" i="4"/>
  <c r="C1040" i="4"/>
  <c r="B1041" i="4"/>
  <c r="C1041" i="4"/>
  <c r="P1031" i="4"/>
  <c r="P1032" i="4"/>
  <c r="P1033" i="4"/>
  <c r="P1034" i="4"/>
  <c r="P1035" i="4"/>
  <c r="P1036" i="4"/>
  <c r="P1037" i="4"/>
  <c r="P1038" i="4"/>
  <c r="P1039" i="4"/>
  <c r="P1040" i="4"/>
  <c r="P1041" i="4"/>
  <c r="B1032" i="4"/>
  <c r="C1032" i="4"/>
  <c r="B1033" i="4"/>
  <c r="C1033" i="4"/>
  <c r="B1034" i="4"/>
  <c r="C1034" i="4"/>
  <c r="B1035" i="4"/>
  <c r="C1035" i="4"/>
  <c r="B1031" i="4"/>
  <c r="C1031" i="4"/>
  <c r="K1031" i="4"/>
  <c r="L1031" i="4" s="1"/>
  <c r="K1032" i="4"/>
  <c r="L1032" i="4" s="1"/>
  <c r="K1033" i="4"/>
  <c r="M1033" i="4" s="1"/>
  <c r="K1034" i="4"/>
  <c r="L1034" i="4" s="1"/>
  <c r="K1035" i="4"/>
  <c r="L1035" i="4" s="1"/>
  <c r="M1034" i="4" l="1"/>
  <c r="M1040" i="4"/>
  <c r="L1053" i="4"/>
  <c r="L1044" i="4"/>
  <c r="L1048" i="4"/>
  <c r="M1045" i="4"/>
  <c r="M1036" i="4"/>
  <c r="M1050" i="4"/>
  <c r="L1049" i="4"/>
  <c r="L1038" i="4"/>
  <c r="L1052" i="4"/>
  <c r="M1046" i="4"/>
  <c r="M1042" i="4"/>
  <c r="M1043" i="4"/>
  <c r="M1051" i="4"/>
  <c r="M1047" i="4"/>
  <c r="M1035" i="4"/>
  <c r="M1039" i="4"/>
  <c r="M1041" i="4"/>
  <c r="M1037" i="4"/>
  <c r="L1033" i="4"/>
  <c r="M1031" i="4"/>
  <c r="M1032" i="4"/>
  <c r="P1018" i="4" l="1"/>
  <c r="P1017" i="4"/>
  <c r="P1009" i="4"/>
  <c r="P1002" i="4"/>
  <c r="P994" i="4"/>
  <c r="K1006" i="4"/>
  <c r="M1006" i="4" s="1"/>
  <c r="K1007" i="4"/>
  <c r="L1007" i="4" s="1"/>
  <c r="K1008" i="4"/>
  <c r="L1008" i="4" s="1"/>
  <c r="K1009" i="4"/>
  <c r="L1009" i="4" s="1"/>
  <c r="K1010" i="4"/>
  <c r="M1010" i="4" s="1"/>
  <c r="K1011" i="4"/>
  <c r="L1011" i="4" s="1"/>
  <c r="K1012" i="4"/>
  <c r="L1012" i="4" s="1"/>
  <c r="K1013" i="4"/>
  <c r="L1013" i="4" s="1"/>
  <c r="K1014" i="4"/>
  <c r="M1014" i="4" s="1"/>
  <c r="K1015" i="4"/>
  <c r="L1015" i="4" s="1"/>
  <c r="K1016" i="4"/>
  <c r="L1016" i="4" s="1"/>
  <c r="K1017" i="4"/>
  <c r="L1017" i="4" s="1"/>
  <c r="K1018" i="4"/>
  <c r="M1018" i="4" s="1"/>
  <c r="K1019" i="4"/>
  <c r="L1019" i="4" s="1"/>
  <c r="K1020" i="4"/>
  <c r="L1020" i="4" s="1"/>
  <c r="K1021" i="4"/>
  <c r="L1021" i="4" s="1"/>
  <c r="K1022" i="4"/>
  <c r="M1022" i="4" s="1"/>
  <c r="K1023" i="4"/>
  <c r="L1023" i="4" s="1"/>
  <c r="K1024" i="4"/>
  <c r="L1024" i="4" s="1"/>
  <c r="K1025" i="4"/>
  <c r="L1025" i="4" s="1"/>
  <c r="K1026" i="4"/>
  <c r="M1026" i="4" s="1"/>
  <c r="K1027" i="4"/>
  <c r="L1027" i="4" s="1"/>
  <c r="K1028" i="4"/>
  <c r="L1028" i="4" s="1"/>
  <c r="K1029" i="4"/>
  <c r="L1029" i="4" s="1"/>
  <c r="K1030" i="4"/>
  <c r="M1030" i="4" s="1"/>
  <c r="B994" i="4"/>
  <c r="C994" i="4"/>
  <c r="B995" i="4"/>
  <c r="C995" i="4"/>
  <c r="B996" i="4"/>
  <c r="C996" i="4"/>
  <c r="B997" i="4"/>
  <c r="C997" i="4"/>
  <c r="B998" i="4"/>
  <c r="C998" i="4"/>
  <c r="B999" i="4"/>
  <c r="C999" i="4"/>
  <c r="B1000" i="4"/>
  <c r="C1000" i="4"/>
  <c r="B1001" i="4"/>
  <c r="C1001" i="4"/>
  <c r="B1002" i="4"/>
  <c r="C1002" i="4"/>
  <c r="B1003" i="4"/>
  <c r="C1003" i="4"/>
  <c r="B1004" i="4"/>
  <c r="C1004" i="4"/>
  <c r="B1005" i="4"/>
  <c r="C1005" i="4"/>
  <c r="B1006" i="4"/>
  <c r="C1006" i="4"/>
  <c r="B1007" i="4"/>
  <c r="C1007" i="4"/>
  <c r="B1008" i="4"/>
  <c r="C1008" i="4"/>
  <c r="B1009" i="4"/>
  <c r="C1009" i="4"/>
  <c r="B1010" i="4"/>
  <c r="C1010" i="4"/>
  <c r="B1011" i="4"/>
  <c r="C1011" i="4"/>
  <c r="B1012" i="4"/>
  <c r="C1012" i="4"/>
  <c r="B1013" i="4"/>
  <c r="C1013" i="4"/>
  <c r="B1014" i="4"/>
  <c r="C1014" i="4"/>
  <c r="B1015" i="4"/>
  <c r="C1015" i="4"/>
  <c r="B1016" i="4"/>
  <c r="C1016" i="4"/>
  <c r="B1017" i="4"/>
  <c r="C1017" i="4"/>
  <c r="B1018" i="4"/>
  <c r="C1018" i="4"/>
  <c r="B1019" i="4"/>
  <c r="C1019" i="4"/>
  <c r="B1020" i="4"/>
  <c r="C1020" i="4"/>
  <c r="B1021" i="4"/>
  <c r="C1021" i="4"/>
  <c r="B1022" i="4"/>
  <c r="C1022" i="4"/>
  <c r="B1023" i="4"/>
  <c r="C1023" i="4"/>
  <c r="B1024" i="4"/>
  <c r="C1024" i="4"/>
  <c r="B1025" i="4"/>
  <c r="C1025" i="4"/>
  <c r="B1026" i="4"/>
  <c r="C1026" i="4"/>
  <c r="B1027" i="4"/>
  <c r="C1027" i="4"/>
  <c r="B1028" i="4"/>
  <c r="C1028" i="4"/>
  <c r="B1029" i="4"/>
  <c r="C1029" i="4"/>
  <c r="B1030" i="4"/>
  <c r="C1030" i="4"/>
  <c r="P990" i="4"/>
  <c r="P991" i="4"/>
  <c r="P992" i="4"/>
  <c r="P993" i="4"/>
  <c r="P995" i="4"/>
  <c r="P996" i="4"/>
  <c r="P997" i="4"/>
  <c r="P998" i="4"/>
  <c r="P999" i="4"/>
  <c r="P1000" i="4"/>
  <c r="P1001" i="4"/>
  <c r="P1003" i="4"/>
  <c r="P1004" i="4"/>
  <c r="P1005" i="4"/>
  <c r="P1006" i="4"/>
  <c r="P1007" i="4"/>
  <c r="P1008" i="4"/>
  <c r="P1010" i="4"/>
  <c r="P1011" i="4"/>
  <c r="P1012" i="4"/>
  <c r="P1013" i="4"/>
  <c r="P1014" i="4"/>
  <c r="P1015" i="4"/>
  <c r="P1016" i="4"/>
  <c r="P1019" i="4"/>
  <c r="P1020" i="4"/>
  <c r="P1021" i="4"/>
  <c r="P1022" i="4"/>
  <c r="P1023" i="4"/>
  <c r="P1024" i="4"/>
  <c r="P1025" i="4"/>
  <c r="P1026" i="4"/>
  <c r="P1027" i="4"/>
  <c r="P1028" i="4"/>
  <c r="P1029" i="4"/>
  <c r="P1030" i="4"/>
  <c r="K990" i="4"/>
  <c r="L990" i="4" s="1"/>
  <c r="K991" i="4"/>
  <c r="L991" i="4" s="1"/>
  <c r="K992" i="4"/>
  <c r="M992" i="4" s="1"/>
  <c r="K993" i="4"/>
  <c r="L993" i="4" s="1"/>
  <c r="K994" i="4"/>
  <c r="L994" i="4" s="1"/>
  <c r="K995" i="4"/>
  <c r="L995" i="4" s="1"/>
  <c r="K996" i="4"/>
  <c r="M996" i="4" s="1"/>
  <c r="K997" i="4"/>
  <c r="L997" i="4" s="1"/>
  <c r="K998" i="4"/>
  <c r="M998" i="4" s="1"/>
  <c r="K999" i="4"/>
  <c r="L999" i="4" s="1"/>
  <c r="K1000" i="4"/>
  <c r="M1000" i="4" s="1"/>
  <c r="K1001" i="4"/>
  <c r="L1001" i="4" s="1"/>
  <c r="K1002" i="4"/>
  <c r="L1002" i="4" s="1"/>
  <c r="K1003" i="4"/>
  <c r="L1003" i="4" s="1"/>
  <c r="K1004" i="4"/>
  <c r="M1004" i="4" s="1"/>
  <c r="K1005" i="4"/>
  <c r="M1005" i="4" s="1"/>
  <c r="B990" i="4"/>
  <c r="C990" i="4"/>
  <c r="B991" i="4"/>
  <c r="C991" i="4"/>
  <c r="B992" i="4"/>
  <c r="C992" i="4"/>
  <c r="B993" i="4"/>
  <c r="C993" i="4"/>
  <c r="L996" i="4" l="1"/>
  <c r="M1001" i="4"/>
  <c r="M990" i="4"/>
  <c r="L992" i="4"/>
  <c r="L1000" i="4"/>
  <c r="M994" i="4"/>
  <c r="M1013" i="4"/>
  <c r="M1029" i="4"/>
  <c r="M1025" i="4"/>
  <c r="M1021" i="4"/>
  <c r="L1005" i="4"/>
  <c r="M1017" i="4"/>
  <c r="M1009" i="4"/>
  <c r="M993" i="4"/>
  <c r="L1030" i="4"/>
  <c r="M1028" i="4"/>
  <c r="L1026" i="4"/>
  <c r="M1024" i="4"/>
  <c r="L1022" i="4"/>
  <c r="M1020" i="4"/>
  <c r="L1018" i="4"/>
  <c r="M1016" i="4"/>
  <c r="L1014" i="4"/>
  <c r="M1012" i="4"/>
  <c r="L1010" i="4"/>
  <c r="M1008" i="4"/>
  <c r="L1006" i="4"/>
  <c r="L998" i="4"/>
  <c r="M1027" i="4"/>
  <c r="M1023" i="4"/>
  <c r="M1019" i="4"/>
  <c r="M1015" i="4"/>
  <c r="M1011" i="4"/>
  <c r="M1007" i="4"/>
  <c r="M1002" i="4"/>
  <c r="M997" i="4"/>
  <c r="L1004" i="4"/>
  <c r="M999" i="4"/>
  <c r="M995" i="4"/>
  <c r="M991" i="4"/>
  <c r="M1003" i="4"/>
  <c r="O683" i="4" l="1"/>
  <c r="O681" i="4"/>
  <c r="O682" i="4"/>
  <c r="O820" i="4"/>
  <c r="O819" i="4"/>
  <c r="O818" i="4"/>
  <c r="O817" i="4"/>
  <c r="O816" i="4"/>
  <c r="O912" i="4"/>
  <c r="O911" i="4"/>
  <c r="O910" i="4"/>
  <c r="O909" i="4"/>
  <c r="O908" i="4"/>
  <c r="O907" i="4"/>
  <c r="O906" i="4"/>
  <c r="O905" i="4"/>
  <c r="O661" i="4"/>
  <c r="O878" i="4"/>
  <c r="O803" i="4"/>
  <c r="O802" i="4"/>
  <c r="O801" i="4"/>
  <c r="O947" i="4"/>
  <c r="P947" i="4" s="1"/>
  <c r="O948" i="4"/>
  <c r="P948" i="4" s="1"/>
  <c r="O722" i="4"/>
  <c r="O723" i="4"/>
  <c r="O724" i="4"/>
  <c r="O725" i="4"/>
  <c r="P988" i="4"/>
  <c r="P989" i="4"/>
  <c r="K988" i="4"/>
  <c r="L988" i="4" s="1"/>
  <c r="K989" i="4"/>
  <c r="L989" i="4" s="1"/>
  <c r="B988" i="4"/>
  <c r="C988" i="4"/>
  <c r="B989" i="4"/>
  <c r="C989" i="4"/>
  <c r="P978" i="4"/>
  <c r="P979" i="4"/>
  <c r="P980" i="4"/>
  <c r="P981" i="4"/>
  <c r="P982" i="4"/>
  <c r="P983" i="4"/>
  <c r="P984" i="4"/>
  <c r="P985" i="4"/>
  <c r="P986" i="4"/>
  <c r="P987" i="4"/>
  <c r="K978" i="4"/>
  <c r="L978" i="4" s="1"/>
  <c r="K979" i="4"/>
  <c r="L979" i="4" s="1"/>
  <c r="K980" i="4"/>
  <c r="M980" i="4" s="1"/>
  <c r="K981" i="4"/>
  <c r="L981" i="4" s="1"/>
  <c r="K982" i="4"/>
  <c r="L982" i="4" s="1"/>
  <c r="K983" i="4"/>
  <c r="L983" i="4" s="1"/>
  <c r="K984" i="4"/>
  <c r="M984" i="4" s="1"/>
  <c r="K985" i="4"/>
  <c r="L985" i="4" s="1"/>
  <c r="K986" i="4"/>
  <c r="M986" i="4" s="1"/>
  <c r="K987" i="4"/>
  <c r="L987" i="4" s="1"/>
  <c r="B985" i="4"/>
  <c r="C985" i="4"/>
  <c r="B986" i="4"/>
  <c r="C986" i="4"/>
  <c r="B987" i="4"/>
  <c r="C987" i="4"/>
  <c r="B978" i="4"/>
  <c r="C978" i="4"/>
  <c r="B979" i="4"/>
  <c r="C979" i="4"/>
  <c r="B980" i="4"/>
  <c r="C980" i="4"/>
  <c r="B981" i="4"/>
  <c r="C981" i="4"/>
  <c r="B982" i="4"/>
  <c r="C982" i="4"/>
  <c r="B983" i="4"/>
  <c r="C983" i="4"/>
  <c r="B984" i="4"/>
  <c r="C984" i="4"/>
  <c r="K974" i="4"/>
  <c r="L974" i="4" s="1"/>
  <c r="K975" i="4"/>
  <c r="L975" i="4" s="1"/>
  <c r="K976" i="4"/>
  <c r="M976" i="4" s="1"/>
  <c r="K977" i="4"/>
  <c r="M977" i="4" s="1"/>
  <c r="B974" i="4"/>
  <c r="C974" i="4"/>
  <c r="B975" i="4"/>
  <c r="C975" i="4"/>
  <c r="B976" i="4"/>
  <c r="C976" i="4"/>
  <c r="B977" i="4"/>
  <c r="C977" i="4"/>
  <c r="P970" i="4"/>
  <c r="P971" i="4"/>
  <c r="P972" i="4"/>
  <c r="P973" i="4"/>
  <c r="P974" i="4"/>
  <c r="P975" i="4"/>
  <c r="P976" i="4"/>
  <c r="P977" i="4"/>
  <c r="K970" i="4"/>
  <c r="M970" i="4" s="1"/>
  <c r="K971" i="4"/>
  <c r="L971" i="4" s="1"/>
  <c r="K972" i="4"/>
  <c r="L972" i="4" s="1"/>
  <c r="K973" i="4"/>
  <c r="L973" i="4" s="1"/>
  <c r="B972" i="4"/>
  <c r="C972" i="4"/>
  <c r="B973" i="4"/>
  <c r="C973" i="4"/>
  <c r="K966" i="4"/>
  <c r="M966" i="4" s="1"/>
  <c r="K967" i="4"/>
  <c r="L967" i="4" s="1"/>
  <c r="K968" i="4"/>
  <c r="L968" i="4" s="1"/>
  <c r="K969" i="4"/>
  <c r="L969" i="4" s="1"/>
  <c r="K961" i="4"/>
  <c r="M961" i="4" s="1"/>
  <c r="K962" i="4"/>
  <c r="L962" i="4" s="1"/>
  <c r="K963" i="4"/>
  <c r="M963" i="4" s="1"/>
  <c r="K964" i="4"/>
  <c r="L964" i="4" s="1"/>
  <c r="K965" i="4"/>
  <c r="L965" i="4" s="1"/>
  <c r="B961" i="4"/>
  <c r="C961" i="4"/>
  <c r="B962" i="4"/>
  <c r="C962" i="4"/>
  <c r="B963" i="4"/>
  <c r="C963" i="4"/>
  <c r="B964" i="4"/>
  <c r="C964" i="4"/>
  <c r="B965" i="4"/>
  <c r="C965" i="4"/>
  <c r="B966" i="4"/>
  <c r="C966" i="4"/>
  <c r="B967" i="4"/>
  <c r="C967" i="4"/>
  <c r="B968" i="4"/>
  <c r="C968" i="4"/>
  <c r="B969" i="4"/>
  <c r="C969" i="4"/>
  <c r="B970" i="4"/>
  <c r="C970" i="4"/>
  <c r="B971" i="4"/>
  <c r="C971" i="4"/>
  <c r="P956" i="4"/>
  <c r="P957" i="4"/>
  <c r="P958" i="4"/>
  <c r="P959" i="4"/>
  <c r="P960" i="4"/>
  <c r="P961" i="4"/>
  <c r="P962" i="4"/>
  <c r="P963" i="4"/>
  <c r="P964" i="4"/>
  <c r="P965" i="4"/>
  <c r="P966" i="4"/>
  <c r="P967" i="4"/>
  <c r="P968" i="4"/>
  <c r="P969" i="4"/>
  <c r="K960" i="4"/>
  <c r="L960" i="4" s="1"/>
  <c r="B957" i="4"/>
  <c r="C957" i="4"/>
  <c r="B958" i="4"/>
  <c r="C958" i="4"/>
  <c r="B959" i="4"/>
  <c r="C959" i="4"/>
  <c r="B960" i="4"/>
  <c r="C960" i="4"/>
  <c r="K947" i="4"/>
  <c r="L947" i="4" s="1"/>
  <c r="K948" i="4"/>
  <c r="L948" i="4" s="1"/>
  <c r="K949" i="4"/>
  <c r="L949" i="4" s="1"/>
  <c r="K950" i="4"/>
  <c r="L950" i="4" s="1"/>
  <c r="K951" i="4"/>
  <c r="L951" i="4" s="1"/>
  <c r="K952" i="4"/>
  <c r="L952" i="4" s="1"/>
  <c r="K953" i="4"/>
  <c r="L953" i="4" s="1"/>
  <c r="K955" i="4"/>
  <c r="L955" i="4" s="1"/>
  <c r="K956" i="4"/>
  <c r="L956" i="4" s="1"/>
  <c r="K957" i="4"/>
  <c r="L957" i="4" s="1"/>
  <c r="K958" i="4"/>
  <c r="L958" i="4" s="1"/>
  <c r="K959" i="4"/>
  <c r="L959" i="4" s="1"/>
  <c r="K943" i="4"/>
  <c r="L943" i="4" s="1"/>
  <c r="K944" i="4"/>
  <c r="M944" i="4" s="1"/>
  <c r="K945" i="4"/>
  <c r="M945" i="4" s="1"/>
  <c r="K946" i="4"/>
  <c r="M946" i="4" s="1"/>
  <c r="P934" i="4"/>
  <c r="P935" i="4"/>
  <c r="P936" i="4"/>
  <c r="P937" i="4"/>
  <c r="P938" i="4"/>
  <c r="P939" i="4"/>
  <c r="P940" i="4"/>
  <c r="P941" i="4"/>
  <c r="P942" i="4"/>
  <c r="P943" i="4"/>
  <c r="P944" i="4"/>
  <c r="P945" i="4"/>
  <c r="P946" i="4"/>
  <c r="P949" i="4"/>
  <c r="P950" i="4"/>
  <c r="P951" i="4"/>
  <c r="P952" i="4"/>
  <c r="P953" i="4"/>
  <c r="P955" i="4"/>
  <c r="K934" i="4"/>
  <c r="L934" i="4" s="1"/>
  <c r="K935" i="4"/>
  <c r="L935" i="4" s="1"/>
  <c r="K936" i="4"/>
  <c r="M936" i="4" s="1"/>
  <c r="K937" i="4"/>
  <c r="L937" i="4" s="1"/>
  <c r="K938" i="4"/>
  <c r="L938" i="4" s="1"/>
  <c r="K939" i="4"/>
  <c r="L939" i="4" s="1"/>
  <c r="K940" i="4"/>
  <c r="M940" i="4" s="1"/>
  <c r="K941" i="4"/>
  <c r="L941" i="4" s="1"/>
  <c r="K942" i="4"/>
  <c r="L942" i="4" s="1"/>
  <c r="B935" i="4"/>
  <c r="C935" i="4"/>
  <c r="B936" i="4"/>
  <c r="C936" i="4"/>
  <c r="B937" i="4"/>
  <c r="C937" i="4"/>
  <c r="B938" i="4"/>
  <c r="C938" i="4"/>
  <c r="B939" i="4"/>
  <c r="C939" i="4"/>
  <c r="B940" i="4"/>
  <c r="C940" i="4"/>
  <c r="B941" i="4"/>
  <c r="C941" i="4"/>
  <c r="B942" i="4"/>
  <c r="C942" i="4"/>
  <c r="B943" i="4"/>
  <c r="C943" i="4"/>
  <c r="B944" i="4"/>
  <c r="C944" i="4"/>
  <c r="B945" i="4"/>
  <c r="C945" i="4"/>
  <c r="B946" i="4"/>
  <c r="C946" i="4"/>
  <c r="B947" i="4"/>
  <c r="C947" i="4"/>
  <c r="B948" i="4"/>
  <c r="C948" i="4"/>
  <c r="B949" i="4"/>
  <c r="C949" i="4"/>
  <c r="B950" i="4"/>
  <c r="C950" i="4"/>
  <c r="B951" i="4"/>
  <c r="C951" i="4"/>
  <c r="B952" i="4"/>
  <c r="C952" i="4"/>
  <c r="B953" i="4"/>
  <c r="C953" i="4"/>
  <c r="B954" i="4"/>
  <c r="C954" i="4"/>
  <c r="B955" i="4"/>
  <c r="C955" i="4"/>
  <c r="B956" i="4"/>
  <c r="C956" i="4"/>
  <c r="L970" i="4" l="1"/>
  <c r="M937" i="4"/>
  <c r="M967" i="4"/>
  <c r="L977" i="4"/>
  <c r="L980" i="4"/>
  <c r="M988" i="4"/>
  <c r="M989" i="4"/>
  <c r="L986" i="4"/>
  <c r="M974" i="4"/>
  <c r="M971" i="4"/>
  <c r="L976" i="4"/>
  <c r="M985" i="4"/>
  <c r="L984" i="4"/>
  <c r="M981" i="4"/>
  <c r="M982" i="4"/>
  <c r="M978" i="4"/>
  <c r="M983" i="4"/>
  <c r="M979" i="4"/>
  <c r="M987" i="4"/>
  <c r="M975" i="4"/>
  <c r="M972" i="4"/>
  <c r="M968" i="4"/>
  <c r="M973" i="4"/>
  <c r="M949" i="4"/>
  <c r="L966" i="4"/>
  <c r="M969" i="4"/>
  <c r="M964" i="4"/>
  <c r="M941" i="4"/>
  <c r="L944" i="4"/>
  <c r="L946" i="4"/>
  <c r="M938" i="4"/>
  <c r="M943" i="4"/>
  <c r="M965" i="4"/>
  <c r="L961" i="4"/>
  <c r="L963" i="4"/>
  <c r="M962" i="4"/>
  <c r="M960" i="4"/>
  <c r="M958" i="4"/>
  <c r="M934" i="4"/>
  <c r="L945" i="4"/>
  <c r="M957" i="4"/>
  <c r="L936" i="4"/>
  <c r="M953" i="4"/>
  <c r="M950" i="4"/>
  <c r="M959" i="4"/>
  <c r="M955" i="4"/>
  <c r="M951" i="4"/>
  <c r="M947" i="4"/>
  <c r="M956" i="4"/>
  <c r="M952" i="4"/>
  <c r="M948" i="4"/>
  <c r="M942" i="4"/>
  <c r="L940" i="4"/>
  <c r="M935" i="4"/>
  <c r="M939" i="4"/>
  <c r="B934" i="4" l="1"/>
  <c r="C934" i="4"/>
  <c r="O925" i="4"/>
  <c r="O775" i="4"/>
  <c r="O739" i="4"/>
  <c r="O738" i="4"/>
  <c r="O660" i="4"/>
  <c r="O659" i="4"/>
  <c r="O658" i="4"/>
  <c r="O657" i="4"/>
  <c r="O647" i="4"/>
  <c r="O646" i="4"/>
  <c r="O645" i="4"/>
  <c r="O787" i="4"/>
  <c r="O774" i="4"/>
  <c r="O773" i="4"/>
  <c r="O772" i="4"/>
  <c r="O742" i="4"/>
  <c r="O741" i="4"/>
  <c r="O740" i="4"/>
  <c r="O900" i="4"/>
  <c r="O899" i="4"/>
  <c r="O795" i="4"/>
  <c r="O794" i="4"/>
  <c r="O793" i="4"/>
  <c r="O792" i="4"/>
  <c r="K932" i="4" l="1"/>
  <c r="L932" i="4" s="1"/>
  <c r="K933" i="4"/>
  <c r="M933" i="4" s="1"/>
  <c r="L933" i="4" l="1"/>
  <c r="M932" i="4"/>
  <c r="K930" i="4"/>
  <c r="L930" i="4" s="1"/>
  <c r="K931" i="4"/>
  <c r="L931" i="4" s="1"/>
  <c r="P930" i="4"/>
  <c r="P931" i="4"/>
  <c r="P932" i="4"/>
  <c r="P933" i="4"/>
  <c r="B930" i="4"/>
  <c r="C930" i="4"/>
  <c r="B931" i="4"/>
  <c r="C931" i="4"/>
  <c r="B932" i="4"/>
  <c r="C932" i="4"/>
  <c r="B933" i="4"/>
  <c r="C933" i="4"/>
  <c r="P927" i="4"/>
  <c r="P928" i="4"/>
  <c r="P929" i="4"/>
  <c r="K927" i="4"/>
  <c r="M927" i="4" s="1"/>
  <c r="K928" i="4"/>
  <c r="L928" i="4" s="1"/>
  <c r="K929" i="4"/>
  <c r="L929" i="4" s="1"/>
  <c r="L927" i="4" l="1"/>
  <c r="M930" i="4"/>
  <c r="M931" i="4"/>
  <c r="M928" i="4"/>
  <c r="M929" i="4"/>
  <c r="K919" i="4"/>
  <c r="M919" i="4" s="1"/>
  <c r="K920" i="4"/>
  <c r="L920" i="4" s="1"/>
  <c r="K921" i="4"/>
  <c r="M921" i="4" s="1"/>
  <c r="K922" i="4"/>
  <c r="L922" i="4" s="1"/>
  <c r="K923" i="4"/>
  <c r="M923" i="4" s="1"/>
  <c r="K924" i="4"/>
  <c r="L924" i="4" s="1"/>
  <c r="K925" i="4"/>
  <c r="M925" i="4" s="1"/>
  <c r="K926" i="4"/>
  <c r="M926" i="4" s="1"/>
  <c r="B919" i="4"/>
  <c r="C919" i="4"/>
  <c r="B920" i="4"/>
  <c r="C920" i="4"/>
  <c r="B921" i="4"/>
  <c r="C921" i="4"/>
  <c r="B922" i="4"/>
  <c r="C922" i="4"/>
  <c r="B923" i="4"/>
  <c r="C923" i="4"/>
  <c r="B924" i="4"/>
  <c r="C924" i="4"/>
  <c r="B925" i="4"/>
  <c r="C925" i="4"/>
  <c r="B926" i="4"/>
  <c r="C926" i="4"/>
  <c r="B927" i="4"/>
  <c r="C927" i="4"/>
  <c r="B928" i="4"/>
  <c r="C928" i="4"/>
  <c r="B929" i="4"/>
  <c r="C929" i="4"/>
  <c r="P913" i="4"/>
  <c r="P914" i="4"/>
  <c r="P915" i="4"/>
  <c r="P916" i="4"/>
  <c r="P917" i="4"/>
  <c r="P918" i="4"/>
  <c r="P919" i="4"/>
  <c r="P920" i="4"/>
  <c r="P921" i="4"/>
  <c r="P922" i="4"/>
  <c r="P923" i="4"/>
  <c r="P924" i="4"/>
  <c r="P925" i="4"/>
  <c r="P926" i="4"/>
  <c r="K913" i="4"/>
  <c r="M913" i="4" s="1"/>
  <c r="K914" i="4"/>
  <c r="L914" i="4" s="1"/>
  <c r="K915" i="4"/>
  <c r="M915" i="4" s="1"/>
  <c r="K916" i="4"/>
  <c r="L916" i="4" s="1"/>
  <c r="K917" i="4"/>
  <c r="L917" i="4" s="1"/>
  <c r="K918" i="4"/>
  <c r="L918" i="4" s="1"/>
  <c r="B914" i="4"/>
  <c r="C914" i="4"/>
  <c r="B915" i="4"/>
  <c r="C915" i="4"/>
  <c r="B916" i="4"/>
  <c r="C916" i="4"/>
  <c r="B917" i="4"/>
  <c r="C917" i="4"/>
  <c r="B918" i="4"/>
  <c r="C918" i="4"/>
  <c r="P905" i="4"/>
  <c r="P906" i="4"/>
  <c r="P907" i="4"/>
  <c r="P908" i="4"/>
  <c r="P909" i="4"/>
  <c r="P910" i="4"/>
  <c r="P911" i="4"/>
  <c r="P912" i="4"/>
  <c r="K905" i="4"/>
  <c r="L905" i="4" s="1"/>
  <c r="K906" i="4"/>
  <c r="L906" i="4" s="1"/>
  <c r="K907" i="4"/>
  <c r="M907" i="4" s="1"/>
  <c r="K908" i="4"/>
  <c r="L908" i="4" s="1"/>
  <c r="K909" i="4"/>
  <c r="M909" i="4" s="1"/>
  <c r="K910" i="4"/>
  <c r="L910" i="4" s="1"/>
  <c r="K911" i="4"/>
  <c r="M911" i="4" s="1"/>
  <c r="K912" i="4"/>
  <c r="L912" i="4" s="1"/>
  <c r="P901" i="4"/>
  <c r="P902" i="4"/>
  <c r="P903" i="4"/>
  <c r="P904" i="4"/>
  <c r="K901" i="4"/>
  <c r="L901" i="4" s="1"/>
  <c r="K902" i="4"/>
  <c r="L902" i="4" s="1"/>
  <c r="K903" i="4"/>
  <c r="L903" i="4" s="1"/>
  <c r="K904" i="4"/>
  <c r="M904" i="4" s="1"/>
  <c r="P899" i="4"/>
  <c r="P900" i="4"/>
  <c r="K899" i="4"/>
  <c r="M899" i="4" s="1"/>
  <c r="K900" i="4"/>
  <c r="L900" i="4" s="1"/>
  <c r="B900" i="4"/>
  <c r="C900" i="4"/>
  <c r="B901" i="4"/>
  <c r="C901" i="4"/>
  <c r="B902" i="4"/>
  <c r="C902" i="4"/>
  <c r="B903" i="4"/>
  <c r="C903" i="4"/>
  <c r="B904" i="4"/>
  <c r="C904" i="4"/>
  <c r="B905" i="4"/>
  <c r="C905" i="4"/>
  <c r="B906" i="4"/>
  <c r="C906" i="4"/>
  <c r="B907" i="4"/>
  <c r="C907" i="4"/>
  <c r="B908" i="4"/>
  <c r="C908" i="4"/>
  <c r="B909" i="4"/>
  <c r="C909" i="4"/>
  <c r="B910" i="4"/>
  <c r="C910" i="4"/>
  <c r="B911" i="4"/>
  <c r="C911" i="4"/>
  <c r="B912" i="4"/>
  <c r="C912" i="4"/>
  <c r="B913" i="4"/>
  <c r="C913" i="4"/>
  <c r="B899" i="4"/>
  <c r="C899" i="4"/>
  <c r="P898" i="4"/>
  <c r="B898" i="4"/>
  <c r="C898" i="4"/>
  <c r="K898" i="4"/>
  <c r="M898" i="4" s="1"/>
  <c r="P864" i="4"/>
  <c r="P865" i="4"/>
  <c r="P869" i="4"/>
  <c r="P872" i="4"/>
  <c r="P873" i="4"/>
  <c r="P874" i="4"/>
  <c r="P875" i="4"/>
  <c r="P876" i="4"/>
  <c r="P877" i="4"/>
  <c r="P878" i="4"/>
  <c r="P879" i="4"/>
  <c r="P880" i="4"/>
  <c r="P881" i="4"/>
  <c r="P882" i="4"/>
  <c r="P883" i="4"/>
  <c r="P884" i="4"/>
  <c r="P885" i="4"/>
  <c r="P886" i="4"/>
  <c r="P892" i="4"/>
  <c r="P893" i="4"/>
  <c r="P894" i="4"/>
  <c r="P895" i="4"/>
  <c r="P896" i="4"/>
  <c r="P897" i="4"/>
  <c r="M900" i="4" l="1"/>
  <c r="L915" i="4"/>
  <c r="L909" i="4"/>
  <c r="L911" i="4"/>
  <c r="M916" i="4"/>
  <c r="L923" i="4"/>
  <c r="L899" i="4"/>
  <c r="L919" i="4"/>
  <c r="M912" i="4"/>
  <c r="M905" i="4"/>
  <c r="M922" i="4"/>
  <c r="L907" i="4"/>
  <c r="L913" i="4"/>
  <c r="L926" i="4"/>
  <c r="M908" i="4"/>
  <c r="M917" i="4"/>
  <c r="L898" i="4"/>
  <c r="M901" i="4"/>
  <c r="L925" i="4"/>
  <c r="L921" i="4"/>
  <c r="M920" i="4"/>
  <c r="M924" i="4"/>
  <c r="M914" i="4"/>
  <c r="M918" i="4"/>
  <c r="M910" i="4"/>
  <c r="M906" i="4"/>
  <c r="M902" i="4"/>
  <c r="L904" i="4"/>
  <c r="M903" i="4"/>
  <c r="O703" i="4"/>
  <c r="O702" i="4"/>
  <c r="O701" i="4"/>
  <c r="O891" i="4" l="1"/>
  <c r="P891" i="4" s="1"/>
  <c r="O890" i="4"/>
  <c r="P890" i="4" s="1"/>
  <c r="O889" i="4"/>
  <c r="P889" i="4" s="1"/>
  <c r="O888" i="4"/>
  <c r="P888" i="4" s="1"/>
  <c r="O887" i="4"/>
  <c r="P887" i="4" s="1"/>
  <c r="O615" i="4"/>
  <c r="O614" i="4"/>
  <c r="O613" i="4"/>
  <c r="O602" i="4"/>
  <c r="O601" i="4"/>
  <c r="O600" i="4"/>
  <c r="O559" i="4"/>
  <c r="O558" i="4"/>
  <c r="O871" i="4"/>
  <c r="P871" i="4" s="1"/>
  <c r="O870" i="4"/>
  <c r="P870" i="4" s="1"/>
  <c r="O644" i="4" l="1"/>
  <c r="O641" i="4"/>
  <c r="O640" i="4"/>
  <c r="K893" i="4" l="1"/>
  <c r="L893" i="4" s="1"/>
  <c r="K894" i="4"/>
  <c r="L894" i="4" s="1"/>
  <c r="K895" i="4"/>
  <c r="M895" i="4" s="1"/>
  <c r="K896" i="4"/>
  <c r="L896" i="4" s="1"/>
  <c r="K897" i="4"/>
  <c r="M897" i="4" s="1"/>
  <c r="B893" i="4"/>
  <c r="C893" i="4"/>
  <c r="B894" i="4"/>
  <c r="C894" i="4"/>
  <c r="B895" i="4"/>
  <c r="C895" i="4"/>
  <c r="B896" i="4"/>
  <c r="C896" i="4"/>
  <c r="B897" i="4"/>
  <c r="C897" i="4"/>
  <c r="K878" i="4"/>
  <c r="L878" i="4" s="1"/>
  <c r="K879" i="4"/>
  <c r="M879" i="4" s="1"/>
  <c r="K880" i="4"/>
  <c r="L880" i="4" s="1"/>
  <c r="K881" i="4"/>
  <c r="L881" i="4" s="1"/>
  <c r="K882" i="4"/>
  <c r="L882" i="4" s="1"/>
  <c r="K883" i="4"/>
  <c r="M883" i="4" s="1"/>
  <c r="K884" i="4"/>
  <c r="L884" i="4" s="1"/>
  <c r="K885" i="4"/>
  <c r="L885" i="4" s="1"/>
  <c r="K886" i="4"/>
  <c r="L886" i="4" s="1"/>
  <c r="K887" i="4"/>
  <c r="M887" i="4" s="1"/>
  <c r="K888" i="4"/>
  <c r="L888" i="4" s="1"/>
  <c r="K889" i="4"/>
  <c r="L889" i="4" s="1"/>
  <c r="K890" i="4"/>
  <c r="L890" i="4" s="1"/>
  <c r="K891" i="4"/>
  <c r="M891" i="4" s="1"/>
  <c r="K892" i="4"/>
  <c r="L892" i="4" s="1"/>
  <c r="K872" i="4"/>
  <c r="M872" i="4" s="1"/>
  <c r="K873" i="4"/>
  <c r="L873" i="4" s="1"/>
  <c r="K874" i="4"/>
  <c r="L874" i="4" s="1"/>
  <c r="K875" i="4"/>
  <c r="L875" i="4" s="1"/>
  <c r="K876" i="4"/>
  <c r="M876" i="4" s="1"/>
  <c r="K877" i="4"/>
  <c r="L877" i="4" s="1"/>
  <c r="B884" i="4"/>
  <c r="C884" i="4"/>
  <c r="B885" i="4"/>
  <c r="C885" i="4"/>
  <c r="B886" i="4"/>
  <c r="C886" i="4"/>
  <c r="B887" i="4"/>
  <c r="C887" i="4"/>
  <c r="B888" i="4"/>
  <c r="C888" i="4"/>
  <c r="B889" i="4"/>
  <c r="C889" i="4"/>
  <c r="B890" i="4"/>
  <c r="C890" i="4"/>
  <c r="B891" i="4"/>
  <c r="C891" i="4"/>
  <c r="B892" i="4"/>
  <c r="C892" i="4"/>
  <c r="B872" i="4"/>
  <c r="C872" i="4"/>
  <c r="B873" i="4"/>
  <c r="C873" i="4"/>
  <c r="B874" i="4"/>
  <c r="C874" i="4"/>
  <c r="B875" i="4"/>
  <c r="C875" i="4"/>
  <c r="B876" i="4"/>
  <c r="C876" i="4"/>
  <c r="B877" i="4"/>
  <c r="C877" i="4"/>
  <c r="B878" i="4"/>
  <c r="C878" i="4"/>
  <c r="B879" i="4"/>
  <c r="C879" i="4"/>
  <c r="B880" i="4"/>
  <c r="C880" i="4"/>
  <c r="B881" i="4"/>
  <c r="C881" i="4"/>
  <c r="B882" i="4"/>
  <c r="C882" i="4"/>
  <c r="B883" i="4"/>
  <c r="C883" i="4"/>
  <c r="O868" i="4"/>
  <c r="P868" i="4" s="1"/>
  <c r="O867" i="4"/>
  <c r="P867" i="4" s="1"/>
  <c r="O866" i="4"/>
  <c r="P866" i="4" s="1"/>
  <c r="O852" i="4"/>
  <c r="P852" i="4" s="1"/>
  <c r="O851" i="4"/>
  <c r="P851" i="4" s="1"/>
  <c r="P831" i="4"/>
  <c r="P832" i="4"/>
  <c r="P833" i="4"/>
  <c r="P834" i="4"/>
  <c r="P835" i="4"/>
  <c r="P836" i="4"/>
  <c r="P837" i="4"/>
  <c r="P838" i="4"/>
  <c r="P839" i="4"/>
  <c r="P840" i="4"/>
  <c r="P841" i="4"/>
  <c r="P842" i="4"/>
  <c r="P843" i="4"/>
  <c r="P844" i="4"/>
  <c r="P845" i="4"/>
  <c r="P846" i="4"/>
  <c r="P847" i="4"/>
  <c r="P848" i="4"/>
  <c r="P849" i="4"/>
  <c r="P850" i="4"/>
  <c r="P853" i="4"/>
  <c r="P854" i="4"/>
  <c r="P855" i="4"/>
  <c r="P856" i="4"/>
  <c r="P857" i="4"/>
  <c r="P858" i="4"/>
  <c r="P859" i="4"/>
  <c r="P860" i="4"/>
  <c r="P861" i="4"/>
  <c r="P862" i="4"/>
  <c r="P863" i="4"/>
  <c r="O677" i="4"/>
  <c r="O680" i="4"/>
  <c r="O679" i="4"/>
  <c r="O678" i="4"/>
  <c r="M896" i="4" l="1"/>
  <c r="M877" i="4"/>
  <c r="L897" i="4"/>
  <c r="M893" i="4"/>
  <c r="L895" i="4"/>
  <c r="M894" i="4"/>
  <c r="M873" i="4"/>
  <c r="M885" i="4"/>
  <c r="M889" i="4"/>
  <c r="L883" i="4"/>
  <c r="L879" i="4"/>
  <c r="M880" i="4"/>
  <c r="M881" i="4"/>
  <c r="L891" i="4"/>
  <c r="L887" i="4"/>
  <c r="M874" i="4"/>
  <c r="M892" i="4"/>
  <c r="M888" i="4"/>
  <c r="M884" i="4"/>
  <c r="L876" i="4"/>
  <c r="L872" i="4"/>
  <c r="M890" i="4"/>
  <c r="M886" i="4"/>
  <c r="M882" i="4"/>
  <c r="M878" i="4"/>
  <c r="M875" i="4"/>
  <c r="K834" i="4"/>
  <c r="L834" i="4" s="1"/>
  <c r="K835" i="4"/>
  <c r="L835" i="4" s="1"/>
  <c r="K836" i="4"/>
  <c r="L836" i="4" s="1"/>
  <c r="K837" i="4"/>
  <c r="L837" i="4" s="1"/>
  <c r="K838" i="4"/>
  <c r="M838" i="4" s="1"/>
  <c r="K839" i="4"/>
  <c r="L839" i="4" s="1"/>
  <c r="K840" i="4"/>
  <c r="L840" i="4" s="1"/>
  <c r="K841" i="4"/>
  <c r="L841" i="4" s="1"/>
  <c r="K842" i="4"/>
  <c r="M842" i="4" s="1"/>
  <c r="K843" i="4"/>
  <c r="M843" i="4" s="1"/>
  <c r="K844" i="4"/>
  <c r="L844" i="4" s="1"/>
  <c r="K845" i="4"/>
  <c r="L845" i="4" s="1"/>
  <c r="K846" i="4"/>
  <c r="M846" i="4" s="1"/>
  <c r="K847" i="4"/>
  <c r="M847" i="4" s="1"/>
  <c r="K848" i="4"/>
  <c r="L848" i="4" s="1"/>
  <c r="K849" i="4"/>
  <c r="L849" i="4" s="1"/>
  <c r="K850" i="4"/>
  <c r="M850" i="4" s="1"/>
  <c r="K851" i="4"/>
  <c r="L851" i="4" s="1"/>
  <c r="K852" i="4"/>
  <c r="M852" i="4" s="1"/>
  <c r="K853" i="4"/>
  <c r="L853" i="4" s="1"/>
  <c r="K854" i="4"/>
  <c r="M854" i="4" s="1"/>
  <c r="K855" i="4"/>
  <c r="L855" i="4" s="1"/>
  <c r="K856" i="4"/>
  <c r="L856" i="4" s="1"/>
  <c r="K857" i="4"/>
  <c r="L857" i="4" s="1"/>
  <c r="K858" i="4"/>
  <c r="M858" i="4" s="1"/>
  <c r="K859" i="4"/>
  <c r="L859" i="4" s="1"/>
  <c r="K860" i="4"/>
  <c r="M860" i="4" s="1"/>
  <c r="K861" i="4"/>
  <c r="L861" i="4" s="1"/>
  <c r="K862" i="4"/>
  <c r="M862" i="4" s="1"/>
  <c r="K863" i="4"/>
  <c r="M863" i="4" s="1"/>
  <c r="K864" i="4"/>
  <c r="M864" i="4" s="1"/>
  <c r="K865" i="4"/>
  <c r="L865" i="4" s="1"/>
  <c r="K866" i="4"/>
  <c r="M866" i="4" s="1"/>
  <c r="K867" i="4"/>
  <c r="L867" i="4" s="1"/>
  <c r="K868" i="4"/>
  <c r="M868" i="4" s="1"/>
  <c r="K869" i="4"/>
  <c r="L869" i="4" s="1"/>
  <c r="K870" i="4"/>
  <c r="M870" i="4" s="1"/>
  <c r="K871" i="4"/>
  <c r="M871" i="4" s="1"/>
  <c r="O639" i="4"/>
  <c r="O638" i="4"/>
  <c r="O637" i="4"/>
  <c r="O636" i="4"/>
  <c r="O635" i="4"/>
  <c r="O634" i="4"/>
  <c r="O633" i="4"/>
  <c r="O624" i="4"/>
  <c r="O623" i="4"/>
  <c r="O622" i="4"/>
  <c r="B840" i="4"/>
  <c r="C840" i="4"/>
  <c r="B841" i="4"/>
  <c r="C841" i="4"/>
  <c r="B842" i="4"/>
  <c r="C842" i="4"/>
  <c r="B843" i="4"/>
  <c r="C843" i="4"/>
  <c r="B844" i="4"/>
  <c r="C844" i="4"/>
  <c r="B845" i="4"/>
  <c r="C845" i="4"/>
  <c r="B846" i="4"/>
  <c r="C846" i="4"/>
  <c r="B847" i="4"/>
  <c r="C847" i="4"/>
  <c r="B848" i="4"/>
  <c r="C848" i="4"/>
  <c r="B849" i="4"/>
  <c r="C849" i="4"/>
  <c r="B850" i="4"/>
  <c r="C850" i="4"/>
  <c r="B851" i="4"/>
  <c r="C851" i="4"/>
  <c r="B852" i="4"/>
  <c r="C852" i="4"/>
  <c r="B853" i="4"/>
  <c r="C853" i="4"/>
  <c r="B854" i="4"/>
  <c r="C854" i="4"/>
  <c r="B855" i="4"/>
  <c r="C855" i="4"/>
  <c r="B856" i="4"/>
  <c r="C856" i="4"/>
  <c r="B857" i="4"/>
  <c r="C857" i="4"/>
  <c r="B858" i="4"/>
  <c r="C858" i="4"/>
  <c r="B859" i="4"/>
  <c r="C859" i="4"/>
  <c r="B860" i="4"/>
  <c r="C860" i="4"/>
  <c r="B861" i="4"/>
  <c r="C861" i="4"/>
  <c r="B862" i="4"/>
  <c r="C862" i="4"/>
  <c r="B863" i="4"/>
  <c r="C863" i="4"/>
  <c r="B864" i="4"/>
  <c r="C864" i="4"/>
  <c r="B865" i="4"/>
  <c r="C865" i="4"/>
  <c r="B866" i="4"/>
  <c r="C866" i="4"/>
  <c r="B867" i="4"/>
  <c r="C867" i="4"/>
  <c r="B868" i="4"/>
  <c r="C868" i="4"/>
  <c r="B869" i="4"/>
  <c r="C869" i="4"/>
  <c r="B870" i="4"/>
  <c r="C870" i="4"/>
  <c r="B871" i="4"/>
  <c r="C871" i="4"/>
  <c r="M848" i="4" l="1"/>
  <c r="L838" i="4"/>
  <c r="L866" i="4"/>
  <c r="L862" i="4"/>
  <c r="L870" i="4"/>
  <c r="L864" i="4"/>
  <c r="M836" i="4"/>
  <c r="M844" i="4"/>
  <c r="L860" i="4"/>
  <c r="L846" i="4"/>
  <c r="L871" i="4"/>
  <c r="M855" i="4"/>
  <c r="L850" i="4"/>
  <c r="L868" i="4"/>
  <c r="L863" i="4"/>
  <c r="L852" i="4"/>
  <c r="L843" i="4"/>
  <c r="M859" i="4"/>
  <c r="L854" i="4"/>
  <c r="L847" i="4"/>
  <c r="M839" i="4"/>
  <c r="M834" i="4"/>
  <c r="M867" i="4"/>
  <c r="M856" i="4"/>
  <c r="M851" i="4"/>
  <c r="M840" i="4"/>
  <c r="M835" i="4"/>
  <c r="L858" i="4"/>
  <c r="L842" i="4"/>
  <c r="M869" i="4"/>
  <c r="M865" i="4"/>
  <c r="M861" i="4"/>
  <c r="M857" i="4"/>
  <c r="M853" i="4"/>
  <c r="M849" i="4"/>
  <c r="M845" i="4"/>
  <c r="M837" i="4"/>
  <c r="M841" i="4"/>
  <c r="O617" i="4"/>
  <c r="O620" i="4"/>
  <c r="O619" i="4"/>
  <c r="O618" i="4"/>
  <c r="O616" i="4"/>
  <c r="O612" i="4"/>
  <c r="O611" i="4"/>
  <c r="O610" i="4"/>
  <c r="O587" i="4"/>
  <c r="O586" i="4"/>
  <c r="O585" i="4"/>
  <c r="O584" i="4"/>
  <c r="O583" i="4"/>
  <c r="O582" i="4"/>
  <c r="O581" i="4"/>
  <c r="O540" i="4"/>
  <c r="O539" i="4"/>
  <c r="O538" i="4"/>
  <c r="O537" i="4"/>
  <c r="O536" i="4"/>
  <c r="O524" i="4"/>
  <c r="O523" i="4"/>
  <c r="O522" i="4"/>
  <c r="O552" i="4"/>
  <c r="O551" i="4"/>
  <c r="O550" i="4"/>
  <c r="O535" i="4"/>
  <c r="O534" i="4"/>
  <c r="O553" i="4"/>
  <c r="O533" i="4"/>
  <c r="O532" i="4"/>
  <c r="O531" i="4"/>
  <c r="O530" i="4"/>
  <c r="O529" i="4"/>
  <c r="O528" i="4"/>
  <c r="O527" i="4"/>
  <c r="O526" i="4"/>
  <c r="O525" i="4"/>
  <c r="O631" i="4"/>
  <c r="O630" i="4"/>
  <c r="O629" i="4"/>
  <c r="O628" i="4"/>
  <c r="O627" i="4"/>
  <c r="O626" i="4"/>
  <c r="O625" i="4"/>
  <c r="O566" i="4"/>
  <c r="O565" i="4"/>
  <c r="O811" i="4"/>
  <c r="P811" i="4" s="1"/>
  <c r="O810" i="4"/>
  <c r="P810" i="4" s="1"/>
  <c r="O809" i="4"/>
  <c r="P809" i="4" s="1"/>
  <c r="O808" i="4"/>
  <c r="P808" i="4" s="1"/>
  <c r="O564" i="4"/>
  <c r="O563" i="4"/>
  <c r="O562" i="4"/>
  <c r="O561" i="4"/>
  <c r="O560" i="4"/>
  <c r="O714" i="4"/>
  <c r="O713" i="4"/>
  <c r="O712" i="4"/>
  <c r="O711" i="4"/>
  <c r="O764" i="4"/>
  <c r="P764" i="4" s="1"/>
  <c r="O786" i="4"/>
  <c r="P786" i="4" s="1"/>
  <c r="O785" i="4"/>
  <c r="P785" i="4" s="1"/>
  <c r="O784" i="4"/>
  <c r="P784" i="4" s="1"/>
  <c r="O783" i="4"/>
  <c r="P783" i="4" s="1"/>
  <c r="O782" i="4"/>
  <c r="P782" i="4" s="1"/>
  <c r="O781" i="4"/>
  <c r="P781" i="4" s="1"/>
  <c r="O830" i="4"/>
  <c r="P830" i="4" s="1"/>
  <c r="O829" i="4"/>
  <c r="P829" i="4" s="1"/>
  <c r="O828" i="4"/>
  <c r="P828" i="4" s="1"/>
  <c r="O827" i="4"/>
  <c r="P827" i="4" s="1"/>
  <c r="O826" i="4"/>
  <c r="P826" i="4" s="1"/>
  <c r="O752" i="4"/>
  <c r="O695" i="4"/>
  <c r="O694" i="4"/>
  <c r="O665" i="4"/>
  <c r="O664" i="4"/>
  <c r="O663" i="4"/>
  <c r="O662" i="4"/>
  <c r="O753" i="4"/>
  <c r="O751" i="4"/>
  <c r="O750" i="4"/>
  <c r="O749" i="4"/>
  <c r="O748" i="4"/>
  <c r="B838" i="4"/>
  <c r="C838" i="4"/>
  <c r="B839" i="4"/>
  <c r="C839" i="4"/>
  <c r="B837" i="4"/>
  <c r="C837" i="4"/>
  <c r="B831" i="4"/>
  <c r="C831" i="4"/>
  <c r="B832" i="4"/>
  <c r="C832" i="4"/>
  <c r="B833" i="4"/>
  <c r="C833" i="4"/>
  <c r="B834" i="4"/>
  <c r="C834" i="4"/>
  <c r="B835" i="4"/>
  <c r="C835" i="4"/>
  <c r="B836" i="4"/>
  <c r="C836" i="4"/>
  <c r="K827" i="4"/>
  <c r="L827" i="4" s="1"/>
  <c r="K828" i="4"/>
  <c r="L828" i="4" s="1"/>
  <c r="K829" i="4"/>
  <c r="M829" i="4" s="1"/>
  <c r="K830" i="4"/>
  <c r="L830" i="4" s="1"/>
  <c r="K831" i="4"/>
  <c r="L831" i="4" s="1"/>
  <c r="K832" i="4"/>
  <c r="L832" i="4" s="1"/>
  <c r="K833" i="4"/>
  <c r="M833" i="4" s="1"/>
  <c r="B827" i="4"/>
  <c r="C827" i="4"/>
  <c r="B828" i="4"/>
  <c r="C828" i="4"/>
  <c r="B829" i="4"/>
  <c r="C829" i="4"/>
  <c r="B830" i="4"/>
  <c r="C830" i="4"/>
  <c r="B805" i="4"/>
  <c r="C805" i="4"/>
  <c r="B806" i="4"/>
  <c r="C806" i="4"/>
  <c r="B807" i="4"/>
  <c r="C807" i="4"/>
  <c r="B808" i="4"/>
  <c r="C808" i="4"/>
  <c r="B809" i="4"/>
  <c r="C809" i="4"/>
  <c r="B810" i="4"/>
  <c r="C810" i="4"/>
  <c r="B811" i="4"/>
  <c r="C811" i="4"/>
  <c r="B812" i="4"/>
  <c r="C812" i="4"/>
  <c r="B813" i="4"/>
  <c r="C813" i="4"/>
  <c r="B814" i="4"/>
  <c r="C814" i="4"/>
  <c r="B815" i="4"/>
  <c r="C815" i="4"/>
  <c r="B816" i="4"/>
  <c r="C816" i="4"/>
  <c r="B817" i="4"/>
  <c r="C817" i="4"/>
  <c r="B818" i="4"/>
  <c r="C818" i="4"/>
  <c r="B819" i="4"/>
  <c r="C819" i="4"/>
  <c r="B820" i="4"/>
  <c r="C820" i="4"/>
  <c r="B821" i="4"/>
  <c r="C821" i="4"/>
  <c r="B822" i="4"/>
  <c r="C822" i="4"/>
  <c r="B823" i="4"/>
  <c r="C823" i="4"/>
  <c r="B824" i="4"/>
  <c r="C824" i="4"/>
  <c r="B825" i="4"/>
  <c r="C825" i="4"/>
  <c r="B826" i="4"/>
  <c r="C826" i="4"/>
  <c r="K805" i="4"/>
  <c r="L805" i="4" s="1"/>
  <c r="K806" i="4"/>
  <c r="L806" i="4" s="1"/>
  <c r="K807" i="4"/>
  <c r="M807" i="4" s="1"/>
  <c r="K808" i="4"/>
  <c r="L808" i="4" s="1"/>
  <c r="K809" i="4"/>
  <c r="L809" i="4" s="1"/>
  <c r="K810" i="4"/>
  <c r="L810" i="4" s="1"/>
  <c r="K811" i="4"/>
  <c r="M811" i="4" s="1"/>
  <c r="K812" i="4"/>
  <c r="L812" i="4" s="1"/>
  <c r="K813" i="4"/>
  <c r="L813" i="4" s="1"/>
  <c r="K814" i="4"/>
  <c r="L814" i="4" s="1"/>
  <c r="K815" i="4"/>
  <c r="M815" i="4" s="1"/>
  <c r="K816" i="4"/>
  <c r="L816" i="4" s="1"/>
  <c r="K817" i="4"/>
  <c r="L817" i="4" s="1"/>
  <c r="K818" i="4"/>
  <c r="L818" i="4" s="1"/>
  <c r="K819" i="4"/>
  <c r="M819" i="4" s="1"/>
  <c r="K820" i="4"/>
  <c r="L820" i="4" s="1"/>
  <c r="K821" i="4"/>
  <c r="L821" i="4" s="1"/>
  <c r="K822" i="4"/>
  <c r="L822" i="4" s="1"/>
  <c r="K823" i="4"/>
  <c r="M823" i="4" s="1"/>
  <c r="K824" i="4"/>
  <c r="L824" i="4" s="1"/>
  <c r="K825" i="4"/>
  <c r="L825" i="4" s="1"/>
  <c r="K826" i="4"/>
  <c r="L826" i="4" s="1"/>
  <c r="P794" i="4"/>
  <c r="P795" i="4"/>
  <c r="P800" i="4"/>
  <c r="P801" i="4"/>
  <c r="P802" i="4"/>
  <c r="P803" i="4"/>
  <c r="P804" i="4"/>
  <c r="P805" i="4"/>
  <c r="P806" i="4"/>
  <c r="P807" i="4"/>
  <c r="P812" i="4"/>
  <c r="P813" i="4"/>
  <c r="P814" i="4"/>
  <c r="P815" i="4"/>
  <c r="P816" i="4"/>
  <c r="P817" i="4"/>
  <c r="P818" i="4"/>
  <c r="P819" i="4"/>
  <c r="P820" i="4"/>
  <c r="P821" i="4"/>
  <c r="P822" i="4"/>
  <c r="P823" i="4"/>
  <c r="P824" i="4"/>
  <c r="P825" i="4"/>
  <c r="K794" i="4"/>
  <c r="L794" i="4" s="1"/>
  <c r="K795" i="4"/>
  <c r="L795" i="4" s="1"/>
  <c r="K796" i="4"/>
  <c r="M796" i="4" s="1"/>
  <c r="K797" i="4"/>
  <c r="L797" i="4" s="1"/>
  <c r="K798" i="4"/>
  <c r="M798" i="4" s="1"/>
  <c r="K799" i="4"/>
  <c r="L799" i="4" s="1"/>
  <c r="K800" i="4"/>
  <c r="M800" i="4" s="1"/>
  <c r="K801" i="4"/>
  <c r="L801" i="4" s="1"/>
  <c r="K802" i="4"/>
  <c r="M802" i="4" s="1"/>
  <c r="K803" i="4"/>
  <c r="L803" i="4" s="1"/>
  <c r="K804" i="4"/>
  <c r="M804" i="4" s="1"/>
  <c r="B794" i="4"/>
  <c r="C794" i="4"/>
  <c r="B795" i="4"/>
  <c r="C795" i="4"/>
  <c r="B796" i="4"/>
  <c r="C796" i="4"/>
  <c r="B797" i="4"/>
  <c r="C797" i="4"/>
  <c r="B798" i="4"/>
  <c r="C798" i="4"/>
  <c r="B799" i="4"/>
  <c r="C799" i="4"/>
  <c r="B800" i="4"/>
  <c r="C800" i="4"/>
  <c r="B801" i="4"/>
  <c r="C801" i="4"/>
  <c r="B802" i="4"/>
  <c r="C802" i="4"/>
  <c r="B803" i="4"/>
  <c r="C803" i="4"/>
  <c r="B804" i="4"/>
  <c r="C804" i="4"/>
  <c r="K775" i="4"/>
  <c r="M775" i="4" s="1"/>
  <c r="K776" i="4"/>
  <c r="L776" i="4" s="1"/>
  <c r="K777" i="4"/>
  <c r="L777" i="4" s="1"/>
  <c r="K778" i="4"/>
  <c r="L778" i="4" s="1"/>
  <c r="K779" i="4"/>
  <c r="M779" i="4" s="1"/>
  <c r="K780" i="4"/>
  <c r="M780" i="4" s="1"/>
  <c r="K781" i="4"/>
  <c r="L781" i="4" s="1"/>
  <c r="K782" i="4"/>
  <c r="L782" i="4" s="1"/>
  <c r="K783" i="4"/>
  <c r="M783" i="4" s="1"/>
  <c r="K784" i="4"/>
  <c r="L784" i="4" s="1"/>
  <c r="K785" i="4"/>
  <c r="M785" i="4" s="1"/>
  <c r="K786" i="4"/>
  <c r="L786" i="4" s="1"/>
  <c r="K787" i="4"/>
  <c r="M787" i="4" s="1"/>
  <c r="K788" i="4"/>
  <c r="L788" i="4" s="1"/>
  <c r="K789" i="4"/>
  <c r="L789" i="4" s="1"/>
  <c r="K790" i="4"/>
  <c r="L790" i="4" s="1"/>
  <c r="K791" i="4"/>
  <c r="M791" i="4" s="1"/>
  <c r="K792" i="4"/>
  <c r="L792" i="4" s="1"/>
  <c r="K793" i="4"/>
  <c r="L793" i="4" s="1"/>
  <c r="P765" i="4"/>
  <c r="P766" i="4"/>
  <c r="P767" i="4"/>
  <c r="P768" i="4"/>
  <c r="P769" i="4"/>
  <c r="P770" i="4"/>
  <c r="P771" i="4"/>
  <c r="P772" i="4"/>
  <c r="P773" i="4"/>
  <c r="P774" i="4"/>
  <c r="P775" i="4"/>
  <c r="P776" i="4"/>
  <c r="P777" i="4"/>
  <c r="P778" i="4"/>
  <c r="P779" i="4"/>
  <c r="P780" i="4"/>
  <c r="P787" i="4"/>
  <c r="P792" i="4"/>
  <c r="P793" i="4"/>
  <c r="K763" i="4"/>
  <c r="K764" i="4"/>
  <c r="L764" i="4" s="1"/>
  <c r="K765" i="4"/>
  <c r="L765" i="4" s="1"/>
  <c r="K766" i="4"/>
  <c r="L766" i="4" s="1"/>
  <c r="K767" i="4"/>
  <c r="L767" i="4" s="1"/>
  <c r="K768" i="4"/>
  <c r="M768" i="4" s="1"/>
  <c r="K769" i="4"/>
  <c r="L769" i="4" s="1"/>
  <c r="K770" i="4"/>
  <c r="L770" i="4" s="1"/>
  <c r="K771" i="4"/>
  <c r="M771" i="4" s="1"/>
  <c r="K772" i="4"/>
  <c r="L772" i="4" s="1"/>
  <c r="K773" i="4"/>
  <c r="L773" i="4" s="1"/>
  <c r="K774" i="4"/>
  <c r="L774" i="4" s="1"/>
  <c r="L829" i="4" l="1"/>
  <c r="M765" i="4"/>
  <c r="M764" i="4"/>
  <c r="M808" i="4"/>
  <c r="M830" i="4"/>
  <c r="L768" i="4"/>
  <c r="L783" i="4"/>
  <c r="M824" i="4"/>
  <c r="L800" i="4"/>
  <c r="M781" i="4"/>
  <c r="L802" i="4"/>
  <c r="M816" i="4"/>
  <c r="M813" i="4"/>
  <c r="L807" i="4"/>
  <c r="M827" i="4"/>
  <c r="L833" i="4"/>
  <c r="M831" i="4"/>
  <c r="M832" i="4"/>
  <c r="M828" i="4"/>
  <c r="M821" i="4"/>
  <c r="M825" i="4"/>
  <c r="L823" i="4"/>
  <c r="M820" i="4"/>
  <c r="M817" i="4"/>
  <c r="L819" i="4"/>
  <c r="L815" i="4"/>
  <c r="M812" i="4"/>
  <c r="L811" i="4"/>
  <c r="M809" i="4"/>
  <c r="M805" i="4"/>
  <c r="L804" i="4"/>
  <c r="M801" i="4"/>
  <c r="L796" i="4"/>
  <c r="L798" i="4"/>
  <c r="M797" i="4"/>
  <c r="M826" i="4"/>
  <c r="M822" i="4"/>
  <c r="M818" i="4"/>
  <c r="M814" i="4"/>
  <c r="M810" i="4"/>
  <c r="M806" i="4"/>
  <c r="M794" i="4"/>
  <c r="M803" i="4"/>
  <c r="M795" i="4"/>
  <c r="M799" i="4"/>
  <c r="M792" i="4"/>
  <c r="M793" i="4"/>
  <c r="M788" i="4"/>
  <c r="L787" i="4"/>
  <c r="L785" i="4"/>
  <c r="M776" i="4"/>
  <c r="L780" i="4"/>
  <c r="M777" i="4"/>
  <c r="L771" i="4"/>
  <c r="M789" i="4"/>
  <c r="M784" i="4"/>
  <c r="L779" i="4"/>
  <c r="L775" i="4"/>
  <c r="M767" i="4"/>
  <c r="M770" i="4"/>
  <c r="L791" i="4"/>
  <c r="M774" i="4"/>
  <c r="M772" i="4"/>
  <c r="M790" i="4"/>
  <c r="M786" i="4"/>
  <c r="M782" i="4"/>
  <c r="M778" i="4"/>
  <c r="M769" i="4"/>
  <c r="M773" i="4"/>
  <c r="M766" i="4"/>
  <c r="P759" i="4" l="1"/>
  <c r="P760" i="4"/>
  <c r="P761" i="4"/>
  <c r="P762" i="4"/>
  <c r="P763" i="4"/>
  <c r="K759" i="4"/>
  <c r="L759" i="4" s="1"/>
  <c r="K760" i="4"/>
  <c r="L760" i="4" s="1"/>
  <c r="K761" i="4"/>
  <c r="M761" i="4" s="1"/>
  <c r="K762" i="4"/>
  <c r="L762" i="4" s="1"/>
  <c r="L763" i="4"/>
  <c r="M763" i="4"/>
  <c r="M759" i="4" l="1"/>
  <c r="L761" i="4"/>
  <c r="M762" i="4"/>
  <c r="M760" i="4"/>
  <c r="B760" i="4" l="1"/>
  <c r="C760" i="4"/>
  <c r="B761" i="4"/>
  <c r="C761" i="4"/>
  <c r="B762" i="4"/>
  <c r="C762" i="4"/>
  <c r="B763" i="4"/>
  <c r="C763" i="4"/>
  <c r="B764" i="4"/>
  <c r="C764" i="4"/>
  <c r="B765" i="4"/>
  <c r="C765" i="4"/>
  <c r="B766" i="4"/>
  <c r="C766" i="4"/>
  <c r="B767" i="4"/>
  <c r="C767" i="4"/>
  <c r="B768" i="4"/>
  <c r="C768" i="4"/>
  <c r="B769" i="4"/>
  <c r="C769" i="4"/>
  <c r="B770" i="4"/>
  <c r="C770" i="4"/>
  <c r="B771" i="4"/>
  <c r="C771" i="4"/>
  <c r="B772" i="4"/>
  <c r="C772" i="4"/>
  <c r="B773" i="4"/>
  <c r="C773" i="4"/>
  <c r="B774" i="4"/>
  <c r="C774" i="4"/>
  <c r="B775" i="4"/>
  <c r="C775" i="4"/>
  <c r="B776" i="4"/>
  <c r="C776" i="4"/>
  <c r="B777" i="4"/>
  <c r="C777" i="4"/>
  <c r="B778" i="4"/>
  <c r="C778" i="4"/>
  <c r="B779" i="4"/>
  <c r="C779" i="4"/>
  <c r="B780" i="4"/>
  <c r="C780" i="4"/>
  <c r="B781" i="4"/>
  <c r="C781" i="4"/>
  <c r="B782" i="4"/>
  <c r="C782" i="4"/>
  <c r="B783" i="4"/>
  <c r="C783" i="4"/>
  <c r="B784" i="4"/>
  <c r="C784" i="4"/>
  <c r="B785" i="4"/>
  <c r="C785" i="4"/>
  <c r="B786" i="4"/>
  <c r="C786" i="4"/>
  <c r="B787" i="4"/>
  <c r="C787" i="4"/>
  <c r="B788" i="4"/>
  <c r="C788" i="4"/>
  <c r="B789" i="4"/>
  <c r="C789" i="4"/>
  <c r="B790" i="4"/>
  <c r="C790" i="4"/>
  <c r="B791" i="4"/>
  <c r="C791" i="4"/>
  <c r="B792" i="4"/>
  <c r="C792" i="4"/>
  <c r="B793" i="4"/>
  <c r="C793" i="4"/>
  <c r="B759" i="4"/>
  <c r="C759" i="4"/>
  <c r="E153" i="7"/>
  <c r="O696" i="4" l="1"/>
  <c r="O728" i="4"/>
  <c r="O727" i="4"/>
  <c r="O656" i="4"/>
  <c r="O655" i="4"/>
  <c r="O654" i="4"/>
  <c r="O653" i="4"/>
  <c r="O652" i="4"/>
  <c r="O737" i="4"/>
  <c r="O736" i="4"/>
  <c r="O735" i="4"/>
  <c r="O734" i="4"/>
  <c r="O518" i="4"/>
  <c r="O547" i="4"/>
  <c r="O546" i="4"/>
  <c r="O545" i="4"/>
  <c r="O544" i="4"/>
  <c r="O517" i="4"/>
  <c r="O516" i="4"/>
  <c r="O515" i="4"/>
  <c r="O514" i="4"/>
  <c r="O513" i="4"/>
  <c r="O512" i="4"/>
  <c r="O473" i="4" l="1"/>
  <c r="O472" i="4"/>
  <c r="O468" i="4"/>
  <c r="O467" i="4"/>
  <c r="O466" i="4"/>
  <c r="O465" i="4"/>
  <c r="O726" i="4" l="1"/>
  <c r="O721" i="4"/>
  <c r="O720" i="4"/>
  <c r="O719" i="4"/>
  <c r="O718" i="4"/>
  <c r="O705" i="4"/>
  <c r="O704" i="4"/>
  <c r="O632" i="4"/>
  <c r="O609" i="4"/>
  <c r="O574" i="4"/>
  <c r="O549" i="4"/>
  <c r="O548" i="4"/>
  <c r="O321" i="4"/>
  <c r="O109" i="4"/>
  <c r="O108" i="4"/>
  <c r="O107" i="4"/>
  <c r="O106" i="4"/>
  <c r="O30" i="4"/>
  <c r="O591" i="4"/>
  <c r="O590" i="4"/>
  <c r="O589" i="4"/>
  <c r="O693" i="4"/>
  <c r="O692" i="4"/>
  <c r="O691" i="4"/>
  <c r="O690" i="4"/>
  <c r="O689" i="4"/>
  <c r="O688" i="4"/>
  <c r="O567" i="4"/>
  <c r="O588" i="4"/>
  <c r="O570" i="4"/>
  <c r="O569" i="4"/>
  <c r="O568" i="4"/>
  <c r="O676" i="4" l="1"/>
  <c r="O675" i="4"/>
  <c r="O674" i="4"/>
  <c r="O673" i="4"/>
  <c r="O672" i="4"/>
  <c r="O521" i="4"/>
  <c r="O520" i="4"/>
  <c r="O507" i="4"/>
  <c r="O506" i="4"/>
  <c r="O505" i="4"/>
  <c r="O504" i="4"/>
  <c r="O503" i="4"/>
  <c r="O498" i="4"/>
  <c r="O497" i="4"/>
  <c r="O496" i="4"/>
  <c r="O495" i="4"/>
  <c r="O486" i="4"/>
  <c r="O488" i="4"/>
  <c r="O487" i="4"/>
  <c r="O485" i="4"/>
  <c r="O484" i="4"/>
  <c r="K755" i="4"/>
  <c r="L755" i="4" s="1"/>
  <c r="K756" i="4"/>
  <c r="L756" i="4" s="1"/>
  <c r="K757" i="4"/>
  <c r="M757" i="4" s="1"/>
  <c r="K758" i="4"/>
  <c r="L758" i="4" s="1"/>
  <c r="B752" i="4"/>
  <c r="C752" i="4"/>
  <c r="B753" i="4"/>
  <c r="C753" i="4"/>
  <c r="B754" i="4"/>
  <c r="C754" i="4"/>
  <c r="B755" i="4"/>
  <c r="C755" i="4"/>
  <c r="B756" i="4"/>
  <c r="C756" i="4"/>
  <c r="B757" i="4"/>
  <c r="C757" i="4"/>
  <c r="B758" i="4"/>
  <c r="C758" i="4"/>
  <c r="B738" i="4"/>
  <c r="C738" i="4"/>
  <c r="B739" i="4"/>
  <c r="C739" i="4"/>
  <c r="B740" i="4"/>
  <c r="C740" i="4"/>
  <c r="B741" i="4"/>
  <c r="C741" i="4"/>
  <c r="B742" i="4"/>
  <c r="C742" i="4"/>
  <c r="B743" i="4"/>
  <c r="C743" i="4"/>
  <c r="B744" i="4"/>
  <c r="C744" i="4"/>
  <c r="B745" i="4"/>
  <c r="C745" i="4"/>
  <c r="B746" i="4"/>
  <c r="C746" i="4"/>
  <c r="B747" i="4"/>
  <c r="C747" i="4"/>
  <c r="B748" i="4"/>
  <c r="C748" i="4"/>
  <c r="B749" i="4"/>
  <c r="C749" i="4"/>
  <c r="B750" i="4"/>
  <c r="C750" i="4"/>
  <c r="B751" i="4"/>
  <c r="C751" i="4"/>
  <c r="K738" i="4"/>
  <c r="L738" i="4" s="1"/>
  <c r="K739" i="4"/>
  <c r="L739" i="4" s="1"/>
  <c r="K740" i="4"/>
  <c r="M740" i="4" s="1"/>
  <c r="K741" i="4"/>
  <c r="L741" i="4" s="1"/>
  <c r="K742" i="4"/>
  <c r="L742" i="4" s="1"/>
  <c r="K743" i="4"/>
  <c r="L743" i="4" s="1"/>
  <c r="K744" i="4"/>
  <c r="M744" i="4" s="1"/>
  <c r="K745" i="4"/>
  <c r="L745" i="4" s="1"/>
  <c r="K746" i="4"/>
  <c r="L746" i="4" s="1"/>
  <c r="K747" i="4"/>
  <c r="L747" i="4" s="1"/>
  <c r="K748" i="4"/>
  <c r="L748" i="4" s="1"/>
  <c r="K749" i="4"/>
  <c r="L749" i="4" s="1"/>
  <c r="K750" i="4"/>
  <c r="L750" i="4" s="1"/>
  <c r="K751" i="4"/>
  <c r="L751" i="4" s="1"/>
  <c r="K752" i="4"/>
  <c r="L752" i="4" s="1"/>
  <c r="K753" i="4"/>
  <c r="L753" i="4" s="1"/>
  <c r="K754" i="4"/>
  <c r="L754" i="4" s="1"/>
  <c r="P734" i="4"/>
  <c r="P735" i="4"/>
  <c r="P736" i="4"/>
  <c r="P737" i="4"/>
  <c r="P738" i="4"/>
  <c r="P739" i="4"/>
  <c r="P740" i="4"/>
  <c r="P741" i="4"/>
  <c r="P742" i="4"/>
  <c r="P743" i="4"/>
  <c r="P744" i="4"/>
  <c r="P745" i="4"/>
  <c r="P746" i="4"/>
  <c r="P747" i="4"/>
  <c r="P748" i="4"/>
  <c r="P749" i="4"/>
  <c r="P750" i="4"/>
  <c r="P751" i="4"/>
  <c r="P752" i="4"/>
  <c r="P753" i="4"/>
  <c r="P754" i="4"/>
  <c r="P755" i="4"/>
  <c r="P756" i="4"/>
  <c r="P757" i="4"/>
  <c r="P758" i="4"/>
  <c r="K726" i="4"/>
  <c r="L726" i="4" s="1"/>
  <c r="K727" i="4"/>
  <c r="L727" i="4" s="1"/>
  <c r="K728" i="4"/>
  <c r="M728" i="4" s="1"/>
  <c r="K729" i="4"/>
  <c r="L729" i="4" s="1"/>
  <c r="K730" i="4"/>
  <c r="L730" i="4" s="1"/>
  <c r="K731" i="4"/>
  <c r="M731" i="4" s="1"/>
  <c r="K732" i="4"/>
  <c r="L732" i="4" s="1"/>
  <c r="K733" i="4"/>
  <c r="L733" i="4" s="1"/>
  <c r="K734" i="4"/>
  <c r="L734" i="4" s="1"/>
  <c r="K735" i="4"/>
  <c r="M735" i="4" s="1"/>
  <c r="K736" i="4"/>
  <c r="L736" i="4" s="1"/>
  <c r="K737" i="4"/>
  <c r="L737" i="4" s="1"/>
  <c r="B734" i="4"/>
  <c r="C734" i="4"/>
  <c r="B735" i="4"/>
  <c r="C735" i="4"/>
  <c r="B736" i="4"/>
  <c r="C736" i="4"/>
  <c r="B737" i="4"/>
  <c r="C737" i="4"/>
  <c r="M733" i="4" l="1"/>
  <c r="M736" i="4"/>
  <c r="M729" i="4"/>
  <c r="L731" i="4"/>
  <c r="M726" i="4"/>
  <c r="M753" i="4"/>
  <c r="L744" i="4"/>
  <c r="M752" i="4"/>
  <c r="M745" i="4"/>
  <c r="M758" i="4"/>
  <c r="M755" i="4"/>
  <c r="L757" i="4"/>
  <c r="M748" i="4"/>
  <c r="M756" i="4"/>
  <c r="M749" i="4"/>
  <c r="M741" i="4"/>
  <c r="L740" i="4"/>
  <c r="M754" i="4"/>
  <c r="M750" i="4"/>
  <c r="M746" i="4"/>
  <c r="M742" i="4"/>
  <c r="M738" i="4"/>
  <c r="M751" i="4"/>
  <c r="M747" i="4"/>
  <c r="M743" i="4"/>
  <c r="M739" i="4"/>
  <c r="M737" i="4"/>
  <c r="L735" i="4"/>
  <c r="M732" i="4"/>
  <c r="M727" i="4"/>
  <c r="L728" i="4"/>
  <c r="M730" i="4"/>
  <c r="M734" i="4"/>
  <c r="P729" i="4" l="1"/>
  <c r="P730" i="4"/>
  <c r="P732" i="4"/>
  <c r="P733" i="4"/>
  <c r="B725" i="4"/>
  <c r="C725" i="4"/>
  <c r="B726" i="4"/>
  <c r="C726" i="4"/>
  <c r="B727" i="4"/>
  <c r="C727" i="4"/>
  <c r="B728" i="4"/>
  <c r="C728" i="4"/>
  <c r="B729" i="4"/>
  <c r="C729" i="4"/>
  <c r="B730" i="4"/>
  <c r="C730" i="4"/>
  <c r="B731" i="4"/>
  <c r="C731" i="4"/>
  <c r="B732" i="4"/>
  <c r="C732" i="4"/>
  <c r="B733" i="4"/>
  <c r="C733" i="4"/>
  <c r="P724" i="4"/>
  <c r="P725" i="4"/>
  <c r="P726" i="4"/>
  <c r="P727" i="4"/>
  <c r="P728" i="4"/>
  <c r="K724" i="4"/>
  <c r="L724" i="4" s="1"/>
  <c r="K725" i="4"/>
  <c r="M725" i="4" s="1"/>
  <c r="C724" i="4"/>
  <c r="B723" i="4"/>
  <c r="B724" i="4"/>
  <c r="B701" i="4"/>
  <c r="C701" i="4"/>
  <c r="B702" i="4"/>
  <c r="C702" i="4"/>
  <c r="B703" i="4"/>
  <c r="C703" i="4"/>
  <c r="B704" i="4"/>
  <c r="C704" i="4"/>
  <c r="B705" i="4"/>
  <c r="C705" i="4"/>
  <c r="B706" i="4"/>
  <c r="C706" i="4"/>
  <c r="B707" i="4"/>
  <c r="C707" i="4"/>
  <c r="B708" i="4"/>
  <c r="C708" i="4"/>
  <c r="B709" i="4"/>
  <c r="C709" i="4"/>
  <c r="B710" i="4"/>
  <c r="C710" i="4"/>
  <c r="B711" i="4"/>
  <c r="C711" i="4"/>
  <c r="B712" i="4"/>
  <c r="C712" i="4"/>
  <c r="B713" i="4"/>
  <c r="C713" i="4"/>
  <c r="B714" i="4"/>
  <c r="C714" i="4"/>
  <c r="L725" i="4" l="1"/>
  <c r="M724" i="4"/>
  <c r="B715" i="4"/>
  <c r="C715" i="4"/>
  <c r="B716" i="4"/>
  <c r="C716" i="4"/>
  <c r="B717" i="4"/>
  <c r="C717" i="4"/>
  <c r="B718" i="4"/>
  <c r="C718" i="4"/>
  <c r="B719" i="4"/>
  <c r="C719" i="4"/>
  <c r="B720" i="4"/>
  <c r="C720" i="4"/>
  <c r="B721" i="4"/>
  <c r="C721" i="4"/>
  <c r="B722" i="4"/>
  <c r="C722" i="4"/>
  <c r="C723" i="4"/>
  <c r="P701" i="4"/>
  <c r="P702" i="4"/>
  <c r="P703" i="4"/>
  <c r="P704" i="4"/>
  <c r="P705" i="4"/>
  <c r="P706" i="4"/>
  <c r="P707" i="4"/>
  <c r="P708" i="4"/>
  <c r="P709" i="4"/>
  <c r="P710" i="4"/>
  <c r="P711" i="4"/>
  <c r="P712" i="4"/>
  <c r="P713" i="4"/>
  <c r="P714" i="4"/>
  <c r="P715" i="4"/>
  <c r="P716" i="4"/>
  <c r="P717" i="4"/>
  <c r="P718" i="4"/>
  <c r="P719" i="4"/>
  <c r="P720" i="4"/>
  <c r="P721" i="4"/>
  <c r="P722" i="4"/>
  <c r="P723" i="4"/>
  <c r="K701" i="4"/>
  <c r="L701" i="4" s="1"/>
  <c r="K702" i="4"/>
  <c r="L702" i="4" s="1"/>
  <c r="K703" i="4"/>
  <c r="M703" i="4" s="1"/>
  <c r="K704" i="4"/>
  <c r="M704" i="4" s="1"/>
  <c r="K705" i="4"/>
  <c r="L705" i="4" s="1"/>
  <c r="K706" i="4"/>
  <c r="L706" i="4" s="1"/>
  <c r="K707" i="4"/>
  <c r="M707" i="4" s="1"/>
  <c r="K708" i="4"/>
  <c r="L708" i="4" s="1"/>
  <c r="K709" i="4"/>
  <c r="L709" i="4" s="1"/>
  <c r="K710" i="4"/>
  <c r="L710" i="4" s="1"/>
  <c r="K711" i="4"/>
  <c r="M711" i="4" s="1"/>
  <c r="K712" i="4"/>
  <c r="L712" i="4" s="1"/>
  <c r="K713" i="4"/>
  <c r="L713" i="4" s="1"/>
  <c r="K714" i="4"/>
  <c r="L714" i="4" s="1"/>
  <c r="K715" i="4"/>
  <c r="M715" i="4" s="1"/>
  <c r="K716" i="4"/>
  <c r="M716" i="4" s="1"/>
  <c r="K717" i="4"/>
  <c r="L717" i="4" s="1"/>
  <c r="K718" i="4"/>
  <c r="L718" i="4" s="1"/>
  <c r="K719" i="4"/>
  <c r="M719" i="4" s="1"/>
  <c r="K720" i="4"/>
  <c r="L720" i="4" s="1"/>
  <c r="K721" i="4"/>
  <c r="L721" i="4" s="1"/>
  <c r="K722" i="4"/>
  <c r="L722" i="4" s="1"/>
  <c r="K723" i="4"/>
  <c r="M723" i="4" s="1"/>
  <c r="M720" i="4" l="1"/>
  <c r="L723" i="4"/>
  <c r="M717" i="4"/>
  <c r="M721" i="4"/>
  <c r="L719" i="4"/>
  <c r="L716" i="4"/>
  <c r="L715" i="4"/>
  <c r="M709" i="4"/>
  <c r="L711" i="4"/>
  <c r="M701" i="4"/>
  <c r="M712" i="4"/>
  <c r="L703" i="4"/>
  <c r="M713" i="4"/>
  <c r="L707" i="4"/>
  <c r="M708" i="4"/>
  <c r="M705" i="4"/>
  <c r="L704" i="4"/>
  <c r="M718" i="4"/>
  <c r="M710" i="4"/>
  <c r="M706" i="4"/>
  <c r="M702" i="4"/>
  <c r="M722" i="4"/>
  <c r="M714" i="4"/>
  <c r="P694" i="4" l="1"/>
  <c r="P695" i="4"/>
  <c r="P696" i="4"/>
  <c r="P697" i="4"/>
  <c r="P698" i="4"/>
  <c r="P699" i="4"/>
  <c r="P700" i="4"/>
  <c r="K694" i="4"/>
  <c r="L694" i="4" s="1"/>
  <c r="K695" i="4"/>
  <c r="L695" i="4" s="1"/>
  <c r="K696" i="4"/>
  <c r="M696" i="4" s="1"/>
  <c r="K697" i="4"/>
  <c r="L697" i="4" s="1"/>
  <c r="K698" i="4"/>
  <c r="L698" i="4" s="1"/>
  <c r="K699" i="4"/>
  <c r="L699" i="4" s="1"/>
  <c r="K700" i="4"/>
  <c r="M700" i="4" s="1"/>
  <c r="P688" i="4"/>
  <c r="P689" i="4"/>
  <c r="P690" i="4"/>
  <c r="P691" i="4"/>
  <c r="P692" i="4"/>
  <c r="P693" i="4"/>
  <c r="K688" i="4"/>
  <c r="L688" i="4" s="1"/>
  <c r="K689" i="4"/>
  <c r="L689" i="4" s="1"/>
  <c r="K690" i="4"/>
  <c r="M690" i="4" s="1"/>
  <c r="K691" i="4"/>
  <c r="L691" i="4" s="1"/>
  <c r="K692" i="4"/>
  <c r="L692" i="4" s="1"/>
  <c r="K693" i="4"/>
  <c r="L693" i="4" s="1"/>
  <c r="B694" i="4"/>
  <c r="C694" i="4"/>
  <c r="B695" i="4"/>
  <c r="C695" i="4"/>
  <c r="B696" i="4"/>
  <c r="C696" i="4"/>
  <c r="B697" i="4"/>
  <c r="C697" i="4"/>
  <c r="B698" i="4"/>
  <c r="C698" i="4"/>
  <c r="B699" i="4"/>
  <c r="C699" i="4"/>
  <c r="B700" i="4"/>
  <c r="C700" i="4"/>
  <c r="B688" i="4"/>
  <c r="C688" i="4"/>
  <c r="B689" i="4"/>
  <c r="C689" i="4"/>
  <c r="B690" i="4"/>
  <c r="C690" i="4"/>
  <c r="B691" i="4"/>
  <c r="C691" i="4"/>
  <c r="B692" i="4"/>
  <c r="C692" i="4"/>
  <c r="B693" i="4"/>
  <c r="C693" i="4"/>
  <c r="P684" i="4"/>
  <c r="P685" i="4"/>
  <c r="P686" i="4"/>
  <c r="P687" i="4"/>
  <c r="K685" i="4"/>
  <c r="L685" i="4" s="1"/>
  <c r="K686" i="4"/>
  <c r="L686" i="4" s="1"/>
  <c r="K687" i="4"/>
  <c r="M687" i="4" s="1"/>
  <c r="K684" i="4"/>
  <c r="L684" i="4" s="1"/>
  <c r="B687" i="4"/>
  <c r="C687" i="4"/>
  <c r="B684" i="4"/>
  <c r="C684" i="4"/>
  <c r="B685" i="4"/>
  <c r="C685" i="4"/>
  <c r="B686" i="4"/>
  <c r="C686" i="4"/>
  <c r="P681" i="4"/>
  <c r="P682" i="4"/>
  <c r="P683" i="4"/>
  <c r="K681" i="4"/>
  <c r="M681" i="4" s="1"/>
  <c r="K682" i="4"/>
  <c r="M682" i="4" s="1"/>
  <c r="K683" i="4"/>
  <c r="L683" i="4" s="1"/>
  <c r="B682" i="4"/>
  <c r="C682" i="4"/>
  <c r="B683" i="4"/>
  <c r="C683" i="4"/>
  <c r="B681" i="4"/>
  <c r="C681" i="4"/>
  <c r="P677" i="4"/>
  <c r="P678" i="4"/>
  <c r="P679" i="4"/>
  <c r="P680" i="4"/>
  <c r="K677" i="4"/>
  <c r="L677" i="4" s="1"/>
  <c r="K678" i="4"/>
  <c r="L678" i="4" s="1"/>
  <c r="K679" i="4"/>
  <c r="L679" i="4" s="1"/>
  <c r="K680" i="4"/>
  <c r="M680" i="4" s="1"/>
  <c r="B677" i="4"/>
  <c r="C677" i="4"/>
  <c r="B678" i="4"/>
  <c r="C678" i="4"/>
  <c r="B679" i="4"/>
  <c r="C679" i="4"/>
  <c r="B680" i="4"/>
  <c r="C680" i="4"/>
  <c r="E292" i="7"/>
  <c r="M692" i="4" l="1"/>
  <c r="M688" i="4"/>
  <c r="M694" i="4"/>
  <c r="L690" i="4"/>
  <c r="M691" i="4"/>
  <c r="M697" i="4"/>
  <c r="M698" i="4"/>
  <c r="L700" i="4"/>
  <c r="L696" i="4"/>
  <c r="M695" i="4"/>
  <c r="M699" i="4"/>
  <c r="M693" i="4"/>
  <c r="M689" i="4"/>
  <c r="M679" i="4"/>
  <c r="M685" i="4"/>
  <c r="L682" i="4"/>
  <c r="L687" i="4"/>
  <c r="M683" i="4"/>
  <c r="L681" i="4"/>
  <c r="M686" i="4"/>
  <c r="M684" i="4"/>
  <c r="L680" i="4"/>
  <c r="M677" i="4"/>
  <c r="M678" i="4"/>
  <c r="P672" i="4"/>
  <c r="P673" i="4"/>
  <c r="P674" i="4"/>
  <c r="P675" i="4"/>
  <c r="P676" i="4"/>
  <c r="K672" i="4"/>
  <c r="L672" i="4" s="1"/>
  <c r="K673" i="4"/>
  <c r="L673" i="4" s="1"/>
  <c r="K674" i="4"/>
  <c r="L674" i="4" s="1"/>
  <c r="K675" i="4"/>
  <c r="L675" i="4" s="1"/>
  <c r="K676" i="4"/>
  <c r="L676" i="4" s="1"/>
  <c r="B673" i="4"/>
  <c r="C673" i="4"/>
  <c r="B674" i="4"/>
  <c r="C674" i="4"/>
  <c r="B675" i="4"/>
  <c r="C675" i="4"/>
  <c r="B676" i="4"/>
  <c r="C676" i="4"/>
  <c r="B672" i="4"/>
  <c r="C672" i="4"/>
  <c r="M676" i="4" l="1"/>
  <c r="M672" i="4"/>
  <c r="M674" i="4"/>
  <c r="M675" i="4"/>
  <c r="M673" i="4"/>
  <c r="O483" i="4"/>
  <c r="P669" i="4" l="1"/>
  <c r="P670" i="4"/>
  <c r="P671" i="4"/>
  <c r="K669" i="4"/>
  <c r="L669" i="4" s="1"/>
  <c r="K670" i="4"/>
  <c r="M670" i="4" s="1"/>
  <c r="K671" i="4"/>
  <c r="L671" i="4" s="1"/>
  <c r="B641" i="4"/>
  <c r="C641" i="4"/>
  <c r="B642" i="4"/>
  <c r="C642" i="4"/>
  <c r="B643" i="4"/>
  <c r="C643" i="4"/>
  <c r="B644" i="4"/>
  <c r="C644" i="4"/>
  <c r="B645" i="4"/>
  <c r="C645" i="4"/>
  <c r="B646" i="4"/>
  <c r="C646" i="4"/>
  <c r="B647" i="4"/>
  <c r="C647" i="4"/>
  <c r="B648" i="4"/>
  <c r="C648" i="4"/>
  <c r="B649" i="4"/>
  <c r="C649" i="4"/>
  <c r="B650" i="4"/>
  <c r="C650" i="4"/>
  <c r="B651" i="4"/>
  <c r="C651" i="4"/>
  <c r="B652" i="4"/>
  <c r="C652" i="4"/>
  <c r="B653" i="4"/>
  <c r="C653" i="4"/>
  <c r="B654" i="4"/>
  <c r="C654" i="4"/>
  <c r="B655" i="4"/>
  <c r="C655" i="4"/>
  <c r="B656" i="4"/>
  <c r="C656" i="4"/>
  <c r="B657" i="4"/>
  <c r="C657" i="4"/>
  <c r="B658" i="4"/>
  <c r="C658" i="4"/>
  <c r="B659" i="4"/>
  <c r="C659" i="4"/>
  <c r="B660" i="4"/>
  <c r="C660" i="4"/>
  <c r="B661" i="4"/>
  <c r="C661" i="4"/>
  <c r="B662" i="4"/>
  <c r="C662" i="4"/>
  <c r="B663" i="4"/>
  <c r="C663" i="4"/>
  <c r="B664" i="4"/>
  <c r="C664" i="4"/>
  <c r="B665" i="4"/>
  <c r="C665" i="4"/>
  <c r="B666" i="4"/>
  <c r="C666" i="4"/>
  <c r="B667" i="4"/>
  <c r="C667" i="4"/>
  <c r="B668" i="4"/>
  <c r="C668" i="4"/>
  <c r="B669" i="4"/>
  <c r="C669" i="4"/>
  <c r="B670" i="4"/>
  <c r="C670" i="4"/>
  <c r="B671" i="4"/>
  <c r="C671" i="4"/>
  <c r="M671" i="4" l="1"/>
  <c r="L670" i="4"/>
  <c r="M669" i="4"/>
  <c r="P652" i="4" l="1"/>
  <c r="P653" i="4"/>
  <c r="P654" i="4"/>
  <c r="P655" i="4"/>
  <c r="P656" i="4"/>
  <c r="P657" i="4"/>
  <c r="P658" i="4"/>
  <c r="P659" i="4"/>
  <c r="P660" i="4"/>
  <c r="P661" i="4"/>
  <c r="P662" i="4"/>
  <c r="P663" i="4"/>
  <c r="P664" i="4"/>
  <c r="P665" i="4"/>
  <c r="P666" i="4"/>
  <c r="P667" i="4"/>
  <c r="P668" i="4"/>
  <c r="K650" i="4"/>
  <c r="K651" i="4"/>
  <c r="K652" i="4"/>
  <c r="M652" i="4" s="1"/>
  <c r="K653" i="4"/>
  <c r="L653" i="4" s="1"/>
  <c r="K654" i="4"/>
  <c r="M654" i="4" s="1"/>
  <c r="K655" i="4"/>
  <c r="L655" i="4" s="1"/>
  <c r="K656" i="4"/>
  <c r="L656" i="4" s="1"/>
  <c r="K657" i="4"/>
  <c r="L657" i="4" s="1"/>
  <c r="K658" i="4"/>
  <c r="L658" i="4" s="1"/>
  <c r="K659" i="4"/>
  <c r="L659" i="4" s="1"/>
  <c r="K660" i="4"/>
  <c r="L660" i="4" s="1"/>
  <c r="K661" i="4"/>
  <c r="L661" i="4" s="1"/>
  <c r="K662" i="4"/>
  <c r="L662" i="4" s="1"/>
  <c r="K663" i="4"/>
  <c r="L663" i="4" s="1"/>
  <c r="K664" i="4"/>
  <c r="L664" i="4" s="1"/>
  <c r="K665" i="4"/>
  <c r="L665" i="4" s="1"/>
  <c r="K666" i="4"/>
  <c r="M666" i="4" s="1"/>
  <c r="K667" i="4"/>
  <c r="L667" i="4" s="1"/>
  <c r="K668" i="4"/>
  <c r="M668" i="4" s="1"/>
  <c r="O480" i="4"/>
  <c r="O479" i="4"/>
  <c r="O478" i="4"/>
  <c r="O477" i="4"/>
  <c r="O476" i="4"/>
  <c r="O475" i="4"/>
  <c r="O474" i="4"/>
  <c r="O471" i="4"/>
  <c r="O470" i="4"/>
  <c r="O469" i="4"/>
  <c r="O458" i="4"/>
  <c r="O463" i="4"/>
  <c r="O462" i="4"/>
  <c r="O461" i="4"/>
  <c r="O460" i="4"/>
  <c r="O459" i="4"/>
  <c r="O651" i="4"/>
  <c r="O650" i="4"/>
  <c r="O649" i="4"/>
  <c r="O648" i="4"/>
  <c r="O643" i="4"/>
  <c r="O642" i="4"/>
  <c r="O573" i="4"/>
  <c r="O572" i="4"/>
  <c r="O571" i="4"/>
  <c r="O608" i="4"/>
  <c r="O603" i="4"/>
  <c r="O599" i="4"/>
  <c r="O598" i="4"/>
  <c r="O597" i="4"/>
  <c r="O596" i="4"/>
  <c r="O595" i="4"/>
  <c r="O594" i="4"/>
  <c r="O593" i="4"/>
  <c r="O592" i="4"/>
  <c r="O621" i="4"/>
  <c r="O490" i="4"/>
  <c r="O489" i="4"/>
  <c r="O464" i="4"/>
  <c r="O607" i="4"/>
  <c r="O606" i="4"/>
  <c r="O605" i="4"/>
  <c r="O604" i="4"/>
  <c r="M660" i="4" l="1"/>
  <c r="M656" i="4"/>
  <c r="L652" i="4"/>
  <c r="M658" i="4"/>
  <c r="M665" i="4"/>
  <c r="M662" i="4"/>
  <c r="L668" i="4"/>
  <c r="M667" i="4"/>
  <c r="L666" i="4"/>
  <c r="M664" i="4"/>
  <c r="L654" i="4"/>
  <c r="M663" i="4"/>
  <c r="M661" i="4"/>
  <c r="M659" i="4"/>
  <c r="M657" i="4"/>
  <c r="M655" i="4"/>
  <c r="M653" i="4"/>
  <c r="P648" i="4"/>
  <c r="P649" i="4"/>
  <c r="P650" i="4"/>
  <c r="P651" i="4"/>
  <c r="K648" i="4"/>
  <c r="L648" i="4" s="1"/>
  <c r="K649" i="4"/>
  <c r="L649" i="4" s="1"/>
  <c r="L650" i="4"/>
  <c r="L651" i="4"/>
  <c r="P637" i="4"/>
  <c r="P638" i="4"/>
  <c r="P639" i="4"/>
  <c r="P640" i="4"/>
  <c r="P641" i="4"/>
  <c r="P642" i="4"/>
  <c r="P643" i="4"/>
  <c r="P644" i="4"/>
  <c r="P645" i="4"/>
  <c r="P646" i="4"/>
  <c r="P647" i="4"/>
  <c r="K637" i="4"/>
  <c r="L637" i="4" s="1"/>
  <c r="K638" i="4"/>
  <c r="L638" i="4" s="1"/>
  <c r="K639" i="4"/>
  <c r="M639" i="4" s="1"/>
  <c r="K640" i="4"/>
  <c r="L640" i="4" s="1"/>
  <c r="K641" i="4"/>
  <c r="L641" i="4" s="1"/>
  <c r="K642" i="4"/>
  <c r="L642" i="4" s="1"/>
  <c r="K643" i="4"/>
  <c r="M643" i="4" s="1"/>
  <c r="K644" i="4"/>
  <c r="L644" i="4" s="1"/>
  <c r="K645" i="4"/>
  <c r="L645" i="4" s="1"/>
  <c r="K646" i="4"/>
  <c r="L646" i="4" s="1"/>
  <c r="K647" i="4"/>
  <c r="M647" i="4" s="1"/>
  <c r="B637" i="4"/>
  <c r="C637" i="4"/>
  <c r="B638" i="4"/>
  <c r="C638" i="4"/>
  <c r="B639" i="4"/>
  <c r="C639" i="4"/>
  <c r="B640" i="4"/>
  <c r="C640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K632" i="4"/>
  <c r="L632" i="4" s="1"/>
  <c r="K633" i="4"/>
  <c r="L633" i="4" s="1"/>
  <c r="K634" i="4"/>
  <c r="M634" i="4" s="1"/>
  <c r="K635" i="4"/>
  <c r="L635" i="4" s="1"/>
  <c r="K636" i="4"/>
  <c r="M636" i="4" s="1"/>
  <c r="K625" i="4"/>
  <c r="M625" i="4" s="1"/>
  <c r="K626" i="4"/>
  <c r="M626" i="4" s="1"/>
  <c r="K627" i="4"/>
  <c r="L627" i="4" s="1"/>
  <c r="K628" i="4"/>
  <c r="L628" i="4" s="1"/>
  <c r="K629" i="4"/>
  <c r="M629" i="4" s="1"/>
  <c r="K630" i="4"/>
  <c r="L630" i="4" s="1"/>
  <c r="K631" i="4"/>
  <c r="L631" i="4" s="1"/>
  <c r="M645" i="4" l="1"/>
  <c r="M640" i="4"/>
  <c r="L629" i="4"/>
  <c r="L625" i="4"/>
  <c r="L634" i="4"/>
  <c r="M650" i="4"/>
  <c r="M630" i="4"/>
  <c r="M648" i="4"/>
  <c r="M651" i="4"/>
  <c r="M649" i="4"/>
  <c r="M644" i="4"/>
  <c r="L647" i="4"/>
  <c r="M641" i="4"/>
  <c r="L639" i="4"/>
  <c r="L643" i="4"/>
  <c r="M637" i="4"/>
  <c r="M646" i="4"/>
  <c r="M638" i="4"/>
  <c r="M642" i="4"/>
  <c r="L626" i="4"/>
  <c r="L636" i="4"/>
  <c r="M633" i="4"/>
  <c r="M635" i="4"/>
  <c r="M632" i="4"/>
  <c r="M631" i="4"/>
  <c r="M627" i="4"/>
  <c r="M628" i="4"/>
  <c r="B625" i="4" l="1"/>
  <c r="C625" i="4"/>
  <c r="B626" i="4"/>
  <c r="C626" i="4"/>
  <c r="B627" i="4"/>
  <c r="C627" i="4"/>
  <c r="B628" i="4"/>
  <c r="C628" i="4"/>
  <c r="B629" i="4"/>
  <c r="C629" i="4"/>
  <c r="B630" i="4"/>
  <c r="C630" i="4"/>
  <c r="B631" i="4"/>
  <c r="C631" i="4"/>
  <c r="B632" i="4"/>
  <c r="C632" i="4"/>
  <c r="B633" i="4"/>
  <c r="C633" i="4"/>
  <c r="B634" i="4"/>
  <c r="C634" i="4"/>
  <c r="B635" i="4"/>
  <c r="C635" i="4"/>
  <c r="B636" i="4"/>
  <c r="C636" i="4"/>
  <c r="P622" i="4"/>
  <c r="P623" i="4"/>
  <c r="P624" i="4"/>
  <c r="K623" i="4"/>
  <c r="L623" i="4" s="1"/>
  <c r="K624" i="4"/>
  <c r="L624" i="4" s="1"/>
  <c r="K622" i="4"/>
  <c r="L622" i="4" s="1"/>
  <c r="P621" i="4"/>
  <c r="K621" i="4"/>
  <c r="L621" i="4" s="1"/>
  <c r="P610" i="4"/>
  <c r="P611" i="4"/>
  <c r="P612" i="4"/>
  <c r="P613" i="4"/>
  <c r="P614" i="4"/>
  <c r="P615" i="4"/>
  <c r="P616" i="4"/>
  <c r="P617" i="4"/>
  <c r="P618" i="4"/>
  <c r="P619" i="4"/>
  <c r="P620" i="4"/>
  <c r="K610" i="4"/>
  <c r="L610" i="4" s="1"/>
  <c r="K611" i="4"/>
  <c r="L611" i="4" s="1"/>
  <c r="K612" i="4"/>
  <c r="M612" i="4" s="1"/>
  <c r="K613" i="4"/>
  <c r="L613" i="4" s="1"/>
  <c r="K614" i="4"/>
  <c r="L614" i="4" s="1"/>
  <c r="K615" i="4"/>
  <c r="L615" i="4" s="1"/>
  <c r="K616" i="4"/>
  <c r="M616" i="4" s="1"/>
  <c r="K617" i="4"/>
  <c r="L617" i="4" s="1"/>
  <c r="K618" i="4"/>
  <c r="L618" i="4" s="1"/>
  <c r="K619" i="4"/>
  <c r="L619" i="4" s="1"/>
  <c r="K620" i="4"/>
  <c r="M620" i="4" s="1"/>
  <c r="B615" i="4"/>
  <c r="C615" i="4"/>
  <c r="B616" i="4"/>
  <c r="C616" i="4"/>
  <c r="B617" i="4"/>
  <c r="C617" i="4"/>
  <c r="B618" i="4"/>
  <c r="C618" i="4"/>
  <c r="B619" i="4"/>
  <c r="C619" i="4"/>
  <c r="B620" i="4"/>
  <c r="C620" i="4"/>
  <c r="B621" i="4"/>
  <c r="C621" i="4"/>
  <c r="B622" i="4"/>
  <c r="C622" i="4"/>
  <c r="B623" i="4"/>
  <c r="C623" i="4"/>
  <c r="B624" i="4"/>
  <c r="C624" i="4"/>
  <c r="M613" i="4" l="1"/>
  <c r="M621" i="4"/>
  <c r="M623" i="4"/>
  <c r="M624" i="4"/>
  <c r="M622" i="4"/>
  <c r="L620" i="4"/>
  <c r="L616" i="4"/>
  <c r="M618" i="4"/>
  <c r="M617" i="4"/>
  <c r="L612" i="4"/>
  <c r="M614" i="4"/>
  <c r="M610" i="4"/>
  <c r="M619" i="4"/>
  <c r="M611" i="4"/>
  <c r="M615" i="4"/>
  <c r="P609" i="4" l="1"/>
  <c r="P608" i="4"/>
  <c r="K609" i="4"/>
  <c r="L609" i="4" s="1"/>
  <c r="K608" i="4"/>
  <c r="M608" i="4" s="1"/>
  <c r="B608" i="4"/>
  <c r="C608" i="4"/>
  <c r="B609" i="4"/>
  <c r="C609" i="4"/>
  <c r="B610" i="4"/>
  <c r="C610" i="4"/>
  <c r="B611" i="4"/>
  <c r="C611" i="4"/>
  <c r="B612" i="4"/>
  <c r="C612" i="4"/>
  <c r="B613" i="4"/>
  <c r="C613" i="4"/>
  <c r="B614" i="4"/>
  <c r="C614" i="4"/>
  <c r="L608" i="4" l="1"/>
  <c r="M609" i="4"/>
  <c r="P604" i="4"/>
  <c r="P605" i="4"/>
  <c r="P606" i="4"/>
  <c r="P607" i="4"/>
  <c r="K604" i="4"/>
  <c r="L604" i="4" s="1"/>
  <c r="K605" i="4"/>
  <c r="L605" i="4" s="1"/>
  <c r="K606" i="4"/>
  <c r="L606" i="4" s="1"/>
  <c r="K607" i="4"/>
  <c r="L607" i="4" s="1"/>
  <c r="P603" i="4"/>
  <c r="K603" i="4"/>
  <c r="L603" i="4" s="1"/>
  <c r="E262" i="7"/>
  <c r="E411" i="7" s="1"/>
  <c r="P592" i="4"/>
  <c r="P593" i="4"/>
  <c r="P594" i="4"/>
  <c r="P595" i="4"/>
  <c r="P596" i="4"/>
  <c r="P597" i="4"/>
  <c r="P598" i="4"/>
  <c r="P599" i="4"/>
  <c r="P600" i="4"/>
  <c r="P601" i="4"/>
  <c r="P602" i="4"/>
  <c r="B588" i="4"/>
  <c r="C588" i="4"/>
  <c r="B589" i="4"/>
  <c r="C589" i="4"/>
  <c r="B590" i="4"/>
  <c r="C590" i="4"/>
  <c r="B591" i="4"/>
  <c r="C591" i="4"/>
  <c r="B592" i="4"/>
  <c r="C592" i="4"/>
  <c r="B593" i="4"/>
  <c r="C593" i="4"/>
  <c r="B594" i="4"/>
  <c r="C594" i="4"/>
  <c r="B595" i="4"/>
  <c r="C595" i="4"/>
  <c r="B596" i="4"/>
  <c r="C596" i="4"/>
  <c r="B597" i="4"/>
  <c r="C597" i="4"/>
  <c r="B598" i="4"/>
  <c r="C598" i="4"/>
  <c r="B599" i="4"/>
  <c r="C599" i="4"/>
  <c r="B600" i="4"/>
  <c r="C600" i="4"/>
  <c r="B601" i="4"/>
  <c r="C601" i="4"/>
  <c r="B602" i="4"/>
  <c r="C602" i="4"/>
  <c r="B603" i="4"/>
  <c r="C603" i="4"/>
  <c r="B604" i="4"/>
  <c r="C604" i="4"/>
  <c r="B605" i="4"/>
  <c r="C605" i="4"/>
  <c r="B606" i="4"/>
  <c r="C606" i="4"/>
  <c r="B607" i="4"/>
  <c r="C607" i="4"/>
  <c r="K592" i="4"/>
  <c r="L592" i="4" s="1"/>
  <c r="K593" i="4"/>
  <c r="L593" i="4" s="1"/>
  <c r="K594" i="4"/>
  <c r="L594" i="4" s="1"/>
  <c r="K595" i="4"/>
  <c r="M595" i="4" s="1"/>
  <c r="K596" i="4"/>
  <c r="L596" i="4" s="1"/>
  <c r="K597" i="4"/>
  <c r="M597" i="4" s="1"/>
  <c r="K598" i="4"/>
  <c r="L598" i="4" s="1"/>
  <c r="K599" i="4"/>
  <c r="L599" i="4" s="1"/>
  <c r="K600" i="4"/>
  <c r="L600" i="4" s="1"/>
  <c r="K601" i="4"/>
  <c r="M601" i="4" s="1"/>
  <c r="K602" i="4"/>
  <c r="L602" i="4" s="1"/>
  <c r="M603" i="4" l="1"/>
  <c r="M606" i="4"/>
  <c r="M598" i="4"/>
  <c r="L597" i="4"/>
  <c r="M602" i="4"/>
  <c r="M594" i="4"/>
  <c r="M605" i="4"/>
  <c r="M604" i="4"/>
  <c r="M607" i="4"/>
  <c r="L595" i="4"/>
  <c r="M599" i="4"/>
  <c r="L601" i="4"/>
  <c r="M596" i="4"/>
  <c r="M592" i="4"/>
  <c r="M600" i="4"/>
  <c r="M593" i="4"/>
  <c r="P589" i="4" l="1"/>
  <c r="P590" i="4"/>
  <c r="P591" i="4"/>
  <c r="K591" i="4"/>
  <c r="M591" i="4" s="1"/>
  <c r="K590" i="4"/>
  <c r="M590" i="4" s="1"/>
  <c r="K589" i="4"/>
  <c r="L589" i="4" s="1"/>
  <c r="L591" i="4" l="1"/>
  <c r="L590" i="4"/>
  <c r="M589" i="4"/>
  <c r="P588" i="4" l="1"/>
  <c r="K588" i="4"/>
  <c r="L588" i="4" s="1"/>
  <c r="M588" i="4" l="1"/>
  <c r="O416" i="4" l="1"/>
  <c r="O415" i="4"/>
  <c r="O407" i="4"/>
  <c r="O406" i="4"/>
  <c r="O405" i="4"/>
  <c r="O404" i="4"/>
  <c r="O457" i="4" l="1"/>
  <c r="O508" i="4"/>
  <c r="O511" i="4"/>
  <c r="O510" i="4"/>
  <c r="O509" i="4"/>
  <c r="O580" i="4"/>
  <c r="O579" i="4"/>
  <c r="O578" i="4"/>
  <c r="O577" i="4"/>
  <c r="O576" i="4"/>
  <c r="O575" i="4"/>
  <c r="O557" i="4"/>
  <c r="O556" i="4"/>
  <c r="O555" i="4"/>
  <c r="O554" i="4"/>
  <c r="P587" i="4"/>
  <c r="P586" i="4"/>
  <c r="K586" i="4"/>
  <c r="L586" i="4" s="1"/>
  <c r="K587" i="4"/>
  <c r="L587" i="4" s="1"/>
  <c r="B587" i="4"/>
  <c r="C587" i="4"/>
  <c r="B586" i="4"/>
  <c r="C586" i="4"/>
  <c r="P581" i="4"/>
  <c r="P582" i="4"/>
  <c r="P583" i="4"/>
  <c r="P584" i="4"/>
  <c r="P585" i="4"/>
  <c r="K585" i="4"/>
  <c r="M585" i="4" s="1"/>
  <c r="K584" i="4"/>
  <c r="M584" i="4" s="1"/>
  <c r="K583" i="4"/>
  <c r="M583" i="4" s="1"/>
  <c r="K582" i="4"/>
  <c r="L582" i="4" s="1"/>
  <c r="K581" i="4"/>
  <c r="L581" i="4" s="1"/>
  <c r="L585" i="4" l="1"/>
  <c r="M586" i="4"/>
  <c r="M587" i="4"/>
  <c r="L584" i="4"/>
  <c r="L583" i="4"/>
  <c r="M582" i="4"/>
  <c r="M581" i="4"/>
  <c r="B582" i="4" l="1"/>
  <c r="C582" i="4"/>
  <c r="B583" i="4"/>
  <c r="C583" i="4"/>
  <c r="B584" i="4"/>
  <c r="C584" i="4"/>
  <c r="B585" i="4"/>
  <c r="C585" i="4"/>
  <c r="B581" i="4"/>
  <c r="C581" i="4"/>
  <c r="P578" i="4"/>
  <c r="P576" i="4"/>
  <c r="K575" i="4"/>
  <c r="M575" i="4" s="1"/>
  <c r="K576" i="4"/>
  <c r="L576" i="4" s="1"/>
  <c r="K577" i="4"/>
  <c r="L577" i="4" s="1"/>
  <c r="K578" i="4"/>
  <c r="L578" i="4" s="1"/>
  <c r="K579" i="4"/>
  <c r="M579" i="4" s="1"/>
  <c r="K580" i="4"/>
  <c r="M580" i="4" s="1"/>
  <c r="P574" i="4"/>
  <c r="P575" i="4"/>
  <c r="P577" i="4"/>
  <c r="P579" i="4"/>
  <c r="P580" i="4"/>
  <c r="K574" i="4"/>
  <c r="L574" i="4" s="1"/>
  <c r="B580" i="4"/>
  <c r="C580" i="4"/>
  <c r="B573" i="4"/>
  <c r="C573" i="4"/>
  <c r="B574" i="4"/>
  <c r="C574" i="4"/>
  <c r="B575" i="4"/>
  <c r="C575" i="4"/>
  <c r="B576" i="4"/>
  <c r="C576" i="4"/>
  <c r="B577" i="4"/>
  <c r="C577" i="4"/>
  <c r="B578" i="4"/>
  <c r="C578" i="4"/>
  <c r="B579" i="4"/>
  <c r="C579" i="4"/>
  <c r="P571" i="4"/>
  <c r="P572" i="4"/>
  <c r="P573" i="4"/>
  <c r="K573" i="4"/>
  <c r="L573" i="4" s="1"/>
  <c r="K572" i="4"/>
  <c r="M572" i="4" s="1"/>
  <c r="K571" i="4"/>
  <c r="L571" i="4" s="1"/>
  <c r="B572" i="4"/>
  <c r="C572" i="4"/>
  <c r="B571" i="4"/>
  <c r="C571" i="4"/>
  <c r="P565" i="4"/>
  <c r="P566" i="4"/>
  <c r="P567" i="4"/>
  <c r="P568" i="4"/>
  <c r="P569" i="4"/>
  <c r="P570" i="4"/>
  <c r="K570" i="4"/>
  <c r="L570" i="4" s="1"/>
  <c r="K569" i="4"/>
  <c r="M569" i="4" s="1"/>
  <c r="K568" i="4"/>
  <c r="L568" i="4" s="1"/>
  <c r="K567" i="4"/>
  <c r="M567" i="4" s="1"/>
  <c r="K566" i="4"/>
  <c r="L566" i="4" s="1"/>
  <c r="K565" i="4"/>
  <c r="M565" i="4" s="1"/>
  <c r="B566" i="4"/>
  <c r="C566" i="4"/>
  <c r="B567" i="4"/>
  <c r="C567" i="4"/>
  <c r="B568" i="4"/>
  <c r="C568" i="4"/>
  <c r="B569" i="4"/>
  <c r="C569" i="4"/>
  <c r="B570" i="4"/>
  <c r="C570" i="4"/>
  <c r="B565" i="4"/>
  <c r="C565" i="4"/>
  <c r="L580" i="4" l="1"/>
  <c r="M576" i="4"/>
  <c r="L579" i="4"/>
  <c r="M577" i="4"/>
  <c r="L575" i="4"/>
  <c r="M578" i="4"/>
  <c r="M574" i="4"/>
  <c r="M573" i="4"/>
  <c r="L572" i="4"/>
  <c r="M571" i="4"/>
  <c r="L565" i="4"/>
  <c r="M568" i="4"/>
  <c r="L567" i="4"/>
  <c r="L569" i="4"/>
  <c r="M566" i="4"/>
  <c r="M570" i="4"/>
  <c r="P564" i="4" l="1"/>
  <c r="P563" i="4"/>
  <c r="P562" i="4"/>
  <c r="P561" i="4"/>
  <c r="P560" i="4"/>
  <c r="K560" i="4"/>
  <c r="L560" i="4" s="1"/>
  <c r="K561" i="4"/>
  <c r="L561" i="4" s="1"/>
  <c r="K562" i="4"/>
  <c r="L562" i="4" s="1"/>
  <c r="K563" i="4"/>
  <c r="M563" i="4" s="1"/>
  <c r="K564" i="4"/>
  <c r="L564" i="4" s="1"/>
  <c r="B561" i="4"/>
  <c r="C561" i="4"/>
  <c r="B562" i="4"/>
  <c r="C562" i="4"/>
  <c r="B563" i="4"/>
  <c r="C563" i="4"/>
  <c r="B564" i="4"/>
  <c r="C564" i="4"/>
  <c r="B560" i="4"/>
  <c r="C560" i="4"/>
  <c r="P559" i="4"/>
  <c r="P558" i="4"/>
  <c r="K558" i="4"/>
  <c r="L558" i="4" s="1"/>
  <c r="K559" i="4"/>
  <c r="L559" i="4" s="1"/>
  <c r="P554" i="4"/>
  <c r="P555" i="4"/>
  <c r="P556" i="4"/>
  <c r="P557" i="4"/>
  <c r="K557" i="4"/>
  <c r="L557" i="4" s="1"/>
  <c r="K556" i="4"/>
  <c r="L556" i="4" s="1"/>
  <c r="K555" i="4"/>
  <c r="L555" i="4" s="1"/>
  <c r="K554" i="4"/>
  <c r="L554" i="4" s="1"/>
  <c r="L563" i="4" l="1"/>
  <c r="M558" i="4"/>
  <c r="M562" i="4"/>
  <c r="M560" i="4"/>
  <c r="M564" i="4"/>
  <c r="M561" i="4"/>
  <c r="M559" i="4"/>
  <c r="M557" i="4"/>
  <c r="M556" i="4"/>
  <c r="M555" i="4"/>
  <c r="M554" i="4"/>
  <c r="B558" i="4"/>
  <c r="C558" i="4"/>
  <c r="B559" i="4"/>
  <c r="C559" i="4"/>
  <c r="B553" i="4"/>
  <c r="C553" i="4"/>
  <c r="B554" i="4"/>
  <c r="C554" i="4"/>
  <c r="B555" i="4"/>
  <c r="C555" i="4"/>
  <c r="B556" i="4"/>
  <c r="C556" i="4"/>
  <c r="B557" i="4"/>
  <c r="C557" i="4"/>
  <c r="E237" i="7" l="1"/>
  <c r="E225" i="7"/>
  <c r="E205" i="7"/>
  <c r="E192" i="7"/>
  <c r="E177" i="7"/>
  <c r="O348" i="4"/>
  <c r="O543" i="4"/>
  <c r="O542" i="4"/>
  <c r="O541" i="4"/>
  <c r="O440" i="4"/>
  <c r="O441" i="4"/>
  <c r="O381" i="4"/>
  <c r="O320" i="4"/>
  <c r="O315" i="4"/>
  <c r="O316" i="4"/>
  <c r="O317" i="4"/>
  <c r="O318" i="4"/>
  <c r="O298" i="4"/>
  <c r="O299" i="4"/>
  <c r="O519" i="4"/>
  <c r="O424" i="4"/>
  <c r="O423" i="4"/>
  <c r="O422" i="4"/>
  <c r="O421" i="4"/>
  <c r="O420" i="4"/>
  <c r="O419" i="4"/>
  <c r="O414" i="4"/>
  <c r="O413" i="4"/>
  <c r="O412" i="4"/>
  <c r="O411" i="4"/>
  <c r="O417" i="4"/>
  <c r="O418" i="4"/>
  <c r="O410" i="4"/>
  <c r="O386" i="4"/>
  <c r="O387" i="4"/>
  <c r="O388" i="4"/>
  <c r="O389" i="4"/>
  <c r="O383" i="4"/>
  <c r="O384" i="4"/>
  <c r="O385" i="4"/>
  <c r="O328" i="4"/>
  <c r="O329" i="4"/>
  <c r="O330" i="4"/>
  <c r="O327" i="4"/>
  <c r="E238" i="7" l="1"/>
  <c r="E206" i="7"/>
  <c r="O502" i="4"/>
  <c r="O501" i="4"/>
  <c r="O500" i="4" l="1"/>
  <c r="O499" i="4"/>
  <c r="O494" i="4"/>
  <c r="O493" i="4"/>
  <c r="O492" i="4"/>
  <c r="O491" i="4"/>
  <c r="K540" i="4"/>
  <c r="L540" i="4" s="1"/>
  <c r="K541" i="4"/>
  <c r="M541" i="4" s="1"/>
  <c r="K542" i="4"/>
  <c r="L542" i="4" s="1"/>
  <c r="K543" i="4"/>
  <c r="M543" i="4" s="1"/>
  <c r="K544" i="4"/>
  <c r="L544" i="4" s="1"/>
  <c r="K545" i="4"/>
  <c r="M545" i="4" s="1"/>
  <c r="K546" i="4"/>
  <c r="L546" i="4" s="1"/>
  <c r="K547" i="4"/>
  <c r="L547" i="4" s="1"/>
  <c r="L545" i="4" l="1"/>
  <c r="M546" i="4"/>
  <c r="L541" i="4"/>
  <c r="L543" i="4"/>
  <c r="M542" i="4"/>
  <c r="M547" i="4"/>
  <c r="M544" i="4"/>
  <c r="M540" i="4"/>
  <c r="K548" i="4"/>
  <c r="L548" i="4" s="1"/>
  <c r="K549" i="4"/>
  <c r="L549" i="4" s="1"/>
  <c r="K550" i="4"/>
  <c r="K551" i="4"/>
  <c r="K552" i="4"/>
  <c r="K553" i="4"/>
  <c r="L553" i="4" s="1"/>
  <c r="K525" i="4"/>
  <c r="L525" i="4" s="1"/>
  <c r="K526" i="4"/>
  <c r="L526" i="4" s="1"/>
  <c r="K527" i="4"/>
  <c r="M527" i="4" s="1"/>
  <c r="K528" i="4"/>
  <c r="M528" i="4" s="1"/>
  <c r="K529" i="4"/>
  <c r="L529" i="4" s="1"/>
  <c r="K530" i="4"/>
  <c r="L530" i="4" s="1"/>
  <c r="K531" i="4"/>
  <c r="M531" i="4" s="1"/>
  <c r="K532" i="4"/>
  <c r="L532" i="4" s="1"/>
  <c r="K533" i="4"/>
  <c r="M533" i="4" s="1"/>
  <c r="K534" i="4"/>
  <c r="L534" i="4" s="1"/>
  <c r="K535" i="4"/>
  <c r="M535" i="4" s="1"/>
  <c r="K536" i="4"/>
  <c r="M536" i="4" s="1"/>
  <c r="K537" i="4"/>
  <c r="L537" i="4" s="1"/>
  <c r="K538" i="4"/>
  <c r="L538" i="4" s="1"/>
  <c r="K539" i="4"/>
  <c r="M539" i="4" s="1"/>
  <c r="K520" i="4"/>
  <c r="L520" i="4" s="1"/>
  <c r="K521" i="4"/>
  <c r="L521" i="4" s="1"/>
  <c r="K522" i="4"/>
  <c r="M522" i="4" s="1"/>
  <c r="K523" i="4"/>
  <c r="L523" i="4" s="1"/>
  <c r="K524" i="4"/>
  <c r="L524" i="4" s="1"/>
  <c r="K517" i="4"/>
  <c r="M517" i="4" s="1"/>
  <c r="K518" i="4"/>
  <c r="M518" i="4" s="1"/>
  <c r="K519" i="4"/>
  <c r="M519" i="4" s="1"/>
  <c r="P517" i="4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16" i="4"/>
  <c r="P515" i="4"/>
  <c r="P514" i="4"/>
  <c r="P513" i="4"/>
  <c r="P512" i="4"/>
  <c r="K512" i="4"/>
  <c r="M512" i="4" s="1"/>
  <c r="K513" i="4"/>
  <c r="L513" i="4" s="1"/>
  <c r="K514" i="4"/>
  <c r="L514" i="4" s="1"/>
  <c r="K515" i="4"/>
  <c r="L515" i="4" s="1"/>
  <c r="K516" i="4"/>
  <c r="M516" i="4" s="1"/>
  <c r="L528" i="4" l="1"/>
  <c r="M525" i="4"/>
  <c r="M551" i="4"/>
  <c r="L551" i="4"/>
  <c r="M550" i="4"/>
  <c r="L550" i="4"/>
  <c r="M552" i="4"/>
  <c r="L552" i="4"/>
  <c r="L522" i="4"/>
  <c r="L519" i="4"/>
  <c r="M524" i="4"/>
  <c r="L518" i="4"/>
  <c r="M513" i="4"/>
  <c r="M529" i="4"/>
  <c r="L512" i="4"/>
  <c r="M520" i="4"/>
  <c r="L533" i="4"/>
  <c r="M514" i="4"/>
  <c r="L517" i="4"/>
  <c r="M523" i="4"/>
  <c r="L527" i="4"/>
  <c r="M548" i="4"/>
  <c r="L516" i="4"/>
  <c r="M549" i="4"/>
  <c r="M553" i="4"/>
  <c r="L536" i="4"/>
  <c r="M537" i="4"/>
  <c r="L539" i="4"/>
  <c r="L535" i="4"/>
  <c r="L531" i="4"/>
  <c r="M532" i="4"/>
  <c r="M538" i="4"/>
  <c r="M530" i="4"/>
  <c r="M526" i="4"/>
  <c r="M534" i="4"/>
  <c r="M521" i="4"/>
  <c r="M515" i="4"/>
  <c r="P511" i="4" l="1"/>
  <c r="P510" i="4"/>
  <c r="P509" i="4"/>
  <c r="P508" i="4"/>
  <c r="K508" i="4"/>
  <c r="L508" i="4" s="1"/>
  <c r="K509" i="4"/>
  <c r="L509" i="4" s="1"/>
  <c r="K510" i="4"/>
  <c r="M510" i="4" s="1"/>
  <c r="K511" i="4"/>
  <c r="M511" i="4" s="1"/>
  <c r="P507" i="4"/>
  <c r="P506" i="4"/>
  <c r="P505" i="4"/>
  <c r="P504" i="4"/>
  <c r="P503" i="4"/>
  <c r="K503" i="4"/>
  <c r="M503" i="4" s="1"/>
  <c r="K504" i="4"/>
  <c r="L504" i="4" s="1"/>
  <c r="K505" i="4"/>
  <c r="L505" i="4" s="1"/>
  <c r="K506" i="4"/>
  <c r="L506" i="4" s="1"/>
  <c r="K507" i="4"/>
  <c r="M507" i="4" s="1"/>
  <c r="K500" i="4"/>
  <c r="M500" i="4" s="1"/>
  <c r="K501" i="4"/>
  <c r="L501" i="4" s="1"/>
  <c r="K502" i="4"/>
  <c r="L502" i="4" s="1"/>
  <c r="P502" i="4"/>
  <c r="P501" i="4"/>
  <c r="P500" i="4"/>
  <c r="P499" i="4"/>
  <c r="K499" i="4"/>
  <c r="M499" i="4" s="1"/>
  <c r="P498" i="4"/>
  <c r="P497" i="4"/>
  <c r="P496" i="4"/>
  <c r="P495" i="4"/>
  <c r="K495" i="4"/>
  <c r="L495" i="4" s="1"/>
  <c r="K496" i="4"/>
  <c r="L496" i="4" s="1"/>
  <c r="K497" i="4"/>
  <c r="M497" i="4" s="1"/>
  <c r="K498" i="4"/>
  <c r="M498" i="4" s="1"/>
  <c r="B548" i="4"/>
  <c r="C548" i="4"/>
  <c r="B549" i="4"/>
  <c r="C549" i="4"/>
  <c r="B550" i="4"/>
  <c r="C550" i="4"/>
  <c r="B551" i="4"/>
  <c r="C551" i="4"/>
  <c r="B552" i="4"/>
  <c r="C552" i="4"/>
  <c r="B531" i="4"/>
  <c r="C531" i="4"/>
  <c r="B532" i="4"/>
  <c r="C532" i="4"/>
  <c r="B533" i="4"/>
  <c r="C533" i="4"/>
  <c r="B534" i="4"/>
  <c r="C534" i="4"/>
  <c r="B535" i="4"/>
  <c r="C535" i="4"/>
  <c r="B536" i="4"/>
  <c r="C536" i="4"/>
  <c r="B537" i="4"/>
  <c r="C537" i="4"/>
  <c r="B538" i="4"/>
  <c r="C538" i="4"/>
  <c r="B539" i="4"/>
  <c r="C539" i="4"/>
  <c r="B540" i="4"/>
  <c r="C540" i="4"/>
  <c r="B541" i="4"/>
  <c r="C541" i="4"/>
  <c r="B542" i="4"/>
  <c r="C542" i="4"/>
  <c r="B543" i="4"/>
  <c r="C543" i="4"/>
  <c r="B544" i="4"/>
  <c r="C544" i="4"/>
  <c r="B545" i="4"/>
  <c r="C545" i="4"/>
  <c r="B546" i="4"/>
  <c r="C546" i="4"/>
  <c r="B547" i="4"/>
  <c r="C547" i="4"/>
  <c r="B494" i="4"/>
  <c r="C494" i="4"/>
  <c r="B495" i="4"/>
  <c r="C495" i="4"/>
  <c r="B496" i="4"/>
  <c r="C496" i="4"/>
  <c r="B497" i="4"/>
  <c r="C497" i="4"/>
  <c r="B498" i="4"/>
  <c r="C498" i="4"/>
  <c r="B499" i="4"/>
  <c r="C499" i="4"/>
  <c r="B500" i="4"/>
  <c r="C500" i="4"/>
  <c r="B501" i="4"/>
  <c r="C501" i="4"/>
  <c r="B502" i="4"/>
  <c r="C502" i="4"/>
  <c r="B503" i="4"/>
  <c r="C503" i="4"/>
  <c r="B504" i="4"/>
  <c r="C504" i="4"/>
  <c r="B505" i="4"/>
  <c r="C505" i="4"/>
  <c r="B506" i="4"/>
  <c r="C506" i="4"/>
  <c r="B507" i="4"/>
  <c r="C507" i="4"/>
  <c r="B508" i="4"/>
  <c r="C508" i="4"/>
  <c r="B509" i="4"/>
  <c r="C509" i="4"/>
  <c r="B510" i="4"/>
  <c r="C510" i="4"/>
  <c r="B511" i="4"/>
  <c r="C511" i="4"/>
  <c r="B512" i="4"/>
  <c r="C512" i="4"/>
  <c r="B513" i="4"/>
  <c r="C513" i="4"/>
  <c r="B514" i="4"/>
  <c r="C514" i="4"/>
  <c r="B515" i="4"/>
  <c r="C515" i="4"/>
  <c r="B516" i="4"/>
  <c r="C516" i="4"/>
  <c r="B517" i="4"/>
  <c r="C517" i="4"/>
  <c r="B518" i="4"/>
  <c r="C518" i="4"/>
  <c r="B519" i="4"/>
  <c r="C519" i="4"/>
  <c r="B520" i="4"/>
  <c r="C520" i="4"/>
  <c r="B521" i="4"/>
  <c r="C521" i="4"/>
  <c r="B522" i="4"/>
  <c r="C522" i="4"/>
  <c r="B523" i="4"/>
  <c r="C523" i="4"/>
  <c r="B524" i="4"/>
  <c r="C524" i="4"/>
  <c r="B525" i="4"/>
  <c r="C525" i="4"/>
  <c r="B526" i="4"/>
  <c r="C526" i="4"/>
  <c r="B527" i="4"/>
  <c r="C527" i="4"/>
  <c r="B528" i="4"/>
  <c r="C528" i="4"/>
  <c r="B529" i="4"/>
  <c r="C529" i="4"/>
  <c r="B530" i="4"/>
  <c r="C530" i="4"/>
  <c r="L500" i="4" l="1"/>
  <c r="M508" i="4"/>
  <c r="L511" i="4"/>
  <c r="L510" i="4"/>
  <c r="M505" i="4"/>
  <c r="M495" i="4"/>
  <c r="M509" i="4"/>
  <c r="L498" i="4"/>
  <c r="L503" i="4"/>
  <c r="M504" i="4"/>
  <c r="L497" i="4"/>
  <c r="L499" i="4"/>
  <c r="L507" i="4"/>
  <c r="M506" i="4"/>
  <c r="M501" i="4"/>
  <c r="M502" i="4"/>
  <c r="M496" i="4"/>
  <c r="O482" i="4" l="1"/>
  <c r="O481" i="4"/>
  <c r="P494" i="4"/>
  <c r="P493" i="4"/>
  <c r="P492" i="4"/>
  <c r="P491" i="4"/>
  <c r="O409" i="4"/>
  <c r="O408" i="4"/>
  <c r="O403" i="4"/>
  <c r="O402" i="4"/>
  <c r="O397" i="4"/>
  <c r="O396" i="4"/>
  <c r="O435" i="4"/>
  <c r="O434" i="4"/>
  <c r="O433" i="4"/>
  <c r="K494" i="4"/>
  <c r="M494" i="4" s="1"/>
  <c r="K493" i="4"/>
  <c r="M493" i="4" s="1"/>
  <c r="K492" i="4"/>
  <c r="L492" i="4" s="1"/>
  <c r="K491" i="4"/>
  <c r="L491" i="4" s="1"/>
  <c r="L494" i="4" l="1"/>
  <c r="L493" i="4"/>
  <c r="M491" i="4"/>
  <c r="M492" i="4"/>
  <c r="B491" i="4" l="1"/>
  <c r="C491" i="4"/>
  <c r="B493" i="4"/>
  <c r="C493" i="4"/>
  <c r="K483" i="4"/>
  <c r="L483" i="4" s="1"/>
  <c r="K484" i="4"/>
  <c r="L484" i="4" s="1"/>
  <c r="K490" i="4"/>
  <c r="M490" i="4" s="1"/>
  <c r="M483" i="4" l="1"/>
  <c r="L490" i="4"/>
  <c r="M484" i="4"/>
  <c r="P490" i="4" l="1"/>
  <c r="P489" i="4"/>
  <c r="K489" i="4"/>
  <c r="L489" i="4" s="1"/>
  <c r="B489" i="4"/>
  <c r="C489" i="4"/>
  <c r="P488" i="4"/>
  <c r="P487" i="4"/>
  <c r="P486" i="4"/>
  <c r="P485" i="4"/>
  <c r="P484" i="4"/>
  <c r="P483" i="4"/>
  <c r="P482" i="4"/>
  <c r="P481" i="4"/>
  <c r="P480" i="4"/>
  <c r="P479" i="4"/>
  <c r="P478" i="4"/>
  <c r="K478" i="4"/>
  <c r="L478" i="4" s="1"/>
  <c r="K479" i="4"/>
  <c r="L479" i="4" s="1"/>
  <c r="K480" i="4"/>
  <c r="L480" i="4" s="1"/>
  <c r="K481" i="4"/>
  <c r="L481" i="4" s="1"/>
  <c r="K482" i="4"/>
  <c r="L482" i="4" s="1"/>
  <c r="K485" i="4"/>
  <c r="L485" i="4" s="1"/>
  <c r="K486" i="4"/>
  <c r="L486" i="4" s="1"/>
  <c r="K487" i="4"/>
  <c r="M487" i="4" s="1"/>
  <c r="K488" i="4"/>
  <c r="L488" i="4" s="1"/>
  <c r="L487" i="4" l="1"/>
  <c r="M489" i="4"/>
  <c r="M488" i="4"/>
  <c r="M480" i="4"/>
  <c r="M485" i="4"/>
  <c r="M481" i="4"/>
  <c r="M486" i="4"/>
  <c r="M482" i="4"/>
  <c r="M478" i="4"/>
  <c r="M479" i="4"/>
  <c r="B478" i="4" l="1"/>
  <c r="C478" i="4"/>
  <c r="B479" i="4"/>
  <c r="C479" i="4"/>
  <c r="B480" i="4"/>
  <c r="C480" i="4"/>
  <c r="B481" i="4"/>
  <c r="C481" i="4"/>
  <c r="B482" i="4"/>
  <c r="C482" i="4"/>
  <c r="B483" i="4"/>
  <c r="C483" i="4"/>
  <c r="B484" i="4"/>
  <c r="C484" i="4"/>
  <c r="B485" i="4"/>
  <c r="C485" i="4"/>
  <c r="B486" i="4"/>
  <c r="C486" i="4"/>
  <c r="B487" i="4"/>
  <c r="C487" i="4"/>
  <c r="B488" i="4"/>
  <c r="C488" i="4"/>
  <c r="O290" i="4" l="1"/>
  <c r="O289" i="4"/>
  <c r="O288" i="4"/>
  <c r="O456" i="4" l="1"/>
  <c r="O455" i="4"/>
  <c r="O454" i="4"/>
  <c r="O453" i="4"/>
  <c r="O452" i="4"/>
  <c r="O451" i="4"/>
  <c r="O450" i="4"/>
  <c r="O449" i="4"/>
  <c r="O448" i="4"/>
  <c r="O447" i="4"/>
  <c r="O334" i="4" l="1"/>
  <c r="O333" i="4"/>
  <c r="O332" i="4"/>
  <c r="O331" i="4"/>
  <c r="P331" i="4" s="1"/>
  <c r="O310" i="4" l="1"/>
  <c r="O309" i="4"/>
  <c r="O308" i="4"/>
  <c r="O307" i="4"/>
  <c r="O306" i="4"/>
  <c r="O401" i="4"/>
  <c r="O400" i="4"/>
  <c r="O399" i="4"/>
  <c r="O398" i="4" l="1"/>
  <c r="O382" i="4"/>
  <c r="O380" i="4"/>
  <c r="O379" i="4"/>
  <c r="O378" i="4"/>
  <c r="O377" i="4"/>
  <c r="O446" i="4" l="1"/>
  <c r="O445" i="4"/>
  <c r="O444" i="4"/>
  <c r="O443" i="4"/>
  <c r="O442" i="4"/>
  <c r="P477" i="4"/>
  <c r="P476" i="4"/>
  <c r="P475" i="4"/>
  <c r="P474" i="4"/>
  <c r="K477" i="4"/>
  <c r="M477" i="4" s="1"/>
  <c r="P473" i="4"/>
  <c r="P472" i="4"/>
  <c r="K473" i="4"/>
  <c r="M473" i="4" s="1"/>
  <c r="K474" i="4"/>
  <c r="M474" i="4" s="1"/>
  <c r="K475" i="4"/>
  <c r="M475" i="4" s="1"/>
  <c r="K476" i="4"/>
  <c r="M476" i="4" s="1"/>
  <c r="P471" i="4"/>
  <c r="P470" i="4"/>
  <c r="P469" i="4"/>
  <c r="K463" i="4"/>
  <c r="M463" i="4" s="1"/>
  <c r="K464" i="4"/>
  <c r="L464" i="4" s="1"/>
  <c r="K465" i="4"/>
  <c r="M465" i="4" s="1"/>
  <c r="K466" i="4"/>
  <c r="L466" i="4" s="1"/>
  <c r="K467" i="4"/>
  <c r="L467" i="4" s="1"/>
  <c r="K468" i="4"/>
  <c r="L468" i="4" s="1"/>
  <c r="K469" i="4"/>
  <c r="L469" i="4" s="1"/>
  <c r="K470" i="4"/>
  <c r="L470" i="4" s="1"/>
  <c r="K471" i="4"/>
  <c r="M471" i="4" s="1"/>
  <c r="K472" i="4"/>
  <c r="M472" i="4" s="1"/>
  <c r="C473" i="4"/>
  <c r="B473" i="4"/>
  <c r="C471" i="4"/>
  <c r="B471" i="4"/>
  <c r="C470" i="4"/>
  <c r="B470" i="4"/>
  <c r="P468" i="4"/>
  <c r="B429" i="4"/>
  <c r="C429" i="4"/>
  <c r="B430" i="4"/>
  <c r="C430" i="4"/>
  <c r="B431" i="4"/>
  <c r="C431" i="4"/>
  <c r="B432" i="4"/>
  <c r="C432" i="4"/>
  <c r="B433" i="4"/>
  <c r="C433" i="4"/>
  <c r="B434" i="4"/>
  <c r="C434" i="4"/>
  <c r="B435" i="4"/>
  <c r="C435" i="4"/>
  <c r="B436" i="4"/>
  <c r="C436" i="4"/>
  <c r="B437" i="4"/>
  <c r="C437" i="4"/>
  <c r="B438" i="4"/>
  <c r="C438" i="4"/>
  <c r="B439" i="4"/>
  <c r="C439" i="4"/>
  <c r="B440" i="4"/>
  <c r="C440" i="4"/>
  <c r="B441" i="4"/>
  <c r="C441" i="4"/>
  <c r="B442" i="4"/>
  <c r="C442" i="4"/>
  <c r="B443" i="4"/>
  <c r="C443" i="4"/>
  <c r="B444" i="4"/>
  <c r="C444" i="4"/>
  <c r="B445" i="4"/>
  <c r="C445" i="4"/>
  <c r="B446" i="4"/>
  <c r="C446" i="4"/>
  <c r="B447" i="4"/>
  <c r="C447" i="4"/>
  <c r="B448" i="4"/>
  <c r="C448" i="4"/>
  <c r="B449" i="4"/>
  <c r="C449" i="4"/>
  <c r="B450" i="4"/>
  <c r="C450" i="4"/>
  <c r="B451" i="4"/>
  <c r="C451" i="4"/>
  <c r="B452" i="4"/>
  <c r="C452" i="4"/>
  <c r="B453" i="4"/>
  <c r="C453" i="4"/>
  <c r="B454" i="4"/>
  <c r="C454" i="4"/>
  <c r="B455" i="4"/>
  <c r="C455" i="4"/>
  <c r="B456" i="4"/>
  <c r="C456" i="4"/>
  <c r="B457" i="4"/>
  <c r="C457" i="4"/>
  <c r="B458" i="4"/>
  <c r="C458" i="4"/>
  <c r="B459" i="4"/>
  <c r="C459" i="4"/>
  <c r="B460" i="4"/>
  <c r="C460" i="4"/>
  <c r="B461" i="4"/>
  <c r="C461" i="4"/>
  <c r="B462" i="4"/>
  <c r="C462" i="4"/>
  <c r="B463" i="4"/>
  <c r="C463" i="4"/>
  <c r="B464" i="4"/>
  <c r="C464" i="4"/>
  <c r="B465" i="4"/>
  <c r="C465" i="4"/>
  <c r="B466" i="4"/>
  <c r="C466" i="4"/>
  <c r="B467" i="4"/>
  <c r="C467" i="4"/>
  <c r="B468" i="4"/>
  <c r="C468" i="4"/>
  <c r="B469" i="4"/>
  <c r="C469" i="4"/>
  <c r="B472" i="4"/>
  <c r="C472" i="4"/>
  <c r="B474" i="4"/>
  <c r="C474" i="4"/>
  <c r="B475" i="4"/>
  <c r="C475" i="4"/>
  <c r="B476" i="4"/>
  <c r="C476" i="4"/>
  <c r="B477" i="4"/>
  <c r="C477" i="4"/>
  <c r="P467" i="4"/>
  <c r="P466" i="4"/>
  <c r="P465" i="4"/>
  <c r="P464" i="4"/>
  <c r="P463" i="4"/>
  <c r="P462" i="4"/>
  <c r="P461" i="4"/>
  <c r="P460" i="4"/>
  <c r="P459" i="4"/>
  <c r="P458" i="4"/>
  <c r="P457" i="4"/>
  <c r="K457" i="4"/>
  <c r="L457" i="4" s="1"/>
  <c r="K458" i="4"/>
  <c r="M458" i="4" s="1"/>
  <c r="K459" i="4"/>
  <c r="M459" i="4" s="1"/>
  <c r="K460" i="4"/>
  <c r="M460" i="4" s="1"/>
  <c r="K461" i="4"/>
  <c r="L461" i="4" s="1"/>
  <c r="K462" i="4"/>
  <c r="M462" i="4" s="1"/>
  <c r="P456" i="4"/>
  <c r="P455" i="4"/>
  <c r="P454" i="4"/>
  <c r="P453" i="4"/>
  <c r="P452" i="4"/>
  <c r="P451" i="4"/>
  <c r="P450" i="4"/>
  <c r="P449" i="4"/>
  <c r="P448" i="4"/>
  <c r="P447" i="4"/>
  <c r="K447" i="4"/>
  <c r="M447" i="4" s="1"/>
  <c r="K448" i="4"/>
  <c r="L448" i="4" s="1"/>
  <c r="K449" i="4"/>
  <c r="L449" i="4" s="1"/>
  <c r="K450" i="4"/>
  <c r="M450" i="4" s="1"/>
  <c r="K451" i="4"/>
  <c r="L451" i="4" s="1"/>
  <c r="K452" i="4"/>
  <c r="M452" i="4" s="1"/>
  <c r="K453" i="4"/>
  <c r="L453" i="4" s="1"/>
  <c r="K454" i="4"/>
  <c r="M454" i="4" s="1"/>
  <c r="K455" i="4"/>
  <c r="L455" i="4" s="1"/>
  <c r="K456" i="4"/>
  <c r="L456" i="4" s="1"/>
  <c r="L473" i="4" l="1"/>
  <c r="L477" i="4"/>
  <c r="L452" i="4"/>
  <c r="L475" i="4"/>
  <c r="L465" i="4"/>
  <c r="L472" i="4"/>
  <c r="M469" i="4"/>
  <c r="L460" i="4"/>
  <c r="L471" i="4"/>
  <c r="L463" i="4"/>
  <c r="L447" i="4"/>
  <c r="M470" i="4"/>
  <c r="L459" i="4"/>
  <c r="L462" i="4"/>
  <c r="L458" i="4"/>
  <c r="L454" i="4"/>
  <c r="L450" i="4"/>
  <c r="L474" i="4"/>
  <c r="L476" i="4"/>
  <c r="M464" i="4"/>
  <c r="M455" i="4"/>
  <c r="M457" i="4"/>
  <c r="M467" i="4"/>
  <c r="M466" i="4"/>
  <c r="M468" i="4"/>
  <c r="M461" i="4"/>
  <c r="M451" i="4"/>
  <c r="M456" i="4"/>
  <c r="M448" i="4"/>
  <c r="M453" i="4"/>
  <c r="M449" i="4"/>
  <c r="P446" i="4" l="1"/>
  <c r="P445" i="4"/>
  <c r="P444" i="4"/>
  <c r="P443" i="4"/>
  <c r="P442" i="4"/>
  <c r="K442" i="4"/>
  <c r="L442" i="4" s="1"/>
  <c r="K443" i="4"/>
  <c r="K444" i="4"/>
  <c r="L444" i="4" s="1"/>
  <c r="K445" i="4"/>
  <c r="L445" i="4" s="1"/>
  <c r="K446" i="4"/>
  <c r="L446" i="4" s="1"/>
  <c r="O439" i="4"/>
  <c r="O438" i="4"/>
  <c r="O437" i="4"/>
  <c r="O436" i="4"/>
  <c r="O376" i="4"/>
  <c r="O261" i="4"/>
  <c r="O262" i="4"/>
  <c r="O263" i="4"/>
  <c r="O264" i="4"/>
  <c r="M445" i="4" l="1"/>
  <c r="M444" i="4"/>
  <c r="M443" i="4"/>
  <c r="L443" i="4"/>
  <c r="M446" i="4"/>
  <c r="M442" i="4"/>
  <c r="O391" i="4"/>
  <c r="O390" i="4"/>
  <c r="O305" i="4"/>
  <c r="P305" i="4" s="1"/>
  <c r="O304" i="4"/>
  <c r="P304" i="4" s="1"/>
  <c r="O303" i="4"/>
  <c r="P303" i="4" s="1"/>
  <c r="O302" i="4"/>
  <c r="P302" i="4" s="1"/>
  <c r="O301" i="4"/>
  <c r="P301" i="4" s="1"/>
  <c r="P441" i="4"/>
  <c r="P440" i="4"/>
  <c r="K441" i="4"/>
  <c r="K440" i="4"/>
  <c r="P439" i="4"/>
  <c r="P438" i="4"/>
  <c r="P437" i="4"/>
  <c r="P436" i="4"/>
  <c r="K439" i="4"/>
  <c r="K438" i="4"/>
  <c r="K437" i="4"/>
  <c r="L437" i="4" s="1"/>
  <c r="K436" i="4"/>
  <c r="L436" i="4" s="1"/>
  <c r="P435" i="4"/>
  <c r="P434" i="4"/>
  <c r="P433" i="4"/>
  <c r="K435" i="4"/>
  <c r="K434" i="4"/>
  <c r="L434" i="4" s="1"/>
  <c r="K433" i="4"/>
  <c r="O374" i="4"/>
  <c r="O375" i="4"/>
  <c r="O429" i="4"/>
  <c r="O430" i="4"/>
  <c r="O431" i="4"/>
  <c r="O432" i="4"/>
  <c r="O428" i="4"/>
  <c r="O427" i="4"/>
  <c r="O426" i="4"/>
  <c r="O425" i="4"/>
  <c r="O364" i="4"/>
  <c r="O365" i="4"/>
  <c r="O366" i="4"/>
  <c r="O367" i="4"/>
  <c r="M436" i="4" l="1"/>
  <c r="M440" i="4"/>
  <c r="L440" i="4"/>
  <c r="M441" i="4"/>
  <c r="L441" i="4"/>
  <c r="M438" i="4"/>
  <c r="L438" i="4"/>
  <c r="M433" i="4"/>
  <c r="L433" i="4"/>
  <c r="M435" i="4"/>
  <c r="L435" i="4"/>
  <c r="M439" i="4"/>
  <c r="L439" i="4"/>
  <c r="M437" i="4"/>
  <c r="M434" i="4"/>
  <c r="P432" i="4"/>
  <c r="P431" i="4"/>
  <c r="P430" i="4"/>
  <c r="K429" i="4"/>
  <c r="L429" i="4" s="1"/>
  <c r="K430" i="4"/>
  <c r="L430" i="4" s="1"/>
  <c r="K431" i="4"/>
  <c r="K432" i="4"/>
  <c r="L432" i="4" s="1"/>
  <c r="M431" i="4" l="1"/>
  <c r="L431" i="4"/>
  <c r="M432" i="4"/>
  <c r="M429" i="4"/>
  <c r="M430" i="4"/>
  <c r="C428" i="4" l="1"/>
  <c r="B428" i="4"/>
  <c r="C427" i="4"/>
  <c r="B427" i="4"/>
  <c r="C426" i="4"/>
  <c r="B426" i="4"/>
  <c r="C423" i="4"/>
  <c r="B423" i="4"/>
  <c r="C422" i="4"/>
  <c r="B422" i="4"/>
  <c r="C421" i="4"/>
  <c r="B421" i="4"/>
  <c r="C420" i="4"/>
  <c r="B420" i="4"/>
  <c r="K418" i="4" l="1"/>
  <c r="L418" i="4" s="1"/>
  <c r="K419" i="4"/>
  <c r="L419" i="4" s="1"/>
  <c r="K420" i="4"/>
  <c r="K421" i="4"/>
  <c r="L421" i="4" s="1"/>
  <c r="K422" i="4"/>
  <c r="L422" i="4" s="1"/>
  <c r="K423" i="4"/>
  <c r="L423" i="4" s="1"/>
  <c r="K424" i="4"/>
  <c r="L424" i="4" s="1"/>
  <c r="K425" i="4"/>
  <c r="L425" i="4" s="1"/>
  <c r="K426" i="4"/>
  <c r="L426" i="4" s="1"/>
  <c r="K427" i="4"/>
  <c r="L427" i="4" s="1"/>
  <c r="K428" i="4"/>
  <c r="L428" i="4" s="1"/>
  <c r="P418" i="4"/>
  <c r="P419" i="4"/>
  <c r="P420" i="4"/>
  <c r="P421" i="4"/>
  <c r="P422" i="4"/>
  <c r="P423" i="4"/>
  <c r="P424" i="4"/>
  <c r="P425" i="4"/>
  <c r="P426" i="4"/>
  <c r="P427" i="4"/>
  <c r="P428" i="4"/>
  <c r="P429" i="4"/>
  <c r="P417" i="4"/>
  <c r="K417" i="4"/>
  <c r="L417" i="4" s="1"/>
  <c r="B424" i="4"/>
  <c r="C424" i="4"/>
  <c r="B425" i="4"/>
  <c r="C425" i="4"/>
  <c r="B419" i="4"/>
  <c r="C419" i="4"/>
  <c r="B373" i="4"/>
  <c r="C373" i="4"/>
  <c r="B374" i="4"/>
  <c r="C374" i="4"/>
  <c r="B375" i="4"/>
  <c r="C375" i="4"/>
  <c r="B376" i="4"/>
  <c r="C376" i="4"/>
  <c r="B377" i="4"/>
  <c r="C377" i="4"/>
  <c r="B378" i="4"/>
  <c r="C378" i="4"/>
  <c r="B379" i="4"/>
  <c r="C379" i="4"/>
  <c r="B380" i="4"/>
  <c r="C380" i="4"/>
  <c r="B381" i="4"/>
  <c r="C381" i="4"/>
  <c r="B382" i="4"/>
  <c r="C382" i="4"/>
  <c r="B383" i="4"/>
  <c r="C383" i="4"/>
  <c r="B384" i="4"/>
  <c r="C384" i="4"/>
  <c r="B385" i="4"/>
  <c r="C385" i="4"/>
  <c r="B386" i="4"/>
  <c r="C386" i="4"/>
  <c r="B387" i="4"/>
  <c r="C387" i="4"/>
  <c r="B388" i="4"/>
  <c r="C388" i="4"/>
  <c r="B389" i="4"/>
  <c r="C389" i="4"/>
  <c r="B390" i="4"/>
  <c r="C390" i="4"/>
  <c r="B391" i="4"/>
  <c r="C391" i="4"/>
  <c r="B392" i="4"/>
  <c r="C392" i="4"/>
  <c r="B393" i="4"/>
  <c r="C393" i="4"/>
  <c r="B394" i="4"/>
  <c r="C394" i="4"/>
  <c r="B395" i="4"/>
  <c r="C395" i="4"/>
  <c r="B396" i="4"/>
  <c r="C396" i="4"/>
  <c r="B397" i="4"/>
  <c r="C397" i="4"/>
  <c r="B398" i="4"/>
  <c r="C398" i="4"/>
  <c r="B399" i="4"/>
  <c r="C399" i="4"/>
  <c r="B400" i="4"/>
  <c r="C400" i="4"/>
  <c r="B401" i="4"/>
  <c r="C401" i="4"/>
  <c r="B402" i="4"/>
  <c r="C402" i="4"/>
  <c r="B403" i="4"/>
  <c r="C403" i="4"/>
  <c r="B404" i="4"/>
  <c r="C404" i="4"/>
  <c r="B405" i="4"/>
  <c r="C405" i="4"/>
  <c r="B406" i="4"/>
  <c r="C406" i="4"/>
  <c r="B407" i="4"/>
  <c r="C407" i="4"/>
  <c r="B408" i="4"/>
  <c r="C408" i="4"/>
  <c r="B409" i="4"/>
  <c r="C409" i="4"/>
  <c r="B410" i="4"/>
  <c r="C410" i="4"/>
  <c r="B411" i="4"/>
  <c r="C411" i="4"/>
  <c r="B412" i="4"/>
  <c r="C412" i="4"/>
  <c r="B413" i="4"/>
  <c r="C413" i="4"/>
  <c r="B414" i="4"/>
  <c r="C414" i="4"/>
  <c r="B415" i="4"/>
  <c r="C415" i="4"/>
  <c r="B416" i="4"/>
  <c r="C416" i="4"/>
  <c r="B417" i="4"/>
  <c r="C417" i="4"/>
  <c r="B418" i="4"/>
  <c r="C418" i="4"/>
  <c r="O252" i="4"/>
  <c r="O253" i="4"/>
  <c r="O254" i="4"/>
  <c r="P416" i="4"/>
  <c r="P415" i="4"/>
  <c r="K416" i="4"/>
  <c r="K415" i="4"/>
  <c r="P414" i="4"/>
  <c r="P413" i="4"/>
  <c r="P412" i="4"/>
  <c r="P411" i="4"/>
  <c r="P410" i="4"/>
  <c r="P409" i="4"/>
  <c r="P408" i="4"/>
  <c r="K380" i="4"/>
  <c r="L380" i="4" s="1"/>
  <c r="K381" i="4"/>
  <c r="M381" i="4" s="1"/>
  <c r="K382" i="4"/>
  <c r="L382" i="4" s="1"/>
  <c r="K383" i="4"/>
  <c r="L383" i="4" s="1"/>
  <c r="K384" i="4"/>
  <c r="L384" i="4" s="1"/>
  <c r="K385" i="4"/>
  <c r="L385" i="4" s="1"/>
  <c r="K386" i="4"/>
  <c r="L386" i="4" s="1"/>
  <c r="K387" i="4"/>
  <c r="L387" i="4" s="1"/>
  <c r="K388" i="4"/>
  <c r="L388" i="4" s="1"/>
  <c r="K389" i="4"/>
  <c r="K390" i="4"/>
  <c r="L390" i="4" s="1"/>
  <c r="K391" i="4"/>
  <c r="L391" i="4" s="1"/>
  <c r="K392" i="4"/>
  <c r="L392" i="4" s="1"/>
  <c r="K393" i="4"/>
  <c r="L393" i="4" s="1"/>
  <c r="K394" i="4"/>
  <c r="L394" i="4" s="1"/>
  <c r="K395" i="4"/>
  <c r="L395" i="4" s="1"/>
  <c r="K396" i="4"/>
  <c r="L396" i="4" s="1"/>
  <c r="K397" i="4"/>
  <c r="K398" i="4"/>
  <c r="L398" i="4" s="1"/>
  <c r="K399" i="4"/>
  <c r="L399" i="4" s="1"/>
  <c r="K400" i="4"/>
  <c r="L400" i="4" s="1"/>
  <c r="K401" i="4"/>
  <c r="L401" i="4" s="1"/>
  <c r="K402" i="4"/>
  <c r="L402" i="4" s="1"/>
  <c r="K403" i="4"/>
  <c r="L403" i="4" s="1"/>
  <c r="K404" i="4"/>
  <c r="L404" i="4" s="1"/>
  <c r="K405" i="4"/>
  <c r="K406" i="4"/>
  <c r="L406" i="4" s="1"/>
  <c r="K407" i="4"/>
  <c r="L407" i="4" s="1"/>
  <c r="K408" i="4"/>
  <c r="L408" i="4" s="1"/>
  <c r="K409" i="4"/>
  <c r="L409" i="4" s="1"/>
  <c r="K410" i="4"/>
  <c r="L410" i="4" s="1"/>
  <c r="K411" i="4"/>
  <c r="K412" i="4"/>
  <c r="L412" i="4" s="1"/>
  <c r="K413" i="4"/>
  <c r="L413" i="4" s="1"/>
  <c r="K414" i="4"/>
  <c r="L414" i="4" s="1"/>
  <c r="O353" i="4"/>
  <c r="O354" i="4"/>
  <c r="O395" i="4"/>
  <c r="P395" i="4" s="1"/>
  <c r="O394" i="4"/>
  <c r="P394" i="4" s="1"/>
  <c r="O393" i="4"/>
  <c r="P393" i="4" s="1"/>
  <c r="O392" i="4"/>
  <c r="P392" i="4" s="1"/>
  <c r="P407" i="4"/>
  <c r="P406" i="4"/>
  <c r="P405" i="4"/>
  <c r="P404" i="4"/>
  <c r="P403" i="4"/>
  <c r="P402" i="4"/>
  <c r="P401" i="4"/>
  <c r="P400" i="4"/>
  <c r="P399" i="4"/>
  <c r="P398" i="4"/>
  <c r="P397" i="4"/>
  <c r="P396" i="4"/>
  <c r="P391" i="4"/>
  <c r="P390" i="4"/>
  <c r="M404" i="4" l="1"/>
  <c r="M396" i="4"/>
  <c r="M412" i="4"/>
  <c r="M388" i="4"/>
  <c r="M413" i="4"/>
  <c r="M405" i="4"/>
  <c r="L405" i="4"/>
  <c r="M397" i="4"/>
  <c r="L397" i="4"/>
  <c r="M389" i="4"/>
  <c r="L389" i="4"/>
  <c r="M420" i="4"/>
  <c r="L420" i="4"/>
  <c r="M415" i="4"/>
  <c r="L415" i="4"/>
  <c r="M411" i="4"/>
  <c r="L411" i="4"/>
  <c r="M416" i="4"/>
  <c r="L416" i="4"/>
  <c r="M385" i="4"/>
  <c r="M398" i="4"/>
  <c r="M384" i="4"/>
  <c r="M393" i="4"/>
  <c r="M401" i="4"/>
  <c r="M392" i="4"/>
  <c r="M380" i="4"/>
  <c r="M424" i="4"/>
  <c r="M417" i="4"/>
  <c r="M421" i="4"/>
  <c r="M402" i="4"/>
  <c r="M387" i="4"/>
  <c r="M428" i="4"/>
  <c r="M425" i="4"/>
  <c r="M426" i="4"/>
  <c r="M418" i="4"/>
  <c r="M422" i="4"/>
  <c r="M427" i="4"/>
  <c r="M423" i="4"/>
  <c r="M419" i="4"/>
  <c r="M407" i="4"/>
  <c r="M395" i="4"/>
  <c r="M391" i="4"/>
  <c r="M406" i="4"/>
  <c r="M399" i="4"/>
  <c r="M394" i="4"/>
  <c r="M382" i="4"/>
  <c r="M383" i="4"/>
  <c r="M400" i="4"/>
  <c r="M386" i="4"/>
  <c r="M410" i="4"/>
  <c r="M403" i="4"/>
  <c r="M390" i="4"/>
  <c r="L381" i="4"/>
  <c r="M414" i="4"/>
  <c r="M409" i="4"/>
  <c r="M408" i="4"/>
  <c r="O357" i="4"/>
  <c r="O358" i="4"/>
  <c r="O359" i="4"/>
  <c r="O360" i="4"/>
  <c r="O361" i="4"/>
  <c r="O362" i="4"/>
  <c r="O363" i="4"/>
  <c r="O371" i="4"/>
  <c r="O372" i="4"/>
  <c r="O373" i="4"/>
  <c r="O370" i="4"/>
  <c r="O369" i="4"/>
  <c r="O368" i="4"/>
  <c r="O271" i="4"/>
  <c r="P271" i="4" s="1"/>
  <c r="O272" i="4"/>
  <c r="P272" i="4" s="1"/>
  <c r="O273" i="4"/>
  <c r="P273" i="4" s="1"/>
  <c r="O270" i="4"/>
  <c r="P270" i="4" s="1"/>
  <c r="O230" i="4"/>
  <c r="P389" i="4" l="1"/>
  <c r="P388" i="4"/>
  <c r="P387" i="4"/>
  <c r="P386" i="4"/>
  <c r="P385" i="4"/>
  <c r="P384" i="4"/>
  <c r="P383" i="4"/>
  <c r="K343" i="4"/>
  <c r="L343" i="4" s="1"/>
  <c r="K344" i="4"/>
  <c r="M344" i="4" s="1"/>
  <c r="K345" i="4"/>
  <c r="M345" i="4" s="1"/>
  <c r="K346" i="4"/>
  <c r="L346" i="4" s="1"/>
  <c r="K347" i="4"/>
  <c r="L347" i="4" s="1"/>
  <c r="K348" i="4"/>
  <c r="M348" i="4" s="1"/>
  <c r="K349" i="4"/>
  <c r="L349" i="4" s="1"/>
  <c r="K350" i="4"/>
  <c r="L350" i="4" s="1"/>
  <c r="K351" i="4"/>
  <c r="L351" i="4" s="1"/>
  <c r="K352" i="4"/>
  <c r="M352" i="4" s="1"/>
  <c r="K353" i="4"/>
  <c r="M353" i="4" s="1"/>
  <c r="K354" i="4"/>
  <c r="L354" i="4" s="1"/>
  <c r="K355" i="4"/>
  <c r="L355" i="4" s="1"/>
  <c r="K356" i="4"/>
  <c r="M356" i="4" s="1"/>
  <c r="K357" i="4"/>
  <c r="L357" i="4" s="1"/>
  <c r="K358" i="4"/>
  <c r="L358" i="4" s="1"/>
  <c r="K359" i="4"/>
  <c r="L359" i="4" s="1"/>
  <c r="K360" i="4"/>
  <c r="M360" i="4" s="1"/>
  <c r="K361" i="4"/>
  <c r="M361" i="4" s="1"/>
  <c r="K362" i="4"/>
  <c r="L362" i="4" s="1"/>
  <c r="K363" i="4"/>
  <c r="L363" i="4" s="1"/>
  <c r="K364" i="4"/>
  <c r="M364" i="4" s="1"/>
  <c r="K365" i="4"/>
  <c r="L365" i="4" s="1"/>
  <c r="K366" i="4"/>
  <c r="M366" i="4" s="1"/>
  <c r="K367" i="4"/>
  <c r="L367" i="4" s="1"/>
  <c r="K368" i="4"/>
  <c r="M368" i="4" s="1"/>
  <c r="K369" i="4"/>
  <c r="M369" i="4" s="1"/>
  <c r="K370" i="4"/>
  <c r="L370" i="4" s="1"/>
  <c r="K371" i="4"/>
  <c r="L371" i="4" s="1"/>
  <c r="K372" i="4"/>
  <c r="M372" i="4" s="1"/>
  <c r="K373" i="4"/>
  <c r="L373" i="4" s="1"/>
  <c r="K374" i="4"/>
  <c r="M374" i="4" s="1"/>
  <c r="K375" i="4"/>
  <c r="K376" i="4"/>
  <c r="M376" i="4" s="1"/>
  <c r="K377" i="4"/>
  <c r="K378" i="4"/>
  <c r="K379" i="4"/>
  <c r="C372" i="4"/>
  <c r="B372" i="4"/>
  <c r="B371" i="4"/>
  <c r="C371" i="4"/>
  <c r="P382" i="4"/>
  <c r="P381" i="4"/>
  <c r="P380" i="4"/>
  <c r="P379" i="4"/>
  <c r="P378" i="4"/>
  <c r="P377" i="4"/>
  <c r="P376" i="4"/>
  <c r="P375" i="4"/>
  <c r="P374" i="4"/>
  <c r="P373" i="4"/>
  <c r="P372" i="4"/>
  <c r="P371" i="4"/>
  <c r="P370" i="4"/>
  <c r="P369" i="4"/>
  <c r="P368" i="4"/>
  <c r="C370" i="4"/>
  <c r="B370" i="4"/>
  <c r="C369" i="4"/>
  <c r="B369" i="4"/>
  <c r="O222" i="4"/>
  <c r="O223" i="4"/>
  <c r="O224" i="4"/>
  <c r="O225" i="4"/>
  <c r="O300" i="4"/>
  <c r="L376" i="4" l="1"/>
  <c r="L345" i="4"/>
  <c r="L377" i="4"/>
  <c r="M377" i="4"/>
  <c r="L379" i="4"/>
  <c r="M379" i="4"/>
  <c r="L378" i="4"/>
  <c r="M378" i="4"/>
  <c r="L375" i="4"/>
  <c r="M375" i="4"/>
  <c r="L344" i="4"/>
  <c r="L374" i="4"/>
  <c r="L368" i="4"/>
  <c r="L361" i="4"/>
  <c r="L353" i="4"/>
  <c r="M358" i="4"/>
  <c r="M350" i="4"/>
  <c r="L369" i="4"/>
  <c r="L360" i="4"/>
  <c r="L352" i="4"/>
  <c r="M365" i="4"/>
  <c r="M354" i="4"/>
  <c r="M370" i="4"/>
  <c r="L366" i="4"/>
  <c r="M349" i="4"/>
  <c r="M373" i="4"/>
  <c r="M362" i="4"/>
  <c r="M357" i="4"/>
  <c r="M346" i="4"/>
  <c r="L364" i="4"/>
  <c r="L348" i="4"/>
  <c r="L372" i="4"/>
  <c r="L356" i="4"/>
  <c r="M363" i="4"/>
  <c r="M359" i="4"/>
  <c r="M355" i="4"/>
  <c r="M351" i="4"/>
  <c r="M347" i="4"/>
  <c r="M343" i="4"/>
  <c r="M371" i="4"/>
  <c r="M367" i="4"/>
  <c r="O292" i="4"/>
  <c r="O291" i="4"/>
  <c r="O287" i="4"/>
  <c r="O352" i="4" l="1"/>
  <c r="O351" i="4"/>
  <c r="O350" i="4"/>
  <c r="O349" i="4"/>
  <c r="O356" i="4"/>
  <c r="O355" i="4"/>
  <c r="O343" i="4"/>
  <c r="O344" i="4"/>
  <c r="O345" i="4"/>
  <c r="O346" i="4"/>
  <c r="O347" i="4"/>
  <c r="O342" i="4"/>
  <c r="O341" i="4"/>
  <c r="O340" i="4"/>
  <c r="O339" i="4"/>
  <c r="O338" i="4"/>
  <c r="O335" i="4"/>
  <c r="O337" i="4"/>
  <c r="O336" i="4"/>
  <c r="O319" i="4"/>
  <c r="O314" i="4"/>
  <c r="O326" i="4"/>
  <c r="O325" i="4"/>
  <c r="O324" i="4"/>
  <c r="O323" i="4"/>
  <c r="O322" i="4"/>
  <c r="B368" i="4" l="1"/>
  <c r="C368" i="4"/>
  <c r="P367" i="4"/>
  <c r="P366" i="4"/>
  <c r="P365" i="4"/>
  <c r="P364" i="4"/>
  <c r="P363" i="4"/>
  <c r="C367" i="4"/>
  <c r="B367" i="4"/>
  <c r="C366" i="4"/>
  <c r="B366" i="4"/>
  <c r="C365" i="4"/>
  <c r="B365" i="4"/>
  <c r="P362" i="4" l="1"/>
  <c r="P361" i="4"/>
  <c r="P360" i="4"/>
  <c r="P359" i="4"/>
  <c r="P358" i="4"/>
  <c r="P357" i="4"/>
  <c r="B359" i="4"/>
  <c r="C359" i="4"/>
  <c r="B360" i="4"/>
  <c r="C360" i="4"/>
  <c r="B361" i="4"/>
  <c r="C361" i="4"/>
  <c r="B362" i="4"/>
  <c r="C362" i="4"/>
  <c r="B363" i="4"/>
  <c r="C363" i="4"/>
  <c r="B364" i="4"/>
  <c r="C364" i="4"/>
  <c r="P356" i="4"/>
  <c r="P355" i="4"/>
  <c r="P354" i="4"/>
  <c r="P353" i="4"/>
  <c r="P352" i="4" l="1"/>
  <c r="P351" i="4"/>
  <c r="P350" i="4"/>
  <c r="P349" i="4"/>
  <c r="B350" i="4"/>
  <c r="C350" i="4"/>
  <c r="B351" i="4"/>
  <c r="C351" i="4"/>
  <c r="B352" i="4"/>
  <c r="C352" i="4"/>
  <c r="B353" i="4"/>
  <c r="C353" i="4"/>
  <c r="B354" i="4"/>
  <c r="C354" i="4"/>
  <c r="B355" i="4"/>
  <c r="C355" i="4"/>
  <c r="B356" i="4"/>
  <c r="C356" i="4"/>
  <c r="B357" i="4"/>
  <c r="C357" i="4"/>
  <c r="B358" i="4"/>
  <c r="C358" i="4"/>
  <c r="P348" i="4"/>
  <c r="P347" i="4"/>
  <c r="B347" i="4"/>
  <c r="B348" i="4"/>
  <c r="B349" i="4"/>
  <c r="C345" i="4"/>
  <c r="C346" i="4"/>
  <c r="C347" i="4"/>
  <c r="C348" i="4"/>
  <c r="C349" i="4"/>
  <c r="B345" i="4"/>
  <c r="B346" i="4"/>
  <c r="B341" i="4"/>
  <c r="C341" i="4"/>
  <c r="B342" i="4"/>
  <c r="C342" i="4"/>
  <c r="B343" i="4"/>
  <c r="C343" i="4"/>
  <c r="B344" i="4"/>
  <c r="C344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K331" i="4" l="1"/>
  <c r="L331" i="4" s="1"/>
  <c r="K332" i="4"/>
  <c r="L332" i="4" s="1"/>
  <c r="K333" i="4"/>
  <c r="L333" i="4" s="1"/>
  <c r="K334" i="4"/>
  <c r="L334" i="4" s="1"/>
  <c r="K335" i="4"/>
  <c r="L335" i="4" s="1"/>
  <c r="K336" i="4"/>
  <c r="L336" i="4" s="1"/>
  <c r="K337" i="4"/>
  <c r="L337" i="4" s="1"/>
  <c r="K338" i="4"/>
  <c r="L338" i="4" s="1"/>
  <c r="K339" i="4"/>
  <c r="L339" i="4" s="1"/>
  <c r="K340" i="4"/>
  <c r="L340" i="4" s="1"/>
  <c r="K341" i="4"/>
  <c r="L341" i="4" s="1"/>
  <c r="K342" i="4"/>
  <c r="M342" i="4" s="1"/>
  <c r="P330" i="4"/>
  <c r="K330" i="4"/>
  <c r="M330" i="4" s="1"/>
  <c r="P329" i="4"/>
  <c r="K329" i="4"/>
  <c r="M329" i="4" s="1"/>
  <c r="P328" i="4"/>
  <c r="K328" i="4"/>
  <c r="M328" i="4" s="1"/>
  <c r="P327" i="4"/>
  <c r="K327" i="4"/>
  <c r="M327" i="4" s="1"/>
  <c r="P326" i="4"/>
  <c r="K326" i="4"/>
  <c r="M326" i="4" s="1"/>
  <c r="P325" i="4"/>
  <c r="K325" i="4"/>
  <c r="M325" i="4" s="1"/>
  <c r="P324" i="4"/>
  <c r="K324" i="4"/>
  <c r="L324" i="4" s="1"/>
  <c r="P323" i="4"/>
  <c r="K323" i="4"/>
  <c r="M323" i="4" s="1"/>
  <c r="C323" i="4"/>
  <c r="B323" i="4"/>
  <c r="P322" i="4"/>
  <c r="K322" i="4"/>
  <c r="M322" i="4" s="1"/>
  <c r="C322" i="4"/>
  <c r="B322" i="4"/>
  <c r="P321" i="4"/>
  <c r="K321" i="4"/>
  <c r="M321" i="4" s="1"/>
  <c r="C321" i="4"/>
  <c r="B321" i="4"/>
  <c r="L323" i="4" l="1"/>
  <c r="L326" i="4"/>
  <c r="M337" i="4"/>
  <c r="M333" i="4"/>
  <c r="M334" i="4"/>
  <c r="L342" i="4"/>
  <c r="M341" i="4"/>
  <c r="M338" i="4"/>
  <c r="M339" i="4"/>
  <c r="M331" i="4"/>
  <c r="M335" i="4"/>
  <c r="M340" i="4"/>
  <c r="M336" i="4"/>
  <c r="M332" i="4"/>
  <c r="L325" i="4"/>
  <c r="L321" i="4"/>
  <c r="L327" i="4"/>
  <c r="L329" i="4"/>
  <c r="L328" i="4"/>
  <c r="M324" i="4"/>
  <c r="L330" i="4"/>
  <c r="L322" i="4"/>
  <c r="P260" i="4" l="1"/>
  <c r="O237" i="4" l="1"/>
  <c r="P237" i="4" s="1"/>
  <c r="O238" i="4"/>
  <c r="P238" i="4" s="1"/>
  <c r="O239" i="4"/>
  <c r="P239" i="4" s="1"/>
  <c r="O240" i="4"/>
  <c r="P240" i="4" s="1"/>
  <c r="O241" i="4"/>
  <c r="P241" i="4" s="1"/>
  <c r="O313" i="4" l="1"/>
  <c r="O312" i="4"/>
  <c r="O311" i="4"/>
  <c r="O229" i="4"/>
  <c r="O228" i="4"/>
  <c r="O227" i="4"/>
  <c r="O226" i="4"/>
  <c r="O218" i="4"/>
  <c r="O217" i="4"/>
  <c r="O216" i="4"/>
  <c r="O215" i="4"/>
  <c r="O236" i="4"/>
  <c r="O297" i="4"/>
  <c r="O296" i="4"/>
  <c r="O295" i="4"/>
  <c r="O294" i="4"/>
  <c r="O293" i="4"/>
  <c r="O246" i="4"/>
  <c r="O247" i="4"/>
  <c r="O248" i="4"/>
  <c r="O249" i="4"/>
  <c r="O208" i="4"/>
  <c r="O207" i="4"/>
  <c r="O206" i="4"/>
  <c r="O205" i="4"/>
  <c r="O250" i="4"/>
  <c r="O245" i="4"/>
  <c r="O259" i="4"/>
  <c r="O258" i="4"/>
  <c r="O257" i="4"/>
  <c r="O256" i="4"/>
  <c r="O255" i="4"/>
  <c r="O234" i="4"/>
  <c r="O233" i="4"/>
  <c r="O232" i="4"/>
  <c r="O231" i="4"/>
  <c r="K319" i="4" l="1"/>
  <c r="M319" i="4" s="1"/>
  <c r="K320" i="4"/>
  <c r="L320" i="4" s="1"/>
  <c r="B319" i="4"/>
  <c r="C319" i="4"/>
  <c r="B320" i="4"/>
  <c r="C320" i="4"/>
  <c r="P315" i="4"/>
  <c r="P316" i="4"/>
  <c r="P317" i="4"/>
  <c r="P318" i="4"/>
  <c r="P319" i="4"/>
  <c r="P320" i="4"/>
  <c r="K315" i="4"/>
  <c r="L315" i="4" s="1"/>
  <c r="K316" i="4"/>
  <c r="L316" i="4" s="1"/>
  <c r="K317" i="4"/>
  <c r="M317" i="4" s="1"/>
  <c r="K318" i="4"/>
  <c r="L318" i="4" s="1"/>
  <c r="C318" i="4"/>
  <c r="B318" i="4"/>
  <c r="C317" i="4"/>
  <c r="B317" i="4"/>
  <c r="C316" i="4"/>
  <c r="B316" i="4"/>
  <c r="K314" i="4"/>
  <c r="L314" i="4" s="1"/>
  <c r="B314" i="4"/>
  <c r="C314" i="4"/>
  <c r="B315" i="4"/>
  <c r="C315" i="4"/>
  <c r="P296" i="4"/>
  <c r="P297" i="4"/>
  <c r="P298" i="4"/>
  <c r="P299" i="4"/>
  <c r="P300" i="4"/>
  <c r="P306" i="4"/>
  <c r="P307" i="4"/>
  <c r="P308" i="4"/>
  <c r="P309" i="4"/>
  <c r="P310" i="4"/>
  <c r="P311" i="4"/>
  <c r="P312" i="4"/>
  <c r="P313" i="4"/>
  <c r="P314" i="4"/>
  <c r="K313" i="4"/>
  <c r="L313" i="4" s="1"/>
  <c r="K312" i="4"/>
  <c r="L312" i="4" s="1"/>
  <c r="K311" i="4"/>
  <c r="M311" i="4" s="1"/>
  <c r="C313" i="4"/>
  <c r="B313" i="4"/>
  <c r="C312" i="4"/>
  <c r="B312" i="4"/>
  <c r="B311" i="4"/>
  <c r="C311" i="4"/>
  <c r="K305" i="4"/>
  <c r="L305" i="4" s="1"/>
  <c r="K306" i="4"/>
  <c r="L306" i="4" s="1"/>
  <c r="K307" i="4"/>
  <c r="L307" i="4" s="1"/>
  <c r="K308" i="4"/>
  <c r="L308" i="4" s="1"/>
  <c r="K309" i="4"/>
  <c r="L309" i="4" s="1"/>
  <c r="K310" i="4"/>
  <c r="L310" i="4" s="1"/>
  <c r="B306" i="4"/>
  <c r="C306" i="4"/>
  <c r="B307" i="4"/>
  <c r="C307" i="4"/>
  <c r="B308" i="4"/>
  <c r="C308" i="4"/>
  <c r="B309" i="4"/>
  <c r="C309" i="4"/>
  <c r="B310" i="4"/>
  <c r="C310" i="4"/>
  <c r="K304" i="4"/>
  <c r="L304" i="4" s="1"/>
  <c r="B302" i="4"/>
  <c r="C302" i="4"/>
  <c r="B303" i="4"/>
  <c r="C303" i="4"/>
  <c r="B304" i="4"/>
  <c r="C304" i="4"/>
  <c r="B305" i="4"/>
  <c r="C305" i="4"/>
  <c r="P295" i="4"/>
  <c r="B295" i="4"/>
  <c r="C295" i="4"/>
  <c r="B296" i="4"/>
  <c r="C296" i="4"/>
  <c r="B297" i="4"/>
  <c r="C297" i="4"/>
  <c r="B298" i="4"/>
  <c r="C298" i="4"/>
  <c r="B299" i="4"/>
  <c r="C299" i="4"/>
  <c r="B300" i="4"/>
  <c r="C300" i="4"/>
  <c r="B301" i="4"/>
  <c r="C301" i="4"/>
  <c r="K295" i="4"/>
  <c r="L295" i="4" s="1"/>
  <c r="K296" i="4"/>
  <c r="L296" i="4" s="1"/>
  <c r="K297" i="4"/>
  <c r="L297" i="4" s="1"/>
  <c r="K298" i="4"/>
  <c r="L298" i="4" s="1"/>
  <c r="K299" i="4"/>
  <c r="L299" i="4" s="1"/>
  <c r="K300" i="4"/>
  <c r="M300" i="4" s="1"/>
  <c r="K301" i="4"/>
  <c r="L301" i="4" s="1"/>
  <c r="K302" i="4"/>
  <c r="M302" i="4" s="1"/>
  <c r="K303" i="4"/>
  <c r="L303" i="4" s="1"/>
  <c r="K294" i="4"/>
  <c r="M294" i="4" s="1"/>
  <c r="C291" i="4"/>
  <c r="C292" i="4"/>
  <c r="C293" i="4"/>
  <c r="C294" i="4"/>
  <c r="B293" i="4"/>
  <c r="B294" i="4"/>
  <c r="P294" i="4"/>
  <c r="P293" i="4"/>
  <c r="K293" i="4"/>
  <c r="L293" i="4" s="1"/>
  <c r="E139" i="7"/>
  <c r="E136" i="7"/>
  <c r="M320" i="4" l="1"/>
  <c r="L317" i="4"/>
  <c r="M315" i="4"/>
  <c r="M297" i="4"/>
  <c r="M318" i="4"/>
  <c r="M307" i="4"/>
  <c r="M293" i="4"/>
  <c r="M308" i="4"/>
  <c r="L319" i="4"/>
  <c r="L294" i="4"/>
  <c r="M298" i="4"/>
  <c r="M304" i="4"/>
  <c r="L311" i="4"/>
  <c r="M316" i="4"/>
  <c r="M314" i="4"/>
  <c r="M313" i="4"/>
  <c r="M312" i="4"/>
  <c r="M305" i="4"/>
  <c r="M309" i="4"/>
  <c r="M310" i="4"/>
  <c r="M306" i="4"/>
  <c r="L302" i="4"/>
  <c r="L300" i="4"/>
  <c r="M301" i="4"/>
  <c r="M295" i="4"/>
  <c r="M303" i="4"/>
  <c r="M299" i="4"/>
  <c r="M296" i="4"/>
  <c r="P292" i="4"/>
  <c r="P291" i="4"/>
  <c r="K292" i="4"/>
  <c r="L292" i="4" s="1"/>
  <c r="K291" i="4"/>
  <c r="M291" i="4" s="1"/>
  <c r="P290" i="4"/>
  <c r="M290" i="4"/>
  <c r="L290" i="4"/>
  <c r="P289" i="4"/>
  <c r="P288" i="4"/>
  <c r="M292" i="4" l="1"/>
  <c r="L291" i="4"/>
  <c r="M289" i="4"/>
  <c r="L289" i="4"/>
  <c r="M288" i="4"/>
  <c r="L288" i="4"/>
  <c r="P287" i="4"/>
  <c r="K287" i="4"/>
  <c r="L287" i="4" s="1"/>
  <c r="B292" i="4"/>
  <c r="B291" i="4"/>
  <c r="C290" i="4"/>
  <c r="B290" i="4"/>
  <c r="C289" i="4"/>
  <c r="B289" i="4"/>
  <c r="C288" i="4"/>
  <c r="B288" i="4"/>
  <c r="B287" i="4"/>
  <c r="C287" i="4"/>
  <c r="M287" i="4" l="1"/>
  <c r="O286" i="4"/>
  <c r="O285" i="4" l="1"/>
  <c r="O284" i="4"/>
  <c r="O283" i="4"/>
  <c r="O282" i="4"/>
  <c r="O281" i="4"/>
  <c r="O280" i="4"/>
  <c r="O279" i="4"/>
  <c r="O278" i="4"/>
  <c r="O277" i="4"/>
  <c r="O276" i="4"/>
  <c r="O275" i="4"/>
  <c r="O274" i="4"/>
  <c r="O184" i="4"/>
  <c r="O185" i="4"/>
  <c r="O186" i="4"/>
  <c r="O187" i="4"/>
  <c r="O269" i="4"/>
  <c r="O266" i="4"/>
  <c r="O265" i="4"/>
  <c r="O268" i="4"/>
  <c r="O267" i="4"/>
  <c r="P286" i="4" l="1"/>
  <c r="B286" i="4"/>
  <c r="C286" i="4"/>
  <c r="P225" i="4"/>
  <c r="P226" i="4"/>
  <c r="P227" i="4"/>
  <c r="P228" i="4"/>
  <c r="P229" i="4"/>
  <c r="P230" i="4"/>
  <c r="P231" i="4"/>
  <c r="P232" i="4"/>
  <c r="P233" i="4"/>
  <c r="P234" i="4"/>
  <c r="P236" i="4"/>
  <c r="P245" i="4"/>
  <c r="P246" i="4"/>
  <c r="P247" i="4"/>
  <c r="P248" i="4"/>
  <c r="P249" i="4"/>
  <c r="P250" i="4"/>
  <c r="P252" i="4"/>
  <c r="P253" i="4"/>
  <c r="P254" i="4"/>
  <c r="P255" i="4"/>
  <c r="P256" i="4"/>
  <c r="P257" i="4"/>
  <c r="P258" i="4"/>
  <c r="P259" i="4"/>
  <c r="P261" i="4"/>
  <c r="P262" i="4"/>
  <c r="P263" i="4"/>
  <c r="P264" i="4"/>
  <c r="P265" i="4"/>
  <c r="P266" i="4"/>
  <c r="P267" i="4"/>
  <c r="P268" i="4"/>
  <c r="P269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B285" i="4"/>
  <c r="C285" i="4"/>
  <c r="C284" i="4"/>
  <c r="B284" i="4"/>
  <c r="C283" i="4"/>
  <c r="B283" i="4"/>
  <c r="C282" i="4"/>
  <c r="B282" i="4"/>
  <c r="C281" i="4"/>
  <c r="B281" i="4"/>
  <c r="C280" i="4"/>
  <c r="B280" i="4"/>
  <c r="C279" i="4"/>
  <c r="B279" i="4"/>
  <c r="C278" i="4"/>
  <c r="B278" i="4"/>
  <c r="C277" i="4"/>
  <c r="B277" i="4"/>
  <c r="C276" i="4"/>
  <c r="B276" i="4"/>
  <c r="C275" i="4"/>
  <c r="B275" i="4"/>
  <c r="C274" i="4"/>
  <c r="B274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69" i="4" l="1"/>
  <c r="L269" i="4" s="1"/>
  <c r="K266" i="4"/>
  <c r="L266" i="4" s="1"/>
  <c r="K267" i="4"/>
  <c r="L267" i="4" s="1"/>
  <c r="K268" i="4"/>
  <c r="L268" i="4" s="1"/>
  <c r="K265" i="4"/>
  <c r="M265" i="4" s="1"/>
  <c r="K261" i="4"/>
  <c r="M261" i="4" s="1"/>
  <c r="K262" i="4"/>
  <c r="M262" i="4" s="1"/>
  <c r="K263" i="4"/>
  <c r="M263" i="4" s="1"/>
  <c r="K264" i="4"/>
  <c r="M264" i="4" s="1"/>
  <c r="M269" i="4" l="1"/>
  <c r="M268" i="4"/>
  <c r="M266" i="4"/>
  <c r="L264" i="4"/>
  <c r="L261" i="4"/>
  <c r="M267" i="4"/>
  <c r="L265" i="4"/>
  <c r="L263" i="4"/>
  <c r="L262" i="4"/>
  <c r="E129" i="7"/>
  <c r="C260" i="4" l="1"/>
  <c r="B260" i="4"/>
  <c r="C259" i="4"/>
  <c r="B259" i="4"/>
  <c r="C258" i="4"/>
  <c r="B258" i="4"/>
  <c r="C257" i="4"/>
  <c r="B257" i="4"/>
  <c r="C256" i="4"/>
  <c r="B256" i="4"/>
  <c r="B255" i="4"/>
  <c r="C255" i="4"/>
  <c r="K260" i="4"/>
  <c r="M260" i="4" s="1"/>
  <c r="K259" i="4"/>
  <c r="M259" i="4" s="1"/>
  <c r="K258" i="4"/>
  <c r="M258" i="4" s="1"/>
  <c r="K257" i="4"/>
  <c r="L257" i="4" s="1"/>
  <c r="K256" i="4"/>
  <c r="L256" i="4" s="1"/>
  <c r="K255" i="4"/>
  <c r="M255" i="4" s="1"/>
  <c r="M257" i="4" l="1"/>
  <c r="M256" i="4"/>
  <c r="L260" i="4"/>
  <c r="L255" i="4"/>
  <c r="L259" i="4"/>
  <c r="L258" i="4"/>
  <c r="L253" i="4" l="1"/>
  <c r="M253" i="4"/>
  <c r="L254" i="4"/>
  <c r="M254" i="4"/>
  <c r="K251" i="4"/>
  <c r="K252" i="4"/>
  <c r="L252" i="4" s="1"/>
  <c r="C254" i="4"/>
  <c r="B254" i="4"/>
  <c r="C253" i="4"/>
  <c r="B253" i="4"/>
  <c r="B252" i="4"/>
  <c r="C252" i="4"/>
  <c r="K231" i="4"/>
  <c r="K232" i="4"/>
  <c r="K233" i="4"/>
  <c r="K234" i="4"/>
  <c r="L234" i="4" s="1"/>
  <c r="K235" i="4"/>
  <c r="L235" i="4" s="1"/>
  <c r="K236" i="4"/>
  <c r="L236" i="4" s="1"/>
  <c r="K237" i="4"/>
  <c r="L237" i="4" s="1"/>
  <c r="K238" i="4"/>
  <c r="L238" i="4" s="1"/>
  <c r="K239" i="4"/>
  <c r="L239" i="4" s="1"/>
  <c r="K240" i="4"/>
  <c r="L240" i="4" s="1"/>
  <c r="K241" i="4"/>
  <c r="L241" i="4" s="1"/>
  <c r="K242" i="4"/>
  <c r="K243" i="4"/>
  <c r="K244" i="4"/>
  <c r="K245" i="4"/>
  <c r="O178" i="4"/>
  <c r="P178" i="4" s="1"/>
  <c r="O179" i="4"/>
  <c r="P179" i="4" s="1"/>
  <c r="O180" i="4"/>
  <c r="P180" i="4" s="1"/>
  <c r="O251" i="4"/>
  <c r="P251" i="4" s="1"/>
  <c r="O151" i="4"/>
  <c r="O152" i="4"/>
  <c r="O153" i="4"/>
  <c r="O154" i="4"/>
  <c r="O244" i="4"/>
  <c r="P244" i="4" s="1"/>
  <c r="O243" i="4"/>
  <c r="P243" i="4" s="1"/>
  <c r="O242" i="4"/>
  <c r="P242" i="4" s="1"/>
  <c r="O235" i="4"/>
  <c r="P235" i="4" s="1"/>
  <c r="E18" i="7"/>
  <c r="E34" i="7"/>
  <c r="E44" i="7"/>
  <c r="E64" i="7"/>
  <c r="E80" i="7"/>
  <c r="E86" i="7"/>
  <c r="E99" i="7"/>
  <c r="E109" i="7"/>
  <c r="E122" i="7"/>
  <c r="E10" i="7"/>
  <c r="E5" i="7"/>
  <c r="E140" i="7" l="1"/>
  <c r="E87" i="7"/>
  <c r="E110" i="7"/>
  <c r="M252" i="4"/>
  <c r="E45" i="7"/>
  <c r="E11" i="7"/>
  <c r="G110" i="7" l="1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L242" i="4"/>
  <c r="L243" i="4"/>
  <c r="L244" i="4"/>
  <c r="L245" i="4"/>
  <c r="L251" i="4"/>
  <c r="M235" i="4"/>
  <c r="M236" i="4"/>
  <c r="M237" i="4"/>
  <c r="M238" i="4"/>
  <c r="M239" i="4"/>
  <c r="M240" i="4"/>
  <c r="M241" i="4"/>
  <c r="M242" i="4"/>
  <c r="M243" i="4"/>
  <c r="M244" i="4"/>
  <c r="M245" i="4"/>
  <c r="M251" i="4"/>
  <c r="K250" i="4"/>
  <c r="L250" i="4" s="1"/>
  <c r="K249" i="4"/>
  <c r="L249" i="4" s="1"/>
  <c r="K248" i="4"/>
  <c r="L248" i="4" s="1"/>
  <c r="K247" i="4"/>
  <c r="M247" i="4" s="1"/>
  <c r="K246" i="4"/>
  <c r="M246" i="4" s="1"/>
  <c r="O147" i="4"/>
  <c r="L247" i="4" l="1"/>
  <c r="M250" i="4"/>
  <c r="L246" i="4"/>
  <c r="M249" i="4"/>
  <c r="M248" i="4"/>
  <c r="B221" i="4"/>
  <c r="C221" i="4"/>
  <c r="B222" i="4"/>
  <c r="C222" i="4"/>
  <c r="B223" i="4"/>
  <c r="C223" i="4"/>
  <c r="B224" i="4"/>
  <c r="C224" i="4"/>
  <c r="B225" i="4"/>
  <c r="C225" i="4"/>
  <c r="B226" i="4"/>
  <c r="C226" i="4"/>
  <c r="B227" i="4"/>
  <c r="C227" i="4"/>
  <c r="B228" i="4"/>
  <c r="C228" i="4"/>
  <c r="B229" i="4"/>
  <c r="C229" i="4"/>
  <c r="B230" i="4"/>
  <c r="C230" i="4"/>
  <c r="B231" i="4"/>
  <c r="C231" i="4"/>
  <c r="B232" i="4"/>
  <c r="C232" i="4"/>
  <c r="B233" i="4"/>
  <c r="C233" i="4"/>
  <c r="B234" i="4"/>
  <c r="C234" i="4"/>
  <c r="O221" i="4" l="1"/>
  <c r="P221" i="4" s="1"/>
  <c r="O220" i="4"/>
  <c r="P220" i="4" s="1"/>
  <c r="O219" i="4"/>
  <c r="P219" i="4" s="1"/>
  <c r="P216" i="4"/>
  <c r="P217" i="4"/>
  <c r="P218" i="4"/>
  <c r="P222" i="4"/>
  <c r="P223" i="4"/>
  <c r="P224" i="4"/>
  <c r="P215" i="4"/>
  <c r="O211" i="4" l="1"/>
  <c r="P211" i="4" s="1"/>
  <c r="O210" i="4"/>
  <c r="P210" i="4" s="1"/>
  <c r="O209" i="4"/>
  <c r="P209" i="4" s="1"/>
  <c r="O97" i="4"/>
  <c r="O98" i="4"/>
  <c r="O99" i="4"/>
  <c r="O100" i="4"/>
  <c r="K226" i="4" l="1"/>
  <c r="M226" i="4" s="1"/>
  <c r="K227" i="4"/>
  <c r="M227" i="4" s="1"/>
  <c r="K228" i="4"/>
  <c r="L228" i="4" s="1"/>
  <c r="K229" i="4"/>
  <c r="M229" i="4" s="1"/>
  <c r="K230" i="4"/>
  <c r="L230" i="4" s="1"/>
  <c r="L231" i="4"/>
  <c r="L232" i="4"/>
  <c r="M233" i="4"/>
  <c r="M234" i="4"/>
  <c r="M232" i="4"/>
  <c r="L226" i="4" l="1"/>
  <c r="M230" i="4"/>
  <c r="M231" i="4"/>
  <c r="L229" i="4"/>
  <c r="L233" i="4"/>
  <c r="L227" i="4"/>
  <c r="M228" i="4"/>
  <c r="K222" i="4" l="1"/>
  <c r="L222" i="4" s="1"/>
  <c r="K223" i="4"/>
  <c r="L223" i="4" s="1"/>
  <c r="K224" i="4"/>
  <c r="M224" i="4" s="1"/>
  <c r="K225" i="4"/>
  <c r="L225" i="4" s="1"/>
  <c r="K221" i="4"/>
  <c r="L221" i="4" s="1"/>
  <c r="K220" i="4"/>
  <c r="M220" i="4" s="1"/>
  <c r="K219" i="4"/>
  <c r="M219" i="4" s="1"/>
  <c r="C216" i="4"/>
  <c r="C217" i="4"/>
  <c r="C218" i="4"/>
  <c r="C219" i="4"/>
  <c r="C220" i="4"/>
  <c r="B216" i="4"/>
  <c r="B217" i="4"/>
  <c r="B218" i="4"/>
  <c r="B219" i="4"/>
  <c r="B220" i="4"/>
  <c r="K213" i="4"/>
  <c r="M213" i="4" s="1"/>
  <c r="K214" i="4"/>
  <c r="L214" i="4" s="1"/>
  <c r="K215" i="4"/>
  <c r="L215" i="4" s="1"/>
  <c r="K216" i="4"/>
  <c r="L216" i="4" s="1"/>
  <c r="K217" i="4"/>
  <c r="M217" i="4" s="1"/>
  <c r="K218" i="4"/>
  <c r="L218" i="4" s="1"/>
  <c r="L224" i="4" l="1"/>
  <c r="M225" i="4"/>
  <c r="M215" i="4"/>
  <c r="M222" i="4"/>
  <c r="M223" i="4"/>
  <c r="L213" i="4"/>
  <c r="M221" i="4"/>
  <c r="L220" i="4"/>
  <c r="L219" i="4"/>
  <c r="M218" i="4"/>
  <c r="M214" i="4"/>
  <c r="L217" i="4"/>
  <c r="M216" i="4"/>
  <c r="C215" i="4" l="1"/>
  <c r="B215" i="4"/>
  <c r="O148" i="4"/>
  <c r="O142" i="4"/>
  <c r="O143" i="4"/>
  <c r="O144" i="4"/>
  <c r="O145" i="4"/>
  <c r="O146" i="4"/>
  <c r="O213" i="4" l="1"/>
  <c r="P213" i="4" s="1"/>
  <c r="O214" i="4"/>
  <c r="P214" i="4" s="1"/>
  <c r="O212" i="4"/>
  <c r="P212" i="4" s="1"/>
  <c r="O204" i="4"/>
  <c r="K212" i="4" l="1"/>
  <c r="B213" i="4"/>
  <c r="C213" i="4"/>
  <c r="B214" i="4"/>
  <c r="C214" i="4"/>
  <c r="B212" i="4"/>
  <c r="C212" i="4"/>
  <c r="M212" i="4" l="1"/>
  <c r="L212" i="4"/>
  <c r="O203" i="4"/>
  <c r="P203" i="4" s="1"/>
  <c r="O195" i="4"/>
  <c r="O150" i="4"/>
  <c r="P150" i="4" s="1"/>
  <c r="O149" i="4"/>
  <c r="P149" i="4" s="1"/>
  <c r="O117" i="4"/>
  <c r="O118" i="4"/>
  <c r="O119" i="4"/>
  <c r="O120" i="4"/>
  <c r="O121" i="4"/>
  <c r="O122" i="4"/>
  <c r="O123" i="4"/>
  <c r="O138" i="4"/>
  <c r="O139" i="4"/>
  <c r="O140" i="4"/>
  <c r="O141" i="4"/>
  <c r="P208" i="4"/>
  <c r="K207" i="4"/>
  <c r="L207" i="4" s="1"/>
  <c r="K208" i="4"/>
  <c r="L208" i="4" s="1"/>
  <c r="C208" i="4"/>
  <c r="B208" i="4"/>
  <c r="O78" i="4"/>
  <c r="O79" i="4"/>
  <c r="O80" i="4"/>
  <c r="O81" i="4"/>
  <c r="O82" i="4"/>
  <c r="O83" i="4"/>
  <c r="O84" i="4"/>
  <c r="K211" i="4"/>
  <c r="K210" i="4"/>
  <c r="K209" i="4"/>
  <c r="M209" i="4" s="1"/>
  <c r="B210" i="4"/>
  <c r="C210" i="4"/>
  <c r="B211" i="4"/>
  <c r="C211" i="4"/>
  <c r="B209" i="4"/>
  <c r="C209" i="4"/>
  <c r="P207" i="4"/>
  <c r="P206" i="4"/>
  <c r="P205" i="4"/>
  <c r="K205" i="4"/>
  <c r="L205" i="4" s="1"/>
  <c r="K206" i="4"/>
  <c r="L206" i="4" s="1"/>
  <c r="C207" i="4"/>
  <c r="B207" i="4"/>
  <c r="C206" i="4"/>
  <c r="B206" i="4"/>
  <c r="B205" i="4"/>
  <c r="C205" i="4"/>
  <c r="P204" i="4"/>
  <c r="K204" i="4"/>
  <c r="M204" i="4" s="1"/>
  <c r="B204" i="4"/>
  <c r="C204" i="4"/>
  <c r="O197" i="4"/>
  <c r="P197" i="4" s="1"/>
  <c r="O198" i="4"/>
  <c r="P198" i="4" s="1"/>
  <c r="O199" i="4"/>
  <c r="P199" i="4" s="1"/>
  <c r="O200" i="4"/>
  <c r="P200" i="4" s="1"/>
  <c r="O201" i="4"/>
  <c r="P201" i="4" s="1"/>
  <c r="O202" i="4"/>
  <c r="P202" i="4" s="1"/>
  <c r="O194" i="4"/>
  <c r="O196" i="4"/>
  <c r="O193" i="4"/>
  <c r="O189" i="4"/>
  <c r="O190" i="4"/>
  <c r="O191" i="4"/>
  <c r="O192" i="4"/>
  <c r="O188" i="4"/>
  <c r="O183" i="4"/>
  <c r="O182" i="4"/>
  <c r="O181" i="4"/>
  <c r="K203" i="4"/>
  <c r="M203" i="4" s="1"/>
  <c r="K202" i="4"/>
  <c r="L202" i="4" s="1"/>
  <c r="K201" i="4"/>
  <c r="L201" i="4" s="1"/>
  <c r="K200" i="4"/>
  <c r="M200" i="4" s="1"/>
  <c r="K199" i="4"/>
  <c r="M199" i="4" s="1"/>
  <c r="K198" i="4"/>
  <c r="L198" i="4" s="1"/>
  <c r="K197" i="4"/>
  <c r="M197" i="4" s="1"/>
  <c r="M207" i="4" l="1"/>
  <c r="L210" i="4"/>
  <c r="M210" i="4"/>
  <c r="L211" i="4"/>
  <c r="M211" i="4"/>
  <c r="M198" i="4"/>
  <c r="M208" i="4"/>
  <c r="M201" i="4"/>
  <c r="L197" i="4"/>
  <c r="L204" i="4"/>
  <c r="M202" i="4"/>
  <c r="L209" i="4"/>
  <c r="M205" i="4"/>
  <c r="M206" i="4"/>
  <c r="L200" i="4"/>
  <c r="L199" i="4"/>
  <c r="L203" i="4"/>
  <c r="C202" i="4" l="1"/>
  <c r="B202" i="4"/>
  <c r="C201" i="4"/>
  <c r="B201" i="4"/>
  <c r="C200" i="4"/>
  <c r="B200" i="4"/>
  <c r="C199" i="4"/>
  <c r="B199" i="4"/>
  <c r="C198" i="4"/>
  <c r="B198" i="4"/>
  <c r="B203" i="4"/>
  <c r="C203" i="4"/>
  <c r="B197" i="4"/>
  <c r="C197" i="4"/>
  <c r="O114" i="4"/>
  <c r="O115" i="4"/>
  <c r="O137" i="4"/>
  <c r="O134" i="4"/>
  <c r="O135" i="4"/>
  <c r="O136" i="4"/>
  <c r="B196" i="4" l="1"/>
  <c r="C196" i="4"/>
  <c r="P196" i="4"/>
  <c r="K196" i="4"/>
  <c r="M196" i="4" s="1"/>
  <c r="L196" i="4" l="1"/>
  <c r="P193" i="4" l="1"/>
  <c r="K193" i="4"/>
  <c r="M193" i="4" s="1"/>
  <c r="P195" i="4"/>
  <c r="P194" i="4"/>
  <c r="K194" i="4"/>
  <c r="L194" i="4" s="1"/>
  <c r="K195" i="4"/>
  <c r="L195" i="4" s="1"/>
  <c r="C195" i="4"/>
  <c r="B195" i="4"/>
  <c r="B194" i="4"/>
  <c r="C194" i="4"/>
  <c r="P190" i="4"/>
  <c r="P188" i="4"/>
  <c r="P189" i="4"/>
  <c r="P191" i="4"/>
  <c r="P192" i="4"/>
  <c r="K188" i="4"/>
  <c r="L188" i="4" s="1"/>
  <c r="K189" i="4"/>
  <c r="M189" i="4" s="1"/>
  <c r="K190" i="4"/>
  <c r="M190" i="4" s="1"/>
  <c r="K191" i="4"/>
  <c r="M191" i="4" s="1"/>
  <c r="K192" i="4"/>
  <c r="M192" i="4" s="1"/>
  <c r="B190" i="4"/>
  <c r="C190" i="4"/>
  <c r="B191" i="4"/>
  <c r="C191" i="4"/>
  <c r="B192" i="4"/>
  <c r="C192" i="4"/>
  <c r="C189" i="4"/>
  <c r="B189" i="4"/>
  <c r="B188" i="4"/>
  <c r="C188" i="4"/>
  <c r="L192" i="4" l="1"/>
  <c r="M188" i="4"/>
  <c r="L191" i="4"/>
  <c r="L193" i="4"/>
  <c r="L190" i="4"/>
  <c r="L189" i="4"/>
  <c r="M194" i="4"/>
  <c r="M195" i="4"/>
  <c r="P184" i="4"/>
  <c r="P185" i="4"/>
  <c r="P186" i="4"/>
  <c r="P187" i="4"/>
  <c r="K187" i="4"/>
  <c r="M187" i="4" s="1"/>
  <c r="K186" i="4"/>
  <c r="L186" i="4" s="1"/>
  <c r="K185" i="4"/>
  <c r="M185" i="4" s="1"/>
  <c r="K184" i="4"/>
  <c r="M184" i="4" s="1"/>
  <c r="B184" i="4"/>
  <c r="C184" i="4"/>
  <c r="B185" i="4"/>
  <c r="C185" i="4"/>
  <c r="B186" i="4"/>
  <c r="C186" i="4"/>
  <c r="B187" i="4"/>
  <c r="C187" i="4"/>
  <c r="P181" i="4"/>
  <c r="P183" i="4"/>
  <c r="P182" i="4"/>
  <c r="K183" i="4"/>
  <c r="M183" i="4" s="1"/>
  <c r="K182" i="4"/>
  <c r="L182" i="4" s="1"/>
  <c r="K181" i="4"/>
  <c r="M181" i="4" s="1"/>
  <c r="B181" i="4"/>
  <c r="C181" i="4"/>
  <c r="B182" i="4"/>
  <c r="C182" i="4"/>
  <c r="B183" i="4"/>
  <c r="C183" i="4"/>
  <c r="L181" i="4" l="1"/>
  <c r="L183" i="4"/>
  <c r="M182" i="4"/>
  <c r="L185" i="4"/>
  <c r="L187" i="4"/>
  <c r="M186" i="4"/>
  <c r="L184" i="4"/>
  <c r="K178" i="4"/>
  <c r="L178" i="4" s="1"/>
  <c r="K179" i="4"/>
  <c r="L179" i="4" s="1"/>
  <c r="K180" i="4"/>
  <c r="M180" i="4" s="1"/>
  <c r="M179" i="4" l="1"/>
  <c r="L180" i="4"/>
  <c r="M178" i="4"/>
  <c r="C180" i="4"/>
  <c r="B180" i="4"/>
  <c r="C179" i="4"/>
  <c r="B179" i="4"/>
  <c r="B178" i="4"/>
  <c r="C178" i="4"/>
  <c r="O131" i="4"/>
  <c r="O132" i="4"/>
  <c r="O133" i="4"/>
  <c r="O67" i="4"/>
  <c r="O68" i="4"/>
  <c r="O69" i="4"/>
  <c r="O70" i="4"/>
  <c r="O62" i="4"/>
  <c r="O63" i="4"/>
  <c r="O64" i="4"/>
  <c r="O65" i="4"/>
  <c r="O66" i="4"/>
  <c r="O53" i="4"/>
  <c r="O54" i="4"/>
  <c r="O55" i="4"/>
  <c r="O56" i="4"/>
  <c r="O57" i="4"/>
  <c r="O58" i="4"/>
  <c r="O59" i="4"/>
  <c r="O177" i="4"/>
  <c r="P177" i="4" s="1"/>
  <c r="K177" i="4"/>
  <c r="M177" i="4" s="1"/>
  <c r="C177" i="4"/>
  <c r="B177" i="4"/>
  <c r="O176" i="4"/>
  <c r="P176" i="4" s="1"/>
  <c r="K176" i="4"/>
  <c r="M176" i="4" s="1"/>
  <c r="C176" i="4"/>
  <c r="B176" i="4"/>
  <c r="O175" i="4"/>
  <c r="P175" i="4" s="1"/>
  <c r="K175" i="4"/>
  <c r="M175" i="4" s="1"/>
  <c r="C175" i="4"/>
  <c r="B175" i="4"/>
  <c r="O174" i="4"/>
  <c r="P174" i="4" s="1"/>
  <c r="K174" i="4"/>
  <c r="L174" i="4" s="1"/>
  <c r="C174" i="4"/>
  <c r="B174" i="4"/>
  <c r="O173" i="4"/>
  <c r="P173" i="4" s="1"/>
  <c r="K173" i="4"/>
  <c r="L173" i="4" s="1"/>
  <c r="C173" i="4"/>
  <c r="B173" i="4"/>
  <c r="O172" i="4"/>
  <c r="P172" i="4" s="1"/>
  <c r="K172" i="4"/>
  <c r="M172" i="4" s="1"/>
  <c r="C172" i="4"/>
  <c r="B172" i="4"/>
  <c r="O171" i="4"/>
  <c r="P171" i="4" s="1"/>
  <c r="K171" i="4"/>
  <c r="M171" i="4" s="1"/>
  <c r="C171" i="4"/>
  <c r="B171" i="4"/>
  <c r="O170" i="4"/>
  <c r="P170" i="4" s="1"/>
  <c r="K170" i="4"/>
  <c r="M170" i="4" s="1"/>
  <c r="C170" i="4"/>
  <c r="B170" i="4"/>
  <c r="O169" i="4"/>
  <c r="P169" i="4" s="1"/>
  <c r="K169" i="4"/>
  <c r="M169" i="4" s="1"/>
  <c r="C169" i="4"/>
  <c r="B169" i="4"/>
  <c r="O168" i="4"/>
  <c r="P168" i="4" s="1"/>
  <c r="K168" i="4"/>
  <c r="M168" i="4" s="1"/>
  <c r="C168" i="4"/>
  <c r="B168" i="4"/>
  <c r="O167" i="4"/>
  <c r="P167" i="4" s="1"/>
  <c r="K167" i="4"/>
  <c r="M167" i="4" s="1"/>
  <c r="C167" i="4"/>
  <c r="B167" i="4"/>
  <c r="O166" i="4"/>
  <c r="P166" i="4" s="1"/>
  <c r="K166" i="4"/>
  <c r="M166" i="4" s="1"/>
  <c r="C166" i="4"/>
  <c r="B166" i="4"/>
  <c r="O165" i="4"/>
  <c r="P165" i="4" s="1"/>
  <c r="K165" i="4"/>
  <c r="M165" i="4" s="1"/>
  <c r="C165" i="4"/>
  <c r="B165" i="4"/>
  <c r="O164" i="4"/>
  <c r="P164" i="4" s="1"/>
  <c r="K164" i="4"/>
  <c r="M164" i="4" s="1"/>
  <c r="C164" i="4"/>
  <c r="B164" i="4"/>
  <c r="O163" i="4"/>
  <c r="P163" i="4" s="1"/>
  <c r="K163" i="4"/>
  <c r="M163" i="4" s="1"/>
  <c r="C163" i="4"/>
  <c r="B163" i="4"/>
  <c r="O162" i="4"/>
  <c r="P162" i="4" s="1"/>
  <c r="K162" i="4"/>
  <c r="M162" i="4" s="1"/>
  <c r="C162" i="4"/>
  <c r="B162" i="4"/>
  <c r="O161" i="4"/>
  <c r="P161" i="4" s="1"/>
  <c r="K161" i="4"/>
  <c r="M161" i="4" s="1"/>
  <c r="C161" i="4"/>
  <c r="B161" i="4"/>
  <c r="O160" i="4"/>
  <c r="P160" i="4" s="1"/>
  <c r="K160" i="4"/>
  <c r="M160" i="4" s="1"/>
  <c r="C160" i="4"/>
  <c r="B160" i="4"/>
  <c r="O159" i="4"/>
  <c r="P159" i="4" s="1"/>
  <c r="K159" i="4"/>
  <c r="M159" i="4" s="1"/>
  <c r="C159" i="4"/>
  <c r="B159" i="4"/>
  <c r="O158" i="4"/>
  <c r="P158" i="4" s="1"/>
  <c r="K158" i="4"/>
  <c r="M158" i="4" s="1"/>
  <c r="C158" i="4"/>
  <c r="B158" i="4"/>
  <c r="O157" i="4"/>
  <c r="P157" i="4" s="1"/>
  <c r="K157" i="4"/>
  <c r="L157" i="4" s="1"/>
  <c r="C157" i="4"/>
  <c r="B157" i="4"/>
  <c r="O156" i="4"/>
  <c r="P156" i="4" s="1"/>
  <c r="K156" i="4"/>
  <c r="L156" i="4" s="1"/>
  <c r="C156" i="4"/>
  <c r="B156" i="4"/>
  <c r="O155" i="4"/>
  <c r="P155" i="4" s="1"/>
  <c r="K155" i="4"/>
  <c r="L155" i="4" s="1"/>
  <c r="C155" i="4"/>
  <c r="B155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2" i="4"/>
  <c r="M155" i="4" l="1"/>
  <c r="M173" i="4"/>
  <c r="M156" i="4"/>
  <c r="M174" i="4"/>
  <c r="M157" i="4"/>
  <c r="L177" i="4"/>
  <c r="L172" i="4"/>
  <c r="L176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5" i="4"/>
  <c r="P151" i="4" l="1"/>
  <c r="P152" i="4"/>
  <c r="P153" i="4"/>
  <c r="P154" i="4"/>
  <c r="K148" i="4"/>
  <c r="M148" i="4" s="1"/>
  <c r="K149" i="4"/>
  <c r="L149" i="4" s="1"/>
  <c r="K150" i="4"/>
  <c r="L150" i="4" s="1"/>
  <c r="K151" i="4"/>
  <c r="M151" i="4" s="1"/>
  <c r="K152" i="4"/>
  <c r="M152" i="4" s="1"/>
  <c r="K153" i="4"/>
  <c r="L153" i="4" s="1"/>
  <c r="K154" i="4"/>
  <c r="L154" i="4" s="1"/>
  <c r="B151" i="4"/>
  <c r="B152" i="4"/>
  <c r="B153" i="4"/>
  <c r="B154" i="4"/>
  <c r="B150" i="4"/>
  <c r="B149" i="4"/>
  <c r="B148" i="4"/>
  <c r="M150" i="4" l="1"/>
  <c r="L148" i="4"/>
  <c r="L151" i="4"/>
  <c r="M154" i="4"/>
  <c r="L152" i="4"/>
  <c r="M153" i="4"/>
  <c r="M149" i="4"/>
  <c r="P147" i="4"/>
  <c r="K147" i="4"/>
  <c r="M147" i="4" s="1"/>
  <c r="B147" i="4"/>
  <c r="L147" i="4" l="1"/>
  <c r="P145" i="4" l="1"/>
  <c r="P146" i="4"/>
  <c r="K145" i="4"/>
  <c r="M145" i="4" s="1"/>
  <c r="K146" i="4"/>
  <c r="L146" i="4" s="1"/>
  <c r="L145" i="4" l="1"/>
  <c r="M146" i="4"/>
  <c r="B146" i="4" l="1"/>
  <c r="B138" i="4"/>
  <c r="B139" i="4"/>
  <c r="B140" i="4"/>
  <c r="B141" i="4"/>
  <c r="B142" i="4"/>
  <c r="B143" i="4"/>
  <c r="B144" i="4"/>
  <c r="B145" i="4"/>
  <c r="P144" i="4" l="1"/>
  <c r="K144" i="4"/>
  <c r="M144" i="4" s="1"/>
  <c r="K143" i="4"/>
  <c r="K142" i="4"/>
  <c r="K141" i="4"/>
  <c r="K140" i="4"/>
  <c r="L144" i="4" l="1"/>
  <c r="L143" i="4"/>
  <c r="M143" i="4"/>
  <c r="L140" i="4"/>
  <c r="M140" i="4"/>
  <c r="L141" i="4"/>
  <c r="M141" i="4"/>
  <c r="L142" i="4"/>
  <c r="M142" i="4"/>
  <c r="P143" i="4"/>
  <c r="P42" i="4" l="1"/>
  <c r="P43" i="4"/>
  <c r="P44" i="4"/>
  <c r="P45" i="4"/>
  <c r="P46" i="4"/>
  <c r="P53" i="4"/>
  <c r="P54" i="4"/>
  <c r="P55" i="4"/>
  <c r="P56" i="4"/>
  <c r="P57" i="4"/>
  <c r="P58" i="4"/>
  <c r="P59" i="4"/>
  <c r="P62" i="4"/>
  <c r="P63" i="4"/>
  <c r="P64" i="4"/>
  <c r="P65" i="4"/>
  <c r="P66" i="4"/>
  <c r="P67" i="4"/>
  <c r="P68" i="4"/>
  <c r="P69" i="4"/>
  <c r="P70" i="4"/>
  <c r="P78" i="4"/>
  <c r="P79" i="4"/>
  <c r="P80" i="4"/>
  <c r="P81" i="4"/>
  <c r="P82" i="4"/>
  <c r="P83" i="4"/>
  <c r="P84" i="4"/>
  <c r="P87" i="4"/>
  <c r="P88" i="4"/>
  <c r="P89" i="4"/>
  <c r="P97" i="4"/>
  <c r="P98" i="4"/>
  <c r="P99" i="4"/>
  <c r="P100" i="4"/>
  <c r="P106" i="4"/>
  <c r="P107" i="4"/>
  <c r="P108" i="4"/>
  <c r="P109" i="4"/>
  <c r="P114" i="4"/>
  <c r="P115" i="4"/>
  <c r="P117" i="4"/>
  <c r="P118" i="4"/>
  <c r="P119" i="4"/>
  <c r="P120" i="4"/>
  <c r="P121" i="4"/>
  <c r="P122" i="4"/>
  <c r="P123" i="4"/>
  <c r="P124" i="4"/>
  <c r="P125" i="4"/>
  <c r="P126" i="4"/>
  <c r="P127" i="4"/>
  <c r="P135" i="4"/>
  <c r="P136" i="4"/>
  <c r="P137" i="4"/>
  <c r="P138" i="4"/>
  <c r="P139" i="4"/>
  <c r="P140" i="4"/>
  <c r="P141" i="4"/>
  <c r="P142" i="4"/>
  <c r="P131" i="4"/>
  <c r="P132" i="4"/>
  <c r="P133" i="4"/>
  <c r="P134" i="4"/>
  <c r="O130" i="4"/>
  <c r="P130" i="4" s="1"/>
  <c r="O129" i="4"/>
  <c r="P129" i="4" s="1"/>
  <c r="O128" i="4"/>
  <c r="P128" i="4" s="1"/>
  <c r="O116" i="4" l="1"/>
  <c r="P116" i="4" s="1"/>
  <c r="O113" i="4"/>
  <c r="P113" i="4" s="1"/>
  <c r="O112" i="4"/>
  <c r="P112" i="4" s="1"/>
  <c r="O111" i="4"/>
  <c r="P111" i="4" s="1"/>
  <c r="O110" i="4"/>
  <c r="P110" i="4" s="1"/>
  <c r="O4" i="4"/>
  <c r="P4" i="4" s="1"/>
  <c r="O5" i="4"/>
  <c r="P5" i="4" s="1"/>
  <c r="O6" i="4"/>
  <c r="P6" i="4" s="1"/>
  <c r="O7" i="4"/>
  <c r="P7" i="4" s="1"/>
  <c r="O8" i="4"/>
  <c r="P8" i="4" s="1"/>
  <c r="O9" i="4"/>
  <c r="P9" i="4" s="1"/>
  <c r="O10" i="4"/>
  <c r="P10" i="4" s="1"/>
  <c r="O11" i="4"/>
  <c r="P11" i="4" s="1"/>
  <c r="O12" i="4"/>
  <c r="P12" i="4" s="1"/>
  <c r="O13" i="4"/>
  <c r="P13" i="4" s="1"/>
  <c r="O14" i="4"/>
  <c r="P14" i="4" s="1"/>
  <c r="O15" i="4"/>
  <c r="P15" i="4" s="1"/>
  <c r="O16" i="4"/>
  <c r="P16" i="4" s="1"/>
  <c r="O17" i="4"/>
  <c r="P17" i="4" s="1"/>
  <c r="O18" i="4"/>
  <c r="P18" i="4" s="1"/>
  <c r="O19" i="4"/>
  <c r="P19" i="4" s="1"/>
  <c r="O20" i="4"/>
  <c r="P20" i="4" s="1"/>
  <c r="O21" i="4"/>
  <c r="P21" i="4" s="1"/>
  <c r="O22" i="4"/>
  <c r="P22" i="4" s="1"/>
  <c r="O23" i="4"/>
  <c r="P23" i="4" s="1"/>
  <c r="O24" i="4"/>
  <c r="P24" i="4" s="1"/>
  <c r="O25" i="4"/>
  <c r="P25" i="4" s="1"/>
  <c r="O26" i="4"/>
  <c r="P26" i="4" s="1"/>
  <c r="O27" i="4"/>
  <c r="P27" i="4" s="1"/>
  <c r="O28" i="4"/>
  <c r="P28" i="4" s="1"/>
  <c r="O29" i="4"/>
  <c r="P29" i="4" s="1"/>
  <c r="P30" i="4"/>
  <c r="O31" i="4"/>
  <c r="P31" i="4" s="1"/>
  <c r="O32" i="4"/>
  <c r="P32" i="4" s="1"/>
  <c r="O33" i="4"/>
  <c r="P33" i="4" s="1"/>
  <c r="O34" i="4"/>
  <c r="P34" i="4" s="1"/>
  <c r="O35" i="4"/>
  <c r="P35" i="4" s="1"/>
  <c r="O36" i="4"/>
  <c r="P36" i="4" s="1"/>
  <c r="O37" i="4"/>
  <c r="P37" i="4" s="1"/>
  <c r="O38" i="4"/>
  <c r="P38" i="4" s="1"/>
  <c r="O39" i="4"/>
  <c r="P39" i="4" s="1"/>
  <c r="O40" i="4"/>
  <c r="P40" i="4" s="1"/>
  <c r="O41" i="4"/>
  <c r="P41" i="4" s="1"/>
  <c r="O47" i="4"/>
  <c r="P47" i="4" s="1"/>
  <c r="O48" i="4"/>
  <c r="P48" i="4" s="1"/>
  <c r="O49" i="4"/>
  <c r="P49" i="4" s="1"/>
  <c r="O50" i="4"/>
  <c r="P50" i="4" s="1"/>
  <c r="O51" i="4"/>
  <c r="P51" i="4" s="1"/>
  <c r="O52" i="4"/>
  <c r="P52" i="4" s="1"/>
  <c r="O60" i="4"/>
  <c r="P60" i="4" s="1"/>
  <c r="O61" i="4"/>
  <c r="P61" i="4" s="1"/>
  <c r="O71" i="4"/>
  <c r="P71" i="4" s="1"/>
  <c r="O72" i="4"/>
  <c r="P72" i="4" s="1"/>
  <c r="O73" i="4"/>
  <c r="P73" i="4" s="1"/>
  <c r="O74" i="4"/>
  <c r="P74" i="4" s="1"/>
  <c r="O75" i="4"/>
  <c r="P75" i="4" s="1"/>
  <c r="O76" i="4"/>
  <c r="P76" i="4" s="1"/>
  <c r="O77" i="4"/>
  <c r="P77" i="4" s="1"/>
  <c r="O85" i="4"/>
  <c r="P85" i="4" s="1"/>
  <c r="O86" i="4"/>
  <c r="P86" i="4" s="1"/>
  <c r="O90" i="4"/>
  <c r="P90" i="4" s="1"/>
  <c r="O91" i="4"/>
  <c r="P91" i="4" s="1"/>
  <c r="O92" i="4"/>
  <c r="P92" i="4" s="1"/>
  <c r="O93" i="4"/>
  <c r="P93" i="4" s="1"/>
  <c r="O94" i="4"/>
  <c r="P94" i="4" s="1"/>
  <c r="O95" i="4"/>
  <c r="P95" i="4" s="1"/>
  <c r="O96" i="4"/>
  <c r="P96" i="4" s="1"/>
  <c r="O101" i="4"/>
  <c r="P101" i="4" s="1"/>
  <c r="O102" i="4"/>
  <c r="P102" i="4" s="1"/>
  <c r="O103" i="4"/>
  <c r="P103" i="4" s="1"/>
  <c r="O104" i="4"/>
  <c r="P104" i="4" s="1"/>
  <c r="O105" i="4"/>
  <c r="P105" i="4" s="1"/>
  <c r="O3" i="4"/>
  <c r="P3" i="4" s="1"/>
  <c r="O2" i="4"/>
  <c r="O2774" i="4" l="1"/>
  <c r="P2" i="4"/>
  <c r="K139" i="4"/>
  <c r="K138" i="4"/>
  <c r="O2778" i="4" l="1"/>
  <c r="O2781" i="4" s="1"/>
  <c r="Q2774" i="4"/>
  <c r="L139" i="4"/>
  <c r="M139" i="4"/>
  <c r="M138" i="4"/>
  <c r="L138" i="4"/>
  <c r="K135" i="4"/>
  <c r="M135" i="4" s="1"/>
  <c r="K136" i="4"/>
  <c r="K137" i="4"/>
  <c r="L137" i="4" s="1"/>
  <c r="B137" i="4"/>
  <c r="M136" i="4" l="1"/>
  <c r="L136" i="4"/>
  <c r="M137" i="4"/>
  <c r="L135" i="4"/>
  <c r="B135" i="4" l="1"/>
  <c r="B136" i="4"/>
  <c r="K131" i="4" l="1"/>
  <c r="K132" i="4"/>
  <c r="L132" i="4" s="1"/>
  <c r="K133" i="4"/>
  <c r="L133" i="4" s="1"/>
  <c r="K134" i="4"/>
  <c r="B132" i="4"/>
  <c r="B133" i="4"/>
  <c r="B134" i="4"/>
  <c r="K129" i="4"/>
  <c r="M129" i="4" s="1"/>
  <c r="K130" i="4"/>
  <c r="M130" i="4" s="1"/>
  <c r="B130" i="4"/>
  <c r="B131" i="4"/>
  <c r="B129" i="4"/>
  <c r="L129" i="4" l="1"/>
  <c r="M134" i="4"/>
  <c r="L134" i="4"/>
  <c r="M131" i="4"/>
  <c r="L131" i="4"/>
  <c r="M132" i="4"/>
  <c r="M133" i="4"/>
  <c r="L130" i="4"/>
  <c r="K128" i="4" l="1"/>
  <c r="L128" i="4" s="1"/>
  <c r="B128" i="4"/>
  <c r="M128" i="4" l="1"/>
  <c r="K124" i="4"/>
  <c r="K125" i="4"/>
  <c r="K126" i="4"/>
  <c r="K127" i="4"/>
  <c r="B125" i="4"/>
  <c r="B126" i="4"/>
  <c r="B127" i="4"/>
  <c r="B124" i="4"/>
  <c r="L127" i="4" l="1"/>
  <c r="M127" i="4"/>
  <c r="L126" i="4"/>
  <c r="M126" i="4"/>
  <c r="L125" i="4"/>
  <c r="M125" i="4"/>
  <c r="L124" i="4"/>
  <c r="M124" i="4"/>
  <c r="K123" i="4"/>
  <c r="B123" i="4"/>
  <c r="K118" i="4"/>
  <c r="L118" i="4" s="1"/>
  <c r="K119" i="4"/>
  <c r="L119" i="4" s="1"/>
  <c r="K120" i="4"/>
  <c r="K121" i="4"/>
  <c r="L121" i="4" s="1"/>
  <c r="K122" i="4"/>
  <c r="L122" i="4" s="1"/>
  <c r="B119" i="4"/>
  <c r="B120" i="4"/>
  <c r="B121" i="4"/>
  <c r="B122" i="4"/>
  <c r="B118" i="4"/>
  <c r="M118" i="4" l="1"/>
  <c r="M120" i="4"/>
  <c r="L120" i="4"/>
  <c r="M122" i="4"/>
  <c r="M123" i="4"/>
  <c r="L123" i="4"/>
  <c r="M119" i="4"/>
  <c r="M121" i="4"/>
  <c r="K117" i="4"/>
  <c r="B117" i="4"/>
  <c r="M117" i="4" l="1"/>
  <c r="L117" i="4"/>
  <c r="K116" i="4"/>
  <c r="B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2" i="4"/>
  <c r="M116" i="4" l="1"/>
  <c r="L116" i="4"/>
  <c r="K115" i="4"/>
  <c r="L115" i="4" s="1"/>
  <c r="K114" i="4"/>
  <c r="L114" i="4" s="1"/>
  <c r="K113" i="4"/>
  <c r="L113" i="4" s="1"/>
  <c r="K112" i="4"/>
  <c r="L112" i="4" s="1"/>
  <c r="K111" i="4"/>
  <c r="K110" i="4"/>
  <c r="L110" i="4" s="1"/>
  <c r="K109" i="4"/>
  <c r="L109" i="4" s="1"/>
  <c r="K108" i="4"/>
  <c r="L108" i="4" s="1"/>
  <c r="K107" i="4"/>
  <c r="L107" i="4" s="1"/>
  <c r="K106" i="4"/>
  <c r="L106" i="4" s="1"/>
  <c r="M112" i="4" l="1"/>
  <c r="M114" i="4"/>
  <c r="M111" i="4"/>
  <c r="L111" i="4"/>
  <c r="M115" i="4"/>
  <c r="M113" i="4"/>
  <c r="M110" i="4"/>
  <c r="M109" i="4"/>
  <c r="M108" i="4"/>
  <c r="M107" i="4"/>
  <c r="M106" i="4"/>
  <c r="K105" i="4"/>
  <c r="L105" i="4" s="1"/>
  <c r="K104" i="4"/>
  <c r="L104" i="4" s="1"/>
  <c r="K103" i="4"/>
  <c r="L103" i="4" s="1"/>
  <c r="K102" i="4"/>
  <c r="L102" i="4" s="1"/>
  <c r="K101" i="4"/>
  <c r="L101" i="4" s="1"/>
  <c r="K100" i="4"/>
  <c r="L100" i="4" s="1"/>
  <c r="K99" i="4"/>
  <c r="L99" i="4" s="1"/>
  <c r="K98" i="4"/>
  <c r="L98" i="4" s="1"/>
  <c r="K97" i="4"/>
  <c r="L97" i="4" s="1"/>
  <c r="K96" i="4"/>
  <c r="L96" i="4" s="1"/>
  <c r="K95" i="4"/>
  <c r="L95" i="4" s="1"/>
  <c r="K94" i="4"/>
  <c r="L94" i="4" s="1"/>
  <c r="K93" i="4"/>
  <c r="M93" i="4" s="1"/>
  <c r="K92" i="4"/>
  <c r="L92" i="4" s="1"/>
  <c r="K91" i="4"/>
  <c r="L91" i="4" s="1"/>
  <c r="K90" i="4"/>
  <c r="L90" i="4" s="1"/>
  <c r="K89" i="4"/>
  <c r="L89" i="4" s="1"/>
  <c r="K88" i="4"/>
  <c r="L88" i="4" s="1"/>
  <c r="K87" i="4"/>
  <c r="L87" i="4" s="1"/>
  <c r="K86" i="4"/>
  <c r="L86" i="4" s="1"/>
  <c r="K85" i="4"/>
  <c r="L85" i="4" s="1"/>
  <c r="K84" i="4"/>
  <c r="L84" i="4" s="1"/>
  <c r="K83" i="4"/>
  <c r="L83" i="4" s="1"/>
  <c r="K82" i="4"/>
  <c r="L82" i="4" s="1"/>
  <c r="K81" i="4"/>
  <c r="L81" i="4" s="1"/>
  <c r="K80" i="4"/>
  <c r="L80" i="4" s="1"/>
  <c r="K79" i="4"/>
  <c r="L79" i="4" s="1"/>
  <c r="K78" i="4"/>
  <c r="L78" i="4" s="1"/>
  <c r="K77" i="4"/>
  <c r="M77" i="4" s="1"/>
  <c r="K76" i="4"/>
  <c r="L76" i="4" s="1"/>
  <c r="K75" i="4"/>
  <c r="L75" i="4" s="1"/>
  <c r="K74" i="4"/>
  <c r="L74" i="4" s="1"/>
  <c r="K73" i="4"/>
  <c r="L73" i="4" s="1"/>
  <c r="K72" i="4"/>
  <c r="L72" i="4" s="1"/>
  <c r="K71" i="4"/>
  <c r="L71" i="4" s="1"/>
  <c r="K70" i="4"/>
  <c r="L70" i="4" s="1"/>
  <c r="K69" i="4"/>
  <c r="L69" i="4" s="1"/>
  <c r="K68" i="4"/>
  <c r="L68" i="4" s="1"/>
  <c r="K67" i="4"/>
  <c r="L67" i="4" s="1"/>
  <c r="K66" i="4"/>
  <c r="L66" i="4" s="1"/>
  <c r="K65" i="4"/>
  <c r="M65" i="4" s="1"/>
  <c r="K64" i="4"/>
  <c r="M64" i="4" s="1"/>
  <c r="K63" i="4"/>
  <c r="M63" i="4" s="1"/>
  <c r="K62" i="4"/>
  <c r="L62" i="4" s="1"/>
  <c r="K61" i="4"/>
  <c r="M61" i="4" s="1"/>
  <c r="K60" i="4"/>
  <c r="M60" i="4" s="1"/>
  <c r="K59" i="4"/>
  <c r="M59" i="4" s="1"/>
  <c r="K58" i="4"/>
  <c r="L58" i="4" s="1"/>
  <c r="K57" i="4"/>
  <c r="M57" i="4" s="1"/>
  <c r="K56" i="4"/>
  <c r="M56" i="4" s="1"/>
  <c r="K55" i="4"/>
  <c r="M55" i="4" s="1"/>
  <c r="K54" i="4"/>
  <c r="M54" i="4" s="1"/>
  <c r="K53" i="4"/>
  <c r="M53" i="4" s="1"/>
  <c r="K52" i="4"/>
  <c r="M52" i="4" s="1"/>
  <c r="K51" i="4"/>
  <c r="M51" i="4" s="1"/>
  <c r="K50" i="4"/>
  <c r="L50" i="4" s="1"/>
  <c r="K49" i="4"/>
  <c r="M49" i="4" s="1"/>
  <c r="K48" i="4"/>
  <c r="M48" i="4" s="1"/>
  <c r="K47" i="4"/>
  <c r="M47" i="4" s="1"/>
  <c r="K46" i="4"/>
  <c r="L46" i="4" s="1"/>
  <c r="K45" i="4"/>
  <c r="M45" i="4" s="1"/>
  <c r="K44" i="4"/>
  <c r="M44" i="4" s="1"/>
  <c r="K43" i="4"/>
  <c r="M43" i="4" s="1"/>
  <c r="K42" i="4"/>
  <c r="L42" i="4" s="1"/>
  <c r="K41" i="4"/>
  <c r="M41" i="4" s="1"/>
  <c r="K40" i="4"/>
  <c r="M40" i="4" s="1"/>
  <c r="K39" i="4"/>
  <c r="M39" i="4" s="1"/>
  <c r="K38" i="4"/>
  <c r="M38" i="4" s="1"/>
  <c r="K37" i="4"/>
  <c r="M37" i="4" s="1"/>
  <c r="K36" i="4"/>
  <c r="M36" i="4" s="1"/>
  <c r="K35" i="4"/>
  <c r="M35" i="4" s="1"/>
  <c r="K34" i="4"/>
  <c r="L34" i="4" s="1"/>
  <c r="K33" i="4"/>
  <c r="M33" i="4" s="1"/>
  <c r="K32" i="4"/>
  <c r="M32" i="4" s="1"/>
  <c r="K31" i="4"/>
  <c r="M31" i="4" s="1"/>
  <c r="K30" i="4"/>
  <c r="L30" i="4" s="1"/>
  <c r="K29" i="4"/>
  <c r="M29" i="4" s="1"/>
  <c r="K28" i="4"/>
  <c r="M28" i="4" s="1"/>
  <c r="K27" i="4"/>
  <c r="M27" i="4" s="1"/>
  <c r="K26" i="4"/>
  <c r="L26" i="4" s="1"/>
  <c r="K25" i="4"/>
  <c r="M25" i="4" s="1"/>
  <c r="K24" i="4"/>
  <c r="M24" i="4" s="1"/>
  <c r="K23" i="4"/>
  <c r="M23" i="4" s="1"/>
  <c r="K22" i="4"/>
  <c r="M22" i="4" s="1"/>
  <c r="K21" i="4"/>
  <c r="M21" i="4" s="1"/>
  <c r="K20" i="4"/>
  <c r="M20" i="4" s="1"/>
  <c r="K19" i="4"/>
  <c r="M19" i="4" s="1"/>
  <c r="K18" i="4"/>
  <c r="L18" i="4" s="1"/>
  <c r="K17" i="4"/>
  <c r="M17" i="4" s="1"/>
  <c r="K16" i="4"/>
  <c r="M16" i="4" s="1"/>
  <c r="K15" i="4"/>
  <c r="M15" i="4" s="1"/>
  <c r="K14" i="4"/>
  <c r="L14" i="4" s="1"/>
  <c r="K13" i="4"/>
  <c r="M13" i="4" s="1"/>
  <c r="K12" i="4"/>
  <c r="M12" i="4" s="1"/>
  <c r="K11" i="4"/>
  <c r="M11" i="4" s="1"/>
  <c r="K10" i="4"/>
  <c r="L10" i="4" s="1"/>
  <c r="K9" i="4"/>
  <c r="M9" i="4" s="1"/>
  <c r="K8" i="4"/>
  <c r="M8" i="4" s="1"/>
  <c r="K7" i="4"/>
  <c r="M7" i="4" s="1"/>
  <c r="K6" i="4"/>
  <c r="M6" i="4" s="1"/>
  <c r="K5" i="4"/>
  <c r="M5" i="4" s="1"/>
  <c r="K4" i="4"/>
  <c r="M4" i="4" s="1"/>
  <c r="K3" i="4"/>
  <c r="M3" i="4" s="1"/>
  <c r="Q2" i="4"/>
  <c r="M2" i="4"/>
  <c r="M66" i="4" l="1"/>
  <c r="L6" i="4"/>
  <c r="M50" i="4"/>
  <c r="L22" i="4"/>
  <c r="L54" i="4"/>
  <c r="M98" i="4"/>
  <c r="M34" i="4"/>
  <c r="L38" i="4"/>
  <c r="M82" i="4"/>
  <c r="M18" i="4"/>
  <c r="M103" i="4"/>
  <c r="M94" i="4"/>
  <c r="M78" i="4"/>
  <c r="M62" i="4"/>
  <c r="M46" i="4"/>
  <c r="M30" i="4"/>
  <c r="M14" i="4"/>
  <c r="M102" i="4"/>
  <c r="M90" i="4"/>
  <c r="M74" i="4"/>
  <c r="M58" i="4"/>
  <c r="M42" i="4"/>
  <c r="M26" i="4"/>
  <c r="M10" i="4"/>
  <c r="M99" i="4"/>
  <c r="M86" i="4"/>
  <c r="M70" i="4"/>
  <c r="L2" i="4"/>
  <c r="L93" i="4"/>
  <c r="L77" i="4"/>
  <c r="L65" i="4"/>
  <c r="L61" i="4"/>
  <c r="L57" i="4"/>
  <c r="L53" i="4"/>
  <c r="L49" i="4"/>
  <c r="L45" i="4"/>
  <c r="L41" i="4"/>
  <c r="L37" i="4"/>
  <c r="L33" i="4"/>
  <c r="L29" i="4"/>
  <c r="L25" i="4"/>
  <c r="L21" i="4"/>
  <c r="L17" i="4"/>
  <c r="L13" i="4"/>
  <c r="L9" i="4"/>
  <c r="L5" i="4"/>
  <c r="M105" i="4"/>
  <c r="M101" i="4"/>
  <c r="M97" i="4"/>
  <c r="M89" i="4"/>
  <c r="M85" i="4"/>
  <c r="M81" i="4"/>
  <c r="M73" i="4"/>
  <c r="M69" i="4"/>
  <c r="L64" i="4"/>
  <c r="L60" i="4"/>
  <c r="L56" i="4"/>
  <c r="L52" i="4"/>
  <c r="L48" i="4"/>
  <c r="L44" i="4"/>
  <c r="L40" i="4"/>
  <c r="L36" i="4"/>
  <c r="L32" i="4"/>
  <c r="L28" i="4"/>
  <c r="L24" i="4"/>
  <c r="L20" i="4"/>
  <c r="L16" i="4"/>
  <c r="L12" i="4"/>
  <c r="L8" i="4"/>
  <c r="L4" i="4"/>
  <c r="M104" i="4"/>
  <c r="M100" i="4"/>
  <c r="M96" i="4"/>
  <c r="M92" i="4"/>
  <c r="M88" i="4"/>
  <c r="M84" i="4"/>
  <c r="M80" i="4"/>
  <c r="M76" i="4"/>
  <c r="M72" i="4"/>
  <c r="M68" i="4"/>
  <c r="L63" i="4"/>
  <c r="L59" i="4"/>
  <c r="L55" i="4"/>
  <c r="L51" i="4"/>
  <c r="L47" i="4"/>
  <c r="L43" i="4"/>
  <c r="L39" i="4"/>
  <c r="L35" i="4"/>
  <c r="L31" i="4"/>
  <c r="L27" i="4"/>
  <c r="L23" i="4"/>
  <c r="L19" i="4"/>
  <c r="L15" i="4"/>
  <c r="L11" i="4"/>
  <c r="L7" i="4"/>
  <c r="L3" i="4"/>
  <c r="M95" i="4"/>
  <c r="M91" i="4"/>
  <c r="M87" i="4"/>
  <c r="M83" i="4"/>
  <c r="M79" i="4"/>
  <c r="M75" i="4"/>
  <c r="M71" i="4"/>
  <c r="M67" i="4"/>
  <c r="Q3" i="4" l="1"/>
  <c r="Q4" i="4" s="1"/>
  <c r="Q5" i="4" s="1"/>
  <c r="Q6" i="4" s="1"/>
  <c r="Q7" i="4" s="1"/>
  <c r="Q8" i="4" s="1"/>
  <c r="Q9" i="4" s="1"/>
  <c r="Q10" i="4" s="1"/>
  <c r="Q11" i="4" s="1"/>
  <c r="Q12" i="4" s="1"/>
  <c r="Q13" i="4" s="1"/>
  <c r="Q14" i="4" s="1"/>
  <c r="Q15" i="4" s="1"/>
  <c r="Q16" i="4" s="1"/>
  <c r="Q17" i="4" s="1"/>
  <c r="Q18" i="4" s="1"/>
  <c r="Q19" i="4" s="1"/>
  <c r="Q20" i="4" s="1"/>
  <c r="Q21" i="4" s="1"/>
  <c r="Q22" i="4" s="1"/>
  <c r="Q23" i="4" s="1"/>
  <c r="Q24" i="4" s="1"/>
  <c r="Q25" i="4" s="1"/>
  <c r="Q26" i="4" s="1"/>
  <c r="Q27" i="4" s="1"/>
  <c r="Q28" i="4" s="1"/>
  <c r="Q29" i="4" s="1"/>
  <c r="Q30" i="4" s="1"/>
  <c r="Q31" i="4" s="1"/>
  <c r="Q32" i="4" s="1"/>
  <c r="Q33" i="4" s="1"/>
  <c r="Q34" i="4" s="1"/>
  <c r="Q35" i="4" s="1"/>
  <c r="Q36" i="4" s="1"/>
  <c r="Q37" i="4" s="1"/>
  <c r="Q38" i="4" s="1"/>
  <c r="Q39" i="4" s="1"/>
  <c r="Q40" i="4" s="1"/>
  <c r="Q41" i="4" s="1"/>
  <c r="Q42" i="4" s="1"/>
  <c r="Q43" i="4" s="1"/>
  <c r="Q44" i="4" s="1"/>
  <c r="Q45" i="4" s="1"/>
  <c r="Q46" i="4" s="1"/>
  <c r="Q47" i="4" s="1"/>
  <c r="Q48" i="4" s="1"/>
  <c r="Q49" i="4" s="1"/>
  <c r="Q50" i="4" s="1"/>
  <c r="Q51" i="4" s="1"/>
  <c r="Q52" i="4" s="1"/>
  <c r="Q53" i="4" s="1"/>
  <c r="Q54" i="4" s="1"/>
  <c r="Q55" i="4" s="1"/>
  <c r="Q56" i="4" s="1"/>
  <c r="Q57" i="4" s="1"/>
  <c r="Q58" i="4" s="1"/>
  <c r="Q59" i="4" s="1"/>
  <c r="Q60" i="4" s="1"/>
  <c r="Q61" i="4" s="1"/>
  <c r="Q62" i="4" s="1"/>
  <c r="Q63" i="4" s="1"/>
  <c r="Q64" i="4" s="1"/>
  <c r="Q65" i="4" s="1"/>
  <c r="Q66" i="4" s="1"/>
  <c r="Q67" i="4" s="1"/>
  <c r="Q68" i="4" s="1"/>
  <c r="Q69" i="4" s="1"/>
  <c r="Q70" i="4" s="1"/>
  <c r="Q71" i="4" s="1"/>
  <c r="Q72" i="4" s="1"/>
  <c r="Q73" i="4" s="1"/>
  <c r="Q74" i="4" s="1"/>
  <c r="Q75" i="4" s="1"/>
  <c r="Q76" i="4" s="1"/>
  <c r="Q77" i="4" s="1"/>
  <c r="Q78" i="4" s="1"/>
  <c r="Q79" i="4" s="1"/>
  <c r="Q80" i="4" s="1"/>
  <c r="Q81" i="4" s="1"/>
  <c r="Q82" i="4" s="1"/>
  <c r="Q83" i="4" s="1"/>
  <c r="Q84" i="4" s="1"/>
  <c r="Q85" i="4" s="1"/>
  <c r="Q86" i="4" s="1"/>
  <c r="Q87" i="4" s="1"/>
  <c r="Q88" i="4" s="1"/>
  <c r="Q89" i="4" s="1"/>
  <c r="Q90" i="4" s="1"/>
  <c r="Q91" i="4" s="1"/>
  <c r="Q92" i="4" s="1"/>
  <c r="Q93" i="4" s="1"/>
  <c r="Q94" i="4" s="1"/>
  <c r="Q95" i="4" s="1"/>
  <c r="Q96" i="4" s="1"/>
  <c r="Q97" i="4" s="1"/>
  <c r="Q98" i="4" s="1"/>
  <c r="Q99" i="4" s="1"/>
  <c r="Q100" i="4" s="1"/>
  <c r="Q101" i="4" s="1"/>
  <c r="Q102" i="4" s="1"/>
  <c r="Q103" i="4" s="1"/>
  <c r="Q104" i="4" s="1"/>
  <c r="Q105" i="4" s="1"/>
  <c r="Q106" i="4" s="1"/>
  <c r="Q107" i="4" s="1"/>
  <c r="Q108" i="4" s="1"/>
  <c r="Q109" i="4" s="1"/>
  <c r="Q110" i="4" s="1"/>
  <c r="Q111" i="4" s="1"/>
  <c r="Q112" i="4" s="1"/>
  <c r="Q113" i="4" s="1"/>
  <c r="Q114" i="4" s="1"/>
  <c r="Q115" i="4" s="1"/>
  <c r="Q116" i="4" s="1"/>
  <c r="Q117" i="4" s="1"/>
  <c r="Q118" i="4" s="1"/>
  <c r="Q119" i="4" s="1"/>
  <c r="Q120" i="4" s="1"/>
  <c r="Q121" i="4" s="1"/>
  <c r="Q122" i="4" s="1"/>
  <c r="Q123" i="4" s="1"/>
  <c r="Q124" i="4" s="1"/>
  <c r="Q125" i="4" s="1"/>
  <c r="Q126" i="4" s="1"/>
  <c r="Q127" i="4" s="1"/>
  <c r="Q128" i="4" s="1"/>
  <c r="Q129" i="4" s="1"/>
  <c r="Q130" i="4" s="1"/>
  <c r="Q131" i="4" s="1"/>
  <c r="Q132" i="4" s="1"/>
  <c r="Q133" i="4" s="1"/>
  <c r="Q134" i="4" s="1"/>
  <c r="Q135" i="4" s="1"/>
  <c r="Q136" i="4" s="1"/>
  <c r="Q137" i="4" s="1"/>
  <c r="Q138" i="4" s="1"/>
  <c r="Q139" i="4" s="1"/>
  <c r="Q140" i="4" s="1"/>
  <c r="Q141" i="4" s="1"/>
  <c r="Q142" i="4" s="1"/>
  <c r="Q143" i="4" s="1"/>
  <c r="Q144" i="4" s="1"/>
  <c r="Q145" i="4" s="1"/>
  <c r="Q146" i="4" s="1"/>
  <c r="Q147" i="4" s="1"/>
  <c r="Q148" i="4" s="1"/>
  <c r="Q149" i="4" s="1"/>
  <c r="Q150" i="4" s="1"/>
  <c r="Q151" i="4" s="1"/>
  <c r="Q152" i="4" s="1"/>
  <c r="Q153" i="4" s="1"/>
  <c r="Q154" i="4" s="1"/>
  <c r="Q155" i="4" s="1"/>
  <c r="Q156" i="4" s="1"/>
  <c r="Q157" i="4" s="1"/>
  <c r="Q158" i="4" s="1"/>
  <c r="Q159" i="4" s="1"/>
  <c r="Q160" i="4" s="1"/>
  <c r="Q161" i="4" s="1"/>
  <c r="Q162" i="4" s="1"/>
  <c r="Q163" i="4" s="1"/>
  <c r="Q164" i="4" s="1"/>
  <c r="Q165" i="4" s="1"/>
  <c r="Q166" i="4" s="1"/>
  <c r="Q167" i="4" s="1"/>
  <c r="Q168" i="4" s="1"/>
  <c r="Q169" i="4" s="1"/>
  <c r="Q170" i="4" s="1"/>
  <c r="Q171" i="4" s="1"/>
  <c r="Q172" i="4" s="1"/>
  <c r="Q173" i="4" s="1"/>
  <c r="Q174" i="4" s="1"/>
  <c r="Q175" i="4" s="1"/>
  <c r="Q176" i="4" s="1"/>
  <c r="Q177" i="4" s="1"/>
  <c r="Q178" i="4" s="1"/>
  <c r="Q179" i="4" s="1"/>
  <c r="Q180" i="4" s="1"/>
  <c r="Q181" i="4" s="1"/>
  <c r="Q182" i="4" s="1"/>
  <c r="Q183" i="4" s="1"/>
  <c r="Q184" i="4" s="1"/>
  <c r="Q185" i="4" s="1"/>
  <c r="Q186" i="4" s="1"/>
  <c r="Q187" i="4" s="1"/>
  <c r="Q188" i="4" s="1"/>
  <c r="Q189" i="4" s="1"/>
  <c r="Q190" i="4" s="1"/>
  <c r="Q191" i="4" s="1"/>
  <c r="Q192" i="4" s="1"/>
  <c r="Q193" i="4" s="1"/>
  <c r="Q194" i="4" s="1"/>
  <c r="Q195" i="4" s="1"/>
  <c r="Q196" i="4" s="1"/>
  <c r="Q197" i="4" s="1"/>
  <c r="Q198" i="4" s="1"/>
  <c r="Q199" i="4" s="1"/>
  <c r="Q200" i="4" s="1"/>
  <c r="Q201" i="4" s="1"/>
  <c r="Q202" i="4" s="1"/>
  <c r="Q203" i="4" s="1"/>
  <c r="Q204" i="4" s="1"/>
  <c r="Q205" i="4" s="1"/>
  <c r="Q206" i="4" s="1"/>
  <c r="Q207" i="4" s="1"/>
  <c r="Q208" i="4" s="1"/>
  <c r="Q209" i="4" s="1"/>
  <c r="Q210" i="4" s="1"/>
  <c r="Q211" i="4" s="1"/>
  <c r="Q212" i="4" s="1"/>
  <c r="Q213" i="4" s="1"/>
  <c r="Q214" i="4" s="1"/>
  <c r="Q215" i="4" s="1"/>
  <c r="Q216" i="4" s="1"/>
  <c r="Q217" i="4" s="1"/>
  <c r="Q218" i="4" s="1"/>
  <c r="Q219" i="4" s="1"/>
  <c r="Q220" i="4" s="1"/>
  <c r="Q221" i="4" s="1"/>
  <c r="Q222" i="4" s="1"/>
  <c r="Q223" i="4" s="1"/>
  <c r="Q224" i="4" s="1"/>
  <c r="Q225" i="4" s="1"/>
  <c r="Q226" i="4" s="1"/>
  <c r="Q227" i="4" s="1"/>
  <c r="Q228" i="4" s="1"/>
  <c r="Q229" i="4" s="1"/>
  <c r="Q230" i="4" s="1"/>
  <c r="Q231" i="4" s="1"/>
  <c r="Q232" i="4" s="1"/>
  <c r="Q233" i="4" s="1"/>
  <c r="Q234" i="4" s="1"/>
  <c r="Q235" i="4" s="1"/>
  <c r="Q236" i="4" s="1"/>
  <c r="Q237" i="4" s="1"/>
  <c r="Q238" i="4" s="1"/>
  <c r="Q239" i="4" s="1"/>
  <c r="Q240" i="4" s="1"/>
  <c r="Q241" i="4" s="1"/>
  <c r="Q242" i="4" s="1"/>
  <c r="Q243" i="4" s="1"/>
  <c r="Q244" i="4" s="1"/>
  <c r="Q245" i="4" s="1"/>
  <c r="Q246" i="4" s="1"/>
  <c r="Q247" i="4" s="1"/>
  <c r="Q248" i="4" s="1"/>
  <c r="Q249" i="4" s="1"/>
  <c r="Q250" i="4" s="1"/>
  <c r="Q251" i="4" s="1"/>
  <c r="Q252" i="4" s="1"/>
  <c r="Q253" i="4" s="1"/>
  <c r="Q254" i="4" s="1"/>
  <c r="Q255" i="4" s="1"/>
  <c r="Q256" i="4" s="1"/>
  <c r="Q257" i="4" s="1"/>
  <c r="Q258" i="4" s="1"/>
  <c r="Q259" i="4" s="1"/>
  <c r="Q260" i="4" s="1"/>
  <c r="Q261" i="4" s="1"/>
  <c r="Q262" i="4" s="1"/>
  <c r="Q263" i="4" s="1"/>
  <c r="Q264" i="4" s="1"/>
  <c r="Q265" i="4" s="1"/>
  <c r="Q266" i="4" s="1"/>
  <c r="Q267" i="4" s="1"/>
  <c r="Q268" i="4" s="1"/>
  <c r="Q269" i="4" s="1"/>
  <c r="Q270" i="4" s="1"/>
  <c r="Q271" i="4" s="1"/>
  <c r="Q272" i="4" s="1"/>
  <c r="Q273" i="4" s="1"/>
  <c r="Q274" i="4" s="1"/>
  <c r="Q275" i="4" s="1"/>
  <c r="Q276" i="4" s="1"/>
  <c r="Q277" i="4" s="1"/>
  <c r="Q278" i="4" s="1"/>
  <c r="Q279" i="4" s="1"/>
  <c r="Q280" i="4" s="1"/>
  <c r="Q281" i="4" s="1"/>
  <c r="Q282" i="4" s="1"/>
  <c r="Q283" i="4" s="1"/>
  <c r="Q284" i="4" s="1"/>
  <c r="Q285" i="4" s="1"/>
  <c r="Q286" i="4" s="1"/>
  <c r="Q287" i="4" s="1"/>
  <c r="Q288" i="4" s="1"/>
  <c r="Q289" i="4" s="1"/>
  <c r="Q290" i="4" s="1"/>
  <c r="Q291" i="4" s="1"/>
  <c r="Q292" i="4" s="1"/>
  <c r="Q293" i="4" s="1"/>
  <c r="Q294" i="4" s="1"/>
  <c r="Q295" i="4" s="1"/>
  <c r="Q296" i="4" s="1"/>
  <c r="Q297" i="4" s="1"/>
  <c r="Q298" i="4" s="1"/>
  <c r="Q299" i="4" s="1"/>
  <c r="Q300" i="4" s="1"/>
  <c r="Q301" i="4" s="1"/>
  <c r="Q302" i="4" s="1"/>
  <c r="Q303" i="4" s="1"/>
  <c r="Q304" i="4" s="1"/>
  <c r="Q305" i="4" s="1"/>
  <c r="Q306" i="4" s="1"/>
  <c r="Q307" i="4" s="1"/>
  <c r="Q308" i="4" s="1"/>
  <c r="Q309" i="4" s="1"/>
  <c r="Q310" i="4" s="1"/>
  <c r="Q311" i="4" s="1"/>
  <c r="Q312" i="4" s="1"/>
  <c r="Q313" i="4" s="1"/>
  <c r="Q314" i="4" s="1"/>
  <c r="Q315" i="4" s="1"/>
  <c r="Q316" i="4" s="1"/>
  <c r="Q317" i="4" s="1"/>
  <c r="Q318" i="4" s="1"/>
  <c r="Q319" i="4" s="1"/>
  <c r="Q320" i="4" s="1"/>
  <c r="Q321" i="4" s="1"/>
  <c r="Q322" i="4" s="1"/>
  <c r="Q323" i="4" s="1"/>
  <c r="Q324" i="4" s="1"/>
  <c r="Q325" i="4" s="1"/>
  <c r="Q326" i="4" s="1"/>
  <c r="Q327" i="4" s="1"/>
  <c r="Q328" i="4" s="1"/>
  <c r="Q329" i="4" s="1"/>
  <c r="Q330" i="4" s="1"/>
  <c r="Q331" i="4" s="1"/>
  <c r="Q332" i="4" s="1"/>
  <c r="Q333" i="4" s="1"/>
  <c r="Q334" i="4" s="1"/>
  <c r="Q335" i="4" s="1"/>
  <c r="Q336" i="4" s="1"/>
  <c r="Q337" i="4" s="1"/>
  <c r="Q338" i="4" s="1"/>
  <c r="Q339" i="4" s="1"/>
  <c r="Q340" i="4" s="1"/>
  <c r="Q341" i="4" s="1"/>
  <c r="Q342" i="4" s="1"/>
  <c r="Q343" i="4" s="1"/>
  <c r="Q344" i="4" s="1"/>
  <c r="Q345" i="4" s="1"/>
  <c r="Q346" i="4" s="1"/>
  <c r="Q347" i="4" s="1"/>
  <c r="Q348" i="4" s="1"/>
  <c r="Q349" i="4" s="1"/>
  <c r="Q350" i="4" s="1"/>
  <c r="Q351" i="4" s="1"/>
  <c r="Q352" i="4" s="1"/>
  <c r="Q353" i="4" s="1"/>
  <c r="Q354" i="4" s="1"/>
  <c r="Q355" i="4" s="1"/>
  <c r="Q356" i="4" s="1"/>
  <c r="Q357" i="4" s="1"/>
  <c r="Q358" i="4" s="1"/>
  <c r="Q359" i="4" s="1"/>
  <c r="Q360" i="4" s="1"/>
  <c r="Q361" i="4" s="1"/>
  <c r="Q362" i="4" s="1"/>
  <c r="Q363" i="4" s="1"/>
  <c r="Q364" i="4" s="1"/>
  <c r="Q365" i="4" s="1"/>
  <c r="Q366" i="4" s="1"/>
  <c r="Q367" i="4" s="1"/>
  <c r="Q368" i="4" s="1"/>
  <c r="Q369" i="4" s="1"/>
  <c r="Q370" i="4" s="1"/>
  <c r="Q371" i="4" s="1"/>
  <c r="Q372" i="4" s="1"/>
  <c r="Q373" i="4" s="1"/>
  <c r="Q374" i="4" s="1"/>
  <c r="Q375" i="4" s="1"/>
  <c r="Q376" i="4" s="1"/>
  <c r="Q377" i="4" s="1"/>
  <c r="Q378" i="4" s="1"/>
  <c r="Q379" i="4" s="1"/>
  <c r="Q380" i="4" s="1"/>
  <c r="Q381" i="4" s="1"/>
  <c r="Q382" i="4" s="1"/>
  <c r="Q383" i="4" s="1"/>
  <c r="Q384" i="4" s="1"/>
  <c r="Q385" i="4" s="1"/>
  <c r="Q386" i="4" s="1"/>
  <c r="Q387" i="4" s="1"/>
  <c r="Q388" i="4" s="1"/>
  <c r="Q389" i="4" s="1"/>
  <c r="Q390" i="4" s="1"/>
  <c r="Q391" i="4" s="1"/>
  <c r="Q392" i="4" s="1"/>
  <c r="Q393" i="4" s="1"/>
  <c r="Q394" i="4" s="1"/>
  <c r="Q395" i="4" s="1"/>
  <c r="Q396" i="4" s="1"/>
  <c r="Q397" i="4" s="1"/>
  <c r="Q398" i="4" s="1"/>
  <c r="Q399" i="4" s="1"/>
  <c r="Q400" i="4" s="1"/>
  <c r="Q401" i="4" s="1"/>
  <c r="Q402" i="4" s="1"/>
  <c r="Q403" i="4" s="1"/>
  <c r="Q404" i="4" s="1"/>
  <c r="Q405" i="4" s="1"/>
  <c r="Q406" i="4" s="1"/>
  <c r="Q407" i="4" s="1"/>
  <c r="Q408" i="4" s="1"/>
  <c r="Q409" i="4" s="1"/>
  <c r="Q410" i="4" s="1"/>
  <c r="Q411" i="4" s="1"/>
  <c r="Q412" i="4" s="1"/>
  <c r="Q413" i="4" s="1"/>
  <c r="Q414" i="4" s="1"/>
  <c r="Q415" i="4" s="1"/>
  <c r="Q416" i="4" s="1"/>
  <c r="Q417" i="4" s="1"/>
  <c r="Q418" i="4" s="1"/>
  <c r="Q419" i="4" s="1"/>
  <c r="Q420" i="4" s="1"/>
  <c r="Q421" i="4" s="1"/>
  <c r="Q422" i="4" s="1"/>
  <c r="Q423" i="4" s="1"/>
  <c r="Q424" i="4" s="1"/>
  <c r="Q425" i="4" s="1"/>
  <c r="Q426" i="4" s="1"/>
  <c r="Q427" i="4" s="1"/>
  <c r="Q428" i="4" s="1"/>
  <c r="Q429" i="4" s="1"/>
  <c r="Q430" i="4" s="1"/>
  <c r="Q431" i="4" s="1"/>
  <c r="Q432" i="4" s="1"/>
  <c r="Q433" i="4" s="1"/>
  <c r="Q434" i="4" s="1"/>
  <c r="Q435" i="4" s="1"/>
  <c r="Q436" i="4" s="1"/>
  <c r="Q437" i="4" s="1"/>
  <c r="Q438" i="4" s="1"/>
  <c r="Q439" i="4" s="1"/>
  <c r="Q440" i="4" s="1"/>
  <c r="Q441" i="4" s="1"/>
  <c r="Q442" i="4" s="1"/>
  <c r="Q443" i="4" s="1"/>
  <c r="Q444" i="4" s="1"/>
  <c r="Q445" i="4" s="1"/>
  <c r="Q446" i="4" s="1"/>
  <c r="Q447" i="4" s="1"/>
  <c r="Q448" i="4" s="1"/>
  <c r="Q449" i="4" s="1"/>
  <c r="Q450" i="4" s="1"/>
  <c r="Q451" i="4" s="1"/>
  <c r="Q452" i="4" s="1"/>
  <c r="Q453" i="4" s="1"/>
  <c r="Q454" i="4" s="1"/>
  <c r="Q455" i="4" s="1"/>
  <c r="Q456" i="4" s="1"/>
  <c r="Q457" i="4" s="1"/>
  <c r="Q458" i="4" s="1"/>
  <c r="Q459" i="4" s="1"/>
  <c r="Q460" i="4" s="1"/>
  <c r="Q461" i="4" s="1"/>
  <c r="Q462" i="4" s="1"/>
  <c r="Q463" i="4" s="1"/>
  <c r="Q464" i="4" s="1"/>
  <c r="Q465" i="4" s="1"/>
  <c r="Q466" i="4" s="1"/>
  <c r="Q467" i="4" s="1"/>
  <c r="Q468" i="4" s="1"/>
  <c r="Q469" i="4" s="1"/>
  <c r="Q470" i="4" s="1"/>
  <c r="Q471" i="4" s="1"/>
  <c r="Q472" i="4" s="1"/>
  <c r="Q473" i="4" s="1"/>
  <c r="Q474" i="4" s="1"/>
  <c r="Q475" i="4" s="1"/>
  <c r="Q476" i="4" s="1"/>
  <c r="Q477" i="4" s="1"/>
  <c r="Q478" i="4" s="1"/>
  <c r="Q479" i="4" s="1"/>
  <c r="Q480" i="4" s="1"/>
  <c r="Q481" i="4" s="1"/>
  <c r="Q482" i="4" s="1"/>
  <c r="Q483" i="4" s="1"/>
  <c r="Q484" i="4" s="1"/>
  <c r="Q485" i="4" s="1"/>
  <c r="Q486" i="4" s="1"/>
  <c r="Q487" i="4" s="1"/>
  <c r="Q488" i="4" s="1"/>
  <c r="Q489" i="4" s="1"/>
  <c r="Q490" i="4" s="1"/>
  <c r="Q491" i="4" s="1"/>
  <c r="Q492" i="4" s="1"/>
  <c r="Q493" i="4" s="1"/>
  <c r="Q494" i="4" s="1"/>
  <c r="Q495" i="4" s="1"/>
  <c r="Q496" i="4" s="1"/>
  <c r="Q497" i="4" s="1"/>
  <c r="Q498" i="4" s="1"/>
  <c r="Q499" i="4" s="1"/>
  <c r="Q500" i="4" s="1"/>
  <c r="Q501" i="4" s="1"/>
  <c r="Q502" i="4" s="1"/>
  <c r="Q503" i="4" s="1"/>
  <c r="Q504" i="4" s="1"/>
  <c r="Q505" i="4" s="1"/>
  <c r="Q506" i="4" s="1"/>
  <c r="Q507" i="4" s="1"/>
  <c r="Q508" i="4" s="1"/>
  <c r="Q509" i="4" s="1"/>
  <c r="Q510" i="4" s="1"/>
  <c r="Q511" i="4" s="1"/>
  <c r="Q512" i="4" s="1"/>
  <c r="Q513" i="4" s="1"/>
  <c r="Q514" i="4" s="1"/>
  <c r="Q515" i="4" s="1"/>
  <c r="Q516" i="4" s="1"/>
  <c r="Q517" i="4" s="1"/>
  <c r="Q518" i="4" s="1"/>
  <c r="Q519" i="4" s="1"/>
  <c r="Q520" i="4" s="1"/>
  <c r="Q521" i="4" s="1"/>
  <c r="Q522" i="4" s="1"/>
  <c r="Q523" i="4" s="1"/>
  <c r="Q524" i="4" s="1"/>
  <c r="Q525" i="4" s="1"/>
  <c r="Q526" i="4" s="1"/>
  <c r="Q527" i="4" s="1"/>
  <c r="Q528" i="4" s="1"/>
  <c r="Q529" i="4" s="1"/>
  <c r="Q530" i="4" s="1"/>
  <c r="Q531" i="4" s="1"/>
  <c r="Q532" i="4" s="1"/>
  <c r="Q533" i="4" s="1"/>
  <c r="Q534" i="4" s="1"/>
  <c r="Q535" i="4" s="1"/>
  <c r="Q536" i="4" s="1"/>
  <c r="Q537" i="4" s="1"/>
  <c r="Q538" i="4" s="1"/>
  <c r="Q539" i="4" s="1"/>
  <c r="Q540" i="4" s="1"/>
  <c r="Q541" i="4" s="1"/>
  <c r="Q542" i="4" s="1"/>
  <c r="Q543" i="4" s="1"/>
  <c r="Q544" i="4" s="1"/>
  <c r="Q545" i="4" s="1"/>
  <c r="Q546" i="4" s="1"/>
  <c r="Q547" i="4" s="1"/>
  <c r="Q548" i="4" s="1"/>
  <c r="Q549" i="4" s="1"/>
  <c r="Q550" i="4" s="1"/>
  <c r="Q551" i="4" s="1"/>
  <c r="Q552" i="4" s="1"/>
  <c r="Q553" i="4" s="1"/>
  <c r="Q554" i="4" s="1"/>
  <c r="Q555" i="4" s="1"/>
  <c r="Q556" i="4" s="1"/>
  <c r="Q557" i="4" s="1"/>
  <c r="Q558" i="4" s="1"/>
  <c r="Q559" i="4" s="1"/>
  <c r="Q560" i="4" s="1"/>
  <c r="Q561" i="4" s="1"/>
  <c r="Q562" i="4" s="1"/>
  <c r="Q563" i="4" s="1"/>
  <c r="Q564" i="4" s="1"/>
  <c r="Q565" i="4" s="1"/>
  <c r="Q566" i="4" s="1"/>
  <c r="Q567" i="4" s="1"/>
  <c r="Q568" i="4" s="1"/>
  <c r="Q569" i="4" s="1"/>
  <c r="Q570" i="4" s="1"/>
  <c r="Q571" i="4" s="1"/>
  <c r="Q572" i="4" s="1"/>
  <c r="Q573" i="4" s="1"/>
  <c r="Q574" i="4" s="1"/>
  <c r="Q575" i="4" s="1"/>
  <c r="Q576" i="4" s="1"/>
  <c r="Q577" i="4" s="1"/>
  <c r="Q578" i="4" s="1"/>
  <c r="Q579" i="4" s="1"/>
  <c r="Q580" i="4" s="1"/>
  <c r="Q581" i="4" s="1"/>
  <c r="Q582" i="4" s="1"/>
  <c r="Q583" i="4" s="1"/>
  <c r="Q584" i="4" s="1"/>
  <c r="Q585" i="4" s="1"/>
  <c r="Q586" i="4" s="1"/>
  <c r="Q587" i="4" s="1"/>
  <c r="Q588" i="4" s="1"/>
  <c r="Q589" i="4" s="1"/>
  <c r="Q590" i="4" s="1"/>
  <c r="Q591" i="4" s="1"/>
  <c r="Q592" i="4" s="1"/>
  <c r="Q593" i="4" s="1"/>
  <c r="Q594" i="4" s="1"/>
  <c r="Q595" i="4" s="1"/>
  <c r="Q596" i="4" s="1"/>
  <c r="Q597" i="4" s="1"/>
  <c r="Q598" i="4" s="1"/>
  <c r="Q599" i="4" s="1"/>
  <c r="Q600" i="4" s="1"/>
  <c r="Q601" i="4" s="1"/>
  <c r="Q602" i="4" s="1"/>
  <c r="Q603" i="4" s="1"/>
  <c r="Q604" i="4" s="1"/>
  <c r="Q605" i="4" s="1"/>
  <c r="Q606" i="4" s="1"/>
  <c r="Q607" i="4" s="1"/>
  <c r="Q608" i="4" s="1"/>
  <c r="Q609" i="4" s="1"/>
  <c r="Q610" i="4" s="1"/>
  <c r="Q611" i="4" s="1"/>
  <c r="Q612" i="4" s="1"/>
  <c r="Q613" i="4" s="1"/>
  <c r="Q614" i="4" s="1"/>
  <c r="Q615" i="4" s="1"/>
  <c r="Q616" i="4" s="1"/>
  <c r="Q617" i="4" s="1"/>
  <c r="Q618" i="4" s="1"/>
  <c r="Q619" i="4" s="1"/>
  <c r="Q620" i="4" s="1"/>
  <c r="Q621" i="4" s="1"/>
  <c r="Q622" i="4" s="1"/>
  <c r="Q623" i="4" s="1"/>
  <c r="Q624" i="4" s="1"/>
  <c r="Q625" i="4" s="1"/>
  <c r="Q626" i="4" s="1"/>
  <c r="Q627" i="4" s="1"/>
  <c r="Q628" i="4" s="1"/>
  <c r="Q629" i="4" s="1"/>
  <c r="Q630" i="4" s="1"/>
  <c r="Q631" i="4" s="1"/>
  <c r="Q632" i="4" s="1"/>
  <c r="Q633" i="4" s="1"/>
  <c r="Q634" i="4" s="1"/>
  <c r="Q635" i="4" s="1"/>
  <c r="Q636" i="4" s="1"/>
  <c r="Q637" i="4" s="1"/>
  <c r="Q638" i="4" s="1"/>
  <c r="Q639" i="4" s="1"/>
  <c r="Q640" i="4" s="1"/>
  <c r="Q641" i="4" s="1"/>
  <c r="Q642" i="4" s="1"/>
  <c r="Q643" i="4" s="1"/>
  <c r="Q644" i="4" s="1"/>
  <c r="Q645" i="4" s="1"/>
  <c r="Q646" i="4" s="1"/>
  <c r="Q647" i="4" s="1"/>
  <c r="Q648" i="4" s="1"/>
  <c r="Q649" i="4" s="1"/>
  <c r="Q650" i="4" s="1"/>
  <c r="Q651" i="4" s="1"/>
  <c r="Q652" i="4" s="1"/>
  <c r="Q653" i="4" s="1"/>
  <c r="Q654" i="4" s="1"/>
  <c r="Q655" i="4" s="1"/>
  <c r="Q656" i="4" s="1"/>
  <c r="Q657" i="4" s="1"/>
  <c r="Q658" i="4" s="1"/>
  <c r="Q659" i="4" s="1"/>
  <c r="Q660" i="4" s="1"/>
  <c r="Q661" i="4" s="1"/>
  <c r="Q662" i="4" s="1"/>
  <c r="Q663" i="4" s="1"/>
  <c r="Q664" i="4" s="1"/>
  <c r="Q665" i="4" s="1"/>
  <c r="Q666" i="4" s="1"/>
  <c r="Q667" i="4" s="1"/>
  <c r="Q668" i="4" s="1"/>
  <c r="Q669" i="4" s="1"/>
  <c r="Q670" i="4" s="1"/>
  <c r="Q671" i="4" s="1"/>
  <c r="Q672" i="4" s="1"/>
  <c r="Q673" i="4" s="1"/>
  <c r="Q674" i="4" s="1"/>
  <c r="Q675" i="4" s="1"/>
  <c r="Q676" i="4" s="1"/>
  <c r="Q677" i="4" s="1"/>
  <c r="Q678" i="4" s="1"/>
  <c r="Q679" i="4" s="1"/>
  <c r="Q680" i="4" s="1"/>
  <c r="Q681" i="4" s="1"/>
  <c r="Q682" i="4" s="1"/>
  <c r="Q683" i="4" s="1"/>
  <c r="Q684" i="4" s="1"/>
  <c r="Q685" i="4" s="1"/>
  <c r="Q686" i="4" s="1"/>
  <c r="Q687" i="4" s="1"/>
  <c r="Q688" i="4" s="1"/>
  <c r="Q689" i="4" s="1"/>
  <c r="Q690" i="4" s="1"/>
  <c r="Q691" i="4" s="1"/>
  <c r="Q692" i="4" s="1"/>
  <c r="Q693" i="4" s="1"/>
  <c r="Q694" i="4" s="1"/>
  <c r="Q695" i="4" s="1"/>
  <c r="Q696" i="4" s="1"/>
  <c r="Q697" i="4" s="1"/>
  <c r="Q698" i="4" s="1"/>
  <c r="Q699" i="4" s="1"/>
  <c r="Q700" i="4" s="1"/>
  <c r="Q701" i="4" s="1"/>
  <c r="Q702" i="4" s="1"/>
  <c r="Q703" i="4" s="1"/>
  <c r="Q704" i="4" s="1"/>
  <c r="Q705" i="4" s="1"/>
  <c r="Q706" i="4" s="1"/>
  <c r="Q707" i="4" s="1"/>
  <c r="Q708" i="4" s="1"/>
  <c r="Q709" i="4" s="1"/>
  <c r="Q710" i="4" s="1"/>
  <c r="Q711" i="4" s="1"/>
  <c r="Q712" i="4" s="1"/>
  <c r="Q713" i="4" s="1"/>
  <c r="Q714" i="4" s="1"/>
  <c r="Q715" i="4" s="1"/>
  <c r="Q716" i="4" s="1"/>
  <c r="Q717" i="4" s="1"/>
  <c r="Q718" i="4" s="1"/>
  <c r="Q719" i="4" s="1"/>
  <c r="Q720" i="4" s="1"/>
  <c r="Q721" i="4" s="1"/>
  <c r="Q722" i="4" s="1"/>
  <c r="Q723" i="4" s="1"/>
  <c r="Q724" i="4" s="1"/>
  <c r="Q725" i="4" s="1"/>
  <c r="Q726" i="4" s="1"/>
  <c r="Q727" i="4" s="1"/>
  <c r="Q728" i="4" s="1"/>
  <c r="Q729" i="4" s="1"/>
  <c r="Q730" i="4" s="1"/>
  <c r="Q731" i="4" s="1"/>
  <c r="Q732" i="4" s="1"/>
  <c r="Q733" i="4" s="1"/>
  <c r="Q734" i="4" s="1"/>
  <c r="Q735" i="4" s="1"/>
  <c r="Q736" i="4" s="1"/>
  <c r="Q737" i="4" s="1"/>
  <c r="Q738" i="4" s="1"/>
  <c r="Q739" i="4" s="1"/>
  <c r="Q740" i="4" s="1"/>
  <c r="Q741" i="4" s="1"/>
  <c r="Q742" i="4" s="1"/>
  <c r="Q743" i="4" s="1"/>
  <c r="Q744" i="4" s="1"/>
  <c r="Q745" i="4" s="1"/>
  <c r="Q746" i="4" s="1"/>
  <c r="Q747" i="4" s="1"/>
  <c r="Q748" i="4" s="1"/>
  <c r="Q749" i="4" s="1"/>
  <c r="Q750" i="4" s="1"/>
  <c r="Q751" i="4" s="1"/>
  <c r="Q752" i="4" s="1"/>
  <c r="Q753" i="4" s="1"/>
  <c r="Q754" i="4" s="1"/>
  <c r="Q755" i="4" s="1"/>
  <c r="Q756" i="4" s="1"/>
  <c r="Q757" i="4" s="1"/>
  <c r="Q758" i="4" s="1"/>
  <c r="Q759" i="4" s="1"/>
  <c r="Q760" i="4" s="1"/>
  <c r="Q761" i="4" s="1"/>
  <c r="Q762" i="4" s="1"/>
  <c r="Q763" i="4" s="1"/>
  <c r="Q764" i="4" s="1"/>
  <c r="Q765" i="4" s="1"/>
  <c r="Q766" i="4" s="1"/>
  <c r="Q767" i="4" s="1"/>
  <c r="Q768" i="4" s="1"/>
  <c r="Q769" i="4" s="1"/>
  <c r="Q770" i="4" s="1"/>
  <c r="Q771" i="4" s="1"/>
  <c r="Q772" i="4" s="1"/>
  <c r="Q773" i="4" s="1"/>
  <c r="Q774" i="4" s="1"/>
  <c r="Q775" i="4" s="1"/>
  <c r="Q776" i="4" s="1"/>
  <c r="Q777" i="4" s="1"/>
  <c r="Q778" i="4" s="1"/>
  <c r="Q779" i="4" s="1"/>
  <c r="Q780" i="4" s="1"/>
  <c r="Q781" i="4" s="1"/>
  <c r="Q782" i="4" s="1"/>
  <c r="Q783" i="4" s="1"/>
  <c r="Q784" i="4" s="1"/>
  <c r="Q785" i="4" s="1"/>
  <c r="Q786" i="4" s="1"/>
  <c r="Q787" i="4" s="1"/>
  <c r="Q788" i="4" s="1"/>
  <c r="Q789" i="4" s="1"/>
  <c r="Q790" i="4" s="1"/>
  <c r="Q791" i="4" s="1"/>
  <c r="Q792" i="4" s="1"/>
  <c r="Q793" i="4" s="1"/>
  <c r="Q794" i="4" s="1"/>
  <c r="Q795" i="4" s="1"/>
  <c r="Q796" i="4" s="1"/>
  <c r="Q797" i="4" s="1"/>
  <c r="Q798" i="4" s="1"/>
  <c r="Q799" i="4" s="1"/>
  <c r="Q800" i="4" s="1"/>
  <c r="Q801" i="4" s="1"/>
  <c r="Q802" i="4" s="1"/>
  <c r="Q803" i="4" s="1"/>
  <c r="Q804" i="4" s="1"/>
  <c r="Q805" i="4" s="1"/>
  <c r="Q806" i="4" s="1"/>
  <c r="Q807" i="4" s="1"/>
  <c r="Q808" i="4" s="1"/>
  <c r="Q809" i="4" s="1"/>
  <c r="Q810" i="4" s="1"/>
  <c r="Q811" i="4" s="1"/>
  <c r="Q812" i="4" s="1"/>
  <c r="Q813" i="4" s="1"/>
  <c r="Q814" i="4" s="1"/>
  <c r="Q815" i="4" s="1"/>
  <c r="Q816" i="4" s="1"/>
  <c r="Q817" i="4" s="1"/>
  <c r="Q818" i="4" s="1"/>
  <c r="Q819" i="4" s="1"/>
  <c r="Q820" i="4" s="1"/>
  <c r="Q821" i="4" s="1"/>
  <c r="Q822" i="4" s="1"/>
  <c r="Q823" i="4" s="1"/>
  <c r="Q824" i="4" s="1"/>
  <c r="Q825" i="4" s="1"/>
  <c r="Q826" i="4" s="1"/>
  <c r="Q827" i="4" s="1"/>
  <c r="Q828" i="4" s="1"/>
  <c r="Q829" i="4" s="1"/>
  <c r="Q830" i="4" s="1"/>
  <c r="Q831" i="4" s="1"/>
  <c r="Q832" i="4" s="1"/>
  <c r="Q833" i="4" s="1"/>
  <c r="Q834" i="4" s="1"/>
  <c r="Q835" i="4" s="1"/>
  <c r="Q836" i="4" s="1"/>
  <c r="Q837" i="4" s="1"/>
  <c r="Q838" i="4" s="1"/>
  <c r="Q839" i="4" s="1"/>
  <c r="Q840" i="4" s="1"/>
  <c r="Q841" i="4" s="1"/>
  <c r="Q842" i="4" s="1"/>
  <c r="Q843" i="4" s="1"/>
  <c r="Q844" i="4" s="1"/>
  <c r="Q845" i="4" s="1"/>
  <c r="Q846" i="4" s="1"/>
  <c r="Q847" i="4" s="1"/>
  <c r="Q848" i="4" s="1"/>
  <c r="Q849" i="4" s="1"/>
  <c r="Q850" i="4" s="1"/>
  <c r="Q851" i="4" s="1"/>
  <c r="Q852" i="4" s="1"/>
  <c r="Q853" i="4" s="1"/>
  <c r="Q854" i="4" s="1"/>
  <c r="Q855" i="4" s="1"/>
  <c r="Q856" i="4" s="1"/>
  <c r="Q857" i="4" s="1"/>
  <c r="Q858" i="4" s="1"/>
  <c r="Q859" i="4" s="1"/>
  <c r="Q860" i="4" s="1"/>
  <c r="Q861" i="4" s="1"/>
  <c r="Q862" i="4" s="1"/>
  <c r="Q863" i="4" s="1"/>
  <c r="Q864" i="4" s="1"/>
  <c r="Q865" i="4" s="1"/>
  <c r="Q866" i="4" s="1"/>
  <c r="Q867" i="4" s="1"/>
  <c r="Q868" i="4" s="1"/>
  <c r="Q869" i="4" s="1"/>
  <c r="Q870" i="4" s="1"/>
  <c r="Q871" i="4" s="1"/>
  <c r="Q872" i="4" s="1"/>
  <c r="Q873" i="4" s="1"/>
  <c r="Q874" i="4" s="1"/>
  <c r="Q875" i="4" s="1"/>
  <c r="Q876" i="4" s="1"/>
  <c r="Q877" i="4" s="1"/>
  <c r="Q878" i="4" s="1"/>
  <c r="Q879" i="4" s="1"/>
  <c r="Q880" i="4" s="1"/>
  <c r="Q881" i="4" s="1"/>
  <c r="Q882" i="4" s="1"/>
  <c r="Q883" i="4" s="1"/>
  <c r="Q884" i="4" s="1"/>
  <c r="Q885" i="4" s="1"/>
  <c r="Q886" i="4" s="1"/>
  <c r="Q887" i="4" s="1"/>
  <c r="Q888" i="4" s="1"/>
  <c r="Q889" i="4" s="1"/>
  <c r="Q890" i="4" s="1"/>
  <c r="Q891" i="4" s="1"/>
  <c r="Q892" i="4" s="1"/>
  <c r="Q893" i="4" s="1"/>
  <c r="Q894" i="4" s="1"/>
  <c r="Q895" i="4" s="1"/>
  <c r="Q896" i="4" s="1"/>
  <c r="Q897" i="4" s="1"/>
  <c r="Q898" i="4" s="1"/>
  <c r="Q899" i="4" s="1"/>
  <c r="Q900" i="4" s="1"/>
  <c r="Q901" i="4" s="1"/>
  <c r="Q902" i="4" s="1"/>
  <c r="Q903" i="4" s="1"/>
  <c r="Q904" i="4" s="1"/>
  <c r="Q905" i="4" s="1"/>
  <c r="Q906" i="4" s="1"/>
  <c r="Q907" i="4" s="1"/>
  <c r="Q908" i="4" s="1"/>
  <c r="Q909" i="4" s="1"/>
  <c r="Q910" i="4" s="1"/>
  <c r="Q911" i="4" s="1"/>
  <c r="Q912" i="4" s="1"/>
  <c r="Q913" i="4" s="1"/>
  <c r="Q914" i="4" s="1"/>
  <c r="Q915" i="4" s="1"/>
  <c r="Q916" i="4" s="1"/>
  <c r="Q917" i="4" s="1"/>
  <c r="Q918" i="4" s="1"/>
  <c r="Q919" i="4" s="1"/>
  <c r="Q920" i="4" s="1"/>
  <c r="Q921" i="4" s="1"/>
  <c r="Q922" i="4" s="1"/>
  <c r="Q923" i="4" s="1"/>
  <c r="Q924" i="4" s="1"/>
  <c r="Q925" i="4" s="1"/>
  <c r="Q926" i="4" s="1"/>
  <c r="Q927" i="4" s="1"/>
  <c r="Q928" i="4" s="1"/>
  <c r="Q929" i="4" s="1"/>
  <c r="Q930" i="4" s="1"/>
  <c r="Q931" i="4" s="1"/>
  <c r="Q932" i="4" s="1"/>
  <c r="Q933" i="4" s="1"/>
  <c r="Q934" i="4" s="1"/>
  <c r="Q935" i="4" s="1"/>
  <c r="Q936" i="4" s="1"/>
  <c r="Q937" i="4" s="1"/>
  <c r="Q938" i="4" s="1"/>
  <c r="Q939" i="4" s="1"/>
  <c r="Q940" i="4" s="1"/>
  <c r="Q941" i="4" s="1"/>
  <c r="Q942" i="4" s="1"/>
  <c r="Q943" i="4" s="1"/>
  <c r="Q944" i="4" s="1"/>
  <c r="Q945" i="4" s="1"/>
  <c r="Q946" i="4" s="1"/>
  <c r="Q947" i="4" s="1"/>
  <c r="Q948" i="4" s="1"/>
  <c r="Q949" i="4" s="1"/>
  <c r="Q950" i="4" s="1"/>
  <c r="Q951" i="4" s="1"/>
  <c r="Q952" i="4" s="1"/>
  <c r="Q953" i="4" s="1"/>
  <c r="Q954" i="4" s="1"/>
  <c r="Q955" i="4" s="1"/>
  <c r="Q956" i="4" s="1"/>
  <c r="Q957" i="4" s="1"/>
  <c r="Q958" i="4" s="1"/>
  <c r="Q959" i="4" s="1"/>
  <c r="Q960" i="4" s="1"/>
  <c r="Q961" i="4" s="1"/>
  <c r="Q962" i="4" s="1"/>
  <c r="Q963" i="4" s="1"/>
  <c r="Q964" i="4" s="1"/>
  <c r="Q965" i="4" s="1"/>
  <c r="Q966" i="4" s="1"/>
  <c r="Q967" i="4" s="1"/>
  <c r="Q968" i="4" s="1"/>
  <c r="Q969" i="4" s="1"/>
  <c r="Q970" i="4" s="1"/>
  <c r="Q971" i="4" s="1"/>
  <c r="Q972" i="4" s="1"/>
  <c r="Q973" i="4" s="1"/>
  <c r="Q974" i="4" s="1"/>
  <c r="Q975" i="4" s="1"/>
  <c r="Q976" i="4" s="1"/>
  <c r="Q977" i="4" s="1"/>
  <c r="Q978" i="4" s="1"/>
  <c r="Q979" i="4" s="1"/>
  <c r="Q980" i="4" s="1"/>
  <c r="Q981" i="4" s="1"/>
  <c r="Q982" i="4" s="1"/>
  <c r="Q983" i="4" s="1"/>
  <c r="Q984" i="4" s="1"/>
  <c r="Q985" i="4" s="1"/>
  <c r="Q986" i="4" s="1"/>
  <c r="Q987" i="4" s="1"/>
  <c r="Q988" i="4" s="1"/>
  <c r="Q989" i="4" s="1"/>
  <c r="Q990" i="4" s="1"/>
  <c r="Q991" i="4" s="1"/>
  <c r="Q992" i="4" s="1"/>
  <c r="Q993" i="4" s="1"/>
  <c r="Q994" i="4" s="1"/>
  <c r="Q995" i="4" s="1"/>
  <c r="Q996" i="4" s="1"/>
  <c r="Q997" i="4" s="1"/>
  <c r="Q998" i="4" s="1"/>
  <c r="Q999" i="4" s="1"/>
  <c r="Q1000" i="4" s="1"/>
  <c r="Q1001" i="4" s="1"/>
  <c r="Q1002" i="4" s="1"/>
  <c r="Q1003" i="4" s="1"/>
  <c r="Q1004" i="4" s="1"/>
  <c r="Q1005" i="4" s="1"/>
  <c r="Q1006" i="4" s="1"/>
  <c r="Q1007" i="4" s="1"/>
  <c r="Q1008" i="4" s="1"/>
  <c r="Q1009" i="4" s="1"/>
  <c r="Q1010" i="4" s="1"/>
  <c r="Q1011" i="4" s="1"/>
  <c r="Q1012" i="4" s="1"/>
  <c r="Q1013" i="4" s="1"/>
  <c r="Q1014" i="4" s="1"/>
  <c r="Q1015" i="4" s="1"/>
  <c r="Q1016" i="4" s="1"/>
  <c r="Q1017" i="4" s="1"/>
  <c r="Q1018" i="4" s="1"/>
  <c r="Q1019" i="4" s="1"/>
  <c r="Q1020" i="4" s="1"/>
  <c r="Q1021" i="4" s="1"/>
  <c r="Q1022" i="4" s="1"/>
  <c r="Q1023" i="4" s="1"/>
  <c r="Q1024" i="4" s="1"/>
  <c r="Q1025" i="4" s="1"/>
  <c r="Q1026" i="4" s="1"/>
  <c r="Q1027" i="4" s="1"/>
  <c r="Q1028" i="4" s="1"/>
  <c r="Q1029" i="4" s="1"/>
  <c r="Q1030" i="4" s="1"/>
  <c r="Q1031" i="4" l="1"/>
  <c r="Q1032" i="4" s="1"/>
  <c r="Q1033" i="4" s="1"/>
  <c r="Q1034" i="4" s="1"/>
  <c r="Q1035" i="4" s="1"/>
  <c r="Q1036" i="4" s="1"/>
  <c r="Q1037" i="4" s="1"/>
  <c r="Q1038" i="4" s="1"/>
  <c r="Q1039" i="4" s="1"/>
  <c r="Q1040" i="4" s="1"/>
  <c r="Q1041" i="4" s="1"/>
  <c r="Q1042" i="4" s="1"/>
  <c r="Q1043" i="4" s="1"/>
  <c r="Q1044" i="4" s="1"/>
  <c r="Q1045" i="4" s="1"/>
  <c r="Q1046" i="4" s="1"/>
  <c r="Q1047" i="4" s="1"/>
  <c r="Q1048" i="4" s="1"/>
  <c r="Q1049" i="4" s="1"/>
  <c r="Q1050" i="4" s="1"/>
  <c r="Q1051" i="4" s="1"/>
  <c r="Q1052" i="4" s="1"/>
  <c r="Q1053" i="4" s="1"/>
  <c r="Q1054" i="4" s="1"/>
  <c r="Q1055" i="4" s="1"/>
  <c r="Q1056" i="4" s="1"/>
  <c r="Q1057" i="4" s="1"/>
  <c r="Q1058" i="4" s="1"/>
  <c r="Q1059" i="4" s="1"/>
  <c r="Q1060" i="4" s="1"/>
  <c r="Q1061" i="4" s="1"/>
  <c r="Q1062" i="4" s="1"/>
  <c r="Q1063" i="4" s="1"/>
  <c r="Q1064" i="4" s="1"/>
  <c r="Q1065" i="4" s="1"/>
  <c r="Q1066" i="4" s="1"/>
  <c r="Q1067" i="4" s="1"/>
  <c r="Q1068" i="4" s="1"/>
  <c r="Q1069" i="4" s="1"/>
  <c r="Q1070" i="4" s="1"/>
  <c r="Q1071" i="4" s="1"/>
  <c r="Q1072" i="4" s="1"/>
  <c r="Q1073" i="4" s="1"/>
  <c r="Q1074" i="4" s="1"/>
  <c r="Q1075" i="4" s="1"/>
  <c r="Q1076" i="4" s="1"/>
  <c r="Q1077" i="4" s="1"/>
  <c r="Q1078" i="4" s="1"/>
  <c r="Q1079" i="4" s="1"/>
  <c r="Q1080" i="4" s="1"/>
  <c r="Q1081" i="4" s="1"/>
  <c r="Q1082" i="4" s="1"/>
  <c r="Q1083" i="4" s="1"/>
  <c r="Q1084" i="4" s="1"/>
  <c r="Q1085" i="4" s="1"/>
  <c r="Q1086" i="4" s="1"/>
  <c r="Q1087" i="4" s="1"/>
  <c r="Q1088" i="4" s="1"/>
  <c r="Q1089" i="4" s="1"/>
  <c r="Q1090" i="4" s="1"/>
  <c r="Q1091" i="4" s="1"/>
  <c r="Q1092" i="4" s="1"/>
  <c r="Q1093" i="4" s="1"/>
  <c r="Q1094" i="4" s="1"/>
  <c r="Q1095" i="4" s="1"/>
  <c r="Q1096" i="4" s="1"/>
  <c r="Q1097" i="4" s="1"/>
  <c r="Q1098" i="4" s="1"/>
  <c r="Q1099" i="4" s="1"/>
  <c r="Q1100" i="4" s="1"/>
  <c r="Q1101" i="4" s="1"/>
  <c r="Q1102" i="4" s="1"/>
  <c r="Q1103" i="4" s="1"/>
  <c r="Q1104" i="4" s="1"/>
  <c r="Q1105" i="4" s="1"/>
  <c r="Q1106" i="4" s="1"/>
  <c r="Q1107" i="4" s="1"/>
  <c r="Q1108" i="4" s="1"/>
  <c r="Q1109" i="4" s="1"/>
  <c r="Q1110" i="4" s="1"/>
  <c r="Q1111" i="4" s="1"/>
  <c r="Q1112" i="4" s="1"/>
  <c r="Q1113" i="4" s="1"/>
  <c r="Q1114" i="4" s="1"/>
  <c r="Q1115" i="4" s="1"/>
  <c r="Q1116" i="4" s="1"/>
  <c r="Q1117" i="4" s="1"/>
  <c r="Q1118" i="4" s="1"/>
  <c r="Q1119" i="4" s="1"/>
  <c r="Q1120" i="4" s="1"/>
  <c r="Q1121" i="4" s="1"/>
  <c r="Q1122" i="4" s="1"/>
  <c r="Q1123" i="4" s="1"/>
  <c r="Q1124" i="4" s="1"/>
  <c r="Q1125" i="4" s="1"/>
  <c r="Q1126" i="4" s="1"/>
  <c r="Q1127" i="4" s="1"/>
  <c r="Q1128" i="4" s="1"/>
  <c r="Q1129" i="4" s="1"/>
  <c r="Q1130" i="4" s="1"/>
  <c r="Q1131" i="4" s="1"/>
  <c r="Q1132" i="4" s="1"/>
  <c r="Q1133" i="4" s="1"/>
  <c r="Q1134" i="4" s="1"/>
  <c r="Q1135" i="4" s="1"/>
  <c r="Q1136" i="4" s="1"/>
  <c r="Q1137" i="4" s="1"/>
  <c r="Q1138" i="4" s="1"/>
  <c r="Q1139" i="4" s="1"/>
  <c r="Q1140" i="4" s="1"/>
  <c r="Q1141" i="4" s="1"/>
  <c r="Q1142" i="4" s="1"/>
  <c r="Q1143" i="4" s="1"/>
  <c r="Q1144" i="4" s="1"/>
  <c r="Q1145" i="4" s="1"/>
  <c r="Q1146" i="4" s="1"/>
  <c r="Q1147" i="4" s="1"/>
  <c r="Q1148" i="4" s="1"/>
  <c r="Q1149" i="4" s="1"/>
  <c r="Q1150" i="4" s="1"/>
  <c r="Q1151" i="4" s="1"/>
  <c r="Q1152" i="4" s="1"/>
  <c r="Q1153" i="4" s="1"/>
  <c r="Q1154" i="4" s="1"/>
  <c r="Q1155" i="4" s="1"/>
  <c r="Q1156" i="4" s="1"/>
  <c r="Q1157" i="4" s="1"/>
  <c r="Q1158" i="4" s="1"/>
  <c r="Q1159" i="4" s="1"/>
  <c r="Q1160" i="4" s="1"/>
  <c r="Q1161" i="4" s="1"/>
  <c r="Q1162" i="4" s="1"/>
  <c r="Q1163" i="4" s="1"/>
  <c r="Q1164" i="4" s="1"/>
  <c r="Q1165" i="4" s="1"/>
  <c r="Q1166" i="4" s="1"/>
  <c r="Q1167" i="4" s="1"/>
  <c r="Q1168" i="4" s="1"/>
  <c r="Q1169" i="4" s="1"/>
  <c r="Q1170" i="4" s="1"/>
  <c r="Q1171" i="4" s="1"/>
  <c r="Q1172" i="4" s="1"/>
  <c r="Q1173" i="4" s="1"/>
  <c r="Q1174" i="4" s="1"/>
  <c r="Q1175" i="4" s="1"/>
  <c r="Q1176" i="4" s="1"/>
  <c r="Q1177" i="4" s="1"/>
  <c r="Q1178" i="4" s="1"/>
  <c r="Q1179" i="4" s="1"/>
  <c r="Q1180" i="4" s="1"/>
  <c r="Q1181" i="4" s="1"/>
  <c r="Q1182" i="4" s="1"/>
  <c r="Q1183" i="4" s="1"/>
  <c r="Q1184" i="4" s="1"/>
  <c r="Q1185" i="4" s="1"/>
  <c r="Q1186" i="4" s="1"/>
  <c r="Q1187" i="4" s="1"/>
  <c r="Q1188" i="4" s="1"/>
  <c r="Q1189" i="4" s="1"/>
  <c r="Q1190" i="4" s="1"/>
  <c r="Q1191" i="4" s="1"/>
  <c r="Q1192" i="4" s="1"/>
  <c r="Q1193" i="4" s="1"/>
  <c r="Q1194" i="4" s="1"/>
  <c r="Q1195" i="4" s="1"/>
  <c r="Q1196" i="4" s="1"/>
  <c r="Q1197" i="4" s="1"/>
  <c r="Q1198" i="4" s="1"/>
  <c r="Q1199" i="4" s="1"/>
  <c r="Q1200" i="4" s="1"/>
  <c r="Q1201" i="4" s="1"/>
  <c r="Q1202" i="4" s="1"/>
  <c r="Q1203" i="4" s="1"/>
  <c r="Q1204" i="4" s="1"/>
  <c r="Q1205" i="4" s="1"/>
  <c r="Q1206" i="4" s="1"/>
  <c r="Q1207" i="4" s="1"/>
  <c r="Q1208" i="4" s="1"/>
  <c r="Q1209" i="4" s="1"/>
  <c r="Q1210" i="4" s="1"/>
  <c r="Q1211" i="4" s="1"/>
  <c r="Q1212" i="4" s="1"/>
  <c r="Q1213" i="4" s="1"/>
  <c r="Q1214" i="4" s="1"/>
  <c r="Q1215" i="4" s="1"/>
  <c r="Q1216" i="4" s="1"/>
  <c r="Q1217" i="4" s="1"/>
  <c r="Q1218" i="4" s="1"/>
  <c r="Q1219" i="4" s="1"/>
  <c r="Q1220" i="4" s="1"/>
  <c r="Q1221" i="4" s="1"/>
  <c r="Q1222" i="4" s="1"/>
  <c r="Q1223" i="4" s="1"/>
  <c r="Q1224" i="4" s="1"/>
  <c r="Q1225" i="4" s="1"/>
  <c r="Q1226" i="4" s="1"/>
  <c r="Q1227" i="4" s="1"/>
  <c r="Q1228" i="4" s="1"/>
  <c r="Q1229" i="4" s="1"/>
  <c r="Q1230" i="4" s="1"/>
  <c r="Q1231" i="4" s="1"/>
  <c r="Q1232" i="4" s="1"/>
  <c r="Q1233" i="4" s="1"/>
  <c r="Q1234" i="4" s="1"/>
  <c r="Q1235" i="4" s="1"/>
  <c r="Q1236" i="4" s="1"/>
  <c r="Q1237" i="4" s="1"/>
  <c r="Q1238" i="4" s="1"/>
  <c r="Q1239" i="4" s="1"/>
  <c r="Q1240" i="4" s="1"/>
  <c r="Q1241" i="4" s="1"/>
  <c r="Q1242" i="4" s="1"/>
  <c r="Q1243" i="4" s="1"/>
  <c r="Q1244" i="4" s="1"/>
  <c r="Q1245" i="4" s="1"/>
  <c r="Q1246" i="4" s="1"/>
  <c r="Q1247" i="4" s="1"/>
  <c r="Q1248" i="4" s="1"/>
  <c r="Q1249" i="4" s="1"/>
  <c r="Q1250" i="4" s="1"/>
  <c r="Q1251" i="4" s="1"/>
  <c r="Q1252" i="4" s="1"/>
  <c r="Q1253" i="4" s="1"/>
  <c r="Q1254" i="4" s="1"/>
  <c r="Q1255" i="4" s="1"/>
  <c r="Q1256" i="4" s="1"/>
  <c r="Q1257" i="4" s="1"/>
  <c r="Q1258" i="4" s="1"/>
  <c r="Q1259" i="4" s="1"/>
  <c r="Q1260" i="4" s="1"/>
  <c r="Q1261" i="4" s="1"/>
  <c r="Q1262" i="4" s="1"/>
  <c r="Q1263" i="4" s="1"/>
  <c r="Q1264" i="4" s="1"/>
  <c r="Q1265" i="4" s="1"/>
  <c r="Q1266" i="4" s="1"/>
  <c r="Q1267" i="4" s="1"/>
  <c r="Q1268" i="4" s="1"/>
  <c r="Q1269" i="4" s="1"/>
  <c r="Q1270" i="4" s="1"/>
  <c r="Q1271" i="4" s="1"/>
  <c r="Q1272" i="4" s="1"/>
  <c r="Q1273" i="4" s="1"/>
  <c r="Q1274" i="4" s="1"/>
  <c r="Q1275" i="4" s="1"/>
  <c r="Q1276" i="4" s="1"/>
  <c r="Q1277" i="4" s="1"/>
  <c r="Q1278" i="4" s="1"/>
  <c r="Q1279" i="4" s="1"/>
  <c r="Q1280" i="4" s="1"/>
  <c r="Q1281" i="4" s="1"/>
  <c r="Q1282" i="4" s="1"/>
  <c r="Q1283" i="4" s="1"/>
  <c r="Q1284" i="4" s="1"/>
  <c r="Q1285" i="4" s="1"/>
  <c r="Q1286" i="4" s="1"/>
  <c r="Q1287" i="4" s="1"/>
  <c r="Q1288" i="4" s="1"/>
  <c r="Q1289" i="4" s="1"/>
  <c r="Q1290" i="4" s="1"/>
  <c r="Q1291" i="4" s="1"/>
  <c r="Q1292" i="4" s="1"/>
  <c r="Q1293" i="4" s="1"/>
  <c r="Q1294" i="4" s="1"/>
  <c r="Q1295" i="4" s="1"/>
  <c r="Q1296" i="4" s="1"/>
  <c r="Q1297" i="4" s="1"/>
  <c r="Q1298" i="4" s="1"/>
  <c r="Q1299" i="4" s="1"/>
  <c r="Q1300" i="4" s="1"/>
  <c r="Q1301" i="4" s="1"/>
  <c r="Q1302" i="4" s="1"/>
  <c r="Q1303" i="4" s="1"/>
  <c r="Q1304" i="4" s="1"/>
  <c r="Q1305" i="4" s="1"/>
  <c r="Q1306" i="4" s="1"/>
  <c r="Q1307" i="4" s="1"/>
  <c r="Q1308" i="4" s="1"/>
  <c r="Q1309" i="4" s="1"/>
  <c r="Q1310" i="4" s="1"/>
  <c r="Q1311" i="4" s="1"/>
  <c r="Q1312" i="4" s="1"/>
  <c r="Q1313" i="4" s="1"/>
  <c r="Q1314" i="4" s="1"/>
  <c r="Q1315" i="4" s="1"/>
  <c r="Q1316" i="4" s="1"/>
  <c r="Q1317" i="4" s="1"/>
  <c r="Q1318" i="4" s="1"/>
  <c r="Q1319" i="4" s="1"/>
  <c r="Q1320" i="4" s="1"/>
  <c r="Q1321" i="4" s="1"/>
  <c r="Q1322" i="4" s="1"/>
  <c r="Q1323" i="4" s="1"/>
  <c r="Q1324" i="4" s="1"/>
  <c r="Q1325" i="4" s="1"/>
  <c r="Q1326" i="4" s="1"/>
  <c r="Q1327" i="4" s="1"/>
  <c r="Q1328" i="4" s="1"/>
  <c r="Q1329" i="4" s="1"/>
  <c r="Q1330" i="4" s="1"/>
  <c r="Q1331" i="4" s="1"/>
  <c r="Q1332" i="4" s="1"/>
  <c r="Q1333" i="4" s="1"/>
  <c r="Q1334" i="4" s="1"/>
  <c r="Q1335" i="4" s="1"/>
  <c r="Q1336" i="4" s="1"/>
  <c r="Q1337" i="4" s="1"/>
  <c r="Q1338" i="4" s="1"/>
  <c r="Q1339" i="4" s="1"/>
  <c r="Q1340" i="4" s="1"/>
  <c r="Q1341" i="4" s="1"/>
  <c r="Q1342" i="4" s="1"/>
  <c r="Q1343" i="4" s="1"/>
  <c r="Q1344" i="4" s="1"/>
  <c r="Q1345" i="4" s="1"/>
  <c r="Q1346" i="4" s="1"/>
  <c r="Q1347" i="4" s="1"/>
  <c r="Q1348" i="4" s="1"/>
  <c r="Q1349" i="4" s="1"/>
  <c r="Q1350" i="4" s="1"/>
  <c r="Q1351" i="4" s="1"/>
  <c r="Q1352" i="4" s="1"/>
  <c r="Q1353" i="4" s="1"/>
  <c r="Q1354" i="4" s="1"/>
  <c r="Q1355" i="4" s="1"/>
  <c r="Q1356" i="4" s="1"/>
  <c r="Q1357" i="4" s="1"/>
  <c r="Q1358" i="4" s="1"/>
  <c r="Q1359" i="4" s="1"/>
  <c r="Q1360" i="4" s="1"/>
  <c r="Q1361" i="4" s="1"/>
  <c r="Q1362" i="4" s="1"/>
  <c r="Q1363" i="4" s="1"/>
  <c r="Q1364" i="4" s="1"/>
  <c r="Q1365" i="4" s="1"/>
  <c r="Q1366" i="4" s="1"/>
  <c r="Q1367" i="4" s="1"/>
  <c r="Q1368" i="4" s="1"/>
  <c r="Q1369" i="4" s="1"/>
  <c r="Q1370" i="4" s="1"/>
  <c r="Q1371" i="4" s="1"/>
  <c r="Q1372" i="4" s="1"/>
  <c r="Q1373" i="4" s="1"/>
  <c r="Q1374" i="4" s="1"/>
  <c r="Q1375" i="4" s="1"/>
  <c r="Q1376" i="4" s="1"/>
  <c r="Q1377" i="4" s="1"/>
  <c r="Q1378" i="4" s="1"/>
  <c r="Q1379" i="4" s="1"/>
  <c r="Q1380" i="4" s="1"/>
  <c r="Q1381" i="4" s="1"/>
  <c r="Q1382" i="4" s="1"/>
  <c r="Q1383" i="4" s="1"/>
  <c r="Q1384" i="4" s="1"/>
  <c r="Q1385" i="4" s="1"/>
  <c r="Q1386" i="4" s="1"/>
  <c r="Q1387" i="4" s="1"/>
  <c r="Q1388" i="4" s="1"/>
  <c r="Q1389" i="4" s="1"/>
  <c r="Q1390" i="4" s="1"/>
  <c r="Q1391" i="4" s="1"/>
  <c r="Q1392" i="4" s="1"/>
  <c r="Q1393" i="4" s="1"/>
  <c r="Q1394" i="4" s="1"/>
  <c r="Q1395" i="4" s="1"/>
  <c r="Q1396" i="4" s="1"/>
  <c r="Q1397" i="4" s="1"/>
  <c r="Q1398" i="4" s="1"/>
  <c r="Q1399" i="4" s="1"/>
  <c r="Q1400" i="4" s="1"/>
  <c r="Q1401" i="4" s="1"/>
  <c r="Q1402" i="4" s="1"/>
  <c r="Q1403" i="4" s="1"/>
  <c r="Q1404" i="4" s="1"/>
  <c r="Q1405" i="4" s="1"/>
  <c r="Q1406" i="4" s="1"/>
  <c r="Q1407" i="4" s="1"/>
  <c r="Q1408" i="4" s="1"/>
  <c r="Q1409" i="4" s="1"/>
  <c r="Q1410" i="4" s="1"/>
  <c r="Q1411" i="4" s="1"/>
  <c r="Q1412" i="4" s="1"/>
  <c r="Q1413" i="4" s="1"/>
  <c r="Q1414" i="4" s="1"/>
  <c r="Q1415" i="4" s="1"/>
  <c r="Q1416" i="4" s="1"/>
  <c r="Q1417" i="4" s="1"/>
  <c r="Q1418" i="4" s="1"/>
  <c r="Q1419" i="4" s="1"/>
  <c r="Q1420" i="4" s="1"/>
  <c r="Q1421" i="4" s="1"/>
  <c r="Q1422" i="4" s="1"/>
  <c r="Q1423" i="4" s="1"/>
  <c r="Q1424" i="4" s="1"/>
  <c r="Q1425" i="4" s="1"/>
  <c r="Q1426" i="4" s="1"/>
  <c r="Q1427" i="4" s="1"/>
  <c r="Q1428" i="4" s="1"/>
  <c r="Q1429" i="4" s="1"/>
  <c r="Q1430" i="4" s="1"/>
  <c r="Q1431" i="4" s="1"/>
  <c r="Q1432" i="4" s="1"/>
  <c r="Q1433" i="4" s="1"/>
  <c r="Q1434" i="4" s="1"/>
  <c r="Q1435" i="4" s="1"/>
  <c r="Q1436" i="4" s="1"/>
  <c r="Q1437" i="4" s="1"/>
  <c r="Q1438" i="4" s="1"/>
  <c r="Q1439" i="4" s="1"/>
  <c r="Q1440" i="4" s="1"/>
  <c r="Q1441" i="4" s="1"/>
  <c r="Q1442" i="4" s="1"/>
  <c r="Q1443" i="4" s="1"/>
  <c r="Q1444" i="4" s="1"/>
  <c r="Q1445" i="4" s="1"/>
  <c r="Q1446" i="4" s="1"/>
  <c r="Q1447" i="4" s="1"/>
  <c r="Q1448" i="4" s="1"/>
  <c r="Q1449" i="4" s="1"/>
  <c r="Q1450" i="4" s="1"/>
  <c r="Q1451" i="4" s="1"/>
  <c r="Q1452" i="4" s="1"/>
  <c r="Q1453" i="4" s="1"/>
  <c r="Q1454" i="4" s="1"/>
  <c r="Q1455" i="4" s="1"/>
  <c r="Q1456" i="4" s="1"/>
  <c r="Q1457" i="4" s="1"/>
  <c r="Q1458" i="4" s="1"/>
  <c r="Q1459" i="4" s="1"/>
  <c r="Q1460" i="4" s="1"/>
  <c r="Q1461" i="4" s="1"/>
  <c r="Q1462" i="4" s="1"/>
  <c r="Q1463" i="4" s="1"/>
  <c r="Q1464" i="4" s="1"/>
  <c r="Q1465" i="4" s="1"/>
  <c r="Q1466" i="4" s="1"/>
  <c r="Q1467" i="4" s="1"/>
  <c r="Q1468" i="4" s="1"/>
  <c r="Q1469" i="4" s="1"/>
  <c r="Q1470" i="4" s="1"/>
  <c r="Q1471" i="4" s="1"/>
  <c r="Q1472" i="4" s="1"/>
  <c r="Q1473" i="4" s="1"/>
  <c r="Q1474" i="4" s="1"/>
  <c r="Q1475" i="4" s="1"/>
  <c r="Q1476" i="4" s="1"/>
  <c r="Q1477" i="4" s="1"/>
  <c r="Q1478" i="4" s="1"/>
  <c r="Q1479" i="4" s="1"/>
  <c r="Q1480" i="4" s="1"/>
  <c r="Q1481" i="4" s="1"/>
  <c r="Q1482" i="4" s="1"/>
  <c r="Q1483" i="4" s="1"/>
  <c r="Q1484" i="4" s="1"/>
  <c r="Q1485" i="4" s="1"/>
  <c r="Q1486" i="4" s="1"/>
  <c r="Q1487" i="4" s="1"/>
  <c r="Q1488" i="4" s="1"/>
  <c r="Q1489" i="4" s="1"/>
  <c r="Q1490" i="4" s="1"/>
  <c r="Q1491" i="4" s="1"/>
  <c r="Q1492" i="4" s="1"/>
  <c r="Q1493" i="4" s="1"/>
  <c r="Q1494" i="4" s="1"/>
  <c r="Q1495" i="4" s="1"/>
  <c r="Q1496" i="4" s="1"/>
  <c r="Q1497" i="4" s="1"/>
  <c r="Q1498" i="4" s="1"/>
  <c r="Q1499" i="4" s="1"/>
  <c r="Q1500" i="4" s="1"/>
  <c r="Q1501" i="4" s="1"/>
  <c r="Q1502" i="4" s="1"/>
  <c r="Q1503" i="4" s="1"/>
  <c r="Q1504" i="4" s="1"/>
  <c r="Q1505" i="4" s="1"/>
  <c r="Q1506" i="4" s="1"/>
  <c r="Q1507" i="4" s="1"/>
  <c r="Q1508" i="4" s="1"/>
  <c r="Q1509" i="4" s="1"/>
  <c r="Q1510" i="4" s="1"/>
  <c r="Q1511" i="4" s="1"/>
  <c r="Q1512" i="4" s="1"/>
  <c r="Q1513" i="4" s="1"/>
  <c r="Q1514" i="4" s="1"/>
  <c r="Q1515" i="4" s="1"/>
  <c r="Q1516" i="4" s="1"/>
  <c r="Q1517" i="4" s="1"/>
  <c r="Q1518" i="4" s="1"/>
  <c r="Q1519" i="4" s="1"/>
  <c r="Q1520" i="4" s="1"/>
  <c r="Q1521" i="4" s="1"/>
  <c r="Q1522" i="4" s="1"/>
  <c r="Q1523" i="4" s="1"/>
  <c r="Q1524" i="4" s="1"/>
  <c r="Q1525" i="4" s="1"/>
  <c r="Q1526" i="4" s="1"/>
  <c r="Q1527" i="4" s="1"/>
  <c r="Q1528" i="4" s="1"/>
  <c r="Q1529" i="4" s="1"/>
  <c r="Q1530" i="4" s="1"/>
  <c r="Q1531" i="4" s="1"/>
  <c r="Q1532" i="4" s="1"/>
  <c r="Q1533" i="4" s="1"/>
  <c r="Q1534" i="4" s="1"/>
  <c r="Q1535" i="4" s="1"/>
  <c r="Q1536" i="4" s="1"/>
  <c r="Q1537" i="4" s="1"/>
  <c r="Q1538" i="4" s="1"/>
  <c r="Q1539" i="4" s="1"/>
  <c r="Q1540" i="4" s="1"/>
  <c r="Q1541" i="4" s="1"/>
  <c r="Q1542" i="4" s="1"/>
  <c r="Q1543" i="4" s="1"/>
  <c r="Q1544" i="4" s="1"/>
  <c r="Q1545" i="4" s="1"/>
  <c r="Q1546" i="4" s="1"/>
  <c r="Q1547" i="4" s="1"/>
  <c r="Q1548" i="4" s="1"/>
  <c r="Q1549" i="4" s="1"/>
  <c r="Q1550" i="4" s="1"/>
  <c r="Q1551" i="4" s="1"/>
  <c r="Q1552" i="4" s="1"/>
  <c r="Q1553" i="4" s="1"/>
  <c r="Q1554" i="4" s="1"/>
  <c r="Q1555" i="4" s="1"/>
  <c r="Q1556" i="4" s="1"/>
  <c r="Q1557" i="4" s="1"/>
  <c r="Q1558" i="4" s="1"/>
  <c r="Q1559" i="4" s="1"/>
  <c r="Q1560" i="4" s="1"/>
  <c r="Q1561" i="4" s="1"/>
  <c r="Q1562" i="4" s="1"/>
  <c r="Q1563" i="4" s="1"/>
  <c r="Q1564" i="4" s="1"/>
  <c r="Q1565" i="4" s="1"/>
  <c r="Q1566" i="4" s="1"/>
  <c r="Q1567" i="4" s="1"/>
  <c r="Q1568" i="4" s="1"/>
  <c r="Q1569" i="4" s="1"/>
  <c r="Q1570" i="4" s="1"/>
  <c r="Q1571" i="4" s="1"/>
  <c r="Q1572" i="4" s="1"/>
  <c r="Q1573" i="4" s="1"/>
  <c r="Q1574" i="4" s="1"/>
  <c r="Q1575" i="4" s="1"/>
  <c r="Q1576" i="4" s="1"/>
  <c r="Q1577" i="4" s="1"/>
  <c r="Q1578" i="4" s="1"/>
  <c r="Q1579" i="4" s="1"/>
  <c r="Q1580" i="4" s="1"/>
  <c r="Q1581" i="4" s="1"/>
  <c r="Q1582" i="4" s="1"/>
  <c r="Q1583" i="4" s="1"/>
  <c r="Q1584" i="4" s="1"/>
  <c r="Q1585" i="4" s="1"/>
  <c r="Q1586" i="4" s="1"/>
  <c r="Q1587" i="4" s="1"/>
  <c r="Q1588" i="4" s="1"/>
  <c r="Q1589" i="4" s="1"/>
  <c r="Q1590" i="4" s="1"/>
  <c r="Q1591" i="4" s="1"/>
  <c r="Q1592" i="4" s="1"/>
  <c r="Q1593" i="4" s="1"/>
  <c r="Q1594" i="4" s="1"/>
  <c r="Q1595" i="4" s="1"/>
  <c r="Q1596" i="4" s="1"/>
  <c r="Q1597" i="4" s="1"/>
  <c r="Q1598" i="4" s="1"/>
  <c r="Q1599" i="4" s="1"/>
  <c r="Q1600" i="4" s="1"/>
  <c r="Q1601" i="4" s="1"/>
  <c r="Q1602" i="4" s="1"/>
  <c r="Q1603" i="4" s="1"/>
  <c r="Q1604" i="4" s="1"/>
  <c r="Q1605" i="4" s="1"/>
  <c r="Q1606" i="4" s="1"/>
  <c r="Q1607" i="4" s="1"/>
  <c r="Q1608" i="4" s="1"/>
  <c r="Q1609" i="4" s="1"/>
  <c r="Q1610" i="4" s="1"/>
  <c r="Q1611" i="4" s="1"/>
  <c r="Q1612" i="4" s="1"/>
  <c r="Q1613" i="4" s="1"/>
  <c r="Q1614" i="4" s="1"/>
  <c r="Q1615" i="4" s="1"/>
  <c r="Q1616" i="4" s="1"/>
  <c r="Q1617" i="4" s="1"/>
  <c r="Q1618" i="4" s="1"/>
  <c r="Q1619" i="4" s="1"/>
  <c r="Q1620" i="4" s="1"/>
  <c r="Q1621" i="4" s="1"/>
  <c r="Q1622" i="4" s="1"/>
  <c r="Q1623" i="4" s="1"/>
  <c r="Q1624" i="4" s="1"/>
  <c r="Q1625" i="4" s="1"/>
  <c r="Q1626" i="4" s="1"/>
  <c r="Q1627" i="4" s="1"/>
  <c r="Q1628" i="4" s="1"/>
  <c r="Q1629" i="4" s="1"/>
  <c r="Q1630" i="4" s="1"/>
  <c r="Q1631" i="4" s="1"/>
  <c r="Q1632" i="4" s="1"/>
  <c r="Q1633" i="4" s="1"/>
  <c r="Q1634" i="4" s="1"/>
  <c r="Q1635" i="4" s="1"/>
  <c r="Q1636" i="4" s="1"/>
  <c r="Q1637" i="4" s="1"/>
  <c r="Q1638" i="4" s="1"/>
  <c r="Q1639" i="4" s="1"/>
  <c r="Q1640" i="4" s="1"/>
  <c r="Q1641" i="4" s="1"/>
  <c r="Q1642" i="4" s="1"/>
  <c r="Q1643" i="4" s="1"/>
  <c r="Q1644" i="4" s="1"/>
  <c r="Q1645" i="4" s="1"/>
  <c r="Q1646" i="4" s="1"/>
  <c r="Q1647" i="4" s="1"/>
  <c r="Q1648" i="4" s="1"/>
  <c r="Q1649" i="4" s="1"/>
  <c r="Q1650" i="4" s="1"/>
  <c r="Q1651" i="4" s="1"/>
  <c r="Q1652" i="4" s="1"/>
  <c r="Q1653" i="4" s="1"/>
  <c r="Q1654" i="4" s="1"/>
  <c r="Q1655" i="4" s="1"/>
  <c r="Q1656" i="4" s="1"/>
  <c r="Q1657" i="4" s="1"/>
  <c r="Q1658" i="4" s="1"/>
  <c r="Q1659" i="4" s="1"/>
  <c r="Q1660" i="4" s="1"/>
  <c r="Q1661" i="4" s="1"/>
  <c r="Q1662" i="4" s="1"/>
  <c r="Q1663" i="4" s="1"/>
  <c r="Q1664" i="4" s="1"/>
  <c r="Q1665" i="4" s="1"/>
  <c r="Q1666" i="4" s="1"/>
  <c r="Q1667" i="4" s="1"/>
  <c r="Q1668" i="4" s="1"/>
  <c r="Q1669" i="4" s="1"/>
  <c r="Q1670" i="4" s="1"/>
  <c r="Q1671" i="4" s="1"/>
  <c r="Q1672" i="4" s="1"/>
  <c r="Q1673" i="4" s="1"/>
  <c r="Q1674" i="4" s="1"/>
  <c r="Q1675" i="4" s="1"/>
  <c r="Q1676" i="4" s="1"/>
  <c r="Q1677" i="4" s="1"/>
  <c r="Q1678" i="4" s="1"/>
  <c r="Q1679" i="4" s="1"/>
  <c r="Q1680" i="4" s="1"/>
  <c r="Q1681" i="4" s="1"/>
  <c r="Q1682" i="4" s="1"/>
  <c r="Q1683" i="4" s="1"/>
  <c r="Q1684" i="4" s="1"/>
  <c r="Q1685" i="4" s="1"/>
  <c r="Q1686" i="4" s="1"/>
  <c r="Q1687" i="4" s="1"/>
  <c r="Q1688" i="4" s="1"/>
  <c r="Q1689" i="4" s="1"/>
  <c r="Q1690" i="4" s="1"/>
  <c r="Q1691" i="4" s="1"/>
  <c r="Q1692" i="4" s="1"/>
  <c r="Q1693" i="4" s="1"/>
  <c r="Q1694" i="4" s="1"/>
  <c r="Q1695" i="4" s="1"/>
  <c r="Q1696" i="4" s="1"/>
  <c r="Q1697" i="4" s="1"/>
  <c r="Q1698" i="4" s="1"/>
  <c r="Q1699" i="4" s="1"/>
  <c r="Q1700" i="4" s="1"/>
  <c r="Q1701" i="4" s="1"/>
  <c r="Q1702" i="4" s="1"/>
  <c r="Q1703" i="4" s="1"/>
  <c r="Q1704" i="4" s="1"/>
  <c r="Q1705" i="4" s="1"/>
  <c r="Q1706" i="4" s="1"/>
  <c r="Q1707" i="4" s="1"/>
  <c r="Q1708" i="4" s="1"/>
  <c r="Q1709" i="4" s="1"/>
  <c r="Q1710" i="4" s="1"/>
  <c r="Q1711" i="4" s="1"/>
  <c r="Q1712" i="4" s="1"/>
  <c r="Q1713" i="4" s="1"/>
  <c r="Q1714" i="4" s="1"/>
  <c r="Q1715" i="4" s="1"/>
  <c r="Q1716" i="4" s="1"/>
  <c r="Q1717" i="4" s="1"/>
  <c r="Q1718" i="4" s="1"/>
  <c r="Q1719" i="4" s="1"/>
  <c r="Q1720" i="4" s="1"/>
  <c r="Q1721" i="4" s="1"/>
  <c r="Q1722" i="4" s="1"/>
  <c r="Q1723" i="4" s="1"/>
  <c r="Q1724" i="4" s="1"/>
  <c r="Q1725" i="4" s="1"/>
  <c r="Q1726" i="4" s="1"/>
  <c r="Q1727" i="4" s="1"/>
  <c r="Q1728" i="4" s="1"/>
  <c r="Q1729" i="4" s="1"/>
  <c r="Q1730" i="4" s="1"/>
  <c r="Q1731" i="4" s="1"/>
  <c r="Q1732" i="4" s="1"/>
  <c r="Q1733" i="4" s="1"/>
  <c r="Q1734" i="4" s="1"/>
  <c r="Q1735" i="4" s="1"/>
  <c r="Q1736" i="4" s="1"/>
  <c r="Q1737" i="4" s="1"/>
  <c r="Q1738" i="4" s="1"/>
  <c r="Q1739" i="4" s="1"/>
  <c r="Q1740" i="4" s="1"/>
  <c r="Q1741" i="4" s="1"/>
  <c r="Q1742" i="4" s="1"/>
  <c r="Q1743" i="4" s="1"/>
  <c r="Q1744" i="4" s="1"/>
  <c r="Q1745" i="4" s="1"/>
  <c r="Q1746" i="4" s="1"/>
  <c r="Q1747" i="4" s="1"/>
  <c r="Q1748" i="4" s="1"/>
  <c r="Q1749" i="4" s="1"/>
  <c r="Q1750" i="4" s="1"/>
  <c r="Q1751" i="4" s="1"/>
  <c r="Q1752" i="4" s="1"/>
  <c r="Q1753" i="4" s="1"/>
  <c r="Q1754" i="4" s="1"/>
  <c r="Q1755" i="4" s="1"/>
  <c r="Q1756" i="4" s="1"/>
  <c r="Q1757" i="4" s="1"/>
  <c r="Q1758" i="4" s="1"/>
  <c r="Q1759" i="4" s="1"/>
  <c r="Q1760" i="4" s="1"/>
  <c r="Q1761" i="4" s="1"/>
  <c r="Q1762" i="4" s="1"/>
  <c r="Q1763" i="4" s="1"/>
  <c r="Q1764" i="4" s="1"/>
  <c r="Q1765" i="4" s="1"/>
  <c r="Q1766" i="4" s="1"/>
  <c r="Q1767" i="4" s="1"/>
  <c r="Q1768" i="4" s="1"/>
  <c r="Q1769" i="4" s="1"/>
  <c r="Q1770" i="4" s="1"/>
  <c r="Q1771" i="4" s="1"/>
  <c r="Q1772" i="4" s="1"/>
  <c r="Q1773" i="4" s="1"/>
  <c r="Q1774" i="4" s="1"/>
  <c r="Q1775" i="4" s="1"/>
  <c r="Q1776" i="4" s="1"/>
  <c r="Q1777" i="4" s="1"/>
  <c r="Q1778" i="4" s="1"/>
  <c r="Q1779" i="4" s="1"/>
  <c r="Q1780" i="4" s="1"/>
  <c r="Q1781" i="4" s="1"/>
  <c r="Q1782" i="4" s="1"/>
  <c r="Q1783" i="4" s="1"/>
  <c r="Q1784" i="4" s="1"/>
  <c r="Q1785" i="4" s="1"/>
  <c r="Q1786" i="4" s="1"/>
  <c r="Q1787" i="4" s="1"/>
  <c r="Q1788" i="4" s="1"/>
  <c r="Q1789" i="4" s="1"/>
  <c r="Q1790" i="4" s="1"/>
  <c r="Q1791" i="4" s="1"/>
  <c r="Q1792" i="4" s="1"/>
  <c r="Q1793" i="4" s="1"/>
  <c r="Q1794" i="4" s="1"/>
  <c r="Q1795" i="4" s="1"/>
  <c r="Q1796" i="4" s="1"/>
  <c r="Q1797" i="4" s="1"/>
  <c r="Q1798" i="4" s="1"/>
  <c r="Q1799" i="4" s="1"/>
  <c r="Q1800" i="4" s="1"/>
  <c r="Q1801" i="4" s="1"/>
  <c r="Q1802" i="4" s="1"/>
  <c r="Q1803" i="4" s="1"/>
  <c r="Q1804" i="4" s="1"/>
  <c r="Q1805" i="4" s="1"/>
  <c r="Q1806" i="4" s="1"/>
  <c r="Q1807" i="4" s="1"/>
  <c r="Q1808" i="4" s="1"/>
  <c r="Q1809" i="4" s="1"/>
  <c r="Q1810" i="4" s="1"/>
  <c r="Q1811" i="4" s="1"/>
  <c r="Q1812" i="4" s="1"/>
  <c r="Q1813" i="4" s="1"/>
  <c r="Q1814" i="4" s="1"/>
  <c r="Q1815" i="4" s="1"/>
  <c r="Q1816" i="4" s="1"/>
  <c r="Q1817" i="4" s="1"/>
  <c r="Q1818" i="4" s="1"/>
  <c r="Q1819" i="4" s="1"/>
  <c r="Q1820" i="4" s="1"/>
  <c r="Q1821" i="4" s="1"/>
  <c r="Q1822" i="4" s="1"/>
  <c r="Q1823" i="4" s="1"/>
  <c r="Q1824" i="4" s="1"/>
  <c r="Q1825" i="4" s="1"/>
  <c r="Q1826" i="4" s="1"/>
  <c r="Q1827" i="4" s="1"/>
  <c r="Q1828" i="4" s="1"/>
  <c r="Q1829" i="4" s="1"/>
  <c r="Q1830" i="4" s="1"/>
  <c r="Q1831" i="4" s="1"/>
  <c r="Q1832" i="4" s="1"/>
  <c r="Q1833" i="4" s="1"/>
  <c r="Q1834" i="4" s="1"/>
  <c r="Q1835" i="4" s="1"/>
  <c r="Q1836" i="4" s="1"/>
  <c r="Q1837" i="4" s="1"/>
  <c r="Q1838" i="4" s="1"/>
  <c r="Q1839" i="4" s="1"/>
  <c r="Q1840" i="4" s="1"/>
  <c r="Q1841" i="4" s="1"/>
  <c r="Q1842" i="4" s="1"/>
  <c r="Q1843" i="4" s="1"/>
  <c r="Q1844" i="4" s="1"/>
  <c r="Q1845" i="4" s="1"/>
  <c r="Q1846" i="4" s="1"/>
  <c r="Q1847" i="4" s="1"/>
  <c r="Q1848" i="4" s="1"/>
  <c r="Q1849" i="4" s="1"/>
  <c r="Q1850" i="4" s="1"/>
  <c r="Q1851" i="4" s="1"/>
  <c r="Q1852" i="4" s="1"/>
  <c r="Q1853" i="4" s="1"/>
  <c r="Q1854" i="4" s="1"/>
  <c r="Q1855" i="4" s="1"/>
  <c r="Q1856" i="4" s="1"/>
  <c r="Q1857" i="4" s="1"/>
  <c r="Q1858" i="4" s="1"/>
  <c r="Q1859" i="4" s="1"/>
  <c r="Q1860" i="4" s="1"/>
  <c r="Q1861" i="4" s="1"/>
  <c r="Q1862" i="4" s="1"/>
  <c r="Q1863" i="4" s="1"/>
  <c r="Q1864" i="4" s="1"/>
  <c r="Q1865" i="4" s="1"/>
  <c r="Q1866" i="4" s="1"/>
  <c r="Q1867" i="4" s="1"/>
  <c r="Q1868" i="4" s="1"/>
  <c r="Q1869" i="4" s="1"/>
  <c r="Q1870" i="4" s="1"/>
  <c r="Q1871" i="4" s="1"/>
  <c r="Q1872" i="4" s="1"/>
  <c r="Q1873" i="4" s="1"/>
  <c r="Q1874" i="4" s="1"/>
  <c r="Q1875" i="4" s="1"/>
  <c r="Q1876" i="4" s="1"/>
  <c r="Q1877" i="4" s="1"/>
  <c r="Q1878" i="4" s="1"/>
  <c r="Q1879" i="4" s="1"/>
  <c r="Q1880" i="4" s="1"/>
  <c r="Q1881" i="4" s="1"/>
  <c r="Q1882" i="4" s="1"/>
  <c r="Q1883" i="4" s="1"/>
  <c r="Q1884" i="4" s="1"/>
  <c r="Q1885" i="4" s="1"/>
  <c r="Q1886" i="4" s="1"/>
  <c r="Q1887" i="4" s="1"/>
  <c r="Q1888" i="4" s="1"/>
  <c r="Q1889" i="4" s="1"/>
  <c r="Q1890" i="4" s="1"/>
  <c r="Q1891" i="4" s="1"/>
  <c r="Q1892" i="4" s="1"/>
  <c r="Q1893" i="4" s="1"/>
  <c r="Q1894" i="4" s="1"/>
  <c r="Q1895" i="4" s="1"/>
  <c r="Q1896" i="4" s="1"/>
  <c r="Q1897" i="4" s="1"/>
  <c r="Q1898" i="4" s="1"/>
  <c r="Q1899" i="4" s="1"/>
  <c r="Q1900" i="4" s="1"/>
  <c r="Q1901" i="4" s="1"/>
  <c r="Q1902" i="4" s="1"/>
  <c r="Q1903" i="4" s="1"/>
  <c r="Q1904" i="4" s="1"/>
  <c r="Q1905" i="4" s="1"/>
  <c r="Q1906" i="4" s="1"/>
  <c r="Q1907" i="4" s="1"/>
  <c r="Q1908" i="4" s="1"/>
  <c r="Q1909" i="4" s="1"/>
  <c r="Q1910" i="4" s="1"/>
  <c r="Q1911" i="4" s="1"/>
  <c r="Q1912" i="4" s="1"/>
  <c r="Q1913" i="4" s="1"/>
  <c r="Q1914" i="4" s="1"/>
  <c r="Q1915" i="4" s="1"/>
  <c r="Q1916" i="4" s="1"/>
  <c r="Q1917" i="4" s="1"/>
  <c r="Q1918" i="4" s="1"/>
  <c r="Q1919" i="4" s="1"/>
  <c r="Q1920" i="4" s="1"/>
  <c r="Q1921" i="4" s="1"/>
  <c r="Q1922" i="4" s="1"/>
  <c r="Q1923" i="4" s="1"/>
  <c r="Q1924" i="4" s="1"/>
  <c r="Q1925" i="4" s="1"/>
  <c r="Q1926" i="4" s="1"/>
  <c r="Q1927" i="4" s="1"/>
  <c r="Q1928" i="4" s="1"/>
  <c r="Q1929" i="4" s="1"/>
  <c r="Q1930" i="4" s="1"/>
  <c r="Q1931" i="4" s="1"/>
  <c r="Q1932" i="4" s="1"/>
  <c r="Q1933" i="4" s="1"/>
  <c r="Q1934" i="4" s="1"/>
  <c r="Q1935" i="4" s="1"/>
  <c r="Q1936" i="4" s="1"/>
  <c r="Q1937" i="4" s="1"/>
  <c r="Q1938" i="4" s="1"/>
  <c r="Q1939" i="4" s="1"/>
  <c r="Q1940" i="4" s="1"/>
  <c r="Q1941" i="4" s="1"/>
  <c r="Q1942" i="4" s="1"/>
  <c r="Q1943" i="4" s="1"/>
  <c r="Q1944" i="4" s="1"/>
  <c r="Q1945" i="4" s="1"/>
  <c r="Q1946" i="4" s="1"/>
  <c r="Q1947" i="4" s="1"/>
  <c r="Q1948" i="4" s="1"/>
  <c r="Q1949" i="4" s="1"/>
  <c r="Q1950" i="4" s="1"/>
  <c r="Q1951" i="4" s="1"/>
  <c r="Q1952" i="4" s="1"/>
  <c r="Q1953" i="4" s="1"/>
  <c r="Q1954" i="4" s="1"/>
  <c r="Q1955" i="4" s="1"/>
  <c r="Q1956" i="4" s="1"/>
  <c r="Q1957" i="4" s="1"/>
  <c r="Q1958" i="4" s="1"/>
  <c r="Q1959" i="4" s="1"/>
  <c r="Q1960" i="4" s="1"/>
  <c r="Q1961" i="4" s="1"/>
  <c r="Q1962" i="4" s="1"/>
  <c r="Q1963" i="4" s="1"/>
  <c r="Q1964" i="4" s="1"/>
  <c r="Q1965" i="4" s="1"/>
  <c r="Q1966" i="4" s="1"/>
  <c r="Q1967" i="4" s="1"/>
  <c r="Q1968" i="4" s="1"/>
  <c r="Q1969" i="4" s="1"/>
  <c r="Q1970" i="4" s="1"/>
  <c r="Q1971" i="4" s="1"/>
  <c r="Q1972" i="4" s="1"/>
  <c r="Q1973" i="4" s="1"/>
  <c r="Q1974" i="4" s="1"/>
  <c r="Q1975" i="4" s="1"/>
  <c r="Q1976" i="4" s="1"/>
  <c r="Q1977" i="4" s="1"/>
  <c r="Q1978" i="4" s="1"/>
  <c r="Q1979" i="4" s="1"/>
  <c r="Q1980" i="4" s="1"/>
  <c r="Q1981" i="4" s="1"/>
  <c r="Q1982" i="4" s="1"/>
  <c r="Q1983" i="4" s="1"/>
  <c r="Q1984" i="4" s="1"/>
  <c r="Q1985" i="4" s="1"/>
  <c r="Q1986" i="4" s="1"/>
  <c r="Q1987" i="4" s="1"/>
  <c r="Q1988" i="4" s="1"/>
  <c r="Q1989" i="4" s="1"/>
  <c r="Q1990" i="4" s="1"/>
  <c r="Q1991" i="4" s="1"/>
  <c r="Q1992" i="4" s="1"/>
  <c r="Q1993" i="4" s="1"/>
  <c r="Q1994" i="4" s="1"/>
  <c r="Q1995" i="4" s="1"/>
  <c r="Q1996" i="4" s="1"/>
  <c r="Q1997" i="4" s="1"/>
  <c r="Q1998" i="4" s="1"/>
  <c r="Q1999" i="4" s="1"/>
  <c r="Q2000" i="4" s="1"/>
  <c r="Q2001" i="4" s="1"/>
  <c r="Q2002" i="4" s="1"/>
  <c r="Q2003" i="4" s="1"/>
  <c r="Q2004" i="4" s="1"/>
  <c r="Q2005" i="4" s="1"/>
  <c r="Q2006" i="4" s="1"/>
  <c r="Q2007" i="4" s="1"/>
  <c r="Q2008" i="4" s="1"/>
  <c r="Q2009" i="4" s="1"/>
  <c r="Q2010" i="4" s="1"/>
  <c r="Q2011" i="4" s="1"/>
  <c r="Q2012" i="4" s="1"/>
  <c r="Q2013" i="4" s="1"/>
  <c r="Q2014" i="4" s="1"/>
  <c r="Q2015" i="4" s="1"/>
  <c r="Q2016" i="4" s="1"/>
  <c r="Q2017" i="4" s="1"/>
  <c r="Q2018" i="4" s="1"/>
  <c r="Q2019" i="4" s="1"/>
  <c r="Q2020" i="4" s="1"/>
  <c r="Q2021" i="4" s="1"/>
  <c r="Q2022" i="4" s="1"/>
  <c r="Q2023" i="4" s="1"/>
  <c r="Q2024" i="4" s="1"/>
  <c r="Q2025" i="4" s="1"/>
  <c r="Q2026" i="4" s="1"/>
  <c r="Q2027" i="4" s="1"/>
  <c r="Q2028" i="4" s="1"/>
  <c r="Q2029" i="4" s="1"/>
  <c r="Q2030" i="4" s="1"/>
  <c r="Q2031" i="4" s="1"/>
  <c r="Q2032" i="4" s="1"/>
  <c r="Q2033" i="4" s="1"/>
  <c r="Q2034" i="4" s="1"/>
  <c r="Q2035" i="4" s="1"/>
  <c r="Q2036" i="4" s="1"/>
  <c r="Q2037" i="4" s="1"/>
  <c r="Q2038" i="4" s="1"/>
  <c r="Q2039" i="4" s="1"/>
  <c r="Q2040" i="4" s="1"/>
  <c r="Q2041" i="4" s="1"/>
  <c r="Q2042" i="4" s="1"/>
  <c r="Q2043" i="4" s="1"/>
  <c r="Q2044" i="4" s="1"/>
  <c r="Q2045" i="4" s="1"/>
  <c r="Q2046" i="4" s="1"/>
  <c r="Q2047" i="4" s="1"/>
  <c r="Q2048" i="4" s="1"/>
  <c r="Q2049" i="4" s="1"/>
  <c r="Q2050" i="4" s="1"/>
  <c r="Q2051" i="4" s="1"/>
  <c r="Q2052" i="4" s="1"/>
  <c r="Q2053" i="4" s="1"/>
  <c r="Q2054" i="4" s="1"/>
  <c r="Q2055" i="4" s="1"/>
  <c r="Q2056" i="4" s="1"/>
  <c r="Q2057" i="4" s="1"/>
  <c r="Q2058" i="4" s="1"/>
  <c r="Q2059" i="4" s="1"/>
  <c r="Q2060" i="4" s="1"/>
  <c r="Q2061" i="4" s="1"/>
  <c r="Q2062" i="4" s="1"/>
  <c r="Q2063" i="4" s="1"/>
  <c r="Q2064" i="4" s="1"/>
  <c r="Q2065" i="4" s="1"/>
  <c r="Q2066" i="4" s="1"/>
  <c r="Q2067" i="4" s="1"/>
  <c r="Q2068" i="4" s="1"/>
  <c r="Q2069" i="4" s="1"/>
  <c r="Q2070" i="4" s="1"/>
  <c r="Q2071" i="4" s="1"/>
  <c r="Q2072" i="4" s="1"/>
  <c r="Q2073" i="4" s="1"/>
  <c r="Q2074" i="4" s="1"/>
  <c r="Q2075" i="4" s="1"/>
  <c r="Q2076" i="4" s="1"/>
  <c r="Q2077" i="4" s="1"/>
  <c r="Q2078" i="4" s="1"/>
  <c r="Q2079" i="4" s="1"/>
  <c r="Q2080" i="4" s="1"/>
  <c r="Q2081" i="4" s="1"/>
  <c r="Q2082" i="4" s="1"/>
  <c r="Q2083" i="4" s="1"/>
  <c r="Q2084" i="4" s="1"/>
  <c r="Q2085" i="4" s="1"/>
  <c r="Q2086" i="4" s="1"/>
  <c r="Q2087" i="4" s="1"/>
  <c r="Q2088" i="4" s="1"/>
  <c r="Q2089" i="4" s="1"/>
  <c r="Q2090" i="4" s="1"/>
  <c r="Q2091" i="4" s="1"/>
  <c r="Q2092" i="4" s="1"/>
  <c r="Q2093" i="4" s="1"/>
  <c r="Q2094" i="4" s="1"/>
  <c r="Q2095" i="4" s="1"/>
  <c r="Q2096" i="4" s="1"/>
  <c r="Q2097" i="4" s="1"/>
  <c r="Q2098" i="4" s="1"/>
  <c r="Q2099" i="4" s="1"/>
  <c r="Q2100" i="4" s="1"/>
  <c r="Q2101" i="4" s="1"/>
  <c r="Q2102" i="4" s="1"/>
  <c r="Q2103" i="4" s="1"/>
  <c r="Q2104" i="4" s="1"/>
  <c r="Q2105" i="4" s="1"/>
  <c r="Q2106" i="4" s="1"/>
  <c r="Q2107" i="4" s="1"/>
  <c r="Q2108" i="4" s="1"/>
  <c r="Q2109" i="4" s="1"/>
  <c r="Q2110" i="4" s="1"/>
  <c r="Q2111" i="4" s="1"/>
  <c r="Q2112" i="4" s="1"/>
  <c r="Q2113" i="4" s="1"/>
  <c r="Q2114" i="4" s="1"/>
  <c r="Q2115" i="4" s="1"/>
  <c r="Q2116" i="4" s="1"/>
  <c r="Q2117" i="4" s="1"/>
  <c r="Q2118" i="4" s="1"/>
  <c r="Q2119" i="4" s="1"/>
  <c r="Q2120" i="4" s="1"/>
  <c r="Q2121" i="4" s="1"/>
  <c r="Q2122" i="4" s="1"/>
  <c r="Q2123" i="4" s="1"/>
  <c r="Q2124" i="4" s="1"/>
  <c r="Q2125" i="4" s="1"/>
  <c r="Q2126" i="4" s="1"/>
  <c r="Q2127" i="4" s="1"/>
  <c r="Q2128" i="4" s="1"/>
  <c r="Q2129" i="4" s="1"/>
  <c r="Q2130" i="4" s="1"/>
  <c r="Q2131" i="4" s="1"/>
  <c r="Q2132" i="4" s="1"/>
  <c r="Q2133" i="4" s="1"/>
  <c r="Q2134" i="4" s="1"/>
  <c r="Q2135" i="4" s="1"/>
  <c r="Q2136" i="4" s="1"/>
  <c r="Q2137" i="4" s="1"/>
  <c r="Q2138" i="4" s="1"/>
  <c r="Q2139" i="4" s="1"/>
  <c r="Q2140" i="4" s="1"/>
  <c r="Q2141" i="4" s="1"/>
  <c r="Q2142" i="4" s="1"/>
  <c r="Q2143" i="4" s="1"/>
  <c r="Q2144" i="4" s="1"/>
  <c r="Q2145" i="4" s="1"/>
  <c r="Q2146" i="4" s="1"/>
  <c r="Q2147" i="4" s="1"/>
  <c r="Q2148" i="4" s="1"/>
  <c r="Q2149" i="4" s="1"/>
  <c r="Q2150" i="4" s="1"/>
  <c r="Q2151" i="4" s="1"/>
  <c r="Q2152" i="4" s="1"/>
  <c r="Q2153" i="4" s="1"/>
  <c r="Q2154" i="4" s="1"/>
  <c r="Q2155" i="4" s="1"/>
  <c r="Q2156" i="4" s="1"/>
  <c r="Q2157" i="4" s="1"/>
  <c r="Q2158" i="4" s="1"/>
  <c r="Q2159" i="4" s="1"/>
  <c r="Q2160" i="4" s="1"/>
  <c r="Q2161" i="4" s="1"/>
  <c r="Q2162" i="4" s="1"/>
  <c r="Q2163" i="4" s="1"/>
  <c r="Q2164" i="4" s="1"/>
  <c r="Q2165" i="4" s="1"/>
  <c r="Q2166" i="4" s="1"/>
  <c r="Q2167" i="4" s="1"/>
  <c r="Q2168" i="4" s="1"/>
  <c r="Q2169" i="4" s="1"/>
  <c r="Q2170" i="4" s="1"/>
  <c r="Q2171" i="4" s="1"/>
  <c r="Q2172" i="4" s="1"/>
  <c r="Q2173" i="4" s="1"/>
  <c r="Q2174" i="4" s="1"/>
  <c r="Q2175" i="4" s="1"/>
  <c r="Q2176" i="4" s="1"/>
  <c r="Q2177" i="4" s="1"/>
  <c r="Q2178" i="4" s="1"/>
  <c r="Q2179" i="4" s="1"/>
  <c r="Q2180" i="4" s="1"/>
  <c r="Q2181" i="4" s="1"/>
  <c r="Q2182" i="4" s="1"/>
  <c r="Q2183" i="4" s="1"/>
  <c r="Q2184" i="4" s="1"/>
  <c r="Q2185" i="4" s="1"/>
  <c r="Q2186" i="4" s="1"/>
  <c r="Q2187" i="4" s="1"/>
  <c r="Q2188" i="4" s="1"/>
  <c r="Q2189" i="4" s="1"/>
  <c r="Q2190" i="4" s="1"/>
  <c r="Q2191" i="4" s="1"/>
  <c r="Q2192" i="4" s="1"/>
  <c r="Q2193" i="4" s="1"/>
  <c r="Q2194" i="4" s="1"/>
  <c r="Q2195" i="4" s="1"/>
  <c r="Q2196" i="4" s="1"/>
  <c r="Q2197" i="4" s="1"/>
  <c r="Q2198" i="4" s="1"/>
  <c r="Q2199" i="4" s="1"/>
  <c r="Q2200" i="4" s="1"/>
  <c r="Q2201" i="4" s="1"/>
  <c r="Q2202" i="4" s="1"/>
  <c r="Q2203" i="4" s="1"/>
  <c r="Q2204" i="4" s="1"/>
  <c r="Q2205" i="4" s="1"/>
  <c r="Q2206" i="4" s="1"/>
  <c r="Q2207" i="4" s="1"/>
  <c r="Q2208" i="4" s="1"/>
  <c r="Q2209" i="4" s="1"/>
  <c r="Q2210" i="4" s="1"/>
  <c r="Q2211" i="4" s="1"/>
  <c r="Q2212" i="4" s="1"/>
  <c r="Q2213" i="4" s="1"/>
  <c r="Q2214" i="4" s="1"/>
  <c r="Q2215" i="4" s="1"/>
  <c r="Q2216" i="4" s="1"/>
  <c r="Q2217" i="4" s="1"/>
  <c r="Q2218" i="4" s="1"/>
  <c r="Q2219" i="4" s="1"/>
  <c r="Q2220" i="4" s="1"/>
  <c r="Q2221" i="4" s="1"/>
  <c r="Q2222" i="4" s="1"/>
  <c r="Q2223" i="4" s="1"/>
  <c r="Q2224" i="4" s="1"/>
  <c r="Q2225" i="4" s="1"/>
  <c r="Q2226" i="4" s="1"/>
  <c r="Q2227" i="4" s="1"/>
  <c r="Q2228" i="4" s="1"/>
  <c r="Q2229" i="4" s="1"/>
  <c r="Q2230" i="4" s="1"/>
  <c r="Q2231" i="4" s="1"/>
  <c r="Q2232" i="4" s="1"/>
  <c r="Q2233" i="4" s="1"/>
  <c r="Q2234" i="4" s="1"/>
  <c r="Q2235" i="4" s="1"/>
  <c r="Q2236" i="4" s="1"/>
  <c r="Q2237" i="4" s="1"/>
  <c r="Q2238" i="4" s="1"/>
  <c r="Q2239" i="4" s="1"/>
  <c r="Q2240" i="4" s="1"/>
  <c r="Q2241" i="4" s="1"/>
  <c r="Q2242" i="4" s="1"/>
  <c r="Q2243" i="4" s="1"/>
  <c r="Q2244" i="4" s="1"/>
  <c r="Q2245" i="4" s="1"/>
  <c r="Q2246" i="4" s="1"/>
  <c r="Q2247" i="4" s="1"/>
  <c r="Q2248" i="4" s="1"/>
  <c r="Q2249" i="4" s="1"/>
  <c r="Q2250" i="4" s="1"/>
  <c r="Q2251" i="4" s="1"/>
  <c r="Q2252" i="4" s="1"/>
  <c r="Q2253" i="4" s="1"/>
  <c r="Q2254" i="4" s="1"/>
  <c r="Q2255" i="4" s="1"/>
  <c r="Q2256" i="4" s="1"/>
  <c r="Q2257" i="4" s="1"/>
  <c r="Q2258" i="4" s="1"/>
  <c r="Q2259" i="4" s="1"/>
  <c r="Q2260" i="4" s="1"/>
  <c r="Q2261" i="4" s="1"/>
  <c r="Q2262" i="4" s="1"/>
  <c r="Q2263" i="4" s="1"/>
  <c r="Q2264" i="4" s="1"/>
  <c r="Q2265" i="4" s="1"/>
  <c r="Q2266" i="4" s="1"/>
  <c r="Q2267" i="4" s="1"/>
  <c r="Q2268" i="4" s="1"/>
  <c r="Q2269" i="4" s="1"/>
  <c r="Q2270" i="4" s="1"/>
  <c r="Q2271" i="4" s="1"/>
  <c r="Q2272" i="4" s="1"/>
  <c r="Q2273" i="4" s="1"/>
  <c r="Q2274" i="4" s="1"/>
  <c r="Q2275" i="4" s="1"/>
  <c r="Q2276" i="4" s="1"/>
  <c r="Q2277" i="4" s="1"/>
  <c r="Q2278" i="4" s="1"/>
  <c r="Q2279" i="4" s="1"/>
  <c r="Q2280" i="4" s="1"/>
  <c r="Q2281" i="4" s="1"/>
  <c r="Q2282" i="4" s="1"/>
  <c r="Q2283" i="4" s="1"/>
  <c r="Q2284" i="4" s="1"/>
  <c r="Q2285" i="4" s="1"/>
  <c r="Q2286" i="4" s="1"/>
  <c r="Q2287" i="4" s="1"/>
  <c r="Q2288" i="4" s="1"/>
  <c r="Q2289" i="4" s="1"/>
  <c r="Q2290" i="4" s="1"/>
  <c r="Q2291" i="4" s="1"/>
  <c r="Q2292" i="4" s="1"/>
  <c r="Q2293" i="4" s="1"/>
  <c r="Q2294" i="4" s="1"/>
  <c r="Q2295" i="4" s="1"/>
  <c r="Q2296" i="4" s="1"/>
  <c r="Q2297" i="4" s="1"/>
  <c r="Q2298" i="4" s="1"/>
  <c r="Q2299" i="4" s="1"/>
  <c r="Q2300" i="4" s="1"/>
  <c r="Q2301" i="4" s="1"/>
  <c r="Q2302" i="4" s="1"/>
  <c r="Q2303" i="4" s="1"/>
  <c r="Q2304" i="4" s="1"/>
  <c r="Q2305" i="4" s="1"/>
  <c r="Q2306" i="4" s="1"/>
  <c r="Q2307" i="4" s="1"/>
  <c r="Q2308" i="4" s="1"/>
  <c r="Q2309" i="4" s="1"/>
  <c r="Q2310" i="4" s="1"/>
  <c r="Q2311" i="4" s="1"/>
  <c r="Q2312" i="4" s="1"/>
  <c r="Q2313" i="4" s="1"/>
  <c r="Q2314" i="4" s="1"/>
  <c r="Q2315" i="4" s="1"/>
  <c r="Q2316" i="4" s="1"/>
  <c r="Q2317" i="4" s="1"/>
  <c r="Q2318" i="4" s="1"/>
  <c r="Q2319" i="4" s="1"/>
  <c r="Q2320" i="4" s="1"/>
  <c r="Q2321" i="4" s="1"/>
  <c r="Q2322" i="4" s="1"/>
  <c r="Q2323" i="4" s="1"/>
  <c r="Q2324" i="4" s="1"/>
  <c r="Q2325" i="4" s="1"/>
  <c r="Q2326" i="4" s="1"/>
  <c r="Q2327" i="4" s="1"/>
  <c r="Q2328" i="4" s="1"/>
  <c r="Q2329" i="4" s="1"/>
  <c r="Q2330" i="4" s="1"/>
  <c r="Q2331" i="4" s="1"/>
  <c r="Q2332" i="4" s="1"/>
  <c r="Q2333" i="4" s="1"/>
  <c r="Q2334" i="4" s="1"/>
  <c r="Q2335" i="4" s="1"/>
  <c r="Q2336" i="4" s="1"/>
  <c r="Q2337" i="4" s="1"/>
  <c r="Q2338" i="4" s="1"/>
  <c r="Q2339" i="4" s="1"/>
  <c r="Q2340" i="4" s="1"/>
  <c r="Q2341" i="4" s="1"/>
  <c r="Q2342" i="4" s="1"/>
  <c r="Q2343" i="4" s="1"/>
  <c r="Q2344" i="4" s="1"/>
  <c r="Q2345" i="4" s="1"/>
  <c r="Q2346" i="4" s="1"/>
  <c r="Q2347" i="4" s="1"/>
  <c r="Q2348" i="4" s="1"/>
  <c r="Q2349" i="4" s="1"/>
  <c r="Q2350" i="4" s="1"/>
  <c r="Q2351" i="4" s="1"/>
  <c r="Q2352" i="4" s="1"/>
  <c r="Q2353" i="4" s="1"/>
  <c r="Q2354" i="4" s="1"/>
  <c r="Q2355" i="4" s="1"/>
  <c r="Q2356" i="4" s="1"/>
  <c r="Q2357" i="4" s="1"/>
  <c r="Q2358" i="4" s="1"/>
  <c r="Q2359" i="4" s="1"/>
  <c r="Q2360" i="4" s="1"/>
  <c r="Q2361" i="4" s="1"/>
  <c r="Q2362" i="4" s="1"/>
  <c r="Q2363" i="4" s="1"/>
  <c r="Q2364" i="4" s="1"/>
  <c r="Q2365" i="4" s="1"/>
  <c r="Q2366" i="4" s="1"/>
  <c r="Q2367" i="4" s="1"/>
  <c r="Q2368" i="4" s="1"/>
  <c r="Q2369" i="4" s="1"/>
  <c r="Q2370" i="4" s="1"/>
  <c r="Q2371" i="4" s="1"/>
  <c r="Q2372" i="4" s="1"/>
  <c r="Q2373" i="4" s="1"/>
  <c r="Q2374" i="4" s="1"/>
  <c r="Q2375" i="4" s="1"/>
  <c r="Q2376" i="4" s="1"/>
  <c r="Q2377" i="4" s="1"/>
  <c r="Q2378" i="4" s="1"/>
  <c r="Q2379" i="4" s="1"/>
  <c r="Q2380" i="4" s="1"/>
  <c r="Q2381" i="4" s="1"/>
  <c r="Q2382" i="4" s="1"/>
  <c r="Q2383" i="4" s="1"/>
  <c r="Q2384" i="4" s="1"/>
  <c r="Q2385" i="4" s="1"/>
  <c r="Q2386" i="4" s="1"/>
  <c r="Q2387" i="4" s="1"/>
  <c r="Q2388" i="4" s="1"/>
  <c r="Q2389" i="4" s="1"/>
  <c r="Q2390" i="4" s="1"/>
  <c r="Q2391" i="4" s="1"/>
  <c r="Q2392" i="4" s="1"/>
  <c r="Q2393" i="4" s="1"/>
  <c r="Q2394" i="4" s="1"/>
  <c r="Q2395" i="4" s="1"/>
  <c r="Q2396" i="4" s="1"/>
  <c r="Q2397" i="4" s="1"/>
  <c r="Q2398" i="4" s="1"/>
  <c r="Q2399" i="4" s="1"/>
  <c r="Q2400" i="4" s="1"/>
  <c r="Q2401" i="4" s="1"/>
  <c r="Q2402" i="4" s="1"/>
  <c r="Q2403" i="4" s="1"/>
  <c r="Q2404" i="4" s="1"/>
  <c r="Q2405" i="4" s="1"/>
  <c r="Q2406" i="4" s="1"/>
  <c r="Q2407" i="4" s="1"/>
  <c r="Q2408" i="4" s="1"/>
  <c r="Q2409" i="4" s="1"/>
  <c r="Q2410" i="4" s="1"/>
  <c r="Q2411" i="4" s="1"/>
  <c r="Q2412" i="4" s="1"/>
  <c r="Q2413" i="4" s="1"/>
  <c r="Q2414" i="4" s="1"/>
  <c r="Q2415" i="4" s="1"/>
  <c r="Q2416" i="4" s="1"/>
  <c r="Q2417" i="4" s="1"/>
  <c r="Q2418" i="4" s="1"/>
  <c r="Q2419" i="4" s="1"/>
  <c r="Q2420" i="4" s="1"/>
  <c r="Q2421" i="4" s="1"/>
  <c r="Q2422" i="4" s="1"/>
  <c r="Q2423" i="4" s="1"/>
  <c r="Q2424" i="4" s="1"/>
  <c r="Q2425" i="4" s="1"/>
  <c r="Q2426" i="4" s="1"/>
  <c r="Q2427" i="4" s="1"/>
  <c r="Q2428" i="4" s="1"/>
  <c r="Q2429" i="4" s="1"/>
  <c r="Q2430" i="4" s="1"/>
  <c r="Q2431" i="4" s="1"/>
  <c r="Q2432" i="4" s="1"/>
  <c r="Q2433" i="4" s="1"/>
  <c r="Q2434" i="4" s="1"/>
  <c r="Q2435" i="4" s="1"/>
  <c r="Q2436" i="4" s="1"/>
  <c r="Q2437" i="4" s="1"/>
  <c r="Q2438" i="4" s="1"/>
  <c r="Q2439" i="4" s="1"/>
  <c r="Q2440" i="4" s="1"/>
  <c r="Q2441" i="4" s="1"/>
  <c r="Q2442" i="4" s="1"/>
  <c r="Q2443" i="4" s="1"/>
  <c r="Q2444" i="4" s="1"/>
  <c r="Q2445" i="4" s="1"/>
  <c r="Q2446" i="4" s="1"/>
  <c r="Q2447" i="4" s="1"/>
  <c r="Q2448" i="4" s="1"/>
  <c r="Q2449" i="4" s="1"/>
  <c r="Q2450" i="4" s="1"/>
  <c r="Q2451" i="4" s="1"/>
  <c r="Q2452" i="4" s="1"/>
  <c r="Q2453" i="4" s="1"/>
  <c r="Q2454" i="4" s="1"/>
  <c r="Q2455" i="4" s="1"/>
  <c r="Q2456" i="4" s="1"/>
  <c r="Q2457" i="4" s="1"/>
  <c r="Q2458" i="4" s="1"/>
  <c r="Q2459" i="4" s="1"/>
  <c r="Q2460" i="4" s="1"/>
  <c r="Q2461" i="4" s="1"/>
  <c r="Q2462" i="4" s="1"/>
  <c r="Q2463" i="4" s="1"/>
  <c r="Q2464" i="4" s="1"/>
  <c r="Q2465" i="4" s="1"/>
  <c r="Q2466" i="4" s="1"/>
  <c r="Q2467" i="4" s="1"/>
  <c r="Q2468" i="4" s="1"/>
  <c r="Q2469" i="4" s="1"/>
  <c r="Q2470" i="4" s="1"/>
  <c r="Q2471" i="4" s="1"/>
  <c r="Q2472" i="4" s="1"/>
  <c r="Q2473" i="4" s="1"/>
  <c r="Q2474" i="4" s="1"/>
  <c r="Q2475" i="4" s="1"/>
  <c r="Q2476" i="4" s="1"/>
  <c r="Q2477" i="4" s="1"/>
  <c r="Q2478" i="4" s="1"/>
  <c r="Q2479" i="4" s="1"/>
  <c r="Q2480" i="4" s="1"/>
  <c r="Q2481" i="4" s="1"/>
  <c r="Q2482" i="4" s="1"/>
  <c r="Q2483" i="4" s="1"/>
  <c r="Q2484" i="4" s="1"/>
  <c r="Q2485" i="4" s="1"/>
  <c r="Q2486" i="4" s="1"/>
  <c r="Q2487" i="4" s="1"/>
  <c r="Q2488" i="4" s="1"/>
  <c r="Q2489" i="4" s="1"/>
  <c r="Q2490" i="4" s="1"/>
  <c r="Q2491" i="4" s="1"/>
  <c r="Q2492" i="4" s="1"/>
  <c r="Q2493" i="4" s="1"/>
  <c r="Q2494" i="4" s="1"/>
  <c r="Q2495" i="4" s="1"/>
  <c r="Q2496" i="4" s="1"/>
  <c r="Q2497" i="4" s="1"/>
  <c r="Q2498" i="4" s="1"/>
  <c r="Q2499" i="4" s="1"/>
  <c r="Q2500" i="4" s="1"/>
  <c r="Q2501" i="4" s="1"/>
  <c r="Q2502" i="4" s="1"/>
  <c r="Q2503" i="4" s="1"/>
  <c r="Q2504" i="4" s="1"/>
  <c r="Q2505" i="4" s="1"/>
  <c r="Q2506" i="4" s="1"/>
  <c r="Q2507" i="4" s="1"/>
  <c r="Q2508" i="4" s="1"/>
  <c r="Q2509" i="4" s="1"/>
  <c r="Q2510" i="4" s="1"/>
  <c r="Q2511" i="4" s="1"/>
  <c r="Q2512" i="4" s="1"/>
  <c r="Q2513" i="4" s="1"/>
  <c r="Q2514" i="4" s="1"/>
  <c r="Q2515" i="4" s="1"/>
  <c r="Q2516" i="4" s="1"/>
  <c r="Q2517" i="4" s="1"/>
  <c r="Q2518" i="4" s="1"/>
  <c r="Q2519" i="4" s="1"/>
  <c r="Q2520" i="4" s="1"/>
  <c r="Q2521" i="4" s="1"/>
  <c r="Q2522" i="4" s="1"/>
  <c r="Q2523" i="4" s="1"/>
  <c r="Q2524" i="4" s="1"/>
  <c r="Q2525" i="4" s="1"/>
  <c r="Q2526" i="4" s="1"/>
  <c r="Q2527" i="4" s="1"/>
  <c r="Q2528" i="4" s="1"/>
  <c r="Q2529" i="4" s="1"/>
  <c r="Q2530" i="4" s="1"/>
  <c r="Q2531" i="4" s="1"/>
  <c r="Q2532" i="4" s="1"/>
  <c r="Q2533" i="4" s="1"/>
  <c r="Q2534" i="4" s="1"/>
  <c r="Q2535" i="4" s="1"/>
  <c r="Q2536" i="4" s="1"/>
  <c r="Q2537" i="4" s="1"/>
  <c r="Q2538" i="4" s="1"/>
  <c r="Q2539" i="4" s="1"/>
  <c r="Q2540" i="4" s="1"/>
  <c r="Q2541" i="4" s="1"/>
  <c r="Q2542" i="4" s="1"/>
  <c r="Q2543" i="4" s="1"/>
  <c r="Q2544" i="4" s="1"/>
  <c r="Q2545" i="4" s="1"/>
  <c r="Q2546" i="4" s="1"/>
  <c r="Q2547" i="4" s="1"/>
  <c r="Q2548" i="4" s="1"/>
  <c r="Q2549" i="4" s="1"/>
  <c r="Q2550" i="4" s="1"/>
  <c r="Q2551" i="4" s="1"/>
  <c r="Q2552" i="4" s="1"/>
  <c r="Q2553" i="4" s="1"/>
  <c r="Q2554" i="4" s="1"/>
  <c r="Q2555" i="4" s="1"/>
  <c r="Q2556" i="4" s="1"/>
  <c r="Q2557" i="4" s="1"/>
  <c r="Q2558" i="4" s="1"/>
  <c r="Q2559" i="4" s="1"/>
  <c r="Q2560" i="4" s="1"/>
  <c r="Q2561" i="4" s="1"/>
  <c r="Q2562" i="4" s="1"/>
  <c r="Q2563" i="4" s="1"/>
  <c r="Q2564" i="4" s="1"/>
  <c r="Q2565" i="4" s="1"/>
  <c r="Q2566" i="4" s="1"/>
  <c r="Q2567" i="4" s="1"/>
  <c r="Q2568" i="4" s="1"/>
  <c r="Q2569" i="4" s="1"/>
  <c r="Q2570" i="4" s="1"/>
  <c r="Q2571" i="4" s="1"/>
  <c r="Q2572" i="4" s="1"/>
  <c r="Q2573" i="4" s="1"/>
  <c r="Q2574" i="4" s="1"/>
  <c r="Q2575" i="4" s="1"/>
  <c r="Q2576" i="4" s="1"/>
  <c r="Q2577" i="4" s="1"/>
  <c r="Q2578" i="4" s="1"/>
  <c r="Q2579" i="4" s="1"/>
  <c r="Q2580" i="4" s="1"/>
  <c r="Q2581" i="4" s="1"/>
  <c r="Q2582" i="4" s="1"/>
  <c r="Q2583" i="4" s="1"/>
  <c r="Q2584" i="4" s="1"/>
  <c r="Q2585" i="4" s="1"/>
  <c r="Q2586" i="4" s="1"/>
  <c r="Q2587" i="4" s="1"/>
  <c r="Q2588" i="4" s="1"/>
  <c r="Q2589" i="4" s="1"/>
  <c r="Q2590" i="4" s="1"/>
  <c r="Q2591" i="4" s="1"/>
  <c r="Q2592" i="4" s="1"/>
  <c r="Q2593" i="4" s="1"/>
  <c r="Q2594" i="4" s="1"/>
  <c r="Q2595" i="4" s="1"/>
  <c r="Q2596" i="4" s="1"/>
  <c r="Q2597" i="4" s="1"/>
  <c r="Q2598" i="4" s="1"/>
  <c r="Q2599" i="4" s="1"/>
  <c r="Q2600" i="4" s="1"/>
  <c r="Q2601" i="4" s="1"/>
  <c r="Q2602" i="4" s="1"/>
  <c r="Q2603" i="4" s="1"/>
  <c r="Q2604" i="4" s="1"/>
  <c r="Q2605" i="4" s="1"/>
  <c r="Q2606" i="4" s="1"/>
  <c r="Q2607" i="4" s="1"/>
  <c r="Q2608" i="4" s="1"/>
  <c r="Q2609" i="4" s="1"/>
  <c r="Q2610" i="4" s="1"/>
  <c r="Q2611" i="4" s="1"/>
  <c r="Q2612" i="4" s="1"/>
  <c r="Q2613" i="4" s="1"/>
  <c r="Q2614" i="4" s="1"/>
  <c r="Q2615" i="4" s="1"/>
  <c r="Q2616" i="4" s="1"/>
  <c r="Q2617" i="4" s="1"/>
  <c r="Q2618" i="4" s="1"/>
  <c r="Q2619" i="4" s="1"/>
  <c r="Q2620" i="4" s="1"/>
  <c r="Q2621" i="4" s="1"/>
  <c r="Q2622" i="4" s="1"/>
  <c r="Q2623" i="4" s="1"/>
  <c r="Q2624" i="4" s="1"/>
  <c r="Q2625" i="4" s="1"/>
  <c r="Q2626" i="4" s="1"/>
  <c r="Q2627" i="4" s="1"/>
  <c r="Q2628" i="4" s="1"/>
  <c r="Q2629" i="4" s="1"/>
  <c r="Q2630" i="4" s="1"/>
  <c r="Q2631" i="4" s="1"/>
  <c r="Q2632" i="4" s="1"/>
  <c r="Q2633" i="4" s="1"/>
  <c r="Q2634" i="4" s="1"/>
  <c r="Q2635" i="4" s="1"/>
  <c r="Q2636" i="4" s="1"/>
  <c r="Q2637" i="4" s="1"/>
  <c r="Q2638" i="4" s="1"/>
  <c r="Q2639" i="4" s="1"/>
  <c r="Q2640" i="4" s="1"/>
  <c r="Q2641" i="4" s="1"/>
  <c r="Q2642" i="4" s="1"/>
  <c r="Q2643" i="4" s="1"/>
  <c r="Q2644" i="4" s="1"/>
  <c r="Q2645" i="4" s="1"/>
  <c r="Q2646" i="4" s="1"/>
  <c r="Q2647" i="4" s="1"/>
  <c r="Q2648" i="4" s="1"/>
  <c r="Q2649" i="4" s="1"/>
  <c r="Q2650" i="4" s="1"/>
  <c r="Q2651" i="4" s="1"/>
  <c r="Q2652" i="4" s="1"/>
  <c r="Q2653" i="4" s="1"/>
  <c r="Q2654" i="4" s="1"/>
  <c r="Q2655" i="4" s="1"/>
  <c r="Q2656" i="4" s="1"/>
  <c r="Q2657" i="4" s="1"/>
  <c r="Q2658" i="4" s="1"/>
  <c r="Q2659" i="4" s="1"/>
  <c r="Q2660" i="4" s="1"/>
  <c r="Q2661" i="4" s="1"/>
  <c r="Q2662" i="4" s="1"/>
  <c r="Q2663" i="4" s="1"/>
  <c r="Q2664" i="4" s="1"/>
  <c r="Q2665" i="4" s="1"/>
  <c r="Q2666" i="4" s="1"/>
  <c r="Q2667" i="4" s="1"/>
  <c r="Q2668" i="4" s="1"/>
  <c r="Q2669" i="4" s="1"/>
  <c r="Q2670" i="4" s="1"/>
  <c r="Q2671" i="4" s="1"/>
  <c r="Q2672" i="4" s="1"/>
  <c r="Q2673" i="4" s="1"/>
  <c r="Q2674" i="4" s="1"/>
  <c r="Q2675" i="4" s="1"/>
  <c r="Q2676" i="4" s="1"/>
  <c r="Q2677" i="4" s="1"/>
  <c r="Q2678" i="4" s="1"/>
  <c r="Q2679" i="4" s="1"/>
  <c r="Q2680" i="4" s="1"/>
  <c r="Q2681" i="4" s="1"/>
  <c r="Q2682" i="4" s="1"/>
  <c r="Q2683" i="4" s="1"/>
  <c r="Q2684" i="4" s="1"/>
  <c r="Q2685" i="4" s="1"/>
  <c r="Q2686" i="4" s="1"/>
  <c r="Q2687" i="4" s="1"/>
  <c r="Q2688" i="4" s="1"/>
  <c r="Q2689" i="4" s="1"/>
  <c r="Q2690" i="4" s="1"/>
  <c r="Q2691" i="4" s="1"/>
  <c r="Q2692" i="4" s="1"/>
  <c r="Q2693" i="4" s="1"/>
  <c r="Q2694" i="4" s="1"/>
  <c r="Q2695" i="4" s="1"/>
  <c r="Q2696" i="4" s="1"/>
  <c r="Q2697" i="4" s="1"/>
  <c r="Q2698" i="4" s="1"/>
  <c r="Q2699" i="4" s="1"/>
  <c r="Q2700" i="4" s="1"/>
  <c r="Q2701" i="4" s="1"/>
  <c r="Q2702" i="4" s="1"/>
  <c r="Q2703" i="4" s="1"/>
  <c r="Q2704" i="4" s="1"/>
  <c r="Q2705" i="4" s="1"/>
  <c r="Q2706" i="4" s="1"/>
  <c r="Q2707" i="4" s="1"/>
  <c r="Q2708" i="4" s="1"/>
  <c r="Q2709" i="4" s="1"/>
  <c r="Q2710" i="4" s="1"/>
  <c r="Q2711" i="4" s="1"/>
  <c r="Q2712" i="4" s="1"/>
  <c r="Q2713" i="4" s="1"/>
  <c r="Q2714" i="4" s="1"/>
  <c r="Q2715" i="4" s="1"/>
  <c r="Q2716" i="4" s="1"/>
  <c r="Q2717" i="4" s="1"/>
  <c r="Q2718" i="4" s="1"/>
  <c r="Q2719" i="4" s="1"/>
  <c r="Q2720" i="4" s="1"/>
  <c r="Q2721" i="4" s="1"/>
  <c r="Q2722" i="4" s="1"/>
  <c r="Q2723" i="4" s="1"/>
  <c r="Q2724" i="4" s="1"/>
  <c r="Q2725" i="4" s="1"/>
  <c r="Q2726" i="4" s="1"/>
  <c r="Q2727" i="4" s="1"/>
  <c r="Q2728" i="4" s="1"/>
  <c r="Q2729" i="4" s="1"/>
  <c r="Q2730" i="4" s="1"/>
  <c r="Q2731" i="4" s="1"/>
  <c r="Q2732" i="4" s="1"/>
  <c r="Q2733" i="4" s="1"/>
  <c r="Q2734" i="4" s="1"/>
  <c r="Q2735" i="4" s="1"/>
  <c r="Q2736" i="4" s="1"/>
  <c r="Q2737" i="4" s="1"/>
  <c r="Q2738" i="4" s="1"/>
  <c r="Q2739" i="4" s="1"/>
  <c r="Q2740" i="4" s="1"/>
  <c r="Q2741" i="4" s="1"/>
  <c r="Q2742" i="4" s="1"/>
  <c r="Q2743" i="4" s="1"/>
  <c r="Q2744" i="4" s="1"/>
  <c r="Q2745" i="4" s="1"/>
  <c r="Q2746" i="4" s="1"/>
  <c r="Q2747" i="4" s="1"/>
  <c r="Q2748" i="4" s="1"/>
  <c r="Q2749" i="4" s="1"/>
  <c r="Q2750" i="4" s="1"/>
  <c r="P1263" i="4"/>
  <c r="P2774" i="4" s="1"/>
  <c r="P1400" i="4"/>
  <c r="P2238" i="4"/>
  <c r="Q2771" i="4" l="1"/>
  <c r="Q2751" i="4"/>
  <c r="Q2752" i="4" s="1"/>
  <c r="Q2753" i="4" s="1"/>
  <c r="Q2754" i="4" s="1"/>
  <c r="Q2755" i="4" s="1"/>
  <c r="Q2756" i="4" s="1"/>
  <c r="Q2757" i="4" s="1"/>
  <c r="Q2758" i="4" s="1"/>
  <c r="Q2759" i="4" s="1"/>
  <c r="Q2760" i="4" s="1"/>
  <c r="Q2761" i="4" s="1"/>
  <c r="Q2762" i="4" s="1"/>
  <c r="Q2763" i="4" s="1"/>
  <c r="Q2764" i="4" s="1"/>
  <c r="Q2765" i="4" s="1"/>
  <c r="Q2766" i="4" s="1"/>
  <c r="Q2767" i="4" s="1"/>
  <c r="Q2768" i="4" s="1"/>
  <c r="Q2769" i="4" s="1"/>
  <c r="Q2770" i="4" s="1"/>
</calcChain>
</file>

<file path=xl/comments1.xml><?xml version="1.0" encoding="utf-8"?>
<comments xmlns="http://schemas.openxmlformats.org/spreadsheetml/2006/main">
  <authors>
    <author>audrinayoo</author>
  </authors>
  <commentList>
    <comment ref="G16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26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71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117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183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187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RA Mepoke M (5kg)  1
</t>
        </r>
      </text>
    </comment>
    <comment ref="O1653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Payment 2,903.00-2,902.50 Inv amount
Thurs over payment RM0.50
</t>
        </r>
      </text>
    </comment>
    <comment ref="O2459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u/>
            <sz val="9"/>
            <color indexed="81"/>
            <rFont val="Tahoma"/>
            <family val="2"/>
          </rPr>
          <t>CN19122023 (Inv 00000750)</t>
        </r>
        <r>
          <rPr>
            <sz val="9"/>
            <color indexed="81"/>
            <rFont val="Tahoma"/>
            <family val="2"/>
          </rPr>
          <t xml:space="preserve">
VE resin            RM4,258.00-3,600.00 = 650.00
CSM450(30kg)        RM300.00-234.00 =   66.00
Transport                                             150.00
                                                      ------------
 Total                                              RM866.00
                                                      =======    </t>
        </r>
      </text>
    </comment>
  </commentList>
</comments>
</file>

<file path=xl/sharedStrings.xml><?xml version="1.0" encoding="utf-8"?>
<sst xmlns="http://schemas.openxmlformats.org/spreadsheetml/2006/main" count="16455" uniqueCount="2474">
  <si>
    <t>Customer Code</t>
  </si>
  <si>
    <t>Customer Name</t>
  </si>
  <si>
    <t>Invoice No</t>
  </si>
  <si>
    <t>Invoice Date</t>
  </si>
  <si>
    <t>Payment Term</t>
  </si>
  <si>
    <t>Cash</t>
  </si>
  <si>
    <t>C00000001</t>
  </si>
  <si>
    <t>Kelnico Marketing</t>
  </si>
  <si>
    <t>Product</t>
  </si>
  <si>
    <t>RA Resin SHCP 268W (225kg)</t>
  </si>
  <si>
    <t>INV2020/00000002</t>
  </si>
  <si>
    <t>INV2020/00000003</t>
  </si>
  <si>
    <t>INV2020/00000004</t>
  </si>
  <si>
    <t>C00000002</t>
  </si>
  <si>
    <t>Sley</t>
  </si>
  <si>
    <t>RB Acetone (160Kg)</t>
  </si>
  <si>
    <t>RA Resin SHCP 268W (225Kg)</t>
  </si>
  <si>
    <t>RA Butanox M50 (5Kg)</t>
  </si>
  <si>
    <t>INV2020/00000005</t>
  </si>
  <si>
    <t>C00000003</t>
  </si>
  <si>
    <t>Pandian Art Gallery Manufacturing</t>
  </si>
  <si>
    <t>INV2020/00000006</t>
  </si>
  <si>
    <t>C00000004</t>
  </si>
  <si>
    <t>Siew Min Lorry Sdn Bhd</t>
  </si>
  <si>
    <t>RA Gelcoat GP-H (20Kg)</t>
  </si>
  <si>
    <t>Remark</t>
  </si>
  <si>
    <t>INV2020/00000007</t>
  </si>
  <si>
    <t>INV2020/00000008</t>
  </si>
  <si>
    <t>RA Silicone Rubber (25Kg)</t>
  </si>
  <si>
    <t>Delivered 22/7/20</t>
  </si>
  <si>
    <t>INV2020/00000009</t>
  </si>
  <si>
    <t>INV2020/00000010</t>
  </si>
  <si>
    <t>INV2020/00000011</t>
  </si>
  <si>
    <t>INV2020/00000012</t>
  </si>
  <si>
    <t>C00000005</t>
  </si>
  <si>
    <t>Artscene Creative</t>
  </si>
  <si>
    <t>INV2020/00000013</t>
  </si>
  <si>
    <t>INV2020/00000014</t>
  </si>
  <si>
    <t>INV2020/00000015</t>
  </si>
  <si>
    <t>RA Gelcoat GS-S ISO (20kg)</t>
  </si>
  <si>
    <t>INV2020/00000016</t>
  </si>
  <si>
    <t>INV2020/00000017</t>
  </si>
  <si>
    <t>C00000006</t>
  </si>
  <si>
    <t>Perniagaan Fibra Sahih</t>
  </si>
  <si>
    <t>RA Gelcoat GP-H (20kg)</t>
  </si>
  <si>
    <t>RA Gelcoat GS-H (20kg)</t>
  </si>
  <si>
    <t>RA Butanox M50 (5kg)</t>
  </si>
  <si>
    <t>Chin Fibreglass (M) Sdn Bhd</t>
  </si>
  <si>
    <t>C00000007</t>
  </si>
  <si>
    <t>INV2020/00000018</t>
  </si>
  <si>
    <t>INV2020/00000019</t>
  </si>
  <si>
    <t>C00000008</t>
  </si>
  <si>
    <t>Wonderland Design Productions Studio</t>
  </si>
  <si>
    <t>INV2020/00000020</t>
  </si>
  <si>
    <t>RA Talcum Powder (25Kg)</t>
  </si>
  <si>
    <t>INV2020/00000021</t>
  </si>
  <si>
    <t>INV2020/00000022</t>
  </si>
  <si>
    <t>RA Norsodyne 3338NW (220Kg)</t>
  </si>
  <si>
    <t>JMC Steel Engineering Sdn Bhd</t>
  </si>
  <si>
    <t>C00000009</t>
  </si>
  <si>
    <t>INV2020/00000023</t>
  </si>
  <si>
    <t>C00000010</t>
  </si>
  <si>
    <t>Yew Seng Gardening Supply Sdn Bhd</t>
  </si>
  <si>
    <t>RA CSM 450 GSM JUSHI 37kg 79m(L) X 1040mm(W)</t>
  </si>
  <si>
    <t>RA Talcum Powder (25kg)</t>
  </si>
  <si>
    <t>RA Bosny Wax (15kg)</t>
  </si>
  <si>
    <t>INV2020/00000024</t>
  </si>
  <si>
    <t>RA Resin 3317AW (220Kg)</t>
  </si>
  <si>
    <t>INV2020/00000025</t>
  </si>
  <si>
    <t>Qty</t>
  </si>
  <si>
    <t>Due 30/11/2020</t>
  </si>
  <si>
    <t>PD chq 16/8</t>
  </si>
  <si>
    <t>PD Chq 11/10, RM1,000/-</t>
  </si>
  <si>
    <t>Trsf 24/8</t>
  </si>
  <si>
    <t>Delived on 3/9/2020</t>
  </si>
  <si>
    <t>PD chq 13/9, RM1,700/- &amp; 20/9, RM1,706/-</t>
  </si>
  <si>
    <t>Trsf 29/5</t>
  </si>
  <si>
    <t>Trsf 24/6</t>
  </si>
  <si>
    <t>Trsf 28/7</t>
  </si>
  <si>
    <t>Trsf 23/8</t>
  </si>
  <si>
    <t>Chq 10/8</t>
  </si>
  <si>
    <t>Chq 19/8</t>
  </si>
  <si>
    <t>Chq 13/6</t>
  </si>
  <si>
    <t>Payment mode</t>
  </si>
  <si>
    <t>Trsf</t>
  </si>
  <si>
    <t>Chq</t>
  </si>
  <si>
    <t>PD Chq</t>
  </si>
  <si>
    <t>Term</t>
  </si>
  <si>
    <t>Remark2</t>
  </si>
  <si>
    <t>PD Chq 27/9, RM1,270.20</t>
  </si>
  <si>
    <t>PD Chq 27/9, RM1,270.20 &amp; 11/10, RM1,000.00</t>
  </si>
  <si>
    <t>INV2020/00000026</t>
  </si>
  <si>
    <t>Trsf 5/9/2020</t>
  </si>
  <si>
    <t>Trsf 7/9/2020</t>
  </si>
  <si>
    <t>Trsf 1/9/2020</t>
  </si>
  <si>
    <t>RA Nor 3338W (220Kg)</t>
  </si>
  <si>
    <t>RA CSM 450 GSM 54kg 64m(L) X 1860mm(W)</t>
  </si>
  <si>
    <t>RA CSM 300 GSM 54Kg 96m(L) X 1860mm(W)</t>
  </si>
  <si>
    <t>RA Accelerator (5kg)</t>
  </si>
  <si>
    <t>INV2020/00000027</t>
  </si>
  <si>
    <t>INV2020/00000028</t>
  </si>
  <si>
    <t>INV2020/00000029</t>
  </si>
  <si>
    <t>INV2020/00000030</t>
  </si>
  <si>
    <t>INV2020/00000031</t>
  </si>
  <si>
    <t>Trst 22/9/2020</t>
  </si>
  <si>
    <t>INV2020/00000032</t>
  </si>
  <si>
    <t>INV2020/00000033</t>
  </si>
  <si>
    <t>Trst 01/10/2020</t>
  </si>
  <si>
    <t>Due 30/9/2020, Trsf IBG 1/10/2020</t>
  </si>
  <si>
    <t>INV2020/00000034</t>
  </si>
  <si>
    <t>INV2020/00000035</t>
  </si>
  <si>
    <t>RA CSM 300 GSM TWL 30kg 64m(L) x 1040mm(W)</t>
  </si>
  <si>
    <t>INV2020/00000036</t>
  </si>
  <si>
    <t>PD Chq 14/11, RM2,713/-</t>
  </si>
  <si>
    <t>PD Chq 21/11, RM1,500/-</t>
  </si>
  <si>
    <t>PD Chq 29/11, RM1,500/-</t>
  </si>
  <si>
    <t>INV2020/00000037</t>
  </si>
  <si>
    <t>INV2020/00000038</t>
  </si>
  <si>
    <t>INV2020/00000039</t>
  </si>
  <si>
    <t>RA Mirror Glaze</t>
  </si>
  <si>
    <t>INV2020/00000040</t>
  </si>
  <si>
    <t>PD Chq 22/10, RM384/-</t>
  </si>
  <si>
    <t>INV2020/00000041</t>
  </si>
  <si>
    <t>INV2020/00000042</t>
  </si>
  <si>
    <t>RA Pigment Super White (25Kg)</t>
  </si>
  <si>
    <t>Brush 2 1/2" (12 pc)</t>
  </si>
  <si>
    <t>INV2020/00000043</t>
  </si>
  <si>
    <t>INV2020/00000044</t>
  </si>
  <si>
    <t>Chq 5/10 (Bank in 19/10/2020)</t>
  </si>
  <si>
    <t>Trsf 19/10/2020</t>
  </si>
  <si>
    <t>INV2020/00000045</t>
  </si>
  <si>
    <t>Grand Total</t>
  </si>
  <si>
    <t>Artscene Creative Total</t>
  </si>
  <si>
    <t>Chin Fibreglass (M) Sdn Bhd Total</t>
  </si>
  <si>
    <t>JMC Steel Engineering Sdn Bhd Total</t>
  </si>
  <si>
    <t>Kelnico Marketing Total</t>
  </si>
  <si>
    <t>Pandian Art Gallery Manufacturing Total</t>
  </si>
  <si>
    <t>Perniagaan Fibra Sahih Total</t>
  </si>
  <si>
    <t>Siew Min Lorry Sdn Bhd Total</t>
  </si>
  <si>
    <t>Sley Total</t>
  </si>
  <si>
    <t>Wonderland Design Productions Studio Total</t>
  </si>
  <si>
    <t>6 Total</t>
  </si>
  <si>
    <t>7 Total</t>
  </si>
  <si>
    <t>8 Total</t>
  </si>
  <si>
    <t>9 Total</t>
  </si>
  <si>
    <t>10 Total</t>
  </si>
  <si>
    <t xml:space="preserve">PD Chq 12/10, 19/10 &amp; 26/10 </t>
  </si>
  <si>
    <t>RM1,700/-, RM1,700/- &amp; RM1,709/-</t>
  </si>
  <si>
    <t>INV2020/00000046</t>
  </si>
  <si>
    <t>INV2020/00000047</t>
  </si>
  <si>
    <t>120</t>
  </si>
  <si>
    <t>Due date</t>
  </si>
  <si>
    <t>INV2020/00000048</t>
  </si>
  <si>
    <t>RA Pigment Black (5Kg)</t>
  </si>
  <si>
    <t>INV2020/00000049</t>
  </si>
  <si>
    <t>INV2020/00000050</t>
  </si>
  <si>
    <t>INV2020/00000051</t>
  </si>
  <si>
    <t>Chq CIMB 000050 21/10/2020</t>
  </si>
  <si>
    <t>Chq CIMB 000054 28/10/2019</t>
  </si>
  <si>
    <t>Chq CIMB 000056, 31/10/2020</t>
  </si>
  <si>
    <t>Trsf 9/11/2020</t>
  </si>
  <si>
    <t>11 Total</t>
  </si>
  <si>
    <t>Period (Due)</t>
  </si>
  <si>
    <t>Period (Sales)</t>
  </si>
  <si>
    <t>Chq 16/11/2020</t>
  </si>
  <si>
    <t>Chq 1/12/2020</t>
  </si>
  <si>
    <t>INV2020/00000052</t>
  </si>
  <si>
    <t>INV2020/00000053</t>
  </si>
  <si>
    <t>INV2020/00000054</t>
  </si>
  <si>
    <t>RA GP Resin (225Kg)</t>
  </si>
  <si>
    <t>Sum of Qty</t>
  </si>
  <si>
    <t>INV2020/00000055</t>
  </si>
  <si>
    <t>Trsf 20/11/2020</t>
  </si>
  <si>
    <t>INV2020/00000056</t>
  </si>
  <si>
    <t>JT Johan Sdn Bhd</t>
  </si>
  <si>
    <t>C00000011</t>
  </si>
  <si>
    <t>INV2020/00000057</t>
  </si>
  <si>
    <t>Alkaline resistance Chopped Strand 24MM (18Kgs)</t>
  </si>
  <si>
    <t>Transport charge</t>
  </si>
  <si>
    <t>RA Miracle Gloss Wax</t>
  </si>
  <si>
    <t>INV2020/00000058</t>
  </si>
  <si>
    <t>RA CSM 450 GSM TWL 30kg 64m(L) X 1040mm(W)</t>
  </si>
  <si>
    <t>INV2020/00000059</t>
  </si>
  <si>
    <t>INV2020/00000060</t>
  </si>
  <si>
    <t>INV2020/00000061</t>
  </si>
  <si>
    <t>INV2020/00000062</t>
  </si>
  <si>
    <t>JT Johan Sdn Bhd Total</t>
  </si>
  <si>
    <t>HLIB Chq No 008781, 28/11/20</t>
  </si>
  <si>
    <t>Due 28/2/2020</t>
  </si>
  <si>
    <t>Trsf 23/11/2020</t>
  </si>
  <si>
    <t>Chq CIMB 000058 10/11/20, Banked in 22/11/20</t>
  </si>
  <si>
    <t>Chq CIMB 000060 24/11/20, Banked in 30/11/20</t>
  </si>
  <si>
    <r>
      <t xml:space="preserve">PD chq 8/8, RM1,827.00 &amp; </t>
    </r>
    <r>
      <rPr>
        <b/>
        <sz val="12"/>
        <color rgb="FFFF0000"/>
        <rFont val="Calibri"/>
        <family val="2"/>
        <scheme val="minor"/>
      </rPr>
      <t>Cash RM0.50</t>
    </r>
  </si>
  <si>
    <t xml:space="preserve">Total Sales </t>
  </si>
  <si>
    <t>===&gt;</t>
  </si>
  <si>
    <t>As of to date  ===&gt;</t>
  </si>
  <si>
    <t>Collection</t>
  </si>
  <si>
    <t>Outstanding</t>
  </si>
  <si>
    <t>Sales Amount</t>
  </si>
  <si>
    <t>Sum of Sales Amount</t>
  </si>
  <si>
    <t>Sum of Outstanding</t>
  </si>
  <si>
    <t>INV2020/00000063</t>
  </si>
  <si>
    <t>RC Woven Roving E-800 40Kg 1000mm</t>
  </si>
  <si>
    <t>Customer Aging</t>
  </si>
  <si>
    <t>Customer Payment Term</t>
  </si>
  <si>
    <t>Yew Seng Gardening Supply Sdn Bhd Total</t>
  </si>
  <si>
    <t>Values</t>
  </si>
  <si>
    <t>Year (Due)</t>
  </si>
  <si>
    <t>Sum of Collection</t>
  </si>
  <si>
    <t>Sum of Sales Amount2</t>
  </si>
  <si>
    <t>INV2020/00000064</t>
  </si>
  <si>
    <t>INV2020/00000065</t>
  </si>
  <si>
    <t>INV2020/00000066</t>
  </si>
  <si>
    <t>Trsf 23/12/2020</t>
  </si>
  <si>
    <t>Bank in 16/12/2020</t>
  </si>
  <si>
    <t>Trsf 5/12/2020</t>
  </si>
  <si>
    <t>Trsf 18/12/2020</t>
  </si>
  <si>
    <t>INV2020/00000067</t>
  </si>
  <si>
    <t>INV2020/00000068</t>
  </si>
  <si>
    <t>RA Norsodyne 3338W (220Kg)</t>
  </si>
  <si>
    <t>RA CSM 450 30kg 79m(L) X 1040mm(W)</t>
  </si>
  <si>
    <t>PD Chq 13/2, 16/2, 20/2, 27/2 (RM1,500.00, RM1,608.00, RM1,500.00 &amp; RM1,500.00)</t>
  </si>
  <si>
    <t>PD Chq 10/1/21, RM2,008/-</t>
  </si>
  <si>
    <t>12 Total</t>
  </si>
  <si>
    <t>Cash - Muhammad Syahin Bin</t>
  </si>
  <si>
    <t>Cash - Muhammad Syahin Bin Total</t>
  </si>
  <si>
    <t>Year (Sales)</t>
  </si>
  <si>
    <t>INV2020/00000069</t>
  </si>
  <si>
    <t>C00000013</t>
  </si>
  <si>
    <t>Cash - PMC</t>
  </si>
  <si>
    <t>RA Tooling Gelcoat RP92 (22Kg)</t>
  </si>
  <si>
    <t>Bank in 2-5/1/2021</t>
  </si>
  <si>
    <t>RA CSM 450 54kg 64m(L) X 1860mm(W)</t>
  </si>
  <si>
    <t>RA Vinlyeter Resin (200Kg)</t>
  </si>
  <si>
    <t xml:space="preserve">RA Mirror Glaze Mold Release </t>
  </si>
  <si>
    <t>RA Pigment H 2006 Dark Grey (5Kg)</t>
  </si>
  <si>
    <t>RA Deawa DW-5213</t>
  </si>
  <si>
    <t>RA Pigment H 7001 Bright Orange (5Kg)</t>
  </si>
  <si>
    <t>RA Steel Roller 3"</t>
  </si>
  <si>
    <t>RA Aerosil (Silica Fume) (10Kg)</t>
  </si>
  <si>
    <t>INV2020/00000070</t>
  </si>
  <si>
    <t>RA Styrene Monomer (6Kg)</t>
  </si>
  <si>
    <t>FOC</t>
  </si>
  <si>
    <t>INV2020/00000071</t>
  </si>
  <si>
    <t>RA Steel Roller 4"</t>
  </si>
  <si>
    <t>INV2020/00000072</t>
  </si>
  <si>
    <t>Cash 9/1/2021</t>
  </si>
  <si>
    <t>INV2020/00000073</t>
  </si>
  <si>
    <t>PD HLB 004649, 25/1/2021</t>
  </si>
  <si>
    <t>Trsf 20/1/2021</t>
  </si>
  <si>
    <t>Bank in 18-19/1/2021</t>
  </si>
  <si>
    <t>INV2020/00000074</t>
  </si>
  <si>
    <t>PD Chq 14/3, 21/3, 28/3, 31/3,  (RM1,500.00, RM1,500.00, RM1,500.00 &amp; RM1,387.00)</t>
  </si>
  <si>
    <t>INV2020/00000075</t>
  </si>
  <si>
    <t>INV2020/00000076</t>
  </si>
  <si>
    <t>1 Total</t>
  </si>
  <si>
    <t>Cash - PMC Total</t>
  </si>
  <si>
    <t>INV2020/00000077</t>
  </si>
  <si>
    <t>C00000014</t>
  </si>
  <si>
    <t>RC Woven Roving E-800 1000mm (40Kg)</t>
  </si>
  <si>
    <t>RA Pigment Super White (5Kg)</t>
  </si>
  <si>
    <t>INV2020/00000078</t>
  </si>
  <si>
    <t>INV2020/00000079</t>
  </si>
  <si>
    <t>IK Fibre Glass Enterprise</t>
  </si>
  <si>
    <t>IK Fibre Glass Enterprise Total</t>
  </si>
  <si>
    <t>Chq HL 009828, dd 6/2/21, Banked in 7/2/21</t>
  </si>
  <si>
    <t>INV2020/00000080</t>
  </si>
  <si>
    <t>INV2020/00000081</t>
  </si>
  <si>
    <t>Trsf 1/2/2021</t>
  </si>
  <si>
    <t>Cash 3/2/2021</t>
  </si>
  <si>
    <t>Chq CIMB 000070 2/2/21, Banked in 3/2/21</t>
  </si>
  <si>
    <t>Trsf 8/2/2021</t>
  </si>
  <si>
    <t>Trsf 9/2/2021</t>
  </si>
  <si>
    <t>2 Total</t>
  </si>
  <si>
    <t>INV2020/00000082</t>
  </si>
  <si>
    <t>INV2020/00000083</t>
  </si>
  <si>
    <t>INV2020/00000084</t>
  </si>
  <si>
    <t>PD HLB 5704, 22/2/2021</t>
  </si>
  <si>
    <t>RA Accelerator (4Kg)</t>
  </si>
  <si>
    <t>INV2020/00000085</t>
  </si>
  <si>
    <t>C00000015</t>
  </si>
  <si>
    <t>S&amp;J Business Solutions</t>
  </si>
  <si>
    <t>S&amp;J Business Solutions Total</t>
  </si>
  <si>
    <t>Trsf 27/2/2021</t>
  </si>
  <si>
    <t>Trsf 26/2/2021</t>
  </si>
  <si>
    <t>Inv C00000003 Cash RM0.50</t>
  </si>
  <si>
    <t>INV2020/00000086</t>
  </si>
  <si>
    <t>RA Nor 3338NW (220Kg)</t>
  </si>
  <si>
    <t>3 Total</t>
  </si>
  <si>
    <t>C00000016</t>
  </si>
  <si>
    <t>Win Fiber Sdn Bhd</t>
  </si>
  <si>
    <t>RA Resin 8201W (225Kg)</t>
  </si>
  <si>
    <t>Win Fiber Sdn Bhd Total</t>
  </si>
  <si>
    <t>RE Frekote 770NC (1 Gallon)</t>
  </si>
  <si>
    <t>RD Steel Roller 4"</t>
  </si>
  <si>
    <t>RD Steel Roller 3"</t>
  </si>
  <si>
    <t>RD Brush 1.1/2 (12 PC)</t>
  </si>
  <si>
    <t>RD Brush 3" (12 PC)</t>
  </si>
  <si>
    <t>RA Resin 3338AW (220Kg)</t>
  </si>
  <si>
    <t>Trsf 11/3/3021</t>
  </si>
  <si>
    <t>Trsf 19/3/2021</t>
  </si>
  <si>
    <t>Trsf 10/3/2021</t>
  </si>
  <si>
    <t>RA Resin 9539NW (225Kg)</t>
  </si>
  <si>
    <t>HL005820, 200321 (clear on 30/3/2021)</t>
  </si>
  <si>
    <t>RA Resin 3338AW (220kg)</t>
  </si>
  <si>
    <t>RD Paint Brush 3"(12Pc/Ctr)</t>
  </si>
  <si>
    <t>RA Gelcoat GS-S ISO (20Kg)</t>
  </si>
  <si>
    <t>Amount</t>
  </si>
  <si>
    <t>Date</t>
  </si>
  <si>
    <t>4 Total</t>
  </si>
  <si>
    <t>Total</t>
  </si>
  <si>
    <t>Trsf 13/4/2021</t>
  </si>
  <si>
    <t>INV2019/00000001</t>
  </si>
  <si>
    <t>Trsf 20/04/21</t>
  </si>
  <si>
    <t>Bank in Cash 18/4/2021</t>
  </si>
  <si>
    <t>Trsf 9/4/21</t>
  </si>
  <si>
    <t>INV00000087</t>
  </si>
  <si>
    <t>INV00000088</t>
  </si>
  <si>
    <t>INV00000089</t>
  </si>
  <si>
    <t>INV00000090</t>
  </si>
  <si>
    <t>INV00000091</t>
  </si>
  <si>
    <t>INV00000092</t>
  </si>
  <si>
    <t>INV00000093</t>
  </si>
  <si>
    <t>INV00000094</t>
  </si>
  <si>
    <t>INV00000095</t>
  </si>
  <si>
    <t>INV00000096</t>
  </si>
  <si>
    <t>INV00000097</t>
  </si>
  <si>
    <t>INV00000098</t>
  </si>
  <si>
    <t>INV00000099</t>
  </si>
  <si>
    <t>INV00000100</t>
  </si>
  <si>
    <t>INV00000101</t>
  </si>
  <si>
    <t>5 Total</t>
  </si>
  <si>
    <t>INV00000102</t>
  </si>
  <si>
    <t>RH Bosny Wax (15kg)</t>
  </si>
  <si>
    <t>INV00000095&amp;6</t>
  </si>
  <si>
    <t>INV2020/00000062&amp;3</t>
  </si>
  <si>
    <t>RF Nor 3338NW (220Kg)</t>
  </si>
  <si>
    <t>RG CSM 450 GSM 54kg 64m(L) X 1860mm(W)</t>
  </si>
  <si>
    <t>INV00000103</t>
  </si>
  <si>
    <t>INV00000104</t>
  </si>
  <si>
    <t>Mould Released</t>
  </si>
  <si>
    <t>INV00000105</t>
  </si>
  <si>
    <t>INV00000106</t>
  </si>
  <si>
    <t>INV00000107</t>
  </si>
  <si>
    <t>Trsf 21/5/2021</t>
  </si>
  <si>
    <t>Trsf 8/5/2021</t>
  </si>
  <si>
    <t>Chq CIMB 000077 8/5/21, Banked in 17/5/21</t>
  </si>
  <si>
    <t>Chq CIMB 000079 18/5/21, Banked in 20/5/21</t>
  </si>
  <si>
    <t>Trsf 21 &amp; 22/5/2021</t>
  </si>
  <si>
    <t>13, 23, 27/6 &amp; 11/7 - RHB 001402, 4, 5 &amp; 6 (1,350.00, 3X1,700.00)</t>
  </si>
  <si>
    <t>2019 Total</t>
  </si>
  <si>
    <t>2020 Total</t>
  </si>
  <si>
    <t>2021 Total</t>
  </si>
  <si>
    <t>INV00000105 &amp; 7</t>
  </si>
  <si>
    <t>19 &amp; 25/5/2021</t>
  </si>
  <si>
    <t>Bank in Cash 27/5/2021</t>
  </si>
  <si>
    <t>INV00000108</t>
  </si>
  <si>
    <t>INV00000109</t>
  </si>
  <si>
    <t>INV00000110</t>
  </si>
  <si>
    <t>INV00000111</t>
  </si>
  <si>
    <t>RA CSM 300 GSM 54kg 64m(L) X 1860mm(W)</t>
  </si>
  <si>
    <t>RA CSM 450 TWL 60kg 64m(L) X 2080mm(W)</t>
  </si>
  <si>
    <t>INV00000108 &amp; 11</t>
  </si>
  <si>
    <t>INV00000109 &amp; 10</t>
  </si>
  <si>
    <t>INV00000112</t>
  </si>
  <si>
    <t>C00000017</t>
  </si>
  <si>
    <t>Aumada Energy &amp; Technologies(M) Sdn Bhd</t>
  </si>
  <si>
    <t>RA Resin (25kg)</t>
  </si>
  <si>
    <t>INV00000113</t>
  </si>
  <si>
    <t>INV00000114</t>
  </si>
  <si>
    <t>INV00000115</t>
  </si>
  <si>
    <t>INV00000116</t>
  </si>
  <si>
    <t>INV00000117</t>
  </si>
  <si>
    <t>INV00000118</t>
  </si>
  <si>
    <t>INV00000119</t>
  </si>
  <si>
    <t>C00000018</t>
  </si>
  <si>
    <t>Living Divani (M) Sdn Bhd</t>
  </si>
  <si>
    <t>INV00000120</t>
  </si>
  <si>
    <t>INV00000121</t>
  </si>
  <si>
    <t>RA Resin 3338NW (220kg)</t>
  </si>
  <si>
    <t>INV00000122</t>
  </si>
  <si>
    <t>INV00000123</t>
  </si>
  <si>
    <t>RA Mepoxe M (5kg)</t>
  </si>
  <si>
    <t>Living Divani (M) Sdn Bhd Total</t>
  </si>
  <si>
    <t>Trsf 26/7/21</t>
  </si>
  <si>
    <t>Trsf 17/8/2021</t>
  </si>
  <si>
    <t>Chq Cleared 2/8/2021</t>
  </si>
  <si>
    <t>Advance payment 20/8/2021</t>
  </si>
  <si>
    <t>Advance payment 26/7/2021</t>
  </si>
  <si>
    <t>Advance payment 9/9/2021</t>
  </si>
  <si>
    <t>Chq Cleared 13/9/2021</t>
  </si>
  <si>
    <t>Chq dd 11/6 - RHB 001313 (RM1,521.00), changed new chq RHB 001441 18/9/21</t>
  </si>
  <si>
    <t>Chq dd 9, 16, 23/5 - RHB 001310, 1, 2 &amp; 3 (1,700.00 X3), Banked in 10, 17 &amp; 24/5.  Balance 312.00 changed new chq RHB 001441, dd 18/9/2021</t>
  </si>
  <si>
    <t>Trsf 21/9/2021</t>
  </si>
  <si>
    <t>Change chq =&gt;</t>
  </si>
  <si>
    <t>RHB 001443, Chq cleared 30/9/21 (RM1,350.00)</t>
  </si>
  <si>
    <t>RHB 001442, Chq cleared 27/9/21 (RM1,700.00)</t>
  </si>
  <si>
    <r>
      <t>Trsf 17/8/2021,</t>
    </r>
    <r>
      <rPr>
        <sz val="12"/>
        <color rgb="FFFF0000"/>
        <rFont val="Calibri"/>
        <family val="2"/>
        <scheme val="minor"/>
      </rPr>
      <t xml:space="preserve"> </t>
    </r>
    <r>
      <rPr>
        <b/>
        <sz val="14"/>
        <color rgb="FFFF0000"/>
        <rFont val="Calibri"/>
        <family val="2"/>
        <scheme val="minor"/>
      </rPr>
      <t>overpayment 179.40</t>
    </r>
  </si>
  <si>
    <t>INV00000124</t>
  </si>
  <si>
    <t>INV00000125</t>
  </si>
  <si>
    <t>C00000019</t>
  </si>
  <si>
    <t>Desuki Affela Empire Enterprise</t>
  </si>
  <si>
    <t>INV00000126</t>
  </si>
  <si>
    <t>INV00000127</t>
  </si>
  <si>
    <t>INV00000128</t>
  </si>
  <si>
    <t>RF Resin 3317AW (220Kg)</t>
  </si>
  <si>
    <t>INV00000129</t>
  </si>
  <si>
    <t>RI Silicone Rubber (25kg)</t>
  </si>
  <si>
    <t>INV00000130</t>
  </si>
  <si>
    <t>C00000020</t>
  </si>
  <si>
    <t>WSK Tanks Sdn Bhd</t>
  </si>
  <si>
    <t>INV00000131</t>
  </si>
  <si>
    <t>INV00000132</t>
  </si>
  <si>
    <t>RA Resin SHCP268W (225kg)</t>
  </si>
  <si>
    <t>RA CSM 450 TWL (37Kg) 1040mm</t>
  </si>
  <si>
    <t>RA Woven Roving E-600 (45kg) 1120mm</t>
  </si>
  <si>
    <t>INV00000133</t>
  </si>
  <si>
    <t>INV00000134</t>
  </si>
  <si>
    <t>RJ TR104 Hi Temp Wax</t>
  </si>
  <si>
    <t>INV00000135</t>
  </si>
  <si>
    <t>INV00000136</t>
  </si>
  <si>
    <t>RA VE Resin (25kg)</t>
  </si>
  <si>
    <t>Desuki Affela Empire Enterprise Total</t>
  </si>
  <si>
    <t>WSK Tanks Sdn Bhd Total</t>
  </si>
  <si>
    <t>INV00000137</t>
  </si>
  <si>
    <t>INV00000138</t>
  </si>
  <si>
    <t>INV00000139</t>
  </si>
  <si>
    <t>INV00000140</t>
  </si>
  <si>
    <t>INV00000141</t>
  </si>
  <si>
    <t>RA GP ResinW (225Kg)</t>
  </si>
  <si>
    <t>RK Smooth Cream (25kg)</t>
  </si>
  <si>
    <t>Trsf 2/10/2021</t>
  </si>
  <si>
    <t>Trsf 11/10/2021</t>
  </si>
  <si>
    <t>Trsf 4/10/2021</t>
  </si>
  <si>
    <t>Chq CIMB 000086, cleared 8/10/2021</t>
  </si>
  <si>
    <t>Trsf 13/10/2021</t>
  </si>
  <si>
    <t>Trsf 14/10/2021</t>
  </si>
  <si>
    <t>Trsf 16/10/2021</t>
  </si>
  <si>
    <t>Cash 17/10/2021</t>
  </si>
  <si>
    <t>RHB 001444, Chq cleared 18/10/21 (RM1,700.00)</t>
  </si>
  <si>
    <t>Trsf 20/10/2021</t>
  </si>
  <si>
    <t>Chq 494585,  Cleared 13/10/21</t>
  </si>
  <si>
    <t>INV00000142</t>
  </si>
  <si>
    <t>INV00000143</t>
  </si>
  <si>
    <t>INV00000144</t>
  </si>
  <si>
    <t>INV00000145</t>
  </si>
  <si>
    <t>INV00000146</t>
  </si>
  <si>
    <t>INV00000147</t>
  </si>
  <si>
    <t>INV00000148</t>
  </si>
  <si>
    <t>RA CSM 450 37kg 79m(L) X 1040mm(W)</t>
  </si>
  <si>
    <t>INV00000149</t>
  </si>
  <si>
    <t>Trsf 27/10/21</t>
  </si>
  <si>
    <t>Trsf 30/10/21</t>
  </si>
  <si>
    <t>Trsf 25/10/21</t>
  </si>
  <si>
    <t>RHB 001445, Chq cleared 25/10/21 (RM1,700.00)</t>
  </si>
  <si>
    <t>Trsf 1/11/2021</t>
  </si>
  <si>
    <t>INV00000150</t>
  </si>
  <si>
    <t>RA Pigment Black (1kg)</t>
  </si>
  <si>
    <t>INV00000151</t>
  </si>
  <si>
    <t>INV00000152</t>
  </si>
  <si>
    <t>INV00000153</t>
  </si>
  <si>
    <t>INV00000154</t>
  </si>
  <si>
    <t>Chq HL 012137 dd 20/10/21</t>
  </si>
  <si>
    <t>Trsf 3/11/21</t>
  </si>
  <si>
    <t>Chq CIMB 000087, cleared 3/11/2021</t>
  </si>
  <si>
    <t>INV00000155</t>
  </si>
  <si>
    <t>INV00000156</t>
  </si>
  <si>
    <t>INV00000121 &amp;23</t>
  </si>
  <si>
    <t>INV00000113 &amp; 14</t>
  </si>
  <si>
    <t>HLB 012122, dd101121</t>
  </si>
  <si>
    <t>Cash - En Mat</t>
  </si>
  <si>
    <t>INV00000157</t>
  </si>
  <si>
    <t>RA Resin 3317AW (20Kg)</t>
  </si>
  <si>
    <t>INV00000158</t>
  </si>
  <si>
    <t>INV00000159</t>
  </si>
  <si>
    <t>C00000021</t>
  </si>
  <si>
    <t>INV00000160</t>
  </si>
  <si>
    <t>INV00000161</t>
  </si>
  <si>
    <t>INV00000162</t>
  </si>
  <si>
    <t>RG CSM 450 CQ 54kg 64m(L) X 1860mm(W)</t>
  </si>
  <si>
    <t>chq 934897 5/11/2021</t>
  </si>
  <si>
    <t>INV00000163</t>
  </si>
  <si>
    <t>INV00000164</t>
  </si>
  <si>
    <t>INV00000165</t>
  </si>
  <si>
    <t>Cash - En Mat Total</t>
  </si>
  <si>
    <t>INV00000166</t>
  </si>
  <si>
    <t>30/10/2021 RHB 001446 RM1,400.00, Chq cleared on 1/11/2021</t>
  </si>
  <si>
    <t>20/11/2021 RHB 001448 RM1,400.00, Chq cleared on 22/11/21</t>
  </si>
  <si>
    <t>13/11/2021 RHB 001447 RM1,400.00, Chq cleared on 15/11/21</t>
  </si>
  <si>
    <t>27/11/2021 RHB 001449 RM1,400.00, Chq cleared on 30/11/21</t>
  </si>
  <si>
    <t>30/11/2021 RHB 001450 RM1,314.00, Chq cleared on 30/11/21</t>
  </si>
  <si>
    <t>Chq 000090, cleared 19/11/21</t>
  </si>
  <si>
    <t>KT Profesional Fiber</t>
  </si>
  <si>
    <t>Chq PBB 395353, dd 301121</t>
  </si>
  <si>
    <t>Chq 008127, cleared 22/11/21</t>
  </si>
  <si>
    <t>Trsf 13/11/21, RM7,000.00</t>
  </si>
  <si>
    <t>Trsf 13/11/21, RM5,366.60</t>
  </si>
  <si>
    <t>Trsf 12/11/21 RM1,000.00</t>
  </si>
  <si>
    <t>Trsf 11/11/21 RM2,070.00</t>
  </si>
  <si>
    <t>Trsf 10/11/21</t>
  </si>
  <si>
    <t>Cash in 9/11/21</t>
  </si>
  <si>
    <t>KT Profesional Fiber Total</t>
  </si>
  <si>
    <t>INV00000167</t>
  </si>
  <si>
    <t>INV00000168</t>
  </si>
  <si>
    <t>RA Tissue Mat (300M2) 30G/M2 1Meter (9Kg) Soft</t>
  </si>
  <si>
    <t>INV00000169</t>
  </si>
  <si>
    <t>RA Resin 9539W (225Kg)</t>
  </si>
  <si>
    <t>RA CSM 450 GSM 51kg 64m(L) X 1860mm(W)</t>
  </si>
  <si>
    <t>INV00000170</t>
  </si>
  <si>
    <t>INV00000171</t>
  </si>
  <si>
    <t>RF Resin 3338NW (220Kg)</t>
  </si>
  <si>
    <t>INV00000172</t>
  </si>
  <si>
    <t>INV00000173</t>
  </si>
  <si>
    <t>INV00000174</t>
  </si>
  <si>
    <t>RA CSM 300 TWL 54Kg 96m(L) X 1860mm(W)</t>
  </si>
  <si>
    <t>RL CSM 450 Jushi 64kg 1800mm(W)</t>
  </si>
  <si>
    <t>RL CSM 450 Jushi 37kg 1040mm(W)</t>
  </si>
  <si>
    <t>Trsf 28/11/21</t>
  </si>
  <si>
    <t>Trsf 7/12/21</t>
  </si>
  <si>
    <t>Trsf 13/11/21-RM7,000.00 (3,084.00partial), Trsf 26/11/21-RM3,000.00 (832.00partial)</t>
  </si>
  <si>
    <t>Trsf 26/11/21-RM3,000.00 (2,168.00partial), Trsf 10/12/21-RM20,000.00 (2,442.20partial)</t>
  </si>
  <si>
    <t>Trsf 10/12/21-RM20,000.00</t>
  </si>
  <si>
    <t>Trsf 20/12/21-RM10,000.00</t>
  </si>
  <si>
    <t>INV00000175</t>
  </si>
  <si>
    <t>Trsf 13/12/2021</t>
  </si>
  <si>
    <t>RHB 001452cleared14/12/21-RM1.500.00(160.00patial)</t>
  </si>
  <si>
    <t>RHB 001452cleared14/12/21-RM1.500.00(484.00patial), 1453cleared20/12/21-RM1,500.00(816.00patial)</t>
  </si>
  <si>
    <t>Trsf 11 &amp; 12/12/21, RM3,000.00 &amp; 2,175.40</t>
  </si>
  <si>
    <t>HLB 012142, cleared20/12/21</t>
  </si>
  <si>
    <t>RD Paint Brush 1.1/2"(12Pc/Ctr)</t>
  </si>
  <si>
    <t>INV00000176</t>
  </si>
  <si>
    <t>INV00000177</t>
  </si>
  <si>
    <t>INV00000178</t>
  </si>
  <si>
    <t>INV00000179</t>
  </si>
  <si>
    <t>RA CSM 450 (30Kg) 64m(L) x 1040mm(W)</t>
  </si>
  <si>
    <t>RF Woven Roving E-600 (45kg) 1120mm</t>
  </si>
  <si>
    <t>INV00000180</t>
  </si>
  <si>
    <t>INV00000181</t>
  </si>
  <si>
    <t>RHB 001452cleared14/12/21-RM1.500.00(300.00partial)</t>
  </si>
  <si>
    <t>RHB 001451cleared6/12/21-RM1,314.00(1,314.00partial, 1452cleared14/12/21-RM1,500(RM556.00partial)</t>
  </si>
  <si>
    <t>Trsf 20/12/21-RM10,000.00 (1,611.30patial), Trsf 29/12/21-RM12,500.00 (1,547.70patial)</t>
  </si>
  <si>
    <t>Trsf 29/12/21-RM12,500.00 (4,048.00partial)</t>
  </si>
  <si>
    <t>Trsf 10/12/21-RM20,000.00 (3,101.80partial), Trsf 20/12/21-RM10,000.00 (2,970.20partial)</t>
  </si>
  <si>
    <t>Trsf 29/12/21-RM12,500.00 (320.00partial)</t>
  </si>
  <si>
    <t>Trsf 29/12/21-RM12,500.00 (6,072.00patial)</t>
  </si>
  <si>
    <t xml:space="preserve">Trsf 31/12/21, </t>
  </si>
  <si>
    <t>RG Resin 3317AW (220Kg)</t>
  </si>
  <si>
    <t>INV00000182</t>
  </si>
  <si>
    <t>INV00000183</t>
  </si>
  <si>
    <t>INV00000184</t>
  </si>
  <si>
    <t>INV00000185</t>
  </si>
  <si>
    <t>INV00000186</t>
  </si>
  <si>
    <t>RG CSM 300 (30Kg) 64m(L) x 1040mm(W)</t>
  </si>
  <si>
    <t>INV00000187</t>
  </si>
  <si>
    <t>RG Resin 3338AW (220kg)</t>
  </si>
  <si>
    <t>RG CSM 450 30kg 79m(L) X 1040mm(W)</t>
  </si>
  <si>
    <t>RA CSM 450 (60Kg) 64m(L) x 2080mm(W)</t>
  </si>
  <si>
    <t>RG Woven Roving E-600 (45kg) 1120mm</t>
  </si>
  <si>
    <t>INV00000188</t>
  </si>
  <si>
    <t>INV00000189</t>
  </si>
  <si>
    <t>INV00000190</t>
  </si>
  <si>
    <t>RG Nor 3338W (220Kg)</t>
  </si>
  <si>
    <t>INV00000191</t>
  </si>
  <si>
    <t>INV00000192</t>
  </si>
  <si>
    <t>RA Accelerator (5Kg)</t>
  </si>
  <si>
    <t>INV00000193</t>
  </si>
  <si>
    <t>INV00000194</t>
  </si>
  <si>
    <t>RA Butanox M50</t>
  </si>
  <si>
    <t>INV00000195</t>
  </si>
  <si>
    <t>INV00000196</t>
  </si>
  <si>
    <t>INV00000197</t>
  </si>
  <si>
    <t>RG Nor 3338NW (220Kg)</t>
  </si>
  <si>
    <t>Trsf 29/12/21-RM12,500.00 (512.30partial), Trsf 13/1/21-37,500.00 (4,593.70patial)</t>
  </si>
  <si>
    <t xml:space="preserve">Trsf 13/1/21-37,500.00 </t>
  </si>
  <si>
    <t>Trsf 13/1/21-37,500.00 (2,808.80 partial), Trsf 21/1/2021-RM5,000.00 (2,105.20 parital)</t>
  </si>
  <si>
    <t>Trsf 21/1/2021-RM5,000.00</t>
  </si>
  <si>
    <t>Chq HLB009259 dd 170122</t>
  </si>
  <si>
    <t>Trsf 7/1/22 RMRM1,223.00</t>
  </si>
  <si>
    <t>Trsf 10/2/2022 RM35,864.00</t>
  </si>
  <si>
    <t>Trsf 14/1/22 RM5,183.60</t>
  </si>
  <si>
    <t>Trsf 1/1/2022 RM5,014.80</t>
  </si>
  <si>
    <t>Trsf 6/1/2022 RM1,080.00</t>
  </si>
  <si>
    <t>Trsf 21/1/2022, RM4,006.00</t>
  </si>
  <si>
    <t>Trsf  23/1/22 RM2,696.80</t>
  </si>
  <si>
    <t>Chq HLB013309 dd 260122</t>
  </si>
  <si>
    <t>2022 Total</t>
  </si>
  <si>
    <t>INV00000125 &amp; 6</t>
  </si>
  <si>
    <t>PMC</t>
  </si>
  <si>
    <t>INV00000133 &amp; 4</t>
  </si>
  <si>
    <t>INV00000159 &amp; 160</t>
  </si>
  <si>
    <t>INV00000164 &amp; 5</t>
  </si>
  <si>
    <t>INV00000171 &amp; 2</t>
  </si>
  <si>
    <t>INV00000184 &amp; 5</t>
  </si>
  <si>
    <t>1/22 Total</t>
  </si>
  <si>
    <t>6 /21  Total</t>
  </si>
  <si>
    <t>5/21  Total</t>
  </si>
  <si>
    <t>9/21  Total</t>
  </si>
  <si>
    <t>4/21  Total</t>
  </si>
  <si>
    <t>3/21  Total</t>
  </si>
  <si>
    <t>10/21  Total</t>
  </si>
  <si>
    <t>11/21  Total</t>
  </si>
  <si>
    <t>12/21  Total</t>
  </si>
  <si>
    <t>INV00000198</t>
  </si>
  <si>
    <t>INV00000199</t>
  </si>
  <si>
    <t>INV00000200</t>
  </si>
  <si>
    <t>INV00000201</t>
  </si>
  <si>
    <t>INV00000202</t>
  </si>
  <si>
    <t>INV00000203</t>
  </si>
  <si>
    <t>INV00000204</t>
  </si>
  <si>
    <t>INV00000205</t>
  </si>
  <si>
    <t>INV00000206</t>
  </si>
  <si>
    <t>INV00000207</t>
  </si>
  <si>
    <t>INV00000208</t>
  </si>
  <si>
    <t>2/22  Total</t>
  </si>
  <si>
    <t>RG CSM 450 (30Kg) 64m(L) x 1040mm(W)</t>
  </si>
  <si>
    <t>RH Bosny Wax (15Kg)</t>
  </si>
  <si>
    <t>RG TR104 Hi Temp Wax</t>
  </si>
  <si>
    <t>RM Nor 3338NW (220Kg)</t>
  </si>
  <si>
    <t>RA Pigment Super White (5kg)</t>
  </si>
  <si>
    <t>chq 934918 21/02/2022</t>
  </si>
  <si>
    <t>Trsf 12/2/22 RM6,532.40</t>
  </si>
  <si>
    <t>Trsf 22/2/22 RM5,877.30</t>
  </si>
  <si>
    <t>RHB 001454cleared27/12/21-RM1,500.00 (160.00partial)</t>
  </si>
  <si>
    <t>RHB 001457cleared29/12/21-RM2,366.50 (2,024.00partial)</t>
  </si>
  <si>
    <t>RHB 001457cleared29/12/21-RM2,366.50 (170.00artial)</t>
  </si>
  <si>
    <t>RHB 001457cleared29/12/21-RM2,366.50 (172.50partial)</t>
  </si>
  <si>
    <t>RHB 001453cleared20/12/21-RM1,500(684.00partial), RHB 001454cleared27/12/21-RM1,500.00 (1,340.00partial)</t>
  </si>
  <si>
    <t>RHB001529cleared14/2/22-RM1,800.00(partal), RHB001530cleared21/2/22-RM1,800.00(partial), RHB001532cleared25/2/22-RM1,935.00, RHB001531cleared28/2/22-RM1,800.00(801.00partial)</t>
  </si>
  <si>
    <t>RHB001531cleared28/2/22-RM1,800.00(309.00.00partial)</t>
  </si>
  <si>
    <t>RHB001531cleared28/2/22-RM1,800.00(600.00.00partial)</t>
  </si>
  <si>
    <t>RHB001531cleared28/2/22-RM1,800.00(90.00.00partial)</t>
  </si>
  <si>
    <t>Trsf 21/1/2021-RM5,000.00 (332.30 partial), Trsf 28/1/2021(5,000.00 partial), Trsf 23/2/22(RM5,000.00), Trsf 26/2/22-RM2,900.00(130.20partial)</t>
  </si>
  <si>
    <t>Trsf 15/2/2022 RM16,388.00</t>
  </si>
  <si>
    <t>3/22  Total</t>
  </si>
  <si>
    <t>INV00000209</t>
  </si>
  <si>
    <t>INV00000210</t>
  </si>
  <si>
    <t>INV00000211</t>
  </si>
  <si>
    <t>C00000022</t>
  </si>
  <si>
    <t>SF Engineering Solution</t>
  </si>
  <si>
    <t>RM Wax Solution 54-56 (10L)</t>
  </si>
  <si>
    <t>RM NPG Gelcoat 9319-H (25Kg)</t>
  </si>
  <si>
    <t>RM Pgment Paste Riviera Blue B5 (5Kg)</t>
  </si>
  <si>
    <t>SF Engineering Solution Total</t>
  </si>
  <si>
    <t>INV00000212</t>
  </si>
  <si>
    <t>INV00000213</t>
  </si>
  <si>
    <t>INV00000214</t>
  </si>
  <si>
    <t>INV00000215</t>
  </si>
  <si>
    <t>INV00000216</t>
  </si>
  <si>
    <t>INV00000217</t>
  </si>
  <si>
    <t>INV00000218</t>
  </si>
  <si>
    <t>INV00000219</t>
  </si>
  <si>
    <t>INV00000220</t>
  </si>
  <si>
    <t>INV00000221</t>
  </si>
  <si>
    <t>INV00000222</t>
  </si>
  <si>
    <t>INV00000223</t>
  </si>
  <si>
    <t>RM CSM 450 64m(L) 1040mm(W) (30Kg)</t>
  </si>
  <si>
    <t>RM Woven Roving E-600gm 1000mm (40Kg)</t>
  </si>
  <si>
    <t>RA Pigment Super Black (5kg)</t>
  </si>
  <si>
    <t>RM Cobalt (5kg)</t>
  </si>
  <si>
    <t>RM Acetone (163Kg)</t>
  </si>
  <si>
    <t>RM Pigment Smooth Cream (25kg)</t>
  </si>
  <si>
    <t>INV00000224</t>
  </si>
  <si>
    <t>INV00000225</t>
  </si>
  <si>
    <t>INV00000226</t>
  </si>
  <si>
    <t>INV00000227</t>
  </si>
  <si>
    <t>C00000023</t>
  </si>
  <si>
    <t>Bestway Engineering Solutions</t>
  </si>
  <si>
    <t>RJ Mepoxe (5kg)</t>
  </si>
  <si>
    <t>Trsf 14/3/2022 RM22,264.00</t>
  </si>
  <si>
    <t>Trsf 23/3/22 RM5,328.00</t>
  </si>
  <si>
    <t>PBB395355cleared31/3/22 RM5,822.00</t>
  </si>
  <si>
    <t>PBB395355cleared31/3/22 RM5,822.01</t>
  </si>
  <si>
    <t>PBB395355cleared31/3/22 RM5,822.02</t>
  </si>
  <si>
    <t>Trsf 30/3/22 RM3,232.00</t>
  </si>
  <si>
    <t>Trsf 31/3/22 RM3,555.00</t>
  </si>
  <si>
    <t>Trsf 15/3/22-RM16,000.00</t>
  </si>
  <si>
    <t>Trsf 26/2/22-RM2,900.00(2,769.80partial), Trsf 15/3/22-RM16,000.00(RM650.20partial)</t>
  </si>
  <si>
    <t>Trsf 23/3/22-RM4,800.00</t>
  </si>
  <si>
    <t>Trsf 15/3/22-RM16,000.00(RM3,090.30), Trsf 23/3/22-RM4,800.00(RM3,179.70)</t>
  </si>
  <si>
    <t>Trsf 23/3/22-RM4,800(RM432.80), Trsf 25/3/22-RM6,000.00(RM2,675.20)</t>
  </si>
  <si>
    <t>Bestway Engineering Solutions Total</t>
  </si>
  <si>
    <t>INV00000228</t>
  </si>
  <si>
    <t>RM Gelcoat GSH</t>
  </si>
  <si>
    <t>RM CSM 450 (60Kg) 64m(L) x 2080mm(W)</t>
  </si>
  <si>
    <t>INV00000229</t>
  </si>
  <si>
    <t>INV00000230</t>
  </si>
  <si>
    <t>INV00000231</t>
  </si>
  <si>
    <t>INV00000232</t>
  </si>
  <si>
    <t>INV00000233</t>
  </si>
  <si>
    <t>INV00000234</t>
  </si>
  <si>
    <t>INV00000235</t>
  </si>
  <si>
    <t>INV00000236</t>
  </si>
  <si>
    <t>INV00000237</t>
  </si>
  <si>
    <t>INV00000238</t>
  </si>
  <si>
    <t>INV00000239</t>
  </si>
  <si>
    <t>INV00000240</t>
  </si>
  <si>
    <t>INV00000241</t>
  </si>
  <si>
    <t>INV00000242</t>
  </si>
  <si>
    <t>INV00000243</t>
  </si>
  <si>
    <t>INV00000244</t>
  </si>
  <si>
    <t>INV00000245</t>
  </si>
  <si>
    <t>INV00000246</t>
  </si>
  <si>
    <t>INV00000247</t>
  </si>
  <si>
    <t>4/22  Total</t>
  </si>
  <si>
    <t>RA CSM 300 (54Kg) 1860mm</t>
  </si>
  <si>
    <t>C00000024</t>
  </si>
  <si>
    <t>RA Resin 3317AW (25Kg)</t>
  </si>
  <si>
    <t>RM NPG Gelcoat 9319-H (5Kg)</t>
  </si>
  <si>
    <t>RM CSM 450 64m(L) X 1860mm(W) (54kg)</t>
  </si>
  <si>
    <t>RA Nor 3317W (220Kg)</t>
  </si>
  <si>
    <t>LLL Automotive Sdn Bhd</t>
  </si>
  <si>
    <t>C00000025</t>
  </si>
  <si>
    <t>Resin 3317AW (25Kg)</t>
  </si>
  <si>
    <t>CSM 450 64m(L) 1040mm(W) (30Kg)</t>
  </si>
  <si>
    <t>Mepoxe (5kg)</t>
  </si>
  <si>
    <t>Talcum Powder (25kg)</t>
  </si>
  <si>
    <t>INV00000248</t>
  </si>
  <si>
    <t>RM Resin 3317AW (220Kg)</t>
  </si>
  <si>
    <t>RM Butanox M50</t>
  </si>
  <si>
    <t>INV00000249</t>
  </si>
  <si>
    <t>RM Nor 3338W (220Kg)</t>
  </si>
  <si>
    <t>INV00000250</t>
  </si>
  <si>
    <t>26/4/2022</t>
  </si>
  <si>
    <t>RM Resin 3338AW (220kg)</t>
  </si>
  <si>
    <t>INV00000251</t>
  </si>
  <si>
    <t>INV00000252</t>
  </si>
  <si>
    <t>INV00000253</t>
  </si>
  <si>
    <t>INV00000254</t>
  </si>
  <si>
    <t xml:space="preserve">Epoxy primer 15kg + Hardener 7.5kg </t>
  </si>
  <si>
    <t>INV00000255</t>
  </si>
  <si>
    <t>INV00000256</t>
  </si>
  <si>
    <t>Trsf 05/04/22-RM7,000.00(4,220.80(partial), Trsf 7/4/22-RM3,000.00(189.20partial)</t>
  </si>
  <si>
    <t>Trsf 7/4/22-RM3,000.00(2,808.00partial)</t>
  </si>
  <si>
    <t>Trsf 7/4/22-RM3,000.00(2.80partial), Trsf 8/4/22-RM5,000.00(309.70partial)</t>
  </si>
  <si>
    <t>Trsf 8/4/22-RM5,000.00</t>
  </si>
  <si>
    <t>Trsf 8/4/22-RM5,000.00(3,350.30partial), Trsf 12/4/22-RM10,000.00(2,919.70partial)</t>
  </si>
  <si>
    <t>Trsf 12/4/22-RM10,000.00</t>
  </si>
  <si>
    <t>Trsf 12/4/22-RM10,000.00(897.30partial), Trsf 15/4/22-RM3,500.00(1,160.70partial)</t>
  </si>
  <si>
    <t>Trsf 15/4/22-RM3,500.00</t>
  </si>
  <si>
    <t>Trsf 25/3/22-RM6,000.00</t>
  </si>
  <si>
    <t>Trsf 25/3/22-RM6,000.00(RM1,470.80partial), Trsf 22/3/22-RM6,200.00, Trsf 05/04/22-RM7,000.00(2,779.20partial)</t>
  </si>
  <si>
    <t>Trsf 15/4/22-RM3,500.00(1.200.30partial), Trsf 22/4/22-RM8,000.00, Trsf 27/4/22-RM8,000.00(7,519.70partial)</t>
  </si>
  <si>
    <t>Trsf 27/4/22-RM8,000.00(480.30partial), Trsf 28/4/22-RM8,000.00(5,987.70partial)</t>
  </si>
  <si>
    <t>RHB001565cleared14/3/22-RM2,000.00(partial), RHB001566cleared21/3/22-RM2,000.00(partial), RHB001567cleared28/3/22-RM2,000.00(partial), RHB001569cleared11/4/22-RM1,586.00(336.00partial)</t>
  </si>
  <si>
    <t>RHB001569cleared11/4/22-RM1,586.00</t>
  </si>
  <si>
    <t>PBB395356cleared11/4/22 RM6,301.00</t>
  </si>
  <si>
    <t xml:space="preserve">Trsf PBB Yew Kok Wah 13/4/22 RM588.00 </t>
  </si>
  <si>
    <t>RHB 934926 cleared18/4/22-RM2,580.50</t>
  </si>
  <si>
    <t>Trsf PBB 20/4/22-RM1,170.00</t>
  </si>
  <si>
    <t>Trsf PBB 21/4/22</t>
  </si>
  <si>
    <t>HLB010464Cleared21/4/22-RM15,895.80</t>
  </si>
  <si>
    <t>Trsf 21/4/2022 RM28,820.00</t>
  </si>
  <si>
    <t>Trsf 26/4/22-RM3,799.00</t>
  </si>
  <si>
    <t>PBB395362cleared28/4/22 RM6,083.50</t>
  </si>
  <si>
    <t>Trsf Al Rajhi Bank 28/4/22-RM2,488.00</t>
  </si>
  <si>
    <t>LLL Automotive Sdn Bhd Total</t>
  </si>
  <si>
    <t>Total Mar to Jun'21</t>
  </si>
  <si>
    <t>27&amp;30/9/2021</t>
  </si>
  <si>
    <t>13&amp;14/10/2021</t>
  </si>
  <si>
    <t>15&amp;16/12/2021</t>
  </si>
  <si>
    <t>Total Jul to Dec'21</t>
  </si>
  <si>
    <t>1/22</t>
  </si>
  <si>
    <t>2/22</t>
  </si>
  <si>
    <t>INV00000257</t>
  </si>
  <si>
    <t>INV00000258</t>
  </si>
  <si>
    <t>INV00000259</t>
  </si>
  <si>
    <t>INV00000260</t>
  </si>
  <si>
    <t>INV00000261</t>
  </si>
  <si>
    <t>11/5/2022</t>
  </si>
  <si>
    <t>RM Pigment Super Black (5kg)</t>
  </si>
  <si>
    <t>INV00000262</t>
  </si>
  <si>
    <t>RM Pgment Opaline (10Kg)</t>
  </si>
  <si>
    <t>RM Gelcoat GPH (20Kg)</t>
  </si>
  <si>
    <t>RM Catalyst Despender</t>
  </si>
  <si>
    <t>Worldwide Competence Sdn Bhd</t>
  </si>
  <si>
    <t>INV00000263</t>
  </si>
  <si>
    <t>RM Resin Nor 3317AW (220Kg)</t>
  </si>
  <si>
    <t>INV00000264</t>
  </si>
  <si>
    <t>INV00000265</t>
  </si>
  <si>
    <t>RJ Woven Roving E-600gm 1000mm (40Kg)</t>
  </si>
  <si>
    <t>INV00000266</t>
  </si>
  <si>
    <t>INV00000267</t>
  </si>
  <si>
    <t>INV00000268</t>
  </si>
  <si>
    <t>RA Miracle Gloss Wax No. 8 (311g/Can)</t>
  </si>
  <si>
    <t>INV00000269</t>
  </si>
  <si>
    <t>Megapower Service</t>
  </si>
  <si>
    <t>C00000026</t>
  </si>
  <si>
    <t>RM Dark Gray (5Kg)</t>
  </si>
  <si>
    <t>RM Fume silica HJSIL 200(10Kg)</t>
  </si>
  <si>
    <t>INV00000270</t>
  </si>
  <si>
    <t>INV00000271</t>
  </si>
  <si>
    <t>INV00000272</t>
  </si>
  <si>
    <t>RM Talcum Powder (25kg)</t>
  </si>
  <si>
    <t>RA  Woven Roing 600 1120mm (45kg)</t>
  </si>
  <si>
    <t>INV00000273</t>
  </si>
  <si>
    <t>INV00000274</t>
  </si>
  <si>
    <t>INV00000275</t>
  </si>
  <si>
    <t>INV00000276</t>
  </si>
  <si>
    <t>INV00000277</t>
  </si>
  <si>
    <t>Worldwide Competence Sdn Bhd Total</t>
  </si>
  <si>
    <t>Megapower Service Total</t>
  </si>
  <si>
    <t>RA Sand Wheel 105 X 2 X 16 (30PC)</t>
  </si>
  <si>
    <t>Trsf 1/5/22 RM6,096.10</t>
  </si>
  <si>
    <t>Trsf 11/3/22 RM6,379.90</t>
  </si>
  <si>
    <t>Trsf 17/3/22 RM315.00</t>
  </si>
  <si>
    <t>Trsf 10/4/22 RM6,361.10</t>
  </si>
  <si>
    <t>Trsf 24/5/22, RM6,201.10</t>
  </si>
  <si>
    <t>Trsf 5/5/22 RM1,350.00</t>
  </si>
  <si>
    <t>Trsf 9/5/22 RM4,070.00</t>
  </si>
  <si>
    <t>PIB 091977Cleared11/4/22-RM3,881.50</t>
  </si>
  <si>
    <t>PIB 091980Cleared18/4/22-RM2,175.00</t>
  </si>
  <si>
    <t>PIB 091987Cleared13/5/22-RM8,524.50</t>
  </si>
  <si>
    <t>Trsf 17/5/22 RM1,350.00</t>
  </si>
  <si>
    <t>Trsf 17/5/22 RM14,088.50</t>
  </si>
  <si>
    <t>Trsf 23/5/22 RM14,395.00</t>
  </si>
  <si>
    <t>Trsf 24/5/22 RM1,239.60</t>
  </si>
  <si>
    <t>HLIB 015672dd250522 RM5,940,00</t>
  </si>
  <si>
    <t>PBB395357cleared27/5/22 RM8,127.50</t>
  </si>
  <si>
    <t>HLB010490Cleared30/5/22-RM31,599.50</t>
  </si>
  <si>
    <t>Trsf 11/5/22 RM16,000.00</t>
  </si>
  <si>
    <t>Trsf 28/4/22-RM8,000.00(2,012.30partial), Trsf 11/5/22 RM16,000.00(RM1,848.70partial)</t>
  </si>
  <si>
    <t>Trsf 17/5/22 RM10,000.00</t>
  </si>
  <si>
    <t>Trsf 11/5/22 RM16,000.00(1,149.30partial), Trsf 17/5/22 RM10,000.00(3,030.70partial)</t>
  </si>
  <si>
    <t>Trsf 19/5/22 RM10,000.00</t>
  </si>
  <si>
    <t>Trsf 17/5/22 RM10,000.00(510.30partial), Trsf 19/5/22 RM10,000.00(1,579.70partial)</t>
  </si>
  <si>
    <t>Trsf 20/5/22 RM9,000.00</t>
  </si>
  <si>
    <t>Trsf 19/5/22 RM10,000.00(1,211.30partial), Trsf 20/5/22 RM9,000.00(2,316.70partial)</t>
  </si>
  <si>
    <t>INV00000278</t>
  </si>
  <si>
    <t>INV00000279</t>
  </si>
  <si>
    <t>INV00000280</t>
  </si>
  <si>
    <t>INV00000281</t>
  </si>
  <si>
    <t>RM Woven Roving E-800 1000mm (40Kg)</t>
  </si>
  <si>
    <t>INV00000282</t>
  </si>
  <si>
    <t>INV00000283</t>
  </si>
  <si>
    <t>INV00000284</t>
  </si>
  <si>
    <t>INV00000285</t>
  </si>
  <si>
    <t>INV00000286</t>
  </si>
  <si>
    <t>INV00000287</t>
  </si>
  <si>
    <t>INV00000288</t>
  </si>
  <si>
    <t>Trsf 1/6/22 RM27,000.00</t>
  </si>
  <si>
    <t>Trsf 20/5/22 RM9,000.00(5,056.30partial), Trsf 1/6/22 RM27,000.00(1,213.70partial)</t>
  </si>
  <si>
    <t>Trsf 10/6/22 RM2,356.00</t>
  </si>
  <si>
    <t>Trsf 14/6/22 RM2,158.00</t>
  </si>
  <si>
    <t>INV00000289</t>
  </si>
  <si>
    <t>INV00000290</t>
  </si>
  <si>
    <t>INV00000291</t>
  </si>
  <si>
    <t>INV00000292</t>
  </si>
  <si>
    <t>INV00000293</t>
  </si>
  <si>
    <t>INV00000294</t>
  </si>
  <si>
    <t xml:space="preserve">Trsf 1/6/22 RM27,000.00(177.30partial), Trs23/6/22 RM7,000.00(72.70partial) </t>
  </si>
  <si>
    <t>RHB 001601cleared17/5/22-RM1,500.00, 3cleared23/5/22-RM1,500.00, 4cleared30/5/22-RM1,500.00, 6cleared8/6/22-RM816.00, 5cleared13/6/22-RM2,000.00(1020.00partial)</t>
  </si>
  <si>
    <t>RHB 001605cleared13/6/22-RM2,000.00</t>
  </si>
  <si>
    <t>Trsf 23/6/22 RM3,232.00</t>
  </si>
  <si>
    <t>HLB011600Cleared23/6/22-RM1,480.00</t>
  </si>
  <si>
    <t>Trsf 27/6/22 RM29,465.00</t>
  </si>
  <si>
    <t>Trsf 29/6/22, RM3,000.00, Trsf 30/6/22, RM3,223.60</t>
  </si>
  <si>
    <t>PBB395363cleared23/6/22 RM5,746.00</t>
  </si>
  <si>
    <t>INV00000295</t>
  </si>
  <si>
    <t>INV00000296</t>
  </si>
  <si>
    <t>INV00000297</t>
  </si>
  <si>
    <t>Transform Star Sdn Bhd</t>
  </si>
  <si>
    <t>C00000027</t>
  </si>
  <si>
    <t>INV00000298</t>
  </si>
  <si>
    <t>RA/RM Pigment Super White (5Kg)</t>
  </si>
  <si>
    <t>RM TR104 Hi Temp Wax (12Can)</t>
  </si>
  <si>
    <t>RM PVA (5Kg)</t>
  </si>
  <si>
    <t>RM Gelcoat GPH (20kg)</t>
  </si>
  <si>
    <t>INV00000299</t>
  </si>
  <si>
    <t>INV00000300</t>
  </si>
  <si>
    <t>INV00000301</t>
  </si>
  <si>
    <t>INV00000302</t>
  </si>
  <si>
    <t>INV00000303</t>
  </si>
  <si>
    <t>INV00000304</t>
  </si>
  <si>
    <t>RM CSM 450 Jushi 64m(L) X 1860mm(W) (67Kg)</t>
  </si>
  <si>
    <t>INV00000305</t>
  </si>
  <si>
    <t>Transform Star Sdn Bhd Total</t>
  </si>
  <si>
    <t>RHB 000388cleared20/6/22-RM2,000.00(partial), 9cleared27/6/22-RM2,000.00(partial), RHB 00391 4/7/22cleared-RM1,336.00, RHB 00390 12/7/22cleared-RM2,000.00(partial)</t>
  </si>
  <si>
    <t>4/7/22cleared-RM1,336.00, RHB 00390 12/7/22cleared-RM2,000.00(partial)</t>
  </si>
  <si>
    <t>RHB 00390 12/7/22cleared-RM2,000.00(partial)</t>
  </si>
  <si>
    <t>Trsf 15/7/22, RM5,183.60</t>
  </si>
  <si>
    <t>Chq PBB 395364, cleared180722 RM5,458.00</t>
  </si>
  <si>
    <t>RHB 934936 cleared19/7/22-RM2,634.00</t>
  </si>
  <si>
    <t>Trsf23/6/22 RM7,000.00</t>
  </si>
  <si>
    <t>Trsf23/6/22 RM7,000.00(RM1,747.30partial), Trsf20/7/22 RM10,700.00(RM604.70partial)</t>
  </si>
  <si>
    <t>Trsf20/7/22 RM10,700.00(RM936.00)</t>
  </si>
  <si>
    <t>Trsf20/7/22 RM10,700.00(RM125.00)</t>
  </si>
  <si>
    <t>Trsf20/7/22 RM10,700.00(2,090.00)</t>
  </si>
  <si>
    <t>Trsf20/7/22 RM10,700.00(4,180.00)</t>
  </si>
  <si>
    <t>Trsf20/7/22 RM10,700.00(RM1,764.00)</t>
  </si>
  <si>
    <t>Trsf 25/7/22 RM11,160.00</t>
  </si>
  <si>
    <t>Trsf 28/7/22 RM3,000.00</t>
  </si>
  <si>
    <t>Trsf 29/7/22 RM4,092.00</t>
  </si>
  <si>
    <t>INV00000306</t>
  </si>
  <si>
    <t>RM CSM 450 Jushi 64m(L) X 1860mm(W) (67kg)</t>
  </si>
  <si>
    <t>RA CSM 300 96m(L) X 1860mm(W) (54Kg)</t>
  </si>
  <si>
    <t>RM Pigment Super White (5Kg)</t>
  </si>
  <si>
    <t>INV00000307</t>
  </si>
  <si>
    <t>RA CSM 450 GSM JUSHI 79m(L) X 1040mm(W) (37kg)</t>
  </si>
  <si>
    <t>INV00000308</t>
  </si>
  <si>
    <t>INV00000309</t>
  </si>
  <si>
    <t>INV00000310</t>
  </si>
  <si>
    <t>INV00000311</t>
  </si>
  <si>
    <t>-</t>
  </si>
  <si>
    <t>INV00000312</t>
  </si>
  <si>
    <t>RM Resin Nor 3338W (220Kg)</t>
  </si>
  <si>
    <t>RM Resin 268BQTN (225Kg)</t>
  </si>
  <si>
    <t>RM Cobalt 10% (5Kg)</t>
  </si>
  <si>
    <t>INV00000313</t>
  </si>
  <si>
    <t>INV00000314</t>
  </si>
  <si>
    <t>RA CSM 450 Jushi 64m(L) x 1040mm(W) (37Kg)</t>
  </si>
  <si>
    <t>INV00000315</t>
  </si>
  <si>
    <t>INV00000316</t>
  </si>
  <si>
    <t>INV00000317</t>
  </si>
  <si>
    <t>INV00000318</t>
  </si>
  <si>
    <t>RA CSM 450 64m(L) 1040mm(W) (30Kg)</t>
  </si>
  <si>
    <t>INV00000319</t>
  </si>
  <si>
    <t>INV00000320</t>
  </si>
  <si>
    <t>HLB011650Cleared8/8/22-RM15,222.00</t>
  </si>
  <si>
    <t>Trsf 9/8/22 RM2,068.00</t>
  </si>
  <si>
    <t>Trsf 13/8/22 RM864.00</t>
  </si>
  <si>
    <t>Chq PBB 395365, cleared170822 RM3,484.00</t>
  </si>
  <si>
    <t>RHB 934938 cleared18/8/22-RM2,068.00</t>
  </si>
  <si>
    <t>Trsf20/7/22 RM10,700.00(RM64.30), Trsf 19/8/22 RM3,000.00(123.20partial)</t>
  </si>
  <si>
    <t>Trsf 23/8/22 RM14,715.00</t>
  </si>
  <si>
    <t>Chq HL 015688 dd 24/8/22</t>
  </si>
  <si>
    <t>INV00000321</t>
  </si>
  <si>
    <t>INV00000322</t>
  </si>
  <si>
    <t>5/9/2022</t>
  </si>
  <si>
    <t>INV00000323</t>
  </si>
  <si>
    <t>Cash - Yew Kok Wah</t>
  </si>
  <si>
    <t>C00000029</t>
  </si>
  <si>
    <t>INV00000324</t>
  </si>
  <si>
    <t>INV00000325</t>
  </si>
  <si>
    <t>INV00000326</t>
  </si>
  <si>
    <t>INV00000327</t>
  </si>
  <si>
    <t>INV00000328</t>
  </si>
  <si>
    <t>RM Vinyl Ester Resin (20Kg)</t>
  </si>
  <si>
    <t>INV00000329</t>
  </si>
  <si>
    <t>INV00000330</t>
  </si>
  <si>
    <t>5/22  Total</t>
  </si>
  <si>
    <t>6/22  Total</t>
  </si>
  <si>
    <t>7/22  Total</t>
  </si>
  <si>
    <t>8/22  Total</t>
  </si>
  <si>
    <t>9/22  Total</t>
  </si>
  <si>
    <t>INV00000331</t>
  </si>
  <si>
    <t>RM Fume Silica HJSIL 200(10Kg)</t>
  </si>
  <si>
    <t>RM Butanox M50 (5kg)</t>
  </si>
  <si>
    <t>RD Brush 3" (12Pc)</t>
  </si>
  <si>
    <t>INV00000332</t>
  </si>
  <si>
    <t>RJ Butonox M50 (5kg)</t>
  </si>
  <si>
    <t>RM TR104 Hi Temp Wax</t>
  </si>
  <si>
    <t>INV00000333</t>
  </si>
  <si>
    <t>RJ Woven Roving E-600 (42kg) 1120mm</t>
  </si>
  <si>
    <t>INV00000334</t>
  </si>
  <si>
    <t>INV00000335</t>
  </si>
  <si>
    <t>RA CSM 300 (30Kg) 64m(L) x 1040mm(W)</t>
  </si>
  <si>
    <t>INV00000336</t>
  </si>
  <si>
    <t>INV00000337</t>
  </si>
  <si>
    <t>RA Woven Roing 600 1120mm (45kg)</t>
  </si>
  <si>
    <t>Cash - Vinz Yew Kok Wah</t>
  </si>
  <si>
    <t>Trsf 19/8/22 RM3,000.00(2,876.80partial), Trsf 2/9/22 RM10,000.00(RM3,393.20partial)</t>
  </si>
  <si>
    <t>Trsf 2/9/22 RM10,000.00(RM1,764.00partial)</t>
  </si>
  <si>
    <t>Trsf 2/9/22 RM10,000.00(RM1,000.00partial)</t>
  </si>
  <si>
    <t>Trsf 2/9/22 RM10,000.00(RM936.00partial)</t>
  </si>
  <si>
    <t>Trsf 2/9/22 RM10,000.00(R187.50partial)</t>
  </si>
  <si>
    <t>Trsf 2/9/22 RM10,000.00(RM340.00partial)</t>
  </si>
  <si>
    <t>Trsf 2/9/22 RM10,000.00(RM2,379.30partial), Trsf 8/9/22 RM3.890.70(partial)</t>
  </si>
  <si>
    <t>Trsf 8/9/22 RM10,000.00(RM1,176.00partial)</t>
  </si>
  <si>
    <t>Trsf 8/9/22 RM10,000.00(RM936.00partial)</t>
  </si>
  <si>
    <t>Trsf 8/9/22 RM10,000.00(RM187.50partial)</t>
  </si>
  <si>
    <t>Trsf 8/9/22 RM10,000.00(RM3,809.80partial), Trsf 12/9/22 RM4,000.00(2,460.20partial)</t>
  </si>
  <si>
    <t>Trsf 28/9/22 RM13,000.00</t>
  </si>
  <si>
    <t>Trsf 12/9/22 RM4,000.00(RM1,539.80partial), Trsf 28/9/22 RM13,000.00(partial RM1,106.20)</t>
  </si>
  <si>
    <t>Chq PBB 395366, cleared090922 RM3,241.00</t>
  </si>
  <si>
    <t>Trsf 10/09/22 RM2,452.00</t>
  </si>
  <si>
    <t>Trsf 28/09/22 RM1,995.50</t>
  </si>
  <si>
    <t>Chq PBB 395367, cleared230922 RM2,746.00</t>
  </si>
  <si>
    <t>HLB012769Cleared20/09/22-RM10,120.00</t>
  </si>
  <si>
    <t>Trsf 23/9/22 RM31,205.00</t>
  </si>
  <si>
    <t>Trsf 28/7/22 RM3,000.00(RM888.00partial), Trsf 25/9/22 RM3,000.00(RM170.40partial)</t>
  </si>
  <si>
    <t>Trsf 25/9/22 RM3,000.00</t>
  </si>
  <si>
    <t xml:space="preserve">Trsf 25/9/22 RM3,000.00, Trsd </t>
  </si>
  <si>
    <t>Trsf 25/9/22 RM3,000.00 RM1,682.10, Trsf 25/9/22 RM1,000.00 RM429.90</t>
  </si>
  <si>
    <t>Trsf 29/9/22 RM5,350.70</t>
  </si>
  <si>
    <t>Trsf 25/9/22 RM1,000.00(RM570.10),  Trsf 29/9/22 RM5,350.70(RM1,541.90)</t>
  </si>
  <si>
    <t>Chq HL 016785 dd 26/9/22</t>
  </si>
  <si>
    <t>Cash - Vinz Yew Kok Wah Total</t>
  </si>
  <si>
    <t>INV00000338</t>
  </si>
  <si>
    <t>INV00000339</t>
  </si>
  <si>
    <t>RA CSM 450 79m(L) x 1040mm(W) (30Kg)</t>
  </si>
  <si>
    <t>RA Woven Roving 600 1120mm (45kg)</t>
  </si>
  <si>
    <t>RM Pigment Paste Smooth Cream M19 (25kg)</t>
  </si>
  <si>
    <t>RJ Butanox M50 (5kg)</t>
  </si>
  <si>
    <t>3/10/2022</t>
  </si>
  <si>
    <t>INV00000340</t>
  </si>
  <si>
    <t>1/10/2022</t>
  </si>
  <si>
    <t>INV00000341</t>
  </si>
  <si>
    <t>INV00000342</t>
  </si>
  <si>
    <t>INV00000343</t>
  </si>
  <si>
    <t>INV00000344</t>
  </si>
  <si>
    <t>INV00000345</t>
  </si>
  <si>
    <t>INV00000346</t>
  </si>
  <si>
    <t>INV00000347</t>
  </si>
  <si>
    <t>RD Brush 2" (12Pc)</t>
  </si>
  <si>
    <t>RM Pigment Orange (5Kg)</t>
  </si>
  <si>
    <t>INV00000348</t>
  </si>
  <si>
    <t>INV00000349</t>
  </si>
  <si>
    <t>INV00000350</t>
  </si>
  <si>
    <t>RM CSM 300 96m(L) X 1860mm(W) (54Kg)</t>
  </si>
  <si>
    <t>INV00000351</t>
  </si>
  <si>
    <t>INV00000352</t>
  </si>
  <si>
    <t>INV00000353</t>
  </si>
  <si>
    <t>INV00000354</t>
  </si>
  <si>
    <t>INV00000355</t>
  </si>
  <si>
    <t>RA Woven Roving 600 1000mm (40kg)</t>
  </si>
  <si>
    <t>INV00000356</t>
  </si>
  <si>
    <t>INV00000357</t>
  </si>
  <si>
    <t>RM Gelcoat GSH (20Kg)</t>
  </si>
  <si>
    <t>Trsf 3/10/22 RM1,840.00</t>
  </si>
  <si>
    <t>Trsf 09/09/22 RM3,000.00, Trsf 23/09/22 RM1,000.00, Trsf 4/10/22 RM1,000.00(RM92.00partial)</t>
  </si>
  <si>
    <t>Trsf 4/10/22 RM1,000.00(RM908.00(partial), Trsf 7/10/22 RM1,136.80(RM391.80)</t>
  </si>
  <si>
    <t>Trsf 7/10/22 RM1,136.80(RM105.00)</t>
  </si>
  <si>
    <t>Trsf 7/10/22 RM1,136.80(RM390.00)</t>
  </si>
  <si>
    <t>Trsf 7/10/22 RM1,136.80(RM250.00)</t>
  </si>
  <si>
    <t>Chq PBB 395368, cleared061022 RM3,374.50</t>
  </si>
  <si>
    <t>Chq PBB 395369, cleared201022 RM2,180.00</t>
  </si>
  <si>
    <t>Chq PBB 395370, cleared311022 RM3,459.00</t>
  </si>
  <si>
    <t xml:space="preserve">Trsf 19/10/22 RM3,000.00, Trsf 20/10/22 RM600.00 </t>
  </si>
  <si>
    <t>Trsf 18/10/22 RM13,445.00</t>
  </si>
  <si>
    <t>RHB 00458 12/9/22cleared-RM2,000.00(partial), RHB 00459 19/9/22cleared-RM2,000.00(partial), RHB 00460 26/9/22cleared-RM2,000.00(partial), RHB 00461 11/10/22cleared-RM1,521.00(RM336.00partial)</t>
  </si>
  <si>
    <t>RHB 00461 11/10/22cleared-RM1,521.00(partial)</t>
  </si>
  <si>
    <t>Bank Islam 159011 Cleared22/8/22, RM8,568.20</t>
  </si>
  <si>
    <t>Bank Islam 0159032 Cleared28/9/22, RM12,643.00</t>
  </si>
  <si>
    <t>Bank Islamn0159032 Cleared28/9/22, RM12,643.00</t>
  </si>
  <si>
    <t>Bank Islam 0159046 Cleared27/10/22, RM11,846.00</t>
  </si>
  <si>
    <t>Trsf 21/10/22 RM7,590.50</t>
  </si>
  <si>
    <t>Trsf 23/10/22 RM25,000.00</t>
  </si>
  <si>
    <t>Trsf 25/10/22 RM25,000.00</t>
  </si>
  <si>
    <t>Trsf 28/9/22 RM13,000.00, Trsf 5/10/22 RM5,000.00(RM269.20partial)</t>
  </si>
  <si>
    <t>Trsf 5/10/22 RM5,000.00</t>
  </si>
  <si>
    <t>Trsf 17/10/22 RM4,000.00</t>
  </si>
  <si>
    <t>Trsf 27/10/22 RM250.00</t>
  </si>
  <si>
    <t>Trsf 5/10/22 RM5,000.00(RM1,654.80partial), Trsf 14/10/22 RM4,000.00, Trsf 17/10/22 RM4,000.00(RM615.20partial)</t>
  </si>
  <si>
    <t>Trsf 17/10/22 RM4,000.00(RM1,032.80), Trsf 23/10/22 RM25,000.00(RM371.20partial)</t>
  </si>
  <si>
    <t>Trsf 23/10/22 RM25,000.00(RM3,285.30partial), Trsf 25/10/22 RM25,000.00(RM242.70partial)</t>
  </si>
  <si>
    <t>CANCELLED INVOICE</t>
  </si>
  <si>
    <t>CANCELLED INVOICE Total</t>
  </si>
  <si>
    <t>INV00000358</t>
  </si>
  <si>
    <t>INV00000359</t>
  </si>
  <si>
    <t>INV00000360</t>
  </si>
  <si>
    <t xml:space="preserve">Transportation fee </t>
  </si>
  <si>
    <t>INV00000361</t>
  </si>
  <si>
    <t>Cash - Big Jackfruit Trading</t>
  </si>
  <si>
    <t>C00000031</t>
  </si>
  <si>
    <t>INV00000362</t>
  </si>
  <si>
    <t>RM Nor 3338W (20Kg)</t>
  </si>
  <si>
    <t>INV00000363</t>
  </si>
  <si>
    <t>RM Pigment Super Black (5Kg)</t>
  </si>
  <si>
    <t>Hai Kee Hung Sdn Bhd</t>
  </si>
  <si>
    <t>RM Resin 3338W (22.50kg)</t>
  </si>
  <si>
    <t>RM VE Resin (22.50kg)</t>
  </si>
  <si>
    <t>RM CSM 450 GSM 1040mm (30kg)</t>
  </si>
  <si>
    <t>RA Mepoxe (5kg)</t>
  </si>
  <si>
    <t>INV00000364</t>
  </si>
  <si>
    <t>INV00000365</t>
  </si>
  <si>
    <t>INV00000366</t>
  </si>
  <si>
    <t>INV00000367</t>
  </si>
  <si>
    <t>INV00000368</t>
  </si>
  <si>
    <t>INV00000369</t>
  </si>
  <si>
    <t>INV00000370</t>
  </si>
  <si>
    <t>17/11/2022</t>
  </si>
  <si>
    <t>22/11/2022</t>
  </si>
  <si>
    <t>INV00000371</t>
  </si>
  <si>
    <t>RM Woven Roving 600 1000mm (40Kg)</t>
  </si>
  <si>
    <t>RM Pigment Paste Smooth Cream M19 (25Kg)</t>
  </si>
  <si>
    <t>RM MEKP-9 (3.6Kg)</t>
  </si>
  <si>
    <t>INV00000372</t>
  </si>
  <si>
    <t>Trsf 1/11/22 RM3,004.00</t>
  </si>
  <si>
    <t>Trsf 2/11/22 RM3,546.10</t>
  </si>
  <si>
    <t>Trsf 4/11/22 RM403.80</t>
  </si>
  <si>
    <t>Trsf 23/10/22 RM25,000.00(RM1,511.30partial), Trsf 11/11/22 RM3,000.00, Trsf 17/11/22 RM6,000.00(1,368.70partial)</t>
  </si>
  <si>
    <t>Trsf 17/11/22 RM6,000.00(RM250.00partial)</t>
  </si>
  <si>
    <t>Trsf 17/11/22 RM6,000.00(RM1,755.00partial)</t>
  </si>
  <si>
    <t>Trsf 8/11/22 RM1,500.00, Trsf 14/11/22 RM1,637.30</t>
  </si>
  <si>
    <t>Bank in Cash RM892.60 - 9/11/22</t>
  </si>
  <si>
    <t>Trsf 9/11/22 RM4,373.00</t>
  </si>
  <si>
    <t>Chq PBB 395371, cleared161122 RM2,251.00</t>
  </si>
  <si>
    <t>Chq HL 016715 dd 16/11/22</t>
  </si>
  <si>
    <t>HLB014947Cleared21/11/22-RM16,536.70</t>
  </si>
  <si>
    <t>Cash - Big Jackfruit Trading Total</t>
  </si>
  <si>
    <t>Hai Kee Hung Sdn Bhd Total</t>
  </si>
  <si>
    <t>Bank in Cash RM780.00 - 23/11/22</t>
  </si>
  <si>
    <t>INV00000373</t>
  </si>
  <si>
    <t>INV00000374</t>
  </si>
  <si>
    <t>RM Brush 3" (12Pc)</t>
  </si>
  <si>
    <t>RHB 934959 cleared24/11/22-RM2,237.00</t>
  </si>
  <si>
    <t>Trsf 25/11/22 RM15,671.00</t>
  </si>
  <si>
    <t>INV00000375</t>
  </si>
  <si>
    <t>INV00000376</t>
  </si>
  <si>
    <t>C00000032</t>
  </si>
  <si>
    <t>C00000033</t>
  </si>
  <si>
    <t>Cash - Zaidi</t>
  </si>
  <si>
    <t>Cash - Zaina</t>
  </si>
  <si>
    <t>Bank in Cash RM260.00 - 30/11/22</t>
  </si>
  <si>
    <t>Bank in Cash RM375.00 - 30/11/22</t>
  </si>
  <si>
    <t>Cash - Zaina Total</t>
  </si>
  <si>
    <t>Cash - Zaidi Total</t>
  </si>
  <si>
    <t>INV00000377</t>
  </si>
  <si>
    <t>RA CSM 300  64m(L) x 1040mm(W) (30Kg)</t>
  </si>
  <si>
    <t>INV00000378</t>
  </si>
  <si>
    <t>INV00000379</t>
  </si>
  <si>
    <t>RM Talcum Powder (25Kg)</t>
  </si>
  <si>
    <t>INV00000380</t>
  </si>
  <si>
    <t>RA Woven Roving 600 1020mm (45Kg)</t>
  </si>
  <si>
    <t>INV00000381</t>
  </si>
  <si>
    <t>RA Woven Roving 600 1000mm (40Kg)</t>
  </si>
  <si>
    <t>INV00000382</t>
  </si>
  <si>
    <t>INV00000383</t>
  </si>
  <si>
    <t>RM Steel Roller 4" 10mm</t>
  </si>
  <si>
    <t>RM Steel Roller 4" 16mm</t>
  </si>
  <si>
    <t>INV00000384</t>
  </si>
  <si>
    <t>INV00000385</t>
  </si>
  <si>
    <t>RM Woven Roving 600 1000mm (40kg)</t>
  </si>
  <si>
    <t>INV00000386</t>
  </si>
  <si>
    <t>INV00000387</t>
  </si>
  <si>
    <t>14/12/2022</t>
  </si>
  <si>
    <t>INV00000388</t>
  </si>
  <si>
    <t>Transport fee for DO00000389-1</t>
  </si>
  <si>
    <t>INV00000389</t>
  </si>
  <si>
    <t>INV00000390</t>
  </si>
  <si>
    <t>RM Pgment Paste Riviera Blue B5 (1Kg)</t>
  </si>
  <si>
    <t>INV00000391</t>
  </si>
  <si>
    <t>RM CSM 450 CQ 54kg 64m(L) X 1860mm(W)</t>
  </si>
  <si>
    <t>RM Aerosil (Silica Fume) (10Kg)</t>
  </si>
  <si>
    <t>INV00000392</t>
  </si>
  <si>
    <t>23/12/2022</t>
  </si>
  <si>
    <t>INV00000393</t>
  </si>
  <si>
    <t>RN Bosny Wax (12Kg)</t>
  </si>
  <si>
    <t>INV00000394</t>
  </si>
  <si>
    <t>INV00000395</t>
  </si>
  <si>
    <t>INV00000396</t>
  </si>
  <si>
    <t>RM CSM 450 79m(L) x 1040mm(W) (30Kg)</t>
  </si>
  <si>
    <t>Trsf 2/12/22</t>
  </si>
  <si>
    <t>RHB 00552 12/12/22cleared-RM1,800.00, RHB 00553 19/12/22cleared-RM1,800.00(RM224.00partial)</t>
  </si>
  <si>
    <t>RHB 00553 19/12/22cleared-RM1,800.00(RM195.00partial)</t>
  </si>
  <si>
    <t>RHB 00553 19/12/22cleared-RM1,800.00(RM630.00partial)</t>
  </si>
  <si>
    <t>Trsf 23/12/22, RM3,332.00</t>
  </si>
  <si>
    <t>Trsf 16/12/22 RM2,063.00</t>
  </si>
  <si>
    <t>Chq HL 016786 dd 27/12/22</t>
  </si>
  <si>
    <t>Trsf 23/12/22, RM11,757.50</t>
  </si>
  <si>
    <t>Chq PBB 395372, cleared121222 RM3,655.70</t>
  </si>
  <si>
    <t>Chq PBB 395373, cleared301222 RM3,595.60</t>
  </si>
  <si>
    <t>Trsf 20/12/22 RM1,409.00</t>
  </si>
  <si>
    <t>Trsf 17/11/22 RM6,000.00(RM2,626.30partial), Trsf 28/11/22 RM2,500.00, Trsf 29/11/22 RM1,000.00, Trsf 1/12/22 RM11,000.00(RM143.70partial)</t>
  </si>
  <si>
    <t>Trsf 1/12/22 RM11,000.00</t>
  </si>
  <si>
    <t xml:space="preserve">Trsf 1/12/22 RM11,000.00(RM339.800partial), Trsf 5/12/22 RM50,000.00(RM1,660.20partial), </t>
  </si>
  <si>
    <t>Trsf 5/12/22 RM50,000.00</t>
  </si>
  <si>
    <t>Trsf 5/12/22 RM50,000.00(RM1,301.80partial), Trsf 22/12/22 RM10,000.00(RM7,058.20partial)</t>
  </si>
  <si>
    <t>Trsf 22/12/22 RM10,000.00</t>
  </si>
  <si>
    <t>Trsf 22/12/22 RM10,000.00(RM124,80), Trsf 23/12/22 RM10,000.00(RM125.20)</t>
  </si>
  <si>
    <t>Trsf 23/12/22 RM10,000.00</t>
  </si>
  <si>
    <t>Trsf 23/12/22 RM10,000.00(RM1,754.80partial), Trsf 27/12/22 RM5,000.00(RM0.20partial),</t>
  </si>
  <si>
    <t>Trsf 27/12/22 RM5,000.00</t>
  </si>
  <si>
    <t xml:space="preserve">Trsf 28/12/22 RM30,000.00(RM75.20partial), </t>
  </si>
  <si>
    <t>Trsf 28/12/22 RM30,000.00</t>
  </si>
  <si>
    <t>Trsf 28/12/22 RM30,000.00(RM260.80), Trsf 29/12/22 RM5,000.00(RM939.20)</t>
  </si>
  <si>
    <t>Trsf 29/12/22 RM5,000.00</t>
  </si>
  <si>
    <t xml:space="preserve">Trsf 28/12/22 </t>
  </si>
  <si>
    <t>INV00000397</t>
  </si>
  <si>
    <t>RJ Woven Roving E-600gm 1000mm (42Kg)</t>
  </si>
  <si>
    <t>RM Pigment Paste Smooth Cream M19 (5Kg)</t>
  </si>
  <si>
    <t>INV00000398</t>
  </si>
  <si>
    <t>INV00000399</t>
  </si>
  <si>
    <t>INV00000400</t>
  </si>
  <si>
    <t>INV00000401</t>
  </si>
  <si>
    <t>INV00000402</t>
  </si>
  <si>
    <t>RM Pigment Paste Smooth Cream M19 (20Kg)</t>
  </si>
  <si>
    <t>INV00000403</t>
  </si>
  <si>
    <t>INV00000404</t>
  </si>
  <si>
    <t>RA Resin 3338W (220kg)</t>
  </si>
  <si>
    <t>INV00000405</t>
  </si>
  <si>
    <t>INV00000406</t>
  </si>
  <si>
    <t>INV00000407</t>
  </si>
  <si>
    <t>INV00000408</t>
  </si>
  <si>
    <t>INV00000409</t>
  </si>
  <si>
    <t>Trsf 4/1/22 RM30,000.00(RM525.30partial), Trsf 5/1/23 RM5,000.00(RM530.70partial)</t>
  </si>
  <si>
    <t>Trsf 5/1/23 RM5,000.00</t>
  </si>
  <si>
    <t>Trsf 6/1/23 RM5,000.00</t>
  </si>
  <si>
    <t>Trsf 5/1/23 RM5,000.00(RM4,281.80), Trsf 6/1/23 RM5,000.00(RM1,460.20partial)</t>
  </si>
  <si>
    <t>INV00000410</t>
  </si>
  <si>
    <t>INV00000411</t>
  </si>
  <si>
    <t>INV00000412</t>
  </si>
  <si>
    <t>INV00000413</t>
  </si>
  <si>
    <t>INV00000414</t>
  </si>
  <si>
    <t>INV00000415</t>
  </si>
  <si>
    <t>INV00000416</t>
  </si>
  <si>
    <t>INV00000417</t>
  </si>
  <si>
    <t>Cash - ZTY Fibre</t>
  </si>
  <si>
    <t>RA Nor 3338NonWax (220Kg)</t>
  </si>
  <si>
    <t>RA CSM 300 64m(L) 1040mm(W) (30Kg)</t>
  </si>
  <si>
    <t>RJ Woven Roving E-600gm 1000mm (42Kg) (offer price)*</t>
  </si>
  <si>
    <t>RM Pigment Pearl Grey (2Kg)</t>
  </si>
  <si>
    <t>RM Pigment Light Grey (2Kg)</t>
  </si>
  <si>
    <t>C00000034</t>
  </si>
  <si>
    <t>INV00000418</t>
  </si>
  <si>
    <t>INV00000419</t>
  </si>
  <si>
    <t>INV00000420</t>
  </si>
  <si>
    <t xml:space="preserve">RA CSM 300 64m(L) x 1040mm(W) (30Kg) </t>
  </si>
  <si>
    <t>RHB 00553 19/12/22cleared-RM1,800.00(RM751.00partial), RHB 00554 27/12/22cleared-RM1,800.00, RHB 00557 3/1/23cleared-RM1,497.00</t>
  </si>
  <si>
    <t>Trsf 4/1/23 RM30,000.00</t>
  </si>
  <si>
    <t>Trsf 20/1/23 RM20,000.00</t>
  </si>
  <si>
    <t>Trsf 9/1/23 RM2,936.50</t>
  </si>
  <si>
    <t>Trsf 11/1/23 RM2,440.00</t>
  </si>
  <si>
    <t>Trsf 13/1/23 RM1,800.50</t>
  </si>
  <si>
    <t>Trsf 6/1/23 RM3,190.50,  Trsf 16/1/23 RM3,190.00</t>
  </si>
  <si>
    <t>Trsf 5/1/23 RM905.00</t>
  </si>
  <si>
    <t>Trsf 15/1/23 RM2,000.00</t>
  </si>
  <si>
    <t>Trsf 14/12/22 RM1,500.00, Trsf 21/12/22 RM1,500.00,  Trsf 15/1/23 RM2,000.00(RM872.00)</t>
  </si>
  <si>
    <t>Trsf 15/1/23 RM2,000.00(RM166.80),  Trsf 20/1/23 RM2,000.00(RM283.20)</t>
  </si>
  <si>
    <t>Trsf 20/1/23 RM2,000.00</t>
  </si>
  <si>
    <t>Cash 13/1/23 RM2,132.50</t>
  </si>
  <si>
    <t>Trsf 14/1/23 RM250.00</t>
  </si>
  <si>
    <t>Trsf 12/1/23, RM1,804.00</t>
  </si>
  <si>
    <t>Chq HL 017917 dd 17/1/23</t>
  </si>
  <si>
    <t>RHB 00570 16/1/23cleared-RM2,000.00, RHB 00571 25/1/23cleared-RM2,000.00, RHB 00572 30/1/23cleared-RM2,000.00</t>
  </si>
  <si>
    <t>Chq PBB 395374, cleared160123 RM2,636.50</t>
  </si>
  <si>
    <t>Chq PBB 395375, cleared160123 RM2,570.00</t>
  </si>
  <si>
    <t>Trsf 19/1/23, RM24,940.00</t>
  </si>
  <si>
    <t>Trsf 27/1/23 RM2,917.80</t>
  </si>
  <si>
    <t>Trsf 29/12/22 RM5,000.00(RM1,670.30), Trsf 4/1/23 RM30,000.00(RM2,465.70partial)</t>
  </si>
  <si>
    <t>Trsf 6/1/23 RM5,000.00(RM2.20partial), Trsf 6/1/23 RM10,000.00(RM1,581.80)</t>
  </si>
  <si>
    <t>Trsf 6/1/23 RM10,000.00</t>
  </si>
  <si>
    <t>Trsf 6/1/23 RM10,000.00(RM5,914.20), Trsf 20/1/23 RM20,000.00(RM1,477.80)</t>
  </si>
  <si>
    <t>Cash - ZTY Fibre Total</t>
  </si>
  <si>
    <t>2023 Total</t>
  </si>
  <si>
    <t>INV00000421</t>
  </si>
  <si>
    <t>RA Nor 9539NonWax (225Kg)</t>
  </si>
  <si>
    <t>INV00000422</t>
  </si>
  <si>
    <t>INV00000423</t>
  </si>
  <si>
    <t>3/2/2023</t>
  </si>
  <si>
    <t>INV00000424</t>
  </si>
  <si>
    <t>8/2/2023</t>
  </si>
  <si>
    <t>RJ Woven Roving E-600gm 1000mm (42Kg) (offer price)</t>
  </si>
  <si>
    <t>RA Honeycomb 12mm - 1220(W) x 2440(L)</t>
  </si>
  <si>
    <t>RA Honeycomb 9mm - 1220(W) x 2440(L)</t>
  </si>
  <si>
    <t>INV00000425</t>
  </si>
  <si>
    <t>INV00000426</t>
  </si>
  <si>
    <t>9/2/2023</t>
  </si>
  <si>
    <t>INV00000427</t>
  </si>
  <si>
    <t>INV00000428</t>
  </si>
  <si>
    <t>INV00000429</t>
  </si>
  <si>
    <t>10/2/2023</t>
  </si>
  <si>
    <t>INV00000430</t>
  </si>
  <si>
    <t>RM CSM 450 64m(L) 1040mm(W) (30kg)</t>
  </si>
  <si>
    <t>RM GP NPG 9319-H (25kg)</t>
  </si>
  <si>
    <t>INV00000431</t>
  </si>
  <si>
    <t>INV00000432</t>
  </si>
  <si>
    <t>INV00000433</t>
  </si>
  <si>
    <t>Cash - MLGaia Enterprise</t>
  </si>
  <si>
    <t>RM Resin 3338W (20Kg)</t>
  </si>
  <si>
    <t>RJ Mepoxe (5Kg)</t>
  </si>
  <si>
    <t>Brush 1.1/2"(12Pc)</t>
  </si>
  <si>
    <t>C00000035</t>
  </si>
  <si>
    <t>INV00000434</t>
  </si>
  <si>
    <t>INV00000435</t>
  </si>
  <si>
    <t>16/2/2023</t>
  </si>
  <si>
    <t>RM Resin 3330W (220Kg)</t>
  </si>
  <si>
    <t>INV00000436</t>
  </si>
  <si>
    <t>INV00000437</t>
  </si>
  <si>
    <t>INV00000438</t>
  </si>
  <si>
    <t>Pgment Paste Riviera Blue B5 (2Kg)</t>
  </si>
  <si>
    <t>Pgment Paste Navy Blue B15 (2Kg)</t>
  </si>
  <si>
    <t>INV00000439</t>
  </si>
  <si>
    <t>18/2/2023</t>
  </si>
  <si>
    <t>INV00000440</t>
  </si>
  <si>
    <t>INV00000441</t>
  </si>
  <si>
    <t>INV00000442</t>
  </si>
  <si>
    <t>INV00000443</t>
  </si>
  <si>
    <t>INV00000444</t>
  </si>
  <si>
    <t>24/2/2023</t>
  </si>
  <si>
    <t>25/2/2023</t>
  </si>
  <si>
    <t>INV00000445</t>
  </si>
  <si>
    <t>INV00000446</t>
  </si>
  <si>
    <t>INV00000447</t>
  </si>
  <si>
    <t>28/2/2023</t>
  </si>
  <si>
    <t>Trsf 1/2/23 RM3,555.00</t>
  </si>
  <si>
    <t>Chq PBB 395376, cleared070223 RM2,837.00</t>
  </si>
  <si>
    <t>Trsf 20/1/23 RM20,000.00(RM928.20), Trsf 7/2/23 RM9,700.00, Trsf 9/2/23 RM11,000.00, Trsf 13/2/23 RM9,500.00(RM5,431.80)</t>
  </si>
  <si>
    <t>Trsf 13/2/23 RM9,500.00(RM4,068.20),  Trsf 18/2/23 RM6,000.00, Trsf 24/2/23 RM22,000.00(RM1,271.80)</t>
  </si>
  <si>
    <t>Trsf 24/2/23 RM22,000.00</t>
  </si>
  <si>
    <t>Trsf 8/2/23 RM6,947.00</t>
  </si>
  <si>
    <t>RHB 00570 16/1/23cleared-RM2,000.00, RHB 00571 25/1/23cleared-RM2,000.00, RHB 00572 30/1/23cleared-RM2,000.00(RM192.00), RHB 00573 13/2/23cleared-RM1,219.00(RM114.00)</t>
  </si>
  <si>
    <t>RHB 00573 13/2/23cleared-RM1,219.00(RM325.00)</t>
  </si>
  <si>
    <t>RHB 00573 13/2/23cleared-RM1,219.00(RM630.00)</t>
  </si>
  <si>
    <t>RHB 00573 13/2/23cleared-RM1,219.00(RM150.00)</t>
  </si>
  <si>
    <t>Trsf 15/2/23 RM861.00</t>
  </si>
  <si>
    <t>Chq PBB 395377, cleared160223 RM3,095.00)</t>
  </si>
  <si>
    <t>HLB016114Cleared22/2/23-RM15,677.20</t>
  </si>
  <si>
    <t>Bank Islam 161778 Cleared23/2/23, RM11,266.80</t>
  </si>
  <si>
    <t>Trsf 24/2/23, RM22,670.50</t>
  </si>
  <si>
    <t>Trsf 20/1/23 RM1,500.00,  Trsf 28/2/23 RM2,500.00(RM524.00)</t>
  </si>
  <si>
    <t>Trsf 28/2/23 RM2,500.00(RM256.00)</t>
  </si>
  <si>
    <t>1/3/2023</t>
  </si>
  <si>
    <t>INV00000448</t>
  </si>
  <si>
    <t>2/3/2023</t>
  </si>
  <si>
    <t>Choi Fook Sing Enterprise Sdn Bhd</t>
  </si>
  <si>
    <t>C00000036</t>
  </si>
  <si>
    <t>INV00000449</t>
  </si>
  <si>
    <t>INV00000450</t>
  </si>
  <si>
    <t>3/3/2023</t>
  </si>
  <si>
    <t>Suntruck Sdn Bhd</t>
  </si>
  <si>
    <t>C00000037</t>
  </si>
  <si>
    <t>INV00000451</t>
  </si>
  <si>
    <t>INV00000452</t>
  </si>
  <si>
    <t>INV00000453</t>
  </si>
  <si>
    <t xml:space="preserve">RM VE Tooling Gelcoat 14 (Unpromoted) (orange) 25kg </t>
  </si>
  <si>
    <t xml:space="preserve">RM VE Resin SW901-3 (unpromoted) 25kg </t>
  </si>
  <si>
    <t>RM Cobalt 10% (0.06kg) Free of Charge</t>
  </si>
  <si>
    <t>6/3/2023</t>
  </si>
  <si>
    <t>INV00000454</t>
  </si>
  <si>
    <t>INV00000455</t>
  </si>
  <si>
    <t>INV00000456</t>
  </si>
  <si>
    <t>7/3/2023</t>
  </si>
  <si>
    <t>RM Tissue Mat (250 meter)</t>
  </si>
  <si>
    <t>RM Steel Roller 3" 16mm</t>
  </si>
  <si>
    <t>8/3/2023</t>
  </si>
  <si>
    <t>RM Pigment Super White (2Kg)</t>
  </si>
  <si>
    <t>RM Pigment Light Grey (2kg)</t>
  </si>
  <si>
    <t>RM Pigment Signal Red (2kg)</t>
  </si>
  <si>
    <t>RM Gelcoat GSH (20kg)</t>
  </si>
  <si>
    <t>INV00000457</t>
  </si>
  <si>
    <t>10/3/2023</t>
  </si>
  <si>
    <t>INV00000458</t>
  </si>
  <si>
    <t>11/3/2023</t>
  </si>
  <si>
    <t>INV00000459</t>
  </si>
  <si>
    <t>14/3/2023</t>
  </si>
  <si>
    <t>INV00000460</t>
  </si>
  <si>
    <t>INV00000461</t>
  </si>
  <si>
    <t>INV00000462</t>
  </si>
  <si>
    <t>INV00000463</t>
  </si>
  <si>
    <t>INV00000464</t>
  </si>
  <si>
    <t>16/3/2023</t>
  </si>
  <si>
    <t>INV00000465</t>
  </si>
  <si>
    <t>RM Pigment Light Grey (5kg)</t>
  </si>
  <si>
    <t>RM Pigment Signal Red (5kg)</t>
  </si>
  <si>
    <t>INV00000466</t>
  </si>
  <si>
    <t>20/3/2023</t>
  </si>
  <si>
    <t>INV00000467</t>
  </si>
  <si>
    <t>INV00000468</t>
  </si>
  <si>
    <t>23/3/2023</t>
  </si>
  <si>
    <t>INV00000469</t>
  </si>
  <si>
    <t>25/3/2023</t>
  </si>
  <si>
    <t>RM Honeycomb 12mm - 1220(W) x 2440(L)</t>
  </si>
  <si>
    <t>RM CSM 450 1040mm(W) (30Kg)</t>
  </si>
  <si>
    <t>INV00000470</t>
  </si>
  <si>
    <t>INV00000471</t>
  </si>
  <si>
    <t>27/3/2023</t>
  </si>
  <si>
    <t>RM Nor 3338NonWax (220Kg)</t>
  </si>
  <si>
    <t>RM CSM 450 79m(L) x 1040mm(W) (30kg)</t>
  </si>
  <si>
    <t>INV00000472</t>
  </si>
  <si>
    <t>28/3/2023</t>
  </si>
  <si>
    <t>RM Pigment Super White (25kg)</t>
  </si>
  <si>
    <t>INV00000473</t>
  </si>
  <si>
    <t>30/3/2023</t>
  </si>
  <si>
    <t>INV00000474</t>
  </si>
  <si>
    <t>INV00000475</t>
  </si>
  <si>
    <t>INV00000476</t>
  </si>
  <si>
    <t>INV00000477</t>
  </si>
  <si>
    <t>Trsf 20/1/23 RM2,000.00(RM1,611.80), Trsf 24/2/23 RM1,500.00, Trsf 2/3/23 RM1,500.00(RM672.20)</t>
  </si>
  <si>
    <t>Trsf 2/3/23, RM2,716.00</t>
  </si>
  <si>
    <t>Trsf 2/3/23 RM366.00</t>
  </si>
  <si>
    <t>Trsf 6/3/23 RM1,425.00</t>
  </si>
  <si>
    <t>Cash 11/3/23 RM2,545.00</t>
  </si>
  <si>
    <t>Chq PBB 395378, cleared100323 RM3,094.00)</t>
  </si>
  <si>
    <t>Chq PBB 395379, cleared240323 RM3,067.00)</t>
  </si>
  <si>
    <t>Trsf 24/2/23 RM22,000.00(RM789.40), Trsf 27/2/23 RM11,000.00, Trsf 23/3/23 RM10,000.00, Trsf 29/3/23 RM34,000.00(RM5,270.60)</t>
  </si>
  <si>
    <t>Trsf 29/3/23 RM34,000.00</t>
  </si>
  <si>
    <t>MBB 014620 cleared 060323 RM4,784.40</t>
  </si>
  <si>
    <t>MBB 014665 cleared 200323 RM4,450.40</t>
  </si>
  <si>
    <t>Cash 18/3/23 RM7,025.00</t>
  </si>
  <si>
    <t>Trsf 25/3/23 RM1,575.00</t>
  </si>
  <si>
    <t>Trsf 27/3/23 RM4,530.00</t>
  </si>
  <si>
    <t>Trsf 30/3/23 RM487.50</t>
  </si>
  <si>
    <t>Chq HL 019025 dd 27/3/23</t>
  </si>
  <si>
    <t>Trsf 27/3/23, RM14,227.00</t>
  </si>
  <si>
    <t>Trsf 28/2/23 RM2,500.00(RM1,720.00),  Trsf 29/3/23 RM1,500.00(RM216.00)</t>
  </si>
  <si>
    <t>Trsf 29/3/23 RM1,500.00</t>
  </si>
  <si>
    <t>Trsf 30/3/23 RM2,000.00(RM1,870.00)</t>
  </si>
  <si>
    <t>Cash - MLGaia Enterprise Total</t>
  </si>
  <si>
    <t>Choi Fook Sing Enterprise Sdn Bhd Total</t>
  </si>
  <si>
    <t>Suntruck Sdn Bhd Total</t>
  </si>
  <si>
    <t>RM CSM 300 1860mm(W) (54kg)</t>
  </si>
  <si>
    <t>INV00000478</t>
  </si>
  <si>
    <t>RM CSM 450 1040mm(W) (30kg)</t>
  </si>
  <si>
    <t>RM CSM 300 1040mm(W) (30kg)</t>
  </si>
  <si>
    <t>INV00000479</t>
  </si>
  <si>
    <t>INV00000480</t>
  </si>
  <si>
    <t>Pigment Light Grey G1 (2kg)</t>
  </si>
  <si>
    <t>Pigment Signal Red R13 (2kg)</t>
  </si>
  <si>
    <t>3/4/2023</t>
  </si>
  <si>
    <t>RM Pigment Super White (5kg)</t>
  </si>
  <si>
    <t>INV00000481</t>
  </si>
  <si>
    <t>4/4/2023</t>
  </si>
  <si>
    <t>RM Resin 3338W (220kg)</t>
  </si>
  <si>
    <t>6/4/2023</t>
  </si>
  <si>
    <t>INV00000482</t>
  </si>
  <si>
    <t>RM Miracle Gloss Wax No. 8 (311g/Can)</t>
  </si>
  <si>
    <t>INV00000483</t>
  </si>
  <si>
    <t>INV00000484</t>
  </si>
  <si>
    <t>RM Nor 3317W (220Kg)</t>
  </si>
  <si>
    <t>7/4/2023</t>
  </si>
  <si>
    <t>INV00000486</t>
  </si>
  <si>
    <t>RM CSM 450 1860mm(W) (54kg)</t>
  </si>
  <si>
    <t>INV00000487</t>
  </si>
  <si>
    <t>INV00000488</t>
  </si>
  <si>
    <t>8/4/2023</t>
  </si>
  <si>
    <t>INV00000489</t>
  </si>
  <si>
    <t>INV00000490</t>
  </si>
  <si>
    <t>10/4/2023</t>
  </si>
  <si>
    <t>INV00000491</t>
  </si>
  <si>
    <t>9/4/2023</t>
  </si>
  <si>
    <t>WSA Engineering Sdn Bhd</t>
  </si>
  <si>
    <t>C00000038</t>
  </si>
  <si>
    <t>INV00000492</t>
  </si>
  <si>
    <t>RM Resin 3338W (20kg)</t>
  </si>
  <si>
    <t>RM Mepoxe M (MEKP) (5kg)</t>
  </si>
  <si>
    <t xml:space="preserve">RM Miracle Gloss Wax No. 8 (311g/Can) </t>
  </si>
  <si>
    <t>11/4/2023</t>
  </si>
  <si>
    <t>INV00000493</t>
  </si>
  <si>
    <t>12/4/2023</t>
  </si>
  <si>
    <t>INV00000494</t>
  </si>
  <si>
    <t>13/4/2023</t>
  </si>
  <si>
    <t>RM CSM 300 1040mm(W) (30Kg)</t>
  </si>
  <si>
    <t>INV00000495</t>
  </si>
  <si>
    <t>INV00000496</t>
  </si>
  <si>
    <t>INV00000497</t>
  </si>
  <si>
    <t>15/4/2023</t>
  </si>
  <si>
    <t>WSA Engineering Sdn Bhd Total</t>
  </si>
  <si>
    <t>RM Woven Roving E-600gm 1000mm (42Kg)</t>
  </si>
  <si>
    <t>INV00000498</t>
  </si>
  <si>
    <t>18/4/2023</t>
  </si>
  <si>
    <t>INV00000499</t>
  </si>
  <si>
    <t>19/4/2023</t>
  </si>
  <si>
    <t>Resin 3317AW (220kg)</t>
  </si>
  <si>
    <t>CSM 450 GSM 1860mm (54kg)</t>
  </si>
  <si>
    <t>CSM 300 GSM 1860mm (54kg)</t>
  </si>
  <si>
    <t>Gelcoat GP-H (20kg)</t>
  </si>
  <si>
    <t>TR104 Wax Mould Release</t>
  </si>
  <si>
    <t>Pigment Grey G13 (25kg)</t>
  </si>
  <si>
    <t>Frekote 770NC (1 Gallon)</t>
  </si>
  <si>
    <t>Butanox M50 (5Kg)</t>
  </si>
  <si>
    <t>Brush 3" (12pcs)</t>
  </si>
  <si>
    <t>Brush 1.1/2" (12pcs)</t>
  </si>
  <si>
    <t>Acetone (163kg)</t>
  </si>
  <si>
    <t>Cash - PMC Sdn Bhd</t>
  </si>
  <si>
    <t>INV00000500</t>
  </si>
  <si>
    <t>20/4/2023</t>
  </si>
  <si>
    <t>INV00000501</t>
  </si>
  <si>
    <t>INV00000502</t>
  </si>
  <si>
    <t>26/4/2023</t>
  </si>
  <si>
    <t>RM Pigment White (5Kg)</t>
  </si>
  <si>
    <t>RM Pigment Black (5Kg)</t>
  </si>
  <si>
    <t>INV00000503</t>
  </si>
  <si>
    <t>27/4/2023</t>
  </si>
  <si>
    <t>INV00000504</t>
  </si>
  <si>
    <t>25/4/2023</t>
  </si>
  <si>
    <t>INV00000505</t>
  </si>
  <si>
    <t>28/4/2023</t>
  </si>
  <si>
    <t>INV00000506</t>
  </si>
  <si>
    <t>RM Gelcoat NPG 9319-H (25kg)</t>
  </si>
  <si>
    <t>RM Chemlease 71-90 EZ (1 gallon)</t>
  </si>
  <si>
    <t>Trsf 3/4/23 RM4,410.00, Cash in hand trsf 4/4/23 RM30.00</t>
  </si>
  <si>
    <t>Trsf 3/4/23 RM4,410.00, Cash in hand trsf 4/4/23 RM30.01</t>
  </si>
  <si>
    <t>Trsf 3/4/23 RM4,410.00, Cash in hand trsf 4/4/23 RM30.02</t>
  </si>
  <si>
    <t>Trsf 3/4/23 RM4,410.00, Cash in hand trsf 4/4/23 RM30.03</t>
  </si>
  <si>
    <t>Trsf 3/4/23 RM4,410.00, Cash in hand trsf 4/4/23 RM30.04</t>
  </si>
  <si>
    <t>Trsf 3/4/23 RM4,410.00, Cash in hand trsf 4/4/23 RM30.05</t>
  </si>
  <si>
    <t>Trsf 3/4/23 RM4,410.00, Cash in hand trsf 4/4/23 RM30.06</t>
  </si>
  <si>
    <t>Bank Islam 164701 Cleared 4/4/23, RM14,564.60</t>
  </si>
  <si>
    <t>Chq PBB 395380, cleared040423 RM2,842.00</t>
  </si>
  <si>
    <t>Trsf 4/4/23 RM452.00</t>
  </si>
  <si>
    <t>Trsf 30/3/23 RM2,000.00(RM130.00),  Trsf 5/4/23 RM1,026.20(RM318.20)</t>
  </si>
  <si>
    <t>Trsf 5/4/23 RM1,026.20(RM258.20)</t>
  </si>
  <si>
    <t>Trsf 5/4/23 RM1,026.20(RM450.00)</t>
  </si>
  <si>
    <t>Trsf 2/3/23 RM1,500.00(RM827.80), Trsf 7/4/23 RM2,000.00(RM111.80)</t>
  </si>
  <si>
    <t>Trsf 7/4/23 RM2,000.00</t>
  </si>
  <si>
    <t>Trsf 12/4/23 RM670.00</t>
  </si>
  <si>
    <t>Trsf 29/3/23 RM1,500.00(RM714.00), Trsf 14/4/23 RM2,000.00(RM1,222.00)</t>
  </si>
  <si>
    <t>Trsf 14/4/23 RM2,000.00(RM570.00)</t>
  </si>
  <si>
    <t>Trsf 20/4/23 RM14,000.00</t>
  </si>
  <si>
    <t>Trsf 20/4/23 RM14,000.01</t>
  </si>
  <si>
    <t>Trsf 20/4/23 RM14,000.02</t>
  </si>
  <si>
    <t>Trsf 20/4/23 RM14,000.03</t>
  </si>
  <si>
    <t>Trsf 20/4/23 RM14,000.04</t>
  </si>
  <si>
    <t>Trsf 20/4/23 RM14,000.05</t>
  </si>
  <si>
    <t>Trsf 20/4/23 RM14,000.06</t>
  </si>
  <si>
    <t>Trsf 20/4/23 RM14,000.07</t>
  </si>
  <si>
    <t>Trsf 20/4/23 RM14,000.08</t>
  </si>
  <si>
    <t>Trsf 20/4/23 RM14,000.09</t>
  </si>
  <si>
    <t>Cash 27/4/23 RM6,792.50</t>
  </si>
  <si>
    <t>Chq HL 020281 dd 26/4/23</t>
  </si>
  <si>
    <t>Trsf 29/3/23 RM34,000.00(RM8,104.40), Trsf 14/4/23 RM5,000.00(RM915.60)</t>
  </si>
  <si>
    <t>Trsf 14/4/23 RM5,000.00(RM3,024.00)</t>
  </si>
  <si>
    <t>Trsf 14/4/23 RM5,000.00(RM1,060.40), Trsf 17/4/23 RM15,000.00(RM109.60)</t>
  </si>
  <si>
    <t>Trsf 17/4/23 RM15,000.00(RM312.50)</t>
  </si>
  <si>
    <t>Trsf 17/4/23 RM15,000.00(RM1,000.00)</t>
  </si>
  <si>
    <t>Trsf 17/4/23 RM15,000.00(RM360.00)</t>
  </si>
  <si>
    <t>Trsf 17/4/23 RM15,000.00(RM10,824.00)</t>
  </si>
  <si>
    <t>Trsf 17/4/23 RM15,000.00(RM2,393.90), Trsf 20/4/23 RM10,000.00(RM630.10)</t>
  </si>
  <si>
    <t>Trsf 20/4/23 RM10,000.00(RM1,560.00)</t>
  </si>
  <si>
    <t>Trsf 20/4/23 RM10,000.00(RM375.00)</t>
  </si>
  <si>
    <t>Trsf 20/4/23 RM10,000.00(RM756.00)</t>
  </si>
  <si>
    <t>Trsf 20/4/23 RM10,000.00(RM1,000.00)</t>
  </si>
  <si>
    <t>Trsf 20/4/23 RM10,000.00(RM453.60)</t>
  </si>
  <si>
    <t>Trsf 20/4/23 RM10,000.00(RM3,608.00)</t>
  </si>
  <si>
    <t>Trsf 20/4/23 RM10,000.00(RM125.00)</t>
  </si>
  <si>
    <t>Trsf 20/4/23 RM10,000.00(RM1,492.30), Trsf 27/4/23 RM10,000.00(RM311.70)</t>
  </si>
  <si>
    <t>Trsf 27/4/23 RM10,000.00(RM756.00)</t>
  </si>
  <si>
    <t>Trsf 27/4/23 RM10,000.00(RM292.50)</t>
  </si>
  <si>
    <t>Trsf 27/4/23 RM10,000.00(RM62.50)</t>
  </si>
  <si>
    <t>Trsf 27/4/23 RM10,000.00(RM1,000.00)</t>
  </si>
  <si>
    <t>Trsf 27/4/23 RM10,000.00(RM5,412.00)</t>
  </si>
  <si>
    <t>Trsf 27/4/23 RM10,000.00(RM1,40.00)</t>
  </si>
  <si>
    <t>Trsf 27/4/23 RM10,000.00(RM187.50)</t>
  </si>
  <si>
    <t>Trsf 27/4/23 RM10,000.00(RM181.80), Trsf 28/4/23 RM20,000.00(RM17,858.20)</t>
  </si>
  <si>
    <t>Trsf 10/4/23 RM5,801.00</t>
  </si>
  <si>
    <t>Chq PBB 395381, cleared120423 RM2,842.00</t>
  </si>
  <si>
    <t>Chq PBB 395384, cleared180423 RM3,373.50</t>
  </si>
  <si>
    <t>Chq PBB 395385, cleared260423 RM2,832.00</t>
  </si>
  <si>
    <t>Cash - PMC Sdn Bhd Total</t>
  </si>
  <si>
    <t>INV00000507</t>
  </si>
  <si>
    <t>INV00000508</t>
  </si>
  <si>
    <t>INV00000509</t>
  </si>
  <si>
    <t>INV00000510</t>
  </si>
  <si>
    <t>RM Pigment Paste Grey (12Kg)</t>
  </si>
  <si>
    <t>INV00000511</t>
  </si>
  <si>
    <t>INV00000512</t>
  </si>
  <si>
    <t>RM Pigment Super White (5Kg)  **Or 20kg x 1 pail</t>
  </si>
  <si>
    <t>INV00000513</t>
  </si>
  <si>
    <t>INV00000514</t>
  </si>
  <si>
    <t>INV00000515</t>
  </si>
  <si>
    <t>INV00000516</t>
  </si>
  <si>
    <t>INV00000517</t>
  </si>
  <si>
    <t>INV00000518</t>
  </si>
  <si>
    <t>RA CSM 450 1040mm(W) (30kg)</t>
  </si>
  <si>
    <t>INV00000519</t>
  </si>
  <si>
    <t>RM CSM 450 64m(L) X 1860mm(W) (67kg)</t>
  </si>
  <si>
    <t>RM Pigment Super White (30kg)</t>
  </si>
  <si>
    <t>INV00000520</t>
  </si>
  <si>
    <t>INV00000521</t>
  </si>
  <si>
    <t>RM Resin 3338W (20g)</t>
  </si>
  <si>
    <t>INV00000522</t>
  </si>
  <si>
    <t>INV00000523</t>
  </si>
  <si>
    <t>18/5/2023</t>
  </si>
  <si>
    <t>INV00000524</t>
  </si>
  <si>
    <t>INV00000525</t>
  </si>
  <si>
    <t>INV00000526</t>
  </si>
  <si>
    <t>INV00000527</t>
  </si>
  <si>
    <t>INV00000528</t>
  </si>
  <si>
    <t>INV00000529</t>
  </si>
  <si>
    <t>INV00000530</t>
  </si>
  <si>
    <t>INV00000531</t>
  </si>
  <si>
    <t>INV00000532</t>
  </si>
  <si>
    <t>INV00000533</t>
  </si>
  <si>
    <t>RM Resin 3338NW (220kg)</t>
  </si>
  <si>
    <t>RM CLiQSPERSE PB (5kg)</t>
  </si>
  <si>
    <t>INV00000534</t>
  </si>
  <si>
    <t>MBB 014706 cleared 020523 RM6,644.10</t>
  </si>
  <si>
    <t>MBB 014791 cleared 030523 RM2,856.40</t>
  </si>
  <si>
    <t>MBB 014751 cleared 150523 RM4,959.60</t>
  </si>
  <si>
    <t>Trsf 6/5/23 RM2,716.00</t>
  </si>
  <si>
    <t>Trsf 28/4/23 RM20,000.00(RM2,141.80), Trsf 5/5/23 RM11,000.00(RM6,878.20)</t>
  </si>
  <si>
    <t>Trsf 5/5/23 RM11,000.00(RM4,121.80), Trsf 6/5/23 RM4,000.00, Trsf 31/5/23 RM5,000.00(RM4,730.20)</t>
  </si>
  <si>
    <t>Trsf 26/5/23 RM2,815.10</t>
  </si>
  <si>
    <t>Trsf 7/4/23 RM2,000.00(RM475.70), Trsf 24/4/23 RM1,000.00, Trsf 26/4/23 RM1,500.00, Trsf 7/5/23 RM2,000.00(RM500.30)</t>
  </si>
  <si>
    <t>Trsf 7/5/23 RM2,000.00(RM1,263.60)</t>
  </si>
  <si>
    <t>Trsf 7/5/23 RM2,000.00(RM236.10), Trsf 11/5/23 RM1,000.00(RM76.40)</t>
  </si>
  <si>
    <t>Trsf 11/5/23 RM1,000.00(RM210.00)</t>
  </si>
  <si>
    <t>Trsf 11/5/23 RM1,000.00(RM440.00)</t>
  </si>
  <si>
    <t>Trsf 11/5/23 RM1,000.00(RM273.60), Trsf 18/5/23 RM1,000.00(RM176.40)</t>
  </si>
  <si>
    <t>Trsf 18/5/23 RM1,000.00(RM450.00)</t>
  </si>
  <si>
    <t>Trsf 2/5/23 RM31,397.00</t>
  </si>
  <si>
    <t>Trsf 29/5/23 RM10,765.00</t>
  </si>
  <si>
    <t>Trsf 2/5/23 RM7,908.00</t>
  </si>
  <si>
    <t>Trsf 18/5/23 RM1,174.50)</t>
  </si>
  <si>
    <t xml:space="preserve">Trsf 20/5/23 </t>
  </si>
  <si>
    <t>Trsf 30/5/23 RM2,195.00</t>
  </si>
  <si>
    <t>Trsf 2/5/23 RM7,908.00(RM235.50), Trsf 2/5/23 RM2,903.00(RM0.50)</t>
  </si>
  <si>
    <t>Trsf 2/5/23 RM2,903.00(RM1,912.50)</t>
  </si>
  <si>
    <t>Trsf 8/5/23 RM2,903.00(RM100.00)</t>
  </si>
  <si>
    <t>Trsf 8/5/23 RM2,903.00(RM250.00)</t>
  </si>
  <si>
    <t>Trsf 8/5/23 RM2,903.00(RM640.00)</t>
  </si>
  <si>
    <t>Trsf 17/5/23 RM698.00</t>
  </si>
  <si>
    <t xml:space="preserve">Trsf 25/5/23 </t>
  </si>
  <si>
    <t>Chq PBB 395386, cleared180523 RM2,475.00</t>
  </si>
  <si>
    <t>Cash 12/5/23 RM9,692.50</t>
  </si>
  <si>
    <t>Cash 26/5/23 RM3,588.00</t>
  </si>
  <si>
    <t>Cash 30/5/23 RM2,912.00</t>
  </si>
  <si>
    <t>Trsf 20/4/23 RM14,000.10(RM828.80), Trsf 18/5/23 RM15,000.00(RM279.60)</t>
  </si>
  <si>
    <t>Trsf 18/5/23 RM15,000.00(RM7,304.00)</t>
  </si>
  <si>
    <t>Trsf 18/5/23 RM15,000.00(RM2,133.00)</t>
  </si>
  <si>
    <t>Trsf 18/5/23 RM15,000.00(RM1,279.80)</t>
  </si>
  <si>
    <t>Trsf 18/5/23 RM15,000.00(RM1,290.00)</t>
  </si>
  <si>
    <t>Trsf 18/5/23 RM15,000.00(RM150.00)</t>
  </si>
  <si>
    <t>Trsf 18/5/23 RM15,000.00(RM1,600.00)</t>
  </si>
  <si>
    <t>Trsf 18/5/23 RM15,000.00(RM963.60), Trsf 19/5/23 RM986.40(RM326.40)</t>
  </si>
  <si>
    <t>Trsf 19/5/23 RM986.40(RM660.00)</t>
  </si>
  <si>
    <t>INV00000535</t>
  </si>
  <si>
    <t>1/6/2023</t>
  </si>
  <si>
    <t>RM Resin 3338W (25g)</t>
  </si>
  <si>
    <t>INV00000536</t>
  </si>
  <si>
    <t>INV00000537</t>
  </si>
  <si>
    <t>3/6/2023</t>
  </si>
  <si>
    <t>RM CSM 450 1860mm(W) (67kg)</t>
  </si>
  <si>
    <t>INV00000538</t>
  </si>
  <si>
    <t>RM Nor 3338W (30Kg)</t>
  </si>
  <si>
    <t>RM Pigment Paste Smooth Cream M19 (2Kg)</t>
  </si>
  <si>
    <t>INV00000539</t>
  </si>
  <si>
    <t>INV00000540</t>
  </si>
  <si>
    <t>INV00000541</t>
  </si>
  <si>
    <t>C00000039</t>
  </si>
  <si>
    <t>Bestway Bina Sdn Bhd</t>
  </si>
  <si>
    <t>RM Woven Roving E-600gm 1000mm (42g)</t>
  </si>
  <si>
    <t>INV00000542</t>
  </si>
  <si>
    <t>INV00000543</t>
  </si>
  <si>
    <t>RM Woven Roving E-600gm 1000mm (40g)</t>
  </si>
  <si>
    <t>12/6/2023</t>
  </si>
  <si>
    <t>INV00000544</t>
  </si>
  <si>
    <t>RM Pigment Yellow Orange Y11 (5Kg)</t>
  </si>
  <si>
    <t>INV00000545</t>
  </si>
  <si>
    <t>INV00000546</t>
  </si>
  <si>
    <t>RM Resin 3338W (25kg)</t>
  </si>
  <si>
    <t>Transportation Charge</t>
  </si>
  <si>
    <t>INV00000547</t>
  </si>
  <si>
    <t>INV00000548</t>
  </si>
  <si>
    <t>INV00000549</t>
  </si>
  <si>
    <t>INV00000550</t>
  </si>
  <si>
    <t>16/6/2023</t>
  </si>
  <si>
    <t>Chemlease 71-90 EZ (1 gallon)</t>
  </si>
  <si>
    <t xml:space="preserve">Pigment Super White W2 (5kg)  </t>
  </si>
  <si>
    <t>Woven Roving 600 1000mm (40kg)</t>
  </si>
  <si>
    <t>19/6/2023</t>
  </si>
  <si>
    <t>INV00000551</t>
  </si>
  <si>
    <t>Pigment Super White W2 (5kg)</t>
  </si>
  <si>
    <t>Pigment Super Black PE30 (5kg)</t>
  </si>
  <si>
    <t>INV00000553</t>
  </si>
  <si>
    <t>20/6/2023</t>
  </si>
  <si>
    <t>INV00000552</t>
  </si>
  <si>
    <t>INV00000554</t>
  </si>
  <si>
    <t>INV00000555</t>
  </si>
  <si>
    <t>INV00000556</t>
  </si>
  <si>
    <t>INV00000557</t>
  </si>
  <si>
    <t>INV00000558</t>
  </si>
  <si>
    <t>INV00000559</t>
  </si>
  <si>
    <t>RM Resin 3310W (220kg)</t>
  </si>
  <si>
    <t>RM Gelcoat GP-H (20kg)</t>
  </si>
  <si>
    <t xml:space="preserve">RM Brush 3" </t>
  </si>
  <si>
    <t>RM Brush 2"</t>
  </si>
  <si>
    <t xml:space="preserve">RM Pigment Super White (2kg)  </t>
  </si>
  <si>
    <t xml:space="preserve">RM Pigment Super Black (2kg)  </t>
  </si>
  <si>
    <t xml:space="preserve">RM Pigment Orange (2kg)  </t>
  </si>
  <si>
    <t>RM Pigment Super Black PE30 (5kg)</t>
  </si>
  <si>
    <t>RM Pigment Pearl Grey G2 (5Kg)</t>
  </si>
  <si>
    <t>INV00000560</t>
  </si>
  <si>
    <t>27/6/2023</t>
  </si>
  <si>
    <t>INV00000561</t>
  </si>
  <si>
    <t>Trsf 1/6/23 RM3,826.50</t>
  </si>
  <si>
    <t>Trsf 8/6/23 RM2,968.50</t>
  </si>
  <si>
    <t>Trsf 18/5/23 RM1,000.00(RM373.60), Trsf 1/6/23 RM1,500.00(RM468.80)</t>
  </si>
  <si>
    <t>Trsf 1/6/23 RM1,500.00(RM312.50)</t>
  </si>
  <si>
    <t>Trsf 1/6/23 RM1,500.00(RM718.70), Trsf 13/6/23 RM1,000.00, Trsf 23/6/23 RM2,000.00(RM1,845.30)</t>
  </si>
  <si>
    <t>Trsf 3/6/23 RM4,745.00</t>
  </si>
  <si>
    <t>Trsf 13/6/23 RM3,000.00 &amp; Trsf 15/6/23 RM1,453.50</t>
  </si>
  <si>
    <t>Trsf 15/6/23 RM4,133.50</t>
  </si>
  <si>
    <t>Trsf 19/6/23 RM3,740.00</t>
  </si>
  <si>
    <t>Trsf 21/6/23 RM485.00</t>
  </si>
  <si>
    <t>Trsf 22/6/23 RM795.00</t>
  </si>
  <si>
    <t>Trsf 1/6/23</t>
  </si>
  <si>
    <t>Trsf 1/6/23 RM590.00</t>
  </si>
  <si>
    <t xml:space="preserve">Cash 7/6/23 RM5,392.00 </t>
  </si>
  <si>
    <t xml:space="preserve">Cash 15/6/23 RM5,392.00 </t>
  </si>
  <si>
    <t>Cash 26/6/23 RM1,192.00</t>
  </si>
  <si>
    <t>Trsf 8/6/23 RM4,568.00</t>
  </si>
  <si>
    <t>Chq HL 020172 Cleared 12/6/23 RM4,632.80</t>
  </si>
  <si>
    <t>RHB 036060 cleared 16/6/23 RM2,104.00</t>
  </si>
  <si>
    <t>Trsf 14/4/23 RM2,000.00(RM208), Trsf 16/6/23 RM1,500.00(RM242.00)</t>
  </si>
  <si>
    <t>Trsf 16/6/23 RM1,500.00(RM110.00)</t>
  </si>
  <si>
    <t>Trsf 16/6/23 RM1,500.00(RM100.00)</t>
  </si>
  <si>
    <t>Trsf 16/6/23 RM1,500.00(RM102.00)</t>
  </si>
  <si>
    <t>Cheque MBB 851950, cleared 19/6/23 RM35,991.40</t>
  </si>
  <si>
    <t>Cheque MBB 851963, cleared 27/6/23 RM2,820.50</t>
  </si>
  <si>
    <t>Chq PBB 395388, cleared280623 RM2,475.00</t>
  </si>
  <si>
    <t>MBB 014846 cleared 150623 RM13,214.50</t>
  </si>
  <si>
    <t>Trsf 31/5/23 RM5,000.00(RM269.80), Trsf 16/6/23 RM20,000.00(315.20)</t>
  </si>
  <si>
    <t>Trsf 16/6/23 RM20,000.00</t>
  </si>
  <si>
    <t>Trsf 30/6/23 RM12,678.00</t>
  </si>
  <si>
    <t>Trsf 10/6/23 RM2,793.00 (Inv 542 over paid RM0.20)</t>
  </si>
  <si>
    <t>C00000012</t>
  </si>
  <si>
    <t>Aumada Energy &amp; Technologies (M) Sdn Bhd</t>
  </si>
  <si>
    <t>C00000028</t>
  </si>
  <si>
    <t>DEKS RESOURCES</t>
  </si>
  <si>
    <t>C00000030</t>
  </si>
  <si>
    <t>C00000040</t>
  </si>
  <si>
    <t>Dynamic Builders Trading</t>
  </si>
  <si>
    <t>C00000041</t>
  </si>
  <si>
    <t>Airebus Sdn Bhd</t>
  </si>
  <si>
    <t>INV00000562</t>
  </si>
  <si>
    <t>INV00000563</t>
  </si>
  <si>
    <t>INV00000564</t>
  </si>
  <si>
    <t>1/7/2023</t>
  </si>
  <si>
    <t>INV00000565</t>
  </si>
  <si>
    <t>INV00000566</t>
  </si>
  <si>
    <t>INV00000567</t>
  </si>
  <si>
    <t>Transportation fee</t>
  </si>
  <si>
    <t>RM Pigment Paste Riviera Blue B5 (2Kg)</t>
  </si>
  <si>
    <t>INV00000568</t>
  </si>
  <si>
    <t>RM Pigment Light Grey G1 (5kg)</t>
  </si>
  <si>
    <t>INV00000569</t>
  </si>
  <si>
    <t>INV00000570</t>
  </si>
  <si>
    <t>INV00000571</t>
  </si>
  <si>
    <t>INV00000572</t>
  </si>
  <si>
    <t>INV00000573</t>
  </si>
  <si>
    <t>15/7/2023</t>
  </si>
  <si>
    <t>INV00000574</t>
  </si>
  <si>
    <t>INV00000575</t>
  </si>
  <si>
    <t>18/7/2023</t>
  </si>
  <si>
    <t>INV00000576</t>
  </si>
  <si>
    <t>INV00000577</t>
  </si>
  <si>
    <t>INV00000578</t>
  </si>
  <si>
    <t>INV00000579</t>
  </si>
  <si>
    <t>INV00000580</t>
  </si>
  <si>
    <t>INV00000581</t>
  </si>
  <si>
    <t>INV00000582</t>
  </si>
  <si>
    <t>26/7/2023</t>
  </si>
  <si>
    <t>RA Resin 3317W (220Kg)</t>
  </si>
  <si>
    <t>INV00000583</t>
  </si>
  <si>
    <t>INV00000584</t>
  </si>
  <si>
    <t>INV00000585</t>
  </si>
  <si>
    <t>INV00000586</t>
  </si>
  <si>
    <t>RA Resin 3317AW (220kg)</t>
  </si>
  <si>
    <t>RM CSM 450 GSM 1860mm (54kg)</t>
  </si>
  <si>
    <t>RM CSM 300 GSM 1860mm (54kg)</t>
  </si>
  <si>
    <t>RM Pigment Grey G13 (25kg)</t>
  </si>
  <si>
    <t>RD Brush 3" (12pcs)</t>
  </si>
  <si>
    <t>RD Brush 2" (12pcs)</t>
  </si>
  <si>
    <t>RM Acetone (163kg)</t>
  </si>
  <si>
    <t>RJ Woven Roing 600 1000mm (40kg)</t>
  </si>
  <si>
    <t>RM Accelerator (4kg)</t>
  </si>
  <si>
    <t>INV00000587</t>
  </si>
  <si>
    <t>Trsf 27/6/23 RM3,000.00, Trsf 1/7/23 RM1,133.50(RM740.00)</t>
  </si>
  <si>
    <t>Trsf 1/7/23 RM1,133.50(RM393.50), Trsf 3/7/23 RM5,783.00(RM56.50)</t>
  </si>
  <si>
    <t>Trsf 3/7/23 RM5,783.00(RM225.00)</t>
  </si>
  <si>
    <t>Trsf 3/7/23 RM5,783.00(RM236.00)</t>
  </si>
  <si>
    <t>Trsf 3/7/23 RM5,783.00(RM95.00)</t>
  </si>
  <si>
    <t>Trsf 3/7/23 RM5,783.00(RM62.50)</t>
  </si>
  <si>
    <t>Trsf 3/7/23 RM5,783.00(RM165.00)</t>
  </si>
  <si>
    <t>Trsf 3/7/23 RM5,783.00(RM160.00)</t>
  </si>
  <si>
    <t>Trsf 3/7/23 RM5,783.00(RM3,6520.00)</t>
  </si>
  <si>
    <t>Trsf 3/7/23 RM5,783.00(RM675.00)</t>
  </si>
  <si>
    <t>Trsf 3/7/23 RM5,783.00(RM125.00)</t>
  </si>
  <si>
    <t>Trsf 3/7/23 RM100.00</t>
  </si>
  <si>
    <t>Trsf 16/6/23 RM20,000.00(RM11,093.70), Trsf 1/7/23 RM200.00(RM200.00), Trsf 6/7/23 RM20,000.00(RM4,942.30)</t>
  </si>
  <si>
    <t>Trsf 6/7/23 RM20,000.00(RM10,824.00)</t>
  </si>
  <si>
    <t>Trsf 6/7/23 RM20,000.00(RM4,233.70), Trsf 14/7/23 RM10,000.00(RM6,350.30)</t>
  </si>
  <si>
    <t>#N/A</t>
  </si>
  <si>
    <t>Trsf 14/7/23 RM10,000.00(RM3,649.70), Trsf 26/7/23 RM8,000.00(RM1,550.30)</t>
  </si>
  <si>
    <t>Trsf 26/7/23 RM8,000.00(RM937.50)</t>
  </si>
  <si>
    <t>Trsf 26/7/23 RM8,000.00(RM3,000.00)</t>
  </si>
  <si>
    <t>Trsf 26/7/23 RMRM8,000.00(RM840.00)</t>
  </si>
  <si>
    <t>Trsf 26/7/23 RM8,000.00(RM65.00)</t>
  </si>
  <si>
    <t>Trsf 23/6/23 RM2,000.00(RM154.70), Trsf 24/6/23 RM500.00, Trsf 12/7/23 RM1,000.00(RM187.70)</t>
  </si>
  <si>
    <t>Trsf 12/7/23 RM1,000.00(RM312.50)</t>
  </si>
  <si>
    <t>Trsf 12/7/23 RM1,000.00(RM499.80), Trsf 14/7/23 RM1,000.00(RM125.20)</t>
  </si>
  <si>
    <t>Trsf 14/7/23 RM1,000.00(RM38.00)</t>
  </si>
  <si>
    <t>Trsf 14/7/23 RM1,000.00(RM45.00)</t>
  </si>
  <si>
    <t>Trsf 14/7/23 RM1,000.00(RM200.00)</t>
  </si>
  <si>
    <t>Trsf 14/7/23 RM1,000.00(RM440.00)</t>
  </si>
  <si>
    <t>Cash 7/7/2023 RM7,536.00</t>
  </si>
  <si>
    <t xml:space="preserve">RHB 00679 19/6/23 cleared RM1,500.00, RHB 00680 26/6/23 cleared RM1,500.00, RHB 00681 10/7/23 cleared RM1,292.00(RM872.00) </t>
  </si>
  <si>
    <t xml:space="preserve">RHB 00681 10/7/23 cleared RM1,292.00(RM420.00) </t>
  </si>
  <si>
    <t>Chq PBB 395389, cleared110723 RM2,730.00</t>
  </si>
  <si>
    <t>Chq PBB 395390, cleared270723 RM2,475.00</t>
  </si>
  <si>
    <t>MBB 014962 cleared 200723 RM11,760.30</t>
  </si>
  <si>
    <t>MBB 015039 cleared 110723 RM144.00</t>
  </si>
  <si>
    <t>MBB 014972 cleared 220623 RM390.00</t>
  </si>
  <si>
    <t>HLB017358Cleared20/7/23-RM1,620.00</t>
  </si>
  <si>
    <t>HLB016115Cleared22/2/23-RM10,824.00</t>
  </si>
  <si>
    <t>Trsf 25/7/23 RM405.00</t>
  </si>
  <si>
    <t>Trsf 31/7/23 RM13,297.50</t>
  </si>
  <si>
    <t>Cheque MBB 852007, cleared 31/7/23 RM20,583.40</t>
  </si>
  <si>
    <t>Aumada Energy &amp; Technologies (M) Sdn Bhd Total</t>
  </si>
  <si>
    <t>Bestway Bina Sdn Bhd Total</t>
  </si>
  <si>
    <t>INV00000588</t>
  </si>
  <si>
    <t>INV00000589</t>
  </si>
  <si>
    <t xml:space="preserve">RM Pigment Super White (5Kg) </t>
  </si>
  <si>
    <t>INV00000590</t>
  </si>
  <si>
    <t>INV00000591</t>
  </si>
  <si>
    <t>RA CSM 450 1040mm(W) (30Kg)</t>
  </si>
  <si>
    <t>INV00000592</t>
  </si>
  <si>
    <t>INV00000593</t>
  </si>
  <si>
    <t>INV00000594</t>
  </si>
  <si>
    <t>RM NPG Gelcoat 9319-H (25kg)</t>
  </si>
  <si>
    <t>RM NPG Gelcoat 9319-H (22kg)</t>
  </si>
  <si>
    <t xml:space="preserve">RM Pigment Super White (5kg) High viscosity </t>
  </si>
  <si>
    <t>RM Pigment Super White (5kg) High viscosity FOC sample</t>
  </si>
  <si>
    <t>INV00000595</t>
  </si>
  <si>
    <t>INV00000596</t>
  </si>
  <si>
    <t>INV00000597</t>
  </si>
  <si>
    <t>INV00000598</t>
  </si>
  <si>
    <t>INV00000599</t>
  </si>
  <si>
    <t>INV00000600</t>
  </si>
  <si>
    <t>INV00000601</t>
  </si>
  <si>
    <t>INV00000602</t>
  </si>
  <si>
    <t>INV00000603</t>
  </si>
  <si>
    <t>INV00000604</t>
  </si>
  <si>
    <t>INV00000605</t>
  </si>
  <si>
    <t>15/8/2023</t>
  </si>
  <si>
    <t>INV00000606</t>
  </si>
  <si>
    <t>RJ Woven Roving E-600gm 1000mm (40g)</t>
  </si>
  <si>
    <t>RM Pigment Super White W2 (5kg)</t>
  </si>
  <si>
    <t>INV00000607</t>
  </si>
  <si>
    <t>INV00000608</t>
  </si>
  <si>
    <t>INV00000609</t>
  </si>
  <si>
    <t>INV00000610</t>
  </si>
  <si>
    <t>INV00000611</t>
  </si>
  <si>
    <t>INV00000612</t>
  </si>
  <si>
    <t>INV00000613</t>
  </si>
  <si>
    <t>INV00000614</t>
  </si>
  <si>
    <t>INV00000615</t>
  </si>
  <si>
    <t>INV00000616</t>
  </si>
  <si>
    <t>INV00000617</t>
  </si>
  <si>
    <t>INV00000618</t>
  </si>
  <si>
    <t>RA CSM 300 1040mm(W) (30Kg)</t>
  </si>
  <si>
    <t>INV00000619</t>
  </si>
  <si>
    <t>INV00000620</t>
  </si>
  <si>
    <t>INV00000621</t>
  </si>
  <si>
    <t>INV00000622</t>
  </si>
  <si>
    <t>Trsf 14/7/23 RM1,000.00(RM151.80), 16/7/23 RM1,000.00(RM1,000.00), 17/7/23 RM1,000.00(RM1,000.00), 26/7/23 RM1,000.00(RM1,000.00), 3/8/23 RM1,550.00(RM456.20)</t>
  </si>
  <si>
    <t>Trsf 3/8/23 RM1,550.00(RM842.40)</t>
  </si>
  <si>
    <t>Trsf 3/8/23 RM1,550.00(RM105.40)</t>
  </si>
  <si>
    <t>Trsf 3/8/23 RM1,550.00(RM146.40), 14/8/23 RM1,500.00(RM303.60)</t>
  </si>
  <si>
    <t>Trsf 14/8/23 RM1,500.00(RM440.00)</t>
  </si>
  <si>
    <t>Trsf 14/8/23 RM1,500.00(RM187.50)</t>
  </si>
  <si>
    <t>Cash 4/8/23 RM4,386.50</t>
  </si>
  <si>
    <t>Cash 10/8/23 RM1,088.00</t>
  </si>
  <si>
    <t>Cash 19/8/23 RM2,878.50</t>
  </si>
  <si>
    <t>Chq HL 021424 dd 10/8/23 RM5,098.40</t>
  </si>
  <si>
    <r>
      <rPr>
        <sz val="12"/>
        <rFont val="Calibri"/>
        <family val="2"/>
        <scheme val="minor"/>
      </rPr>
      <t>Trsf 13/7/23 RM1,400.00</t>
    </r>
    <r>
      <rPr>
        <sz val="12"/>
        <color rgb="FFFF0000"/>
        <rFont val="Calibri"/>
        <family val="2"/>
        <scheme val="minor"/>
      </rPr>
      <t xml:space="preserve"> (Inv 570 overpaid RM10.00 - deducted Inv 588)</t>
    </r>
    <r>
      <rPr>
        <b/>
        <i/>
        <sz val="12"/>
        <color rgb="FFC00000"/>
        <rFont val="Calibri"/>
        <family val="2"/>
        <scheme val="minor"/>
      </rPr>
      <t xml:space="preserve"> refer line 1936</t>
    </r>
  </si>
  <si>
    <r>
      <rPr>
        <sz val="12"/>
        <rFont val="Calibri"/>
        <family val="2"/>
        <scheme val="minor"/>
      </rPr>
      <t>Trsf 18/7/23 RM5,673.00</t>
    </r>
    <r>
      <rPr>
        <sz val="12"/>
        <color rgb="FFFF0000"/>
        <rFont val="Calibri"/>
        <family val="2"/>
        <scheme val="minor"/>
      </rPr>
      <t xml:space="preserve"> (Inv 573 overpaid RM100.00 - deducted Inv 588) </t>
    </r>
    <r>
      <rPr>
        <b/>
        <i/>
        <sz val="12"/>
        <color rgb="FFC00000"/>
        <rFont val="Calibri"/>
        <family val="2"/>
        <scheme val="minor"/>
      </rPr>
      <t>refer line 1936</t>
    </r>
  </si>
  <si>
    <t>Trsf 11/8/23 RM1,000.00 (RM225.00)</t>
  </si>
  <si>
    <t>Trsf 11/8/23 RM1,000.00 (RM160.00)</t>
  </si>
  <si>
    <t>Trsf 23/8/23 RM4,000.00 (RM150.00)</t>
  </si>
  <si>
    <t>Trsf 23/8/23 RM4,000.00 (RM834.00)</t>
  </si>
  <si>
    <t>Trsf 27/8/23 RM4,000.00 (RM876.00)</t>
  </si>
  <si>
    <t>Trsf 27/8/23 RM4,000.00 (RM1,095.00)</t>
  </si>
  <si>
    <t>Trsf 27/8/23 RM4,000.00 (RM708.00)</t>
  </si>
  <si>
    <t>Trsf 14/8/23 RM2,382.50</t>
  </si>
  <si>
    <t>MBB 015063 cleared 21/8/23 RM11,342.50</t>
  </si>
  <si>
    <t>MBB 015124 cleared 21/8/23 RM565.20</t>
  </si>
  <si>
    <t>Chq PBB 395391, cleared21/08/23 RM2,475.00</t>
  </si>
  <si>
    <t>Trsf 24/8/23 RM11,813.50</t>
  </si>
  <si>
    <t>Trsf 26/7/23 RM8,000.00(RM1,607.20), Trsf 27/7/23 RM7,310.00(RM7,310.00), Trsf 4/8/23 RM5,858.00(RM3,710.80)</t>
  </si>
  <si>
    <t>Trsf 15/8/23 RM5,552.00(RM420.00)</t>
  </si>
  <si>
    <t>Trsf 4/8/23 RM5,858.00(RM2,147.20), Trsf 7/8/23 RM6,110.00(RM2,892.80)</t>
  </si>
  <si>
    <t>Trsf 7/8/23 RM6,110.00(RM2,340.00)</t>
  </si>
  <si>
    <t>Trsf 7/8/23 RM6,110.00(RM312.50)</t>
  </si>
  <si>
    <t>Trsf 7/8/23 RM6,110.00(RM564.70), Trsf 15/8/23 RM5,552.00(RM435.30)</t>
  </si>
  <si>
    <t xml:space="preserve">Trsf 15/8/23 RM5,552.00(RM4,696.70), Trsf 23/8/23 RM9,000.00(RM9,000.00), Trsf 29/8/23 RM7,000.00(RM3,683.30), </t>
  </si>
  <si>
    <t>Trsf 29/8/23 RM7,000.00(RM3,316.70), Trsf 30/8/23 RM5,500.00(RM3,703.30)</t>
  </si>
  <si>
    <t>Trsf 24/7/23 RM4,940.00(RM3,652.00)</t>
  </si>
  <si>
    <t>Trsf 24/7/23 RM4,940.00(RM675.00)</t>
  </si>
  <si>
    <t>Trsf 24/7/23 RM4,940.00(236.00)</t>
  </si>
  <si>
    <t>Trsf 24/7/23 RM4,940.00(RM190.00)</t>
  </si>
  <si>
    <t>Trsf 24/7/23 RM4,940.00(RM187.00), Trsf 11/8/23 RM1,000.00 (RM0.50)</t>
  </si>
  <si>
    <r>
      <rPr>
        <sz val="12"/>
        <color rgb="FFC00000"/>
        <rFont val="Calibri"/>
        <family val="2"/>
        <scheme val="minor"/>
      </rPr>
      <t>Trsf 9/6/23 Inv542 overpayment RM0.20, Trsf 13/7/23 Inv570 overpayment RM10.00,  Trsf 18/7/23 Inv573 overpayment RM100.00,</t>
    </r>
    <r>
      <rPr>
        <sz val="12"/>
        <color theme="1"/>
        <rFont val="Calibri"/>
        <family val="2"/>
        <scheme val="minor"/>
      </rPr>
      <t xml:space="preserve"> Trsf 11/8/23 RM1,000.00 (RM309.80)</t>
    </r>
  </si>
  <si>
    <t>Trsf 11/8/23 RM1,000.00 (RM79.70), Trsf 23/8/23 RM4,000.00 (RM615.30)</t>
  </si>
  <si>
    <t>Trsf 23/8/23 RM4,000.00 (RM2,400.70), Trsf 27/8/23 RM4,000.00 (RM1,075.30)</t>
  </si>
  <si>
    <t>INV00000623</t>
  </si>
  <si>
    <t>INV00000624</t>
  </si>
  <si>
    <t>1/9/2023</t>
  </si>
  <si>
    <t>INV00000625</t>
  </si>
  <si>
    <t>INV00000626</t>
  </si>
  <si>
    <t>INV00000627</t>
  </si>
  <si>
    <t>INV00000628</t>
  </si>
  <si>
    <t>INV00000629</t>
  </si>
  <si>
    <t>INV00000630</t>
  </si>
  <si>
    <t>INV00000631</t>
  </si>
  <si>
    <t>RM Pigment Super White W2HV (5Kg)</t>
  </si>
  <si>
    <t>INV00000632</t>
  </si>
  <si>
    <t>INV00000633</t>
  </si>
  <si>
    <t>INV00000634</t>
  </si>
  <si>
    <t>INV00000635</t>
  </si>
  <si>
    <t>INV00000636</t>
  </si>
  <si>
    <t>INV00000637</t>
  </si>
  <si>
    <t>INV00000638</t>
  </si>
  <si>
    <t>RA Resin 3338W (220Kg)</t>
  </si>
  <si>
    <t xml:space="preserve">RM Paint Roller 4" </t>
  </si>
  <si>
    <t>INV00000639</t>
  </si>
  <si>
    <t>INV00000640</t>
  </si>
  <si>
    <t>INV00000641</t>
  </si>
  <si>
    <t>INV00000642</t>
  </si>
  <si>
    <t>INV00000643</t>
  </si>
  <si>
    <t>INV00000644</t>
  </si>
  <si>
    <t>INV00000645</t>
  </si>
  <si>
    <t>INV00000646</t>
  </si>
  <si>
    <t>INV00000647</t>
  </si>
  <si>
    <t>INV00000648</t>
  </si>
  <si>
    <t>RM VE Resin 901-3 (200Kg)</t>
  </si>
  <si>
    <t>RM Pigment Riviera Blue B5 (5kg)</t>
  </si>
  <si>
    <t>RM Pigment Paste Light Grey G1 (5kg)</t>
  </si>
  <si>
    <t>INV00000649</t>
  </si>
  <si>
    <t>INV00000650</t>
  </si>
  <si>
    <t>INV00000651</t>
  </si>
  <si>
    <t>RA CSM 450 64m(L) X 1860mm(W) (54kg)</t>
  </si>
  <si>
    <t>INV00000652</t>
  </si>
  <si>
    <t>INV00000653</t>
  </si>
  <si>
    <t>22/9/2023</t>
  </si>
  <si>
    <t>INV00000654</t>
  </si>
  <si>
    <t>RM 800g/450g 1250mm (50Kg)</t>
  </si>
  <si>
    <t>RJ Woven Roving E-800gm 1120mm (45g)</t>
  </si>
  <si>
    <t>INV00000655</t>
  </si>
  <si>
    <t>INV00000656</t>
  </si>
  <si>
    <t>INV00000657</t>
  </si>
  <si>
    <t>RA Woven Roving E-600gm 1120mm (45Kg)</t>
  </si>
  <si>
    <t>INV00000658</t>
  </si>
  <si>
    <t>INV00000659</t>
  </si>
  <si>
    <t>INV00000660</t>
  </si>
  <si>
    <t>INV00000661</t>
  </si>
  <si>
    <t>Trsf 30/8/23 RM5,500.00(RM1,796.70), Trsf 1/9/23 RM6,200.00(RM2,298.30)</t>
  </si>
  <si>
    <t>Trsf 1/9/23 RM6,200.00(RM625.00)</t>
  </si>
  <si>
    <t>Trsf 1/9/23 RM6,200.00(RM380.00)</t>
  </si>
  <si>
    <t>Trsf 1/9/23 RM6,200.00(RM2,000.00)</t>
  </si>
  <si>
    <t>Trsf 1/9/23 RM6,200.00(RM896.70), Trsf 11/9/23 RM6,000.00(RM4,317.30)</t>
  </si>
  <si>
    <t>Trsf 11/9/23 RM6,000.00(RM1,682.70), Trsf 12/9/23 RM5,500.00(RM657.30)</t>
  </si>
  <si>
    <t>Trsf 12/9/23 RM5,500.00(RM1,092.00)</t>
  </si>
  <si>
    <t>Trsf 12/9/23 RM5,500.00(RM380.00)</t>
  </si>
  <si>
    <t>Trsf 12/9/23 RM5,500.00(RM187.50)</t>
  </si>
  <si>
    <t>Trsf 12/9/23 RM5,500.00(RM800.00)</t>
  </si>
  <si>
    <t>Trsf 12/9/23 RM5,500.00(RM2,383.20), Trsf 15/9/23 RM5,800.00(RM5,800.00), Trsf 21/9/23 RM6,700.00(RM506.80)</t>
  </si>
  <si>
    <t>Trsf 21/9/23 RM6,700.00(RM3,510.00)</t>
  </si>
  <si>
    <t>Trsf 21/9/23 RM6,700.00(RM1,638.00)</t>
  </si>
  <si>
    <t>Trsf 21/9/23 RM6,700.00(RM1,000.00)</t>
  </si>
  <si>
    <t>Trsf 27/9/23 RM23,000.00(RM8.690.00)</t>
  </si>
  <si>
    <t>Trsf 27/9/23 RM23,000.00(RM3,510.00)</t>
  </si>
  <si>
    <t>Trsf 27/9/23 RM23,000.00(RM1,638.00)</t>
  </si>
  <si>
    <t>Trsf 27/9/23 RM23,000.00(RM312.50)</t>
  </si>
  <si>
    <t>Trsf 21/9/23 RM6,700.00(RM45.20), Trsf 27/9/23 RM23,000.00(RM267.30)</t>
  </si>
  <si>
    <t xml:space="preserve">Trsf 27/9/23 RM23,000.00(RM420.00) </t>
  </si>
  <si>
    <t>Trsf 27/8/23 RM4,000.00 (RM245.70), Trsf 1/9/23 RM4,000.00(39.30)</t>
  </si>
  <si>
    <t>Trsf 1/9/23 RM4,000.00(RM187.50)</t>
  </si>
  <si>
    <t>Trsf 1/9/23 RM4,000.00(RM100.00)</t>
  </si>
  <si>
    <t>Trsf 1/9/23 RM4,000.00(RM160.00)</t>
  </si>
  <si>
    <t>Trsf 1/9/23 RM4,000.00(RM165.00)</t>
  </si>
  <si>
    <t>Trsf 1/9/23 RM4,000.00(RM1,738.00)</t>
  </si>
  <si>
    <t>Trsf 1/9/23 RM4,000.00(RM1,610.20), Trsf 7/9/23 RM1,100.00(RM127.80)</t>
  </si>
  <si>
    <t>Trsf 7/9/23 RM1,100.00(RM472.00)</t>
  </si>
  <si>
    <t>Trsf 7/9/23 RM1,100.00(RM599.80), Trsf 13/9/23 RM8,000.00(RM2,876.20)</t>
  </si>
  <si>
    <t>Trsf 13/9/23 RM8,000.00(RM438.00)</t>
  </si>
  <si>
    <t>Trsf 13/9/23 RM8,000.00(RM472.00)</t>
  </si>
  <si>
    <t>Trsf 13/9/23 RM8,000.00(RM190.00)</t>
  </si>
  <si>
    <t>Trsf 13/9/23 RM8,000.00(RM125.00)</t>
  </si>
  <si>
    <t>Trsf 13/9/23 RM8,000.00(RM420.00)</t>
  </si>
  <si>
    <t>Trsf 13/9/23 RM8,000.00(RM160.00)</t>
  </si>
  <si>
    <t>Trsf 13/9/23 RM8,000.00(RM100.00)</t>
  </si>
  <si>
    <t>Trsf 13/9/23 RM8,000.00(RM2,224.00)</t>
  </si>
  <si>
    <t>Trsf 13/9/23 RM8,000.00(RM994.80), Trsf 25/9/23 RM2,650.00(RM743.20)</t>
  </si>
  <si>
    <t>Trsf 25/9/23 RM2,650.00(RM62.50)</t>
  </si>
  <si>
    <t>Trsf 25/9/23 RM2,650.00(RM1,738.00)</t>
  </si>
  <si>
    <t>Trsf 14/8/23 RM1,500.00(RM568.90), Trsf 26/8/23 RM1,000.00(RM1,000.00), Trsf 1/9/23 RM1,000.00(RM1,000.00), Trsf 5/9/23 RM1,000.00(RM1,000.00), Trsf 5/9/23 RM1,000.00(39.10)</t>
  </si>
  <si>
    <t>Trsf 5/9/23 RM1,000.00(RM842.40)</t>
  </si>
  <si>
    <t>Trsf 5/9/23 RM1,000.00(RM118.50), Trsf 8/9/23 RM500.00(RM69.00)</t>
  </si>
  <si>
    <t>Trsf 8/9/23 RM500.00(RM150.00)</t>
  </si>
  <si>
    <t>Trsf 8/9/23 RM500.00(RM160.00)</t>
  </si>
  <si>
    <t>Cash 6/9/23 RM6,079.50</t>
  </si>
  <si>
    <t>Cash 15/9/23 RM8,087.00</t>
  </si>
  <si>
    <t>Cash 25/9/23 RM5,264.00</t>
  </si>
  <si>
    <t>Trsf 26/9/23 RM13,457.00</t>
  </si>
  <si>
    <t>RHB 000720 5/9/23 cleared RM1,000.00, RHB 000717 12/9/23 cleared RM1,000.00, RHB 000718 19/9/23 cleared RM1,000.00, RHB 000719 25/9/23 cleared RM960.00</t>
  </si>
  <si>
    <t>Trsf 11/9/23 RM2,126.00</t>
  </si>
  <si>
    <t>Cash 13/9/23 RM48.00</t>
  </si>
  <si>
    <t>Chq PBB 003004, cleared07/09/23 RM2,847.50</t>
  </si>
  <si>
    <t>Cheque MBB 852051, cleared 7/9/23 RM15,781.40</t>
  </si>
  <si>
    <t>Cheque MBB 852073, cleared 21/9/23 RM560.00</t>
  </si>
  <si>
    <t>MBB 015164 cleared 25/9/23 RM10,969.50</t>
  </si>
  <si>
    <t>Trsf 16/6/23 RM1,500.00(RM946.00), Trsf 15/9/23 RM5,000.00(RM990.00)</t>
  </si>
  <si>
    <t>Trsf 15/9/23 RM5,000.00(RM475.20)</t>
  </si>
  <si>
    <t>Trsf 15/9/23 RM5,000.00(RM1,892.00)</t>
  </si>
  <si>
    <t>Dynamic Builders Trading Total</t>
  </si>
  <si>
    <t>Airebus Sdn Bhd Total</t>
  </si>
  <si>
    <t>Month : As of Sept 2023</t>
  </si>
  <si>
    <t>INV00000662</t>
  </si>
  <si>
    <t>RM Pigment orange (5kg)</t>
  </si>
  <si>
    <t>INV00000663</t>
  </si>
  <si>
    <t>INV00000664</t>
  </si>
  <si>
    <t>INV00000665</t>
  </si>
  <si>
    <t>INV00000666</t>
  </si>
  <si>
    <t>INV00000667</t>
  </si>
  <si>
    <t>5/10/2023</t>
  </si>
  <si>
    <t>INV00000668</t>
  </si>
  <si>
    <t>RM VE Resin 901-3P (200Kg)</t>
  </si>
  <si>
    <t>INV00000669</t>
  </si>
  <si>
    <t>INV00000670</t>
  </si>
  <si>
    <t>INV00000671</t>
  </si>
  <si>
    <t>INV00000672</t>
  </si>
  <si>
    <t>RM Pigment Grey RAL 7038 (25kg)</t>
  </si>
  <si>
    <t>INV00000673</t>
  </si>
  <si>
    <t>11/10/2023</t>
  </si>
  <si>
    <t>INV00000674</t>
  </si>
  <si>
    <t>RA Resin 9509NW (225Kg)</t>
  </si>
  <si>
    <t>INV00000675</t>
  </si>
  <si>
    <t>INV00000676</t>
  </si>
  <si>
    <t>14/10/2023</t>
  </si>
  <si>
    <t>INV00000677</t>
  </si>
  <si>
    <t>INV00000678</t>
  </si>
  <si>
    <t>Welltech (M) Sdn Bhd</t>
  </si>
  <si>
    <t>INV00000679</t>
  </si>
  <si>
    <t>INV00000680</t>
  </si>
  <si>
    <t>C00000042</t>
  </si>
  <si>
    <t>INV00000681</t>
  </si>
  <si>
    <t>INV00000682</t>
  </si>
  <si>
    <t>20/10/2023</t>
  </si>
  <si>
    <t>INV00000683</t>
  </si>
  <si>
    <t>INV00000684</t>
  </si>
  <si>
    <t>INV00000685</t>
  </si>
  <si>
    <t>Cash Hamdan</t>
  </si>
  <si>
    <t>Resin 3338W (20Kg)</t>
  </si>
  <si>
    <t>CSM 450  64m(L) X 1860mm(W) (54kg)</t>
  </si>
  <si>
    <t>Butanox M50 (5kg)</t>
  </si>
  <si>
    <t>Pigment Brown Mahogany (5kg)</t>
  </si>
  <si>
    <t xml:space="preserve">Transport fee </t>
  </si>
  <si>
    <t>INV00000686</t>
  </si>
  <si>
    <t>INV00000687</t>
  </si>
  <si>
    <t>RA Woven Roving E-600gm 1000mm (40Kg)</t>
  </si>
  <si>
    <t>INV00000688</t>
  </si>
  <si>
    <t>INV00000689</t>
  </si>
  <si>
    <t>INV00000690</t>
  </si>
  <si>
    <t>INV00000691</t>
  </si>
  <si>
    <t>INV00000692</t>
  </si>
  <si>
    <t>INV00000693</t>
  </si>
  <si>
    <t>INV00000694</t>
  </si>
  <si>
    <t>Welltech (M) Sdn Bhd Total</t>
  </si>
  <si>
    <t>Cash Hamdan Total</t>
  </si>
  <si>
    <t>Trsf 27/9/23 RM23,000.00(RM8,162.20), Trsf 1/10/23 RM14,500.00(RM527.80)</t>
  </si>
  <si>
    <t>Trsf 1/10/23 RM14,500.00(RM3,510.00)</t>
  </si>
  <si>
    <t>Trsf 1/10/23 RM14,500.00(RM1,365.00)</t>
  </si>
  <si>
    <t>Trsf 1/10/23 RM14,500.00(RM1,000.00)</t>
  </si>
  <si>
    <t xml:space="preserve">Trsf 1/10/23 RM14,500.00(RM8,097.20), Trsf 6/10/23 RM6,400.00(RM592.80) </t>
  </si>
  <si>
    <t xml:space="preserve">Trsf 6/10/23 RM6,400.00(RM702.00) </t>
  </si>
  <si>
    <t xml:space="preserve">Trsf 6/10/23 RM6,400.00(RM1,684.80) </t>
  </si>
  <si>
    <t xml:space="preserve">Trsf 6/10/23 RM6,400.00(RM1,911.00) </t>
  </si>
  <si>
    <t xml:space="preserve">Trsf 6/10/23 RM6,400.00(RM1,000.00) </t>
  </si>
  <si>
    <t xml:space="preserve">Trsf 6/10/23 RM6,400.00(RM250.00) </t>
  </si>
  <si>
    <t>Trsf 6/10/23 RM6,400.00(RM259.40), Trsf 6/10/23 RM610.00(RM120.60)</t>
  </si>
  <si>
    <t>Trsf 6/10/23 RM610.00(RM489.40), Trsf 13/10/23 RM1,025.00(RM1,025.00), Trsf 17/10/23 RM15,000.00(RM3,699.60)</t>
  </si>
  <si>
    <t>Trsf 17/10/23 RM15,000.00(RM684.00)</t>
  </si>
  <si>
    <t>Trsf 17/10/23 RM15,000.00(RM793.80)</t>
  </si>
  <si>
    <t>Trsf 17/10/23 RM15,000.00(RM285.00)</t>
  </si>
  <si>
    <t>Trsf 17/10/23 RM15,000.00(RM105.00)</t>
  </si>
  <si>
    <t>Trsf 17/10/23 RM15,000.00(RM6,952.00)</t>
  </si>
  <si>
    <t>Trsf 17/10/23 RM15,000.00(RM2,480.60), Trsf 20/10/23 RM3,000.00(RM939.40)</t>
  </si>
  <si>
    <t>Trsf 20/10/23 RM3,000.00(RM2,060.60), Trsf 25/10/23 RM8,300.00(56.20)</t>
  </si>
  <si>
    <t>Trsf 25/10/23 RM8,300.00(RM380.00)</t>
  </si>
  <si>
    <t>Trsf 25/10/23 RM8,300.00(RM1,000.00)</t>
  </si>
  <si>
    <t>Trsf 25/10/23 RM8,300.00(RM250.00)</t>
  </si>
  <si>
    <t>Trsf 31/10/23 RM9,000.00(RM3,420.00)</t>
  </si>
  <si>
    <t>Trsf 31/10/23 RM9,000.00(RM2,116.80)</t>
  </si>
  <si>
    <t>Trsf 31/10/23 RM9,000.00(RM1,000.00)</t>
  </si>
  <si>
    <t>Trsf 31/10/23 RM9,000.00(312.50)</t>
  </si>
  <si>
    <t>Trsf 8/9/23 RM500.00(RM121.00), Trsf 2/10/23 RM1,000.00(RM201.50)</t>
  </si>
  <si>
    <t>Trsf 2/10/23 RM1,000.00(RM390.00)</t>
  </si>
  <si>
    <t>Bank Islam 164748 Cleared 4/10/23, RM10,000.00(RM1,059.50)</t>
  </si>
  <si>
    <t>Bank Islam 164748 Cleared 4/10/23, RM10,000.00(RM7,480.00)</t>
  </si>
  <si>
    <t>Bank Islam 164748 Cleared 4/10/23, RM10,000.00(RM1,263.60)</t>
  </si>
  <si>
    <t>Bank Islam 164748 Cleared 4/10/23, RM10,000.00(RM196.90)</t>
  </si>
  <si>
    <t>Trsf 25/10/23 RM8,300.00(RM6,613.80), Trsf 27/10/23 RM1,100.00(RM1,100.00), Trsf 31/10/23 RM9,000.00(RM976.20)</t>
  </si>
  <si>
    <t>MBB 015277 cleared 27/10/23 RM15,616.90(RM10,428.00)</t>
  </si>
  <si>
    <t>MBB 015277 cleared 27/10/23 RM15,616.90(RM2,948.40)</t>
  </si>
  <si>
    <t>MBB 015277 cleared 27/10/23 RM15,616.90(RM288.00)</t>
  </si>
  <si>
    <t>MBB 015277 cleared 27/10/23 RM15,616.90(RM312.50)</t>
  </si>
  <si>
    <t>MBB 015277 cleared 27/10/23 RM15,616.90(RM520.00)</t>
  </si>
  <si>
    <t>MBB 015277 cleared 27/10/23 RM15,616.90(RM930.00)</t>
  </si>
  <si>
    <t>MBB 015277 cleared 27/10/23 RM15,616.90(RM190.00)</t>
  </si>
  <si>
    <t>RHB 000743 20/10/23 Cleared RM1,300.00 (RM255.00)</t>
  </si>
  <si>
    <t>RHB 000743 20/10/23 Cleared RM1,300.00 (RM325.00)</t>
  </si>
  <si>
    <t>RHB 000743 20/10/23 Cleared RM1,300.00 (RM50.00)</t>
  </si>
  <si>
    <t>RHB 000743 20/10/23 Cleared RM1,300.00(RM670.00), RHB 000744 31/10/23 Cleared RM1,420.00(RM1,200.00)</t>
  </si>
  <si>
    <t>RHB 000744 31/10/23 Cleared RM1,420.00(RM220.00)</t>
  </si>
  <si>
    <t>Cash  3/10/23 RM5,258.50</t>
  </si>
  <si>
    <t>Chq PBB 395392, cleared 4/10/23 RM3,240.00</t>
  </si>
  <si>
    <t>Chq PBB 395393, cleared 31/10/23 RM3,078.00</t>
  </si>
  <si>
    <t>Chq PBB 395393, cleared 31/10/23 RM3,078.50</t>
  </si>
  <si>
    <t>Cash deposit 19/10/23 RM4,821.00</t>
  </si>
  <si>
    <t>Cheque MBB 852089, cleared 9/10/23 RM1,612.00</t>
  </si>
  <si>
    <t>Chq HL 022469 dd 20/10/23 RM4,841.20</t>
  </si>
  <si>
    <t>Chq HL 022468 dd 18/10/23 RM4,461.80</t>
  </si>
  <si>
    <t>Trsf 25/10/23 RM3,535.20</t>
  </si>
  <si>
    <t>INV00000695</t>
  </si>
  <si>
    <t>INV00000696</t>
  </si>
  <si>
    <t>INV00000697</t>
  </si>
  <si>
    <t>DO00000698</t>
  </si>
  <si>
    <t>DO00000699</t>
  </si>
  <si>
    <t>DO00000700</t>
  </si>
  <si>
    <t>DO00000701</t>
  </si>
  <si>
    <t>DO00000702</t>
  </si>
  <si>
    <t>RA CSM 450 Jushi 64m(L) 1040mm(W) (37Kg)</t>
  </si>
  <si>
    <t>DO00000703</t>
  </si>
  <si>
    <t>RO CSM 450 Jushi 79m(L) x 1040mm(W) (37Kg)</t>
  </si>
  <si>
    <t>DO00000704</t>
  </si>
  <si>
    <t>DO00000705</t>
  </si>
  <si>
    <t>DO00000706</t>
  </si>
  <si>
    <t>RO CSM 450 Jushi 1040mm(W) (37Kg)</t>
  </si>
  <si>
    <t>DO00000707</t>
  </si>
  <si>
    <t>RO Gelcoat LB988 (22kg)</t>
  </si>
  <si>
    <t>DO00000708</t>
  </si>
  <si>
    <t>DO00000709</t>
  </si>
  <si>
    <t>RO Resin 8213W (225kg)</t>
  </si>
  <si>
    <t>DO00000710</t>
  </si>
  <si>
    <t>DO00000711</t>
  </si>
  <si>
    <t>DO00000712</t>
  </si>
  <si>
    <t>DO00000713</t>
  </si>
  <si>
    <t>DO00000714</t>
  </si>
  <si>
    <t>DO00000715</t>
  </si>
  <si>
    <t>DO00000716</t>
  </si>
  <si>
    <t>DO00000717</t>
  </si>
  <si>
    <t>DO00000718</t>
  </si>
  <si>
    <t>DO00000719</t>
  </si>
  <si>
    <t>DO00000720</t>
  </si>
  <si>
    <t>DO00000721</t>
  </si>
  <si>
    <t>DO00000722</t>
  </si>
  <si>
    <t>DO00000723</t>
  </si>
  <si>
    <t>RO Polymal LB-9888 (22kg)</t>
  </si>
  <si>
    <t>Cheque MBB 852121, cleared 2/11/23 RM3,731.80</t>
  </si>
  <si>
    <t>Trsf 3/11/23 RM1,174.00</t>
  </si>
  <si>
    <t>Trsf 2/10/23 RM1,000.00(RM408.50), 26/10/23 RM2,000.00(RM2,000.00), 3/11/23 RM1,000.00(RM1,000.00), 14/11/23 RM2,300.00(RM243.50)</t>
  </si>
  <si>
    <t>Trsf 14/11/23 RM2,300.00(RM421.20)</t>
  </si>
  <si>
    <t>Trsf 14/11/23 RM2,300.00(RM187.50)</t>
  </si>
  <si>
    <t>Trsf 14/11/23 RM2,300.00(RM420.00)</t>
  </si>
  <si>
    <t>Trsf 14/11/23 RM2,300.00(RM105.00)</t>
  </si>
  <si>
    <t>Trsf 6/11/23 RM19,500.00(RM4.560.00</t>
  </si>
  <si>
    <t>Trsf 6/11/23 RM19,500.00(RM1,587.60)</t>
  </si>
  <si>
    <t>Trsf 6/11/23 RM19,500.00(RM1,008.00)</t>
  </si>
  <si>
    <t>Trsf 6/11/23 RM19,500.00(RM1,000.00)</t>
  </si>
  <si>
    <t>Trsf 6/11/23 RM19,500.00(RM437.50)</t>
  </si>
  <si>
    <t>Trsf 6/11/23 RM19,500.00(RM3,476.00)</t>
  </si>
  <si>
    <t>Trsf 6/11/23 RM19,500.00(RM3,391.40), 15/11/23 RM7,800.00(RM436.60)</t>
  </si>
  <si>
    <t>Trsf 15/11/23 RM7,800.00(RM750.00)</t>
  </si>
  <si>
    <t>Trsf 15/11/23 RM7,800.00(RM6,613.40), 18/11/23 RM3,000.00(RM2,076.60)</t>
  </si>
  <si>
    <t>Trsf 18/11/23 RM3,000.00(RM923.40), 21/11/23 RM3,500.00(EM3,500.00), 24/11/23 RM9,500.00(RM9,500.00), 28/11/23 RM8,500.00(RM3,456.60)</t>
  </si>
  <si>
    <t>Chq PBB 395394, cleared 10/11/23 RM2,947.50</t>
  </si>
  <si>
    <t>Chq PBB 395395, cleared 30/11/23 RM3,137.50</t>
  </si>
  <si>
    <t>Cash 15/11/23 RM5,805.00</t>
  </si>
  <si>
    <t>Cash  17/10/23 RM2,909.00</t>
  </si>
  <si>
    <t>Cash 22/11/23 RM567.60</t>
  </si>
  <si>
    <t>Cash 22/11/23 RM5,844.40</t>
  </si>
  <si>
    <t>MBB 015403 cleared 30/11/23 RM15,463.40(RM8,690.00)</t>
  </si>
  <si>
    <t>MBB 015403 cleared 30/11/23 RM15,463.40(RM2,613.00)</t>
  </si>
  <si>
    <t>MBB 015403 cleared 30/11/23 RM15,463.40(RM842.40)</t>
  </si>
  <si>
    <t>MBB 015403 cleared 30/11/23 RM15,463.40(RM288.00)</t>
  </si>
  <si>
    <t>MBB 015403 cleared 30/11/23 RM15,463.40(RM625.00)</t>
  </si>
  <si>
    <t>MBB 015403 cleared 30/11/23 RM15,463.40(RM260.00)</t>
  </si>
  <si>
    <t>MBB 015403 cleared 30/11/23 RM15,463.40(RM285.00)</t>
  </si>
  <si>
    <t>MBB 015403 cleared 30/11/23 RM15,463.40(RM930.00)</t>
  </si>
  <si>
    <t>DO00000724</t>
  </si>
  <si>
    <t>DO00000725</t>
  </si>
  <si>
    <t>DO00000726</t>
  </si>
  <si>
    <t>DO00000727</t>
  </si>
  <si>
    <t>DO00000728</t>
  </si>
  <si>
    <t>DO00000729</t>
  </si>
  <si>
    <t>DO00000730</t>
  </si>
  <si>
    <t>DO00000731</t>
  </si>
  <si>
    <t>DO00000732</t>
  </si>
  <si>
    <t>DO00000733</t>
  </si>
  <si>
    <t>DO00000734</t>
  </si>
  <si>
    <t>DO00000735</t>
  </si>
  <si>
    <t>DO00000736</t>
  </si>
  <si>
    <t>DO00000737</t>
  </si>
  <si>
    <t>DO00000738</t>
  </si>
  <si>
    <t>DO00000739</t>
  </si>
  <si>
    <t>DO00000740</t>
  </si>
  <si>
    <t>DO00000741</t>
  </si>
  <si>
    <t>DO00000742</t>
  </si>
  <si>
    <t>DO00000743</t>
  </si>
  <si>
    <t>DO00000744</t>
  </si>
  <si>
    <t>DO00000745</t>
  </si>
  <si>
    <t>DO00000746</t>
  </si>
  <si>
    <t>DO00000747</t>
  </si>
  <si>
    <t>DO00000748</t>
  </si>
  <si>
    <t>DO00000749</t>
  </si>
  <si>
    <t>DO00000750</t>
  </si>
  <si>
    <t>DO00000751</t>
  </si>
  <si>
    <t>DO00000752</t>
  </si>
  <si>
    <t>DO00000753</t>
  </si>
  <si>
    <t>DO00000754</t>
  </si>
  <si>
    <t>DO00000755</t>
  </si>
  <si>
    <t>DO00000756</t>
  </si>
  <si>
    <t>DO00000757</t>
  </si>
  <si>
    <t>DO00000758</t>
  </si>
  <si>
    <t>DO00000759</t>
  </si>
  <si>
    <t>DO00000760</t>
  </si>
  <si>
    <t>DO00000761</t>
  </si>
  <si>
    <t>DO00000762</t>
  </si>
  <si>
    <t>DO00000763</t>
  </si>
  <si>
    <t>RO CSM 450 1040mm(W) (37kg)</t>
  </si>
  <si>
    <t>RP Talcum Powder (25Kg)</t>
  </si>
  <si>
    <t>RM TR104 Wax Mould Release</t>
  </si>
  <si>
    <t>RM Pigment Paste Riviera Blue B5 (5Kg)</t>
  </si>
  <si>
    <t>RM CSM 300 1860mm(W) (54Kg)</t>
  </si>
  <si>
    <t>RBD World Wide Sdn Bhd</t>
  </si>
  <si>
    <t>RP Talcum Powder (25kg)</t>
  </si>
  <si>
    <t>RM Sand Wheel 105 X 2 X 16 (30PC)</t>
  </si>
  <si>
    <t>RM PVA (5kg)</t>
  </si>
  <si>
    <t>RM Tissue Mat (250 M2)</t>
  </si>
  <si>
    <t xml:space="preserve">RD Brush 2" </t>
  </si>
  <si>
    <t>Cash - Encik Razak</t>
  </si>
  <si>
    <t>RO CSM 450 Jushi 64m(L) X 1860mm(W) (67kg)</t>
  </si>
  <si>
    <t>RO CSM 450 1860mm(W) (54kg)</t>
  </si>
  <si>
    <t>Transport Charge</t>
  </si>
  <si>
    <t>RO CSM 450 64m(L) X 1860mm(W) (67kg)</t>
  </si>
  <si>
    <t>RO Gelcoat LB9888 (22kg)</t>
  </si>
  <si>
    <t>RM Pigment Chestnut Brown C1 (5kg)</t>
  </si>
  <si>
    <t>C00000043</t>
  </si>
  <si>
    <t>C00000044</t>
  </si>
  <si>
    <t>RBD World Wide Sdn Bhd Total</t>
  </si>
  <si>
    <t>Cash - Encik Razak Total</t>
  </si>
  <si>
    <t>INV00000698</t>
  </si>
  <si>
    <t>INV00000699</t>
  </si>
  <si>
    <t>INV00000700</t>
  </si>
  <si>
    <t>INV00000701</t>
  </si>
  <si>
    <t>INV00000702</t>
  </si>
  <si>
    <t>INV00000703</t>
  </si>
  <si>
    <t>INV00000704</t>
  </si>
  <si>
    <t>INV00000705</t>
  </si>
  <si>
    <t>INV00000706</t>
  </si>
  <si>
    <t>INV00000707</t>
  </si>
  <si>
    <t>INV00000708</t>
  </si>
  <si>
    <t>INV00000709</t>
  </si>
  <si>
    <t>INV00000710</t>
  </si>
  <si>
    <t>INV00000711</t>
  </si>
  <si>
    <t>INV00000712</t>
  </si>
  <si>
    <t>INV00000713</t>
  </si>
  <si>
    <t>INV00000714</t>
  </si>
  <si>
    <t>INV00000715</t>
  </si>
  <si>
    <t>INV00000716</t>
  </si>
  <si>
    <t>INV00000717</t>
  </si>
  <si>
    <t>INV00000718</t>
  </si>
  <si>
    <t>INV00000719</t>
  </si>
  <si>
    <t>INV00000720</t>
  </si>
  <si>
    <t>INV00000721</t>
  </si>
  <si>
    <t>INV00000722</t>
  </si>
  <si>
    <t>INV00000723</t>
  </si>
  <si>
    <t>INV00000724</t>
  </si>
  <si>
    <t>INV00000725</t>
  </si>
  <si>
    <t>INV00000726</t>
  </si>
  <si>
    <t>INV00000727</t>
  </si>
  <si>
    <t>INV00000728</t>
  </si>
  <si>
    <t>INV00000729</t>
  </si>
  <si>
    <t>INV00000730</t>
  </si>
  <si>
    <t>INV00000731</t>
  </si>
  <si>
    <t>INV00000732</t>
  </si>
  <si>
    <t>INV00000733</t>
  </si>
  <si>
    <t>INV00000734</t>
  </si>
  <si>
    <t>INV00000735</t>
  </si>
  <si>
    <t>INV00000736</t>
  </si>
  <si>
    <t>INV00000737</t>
  </si>
  <si>
    <t>INV00000738</t>
  </si>
  <si>
    <t>INV00000739</t>
  </si>
  <si>
    <t>INV00000740</t>
  </si>
  <si>
    <t>INV00000741</t>
  </si>
  <si>
    <t>INV00000742</t>
  </si>
  <si>
    <t>INV00000743</t>
  </si>
  <si>
    <t>INV00000744</t>
  </si>
  <si>
    <t>INV00000745</t>
  </si>
  <si>
    <t>INV00000746</t>
  </si>
  <si>
    <t>INV00000747</t>
  </si>
  <si>
    <t>INV00000748</t>
  </si>
  <si>
    <t>INV00000749</t>
  </si>
  <si>
    <t>INV00000750</t>
  </si>
  <si>
    <t>INV00000751</t>
  </si>
  <si>
    <t>INV00000752</t>
  </si>
  <si>
    <t>INV00000753</t>
  </si>
  <si>
    <t>INV00000754</t>
  </si>
  <si>
    <t>INV00000755</t>
  </si>
  <si>
    <t>INV00000756</t>
  </si>
  <si>
    <t>INV00000757</t>
  </si>
  <si>
    <t>INV00000758</t>
  </si>
  <si>
    <t>INV00000759</t>
  </si>
  <si>
    <t>INV00000760</t>
  </si>
  <si>
    <t>INV00000761</t>
  </si>
  <si>
    <t>INV00000762</t>
  </si>
  <si>
    <t>INV00000763</t>
  </si>
  <si>
    <t>Trsf 01/12/23 RM237.00</t>
  </si>
  <si>
    <t>Cash 03/12/23 RM5,479.90</t>
  </si>
  <si>
    <t>Cash 19/12/23 RM5,955.90</t>
  </si>
  <si>
    <t>Trsf 14/11/23 RM2,300.00(RM922.80), 21/11/23 RM500.00(RM500.00), 29/11/23 RM1,350.00(RM1,350.00), 8/12/23 RM2,000.00(RM879.20)</t>
  </si>
  <si>
    <t>Trsf 8/12/23 RM2,000.00(RM1,045.20)</t>
  </si>
  <si>
    <t>Trsf 8/12/23 RM2,000.00(RM75.60),  19/12/23 RM3,500.00(RM111.90)</t>
  </si>
  <si>
    <t>Trsf 19/12/23 RM3,500.00(RM780.00)</t>
  </si>
  <si>
    <t>Trsf 19/12/23 RM3,500.00(RM210.00)</t>
  </si>
  <si>
    <t>Trsf 19/12/23 RM3,500.00(RM150.00)</t>
  </si>
  <si>
    <t>Trsf 19/12/23 RM3,500.00(RM260.00)</t>
  </si>
  <si>
    <t>Trsf 19/12/23 RM3,500.00(RM1,988.10)</t>
  </si>
  <si>
    <t>Trsf 28/11/23 RM8,500.00(RM5,043.40), Trsf 1/12/23 RM5,000.00(RM5,000.00), Trsf 4/12/23 RM12,000.000(RM216.60)</t>
  </si>
  <si>
    <t>Trsf 4/12/23 RM12,000.000(RM5,040.00)</t>
  </si>
  <si>
    <t>Trsf 4/12/23 RM12,000.000(RM380.00)</t>
  </si>
  <si>
    <t>Trsf 4/12/23 RM12,000.000(RM2,000.00)</t>
  </si>
  <si>
    <t>Trsf 4/12/23 RM12,000.000(RM187.50)</t>
  </si>
  <si>
    <t>Trsf 4/12/23 RM12,000.000(RM1,000.00)</t>
  </si>
  <si>
    <t>Trsf 4/12/23 RM12,000.000(RM937.50)</t>
  </si>
  <si>
    <t>Trsf 4/12/23 RM12,000.000(RM1,858.40), 12/12/23 RM12,000.00(RM12,000.00), 15/12/23 RM7,000.00(RM3,521.60)</t>
  </si>
  <si>
    <t>Trsf 15/12/23 RM7,000.00(RM3,478.40), 18/12/23 RM11,000.00(RM5,211.60)</t>
  </si>
  <si>
    <t>Trsf 18/12/23 RM11,000.00(RM5,788.40), 23/12/23 RM12,300.00(RM3,331.60)</t>
  </si>
  <si>
    <t>)</t>
  </si>
  <si>
    <t>Trsf 23/12/23 RM12,300.00(RM5,040.OO)</t>
  </si>
  <si>
    <t>Trsf 23/12/23 RM12,300.00(RM380.00)</t>
  </si>
  <si>
    <t>Trsf 23/12/23 RM12,300.00(RM2,000.00)</t>
  </si>
  <si>
    <t>Trsf 23/12/23 RM12,300.00(RM95.00)</t>
  </si>
  <si>
    <t>Trsf 23/12/23 RM12,300.00(RM105.00)</t>
  </si>
  <si>
    <t>Trsf 23/12/23 RM12,300.00(RM625.00)</t>
  </si>
  <si>
    <t>Trsf 15/9/23 RM5,000.00(RM1,642.80), Trsf 7/12/23 RM4,100.00(RM249.20)</t>
  </si>
  <si>
    <t>Trsf 7/12/23 RM4,100.00(RM110.00)</t>
  </si>
  <si>
    <t>Trsf 7/12/23 RM4,100.00(RM258.00)</t>
  </si>
  <si>
    <t>Trsf 7/12/23 RM4,100.00(RM100.00)</t>
  </si>
  <si>
    <t>Trsf 7/12/23 RM4,100.00(RM1,738.00)</t>
  </si>
  <si>
    <t>Trsf 7/12/23 RM4,100.00(RM1,644.80)</t>
  </si>
  <si>
    <t>Cash deposit 12/12/23 RM5,067.00</t>
  </si>
  <si>
    <t xml:space="preserve">Cash deposit 12/12/23 RM5,067.00 </t>
  </si>
  <si>
    <r>
      <t xml:space="preserve">Cash deposit 12/12/23 RM5,067.00(RM421.00) </t>
    </r>
    <r>
      <rPr>
        <b/>
        <sz val="12"/>
        <color rgb="FFFF0000"/>
        <rFont val="Calibri"/>
        <family val="2"/>
        <scheme val="minor"/>
      </rPr>
      <t>underpaid -RM0.20</t>
    </r>
  </si>
  <si>
    <t>Chq PBB 395396, cleared 12/12/23 RM1,965.00</t>
  </si>
  <si>
    <t>Chq PBB 395397, cleared 18/12/23 RM2,475.00</t>
  </si>
  <si>
    <t>Trsf 21/12/23 RM4,728.00</t>
  </si>
  <si>
    <t>Trsf 19/12/23 RM2,131,00</t>
  </si>
  <si>
    <t>Trsf 19/12/23 RM4,700.00</t>
  </si>
  <si>
    <t>Chq HL 023618 dd 20/12/23 RM4,104.00</t>
  </si>
  <si>
    <t>Trsf 21/12/23 RM25,064.50</t>
  </si>
  <si>
    <t>Trsf 22/12/23 RM771.30</t>
  </si>
  <si>
    <t>Trsf 28/12/23 RM175.00</t>
  </si>
  <si>
    <t>Chq PBB 395398, cleared 27/12/23 RM2,475.00</t>
  </si>
  <si>
    <t>Trsf 25/9/23 RM2,650.00(RM6.70), Trsf 27/12/23 RM2,000.00(RM1,731.30)</t>
  </si>
  <si>
    <t>Trsf 27/12/23 RM2,000.00(RM219.00)</t>
  </si>
  <si>
    <t>Trsf 27/12/23 RM2,000.00(RM49.70)</t>
  </si>
  <si>
    <t>Chq PBB 395399, cleared 29/12/23 RM2,475.00</t>
  </si>
  <si>
    <t>Trsf 15/12/23 RM5,450.80</t>
  </si>
  <si>
    <t>Refer Cash Book 31/12/23 - Total collection = "C" &amp; "C-Trsp" &amp; C-CN-RM1,391.00</t>
  </si>
  <si>
    <t>CN15/12/2023</t>
  </si>
  <si>
    <t>Overbill</t>
  </si>
  <si>
    <t>CN19122023</t>
  </si>
  <si>
    <t>CN15/12/2023 for Inv 742</t>
  </si>
  <si>
    <t>CN19122023 for Inv 750</t>
  </si>
  <si>
    <t>INV00000764</t>
  </si>
  <si>
    <t>INV00000765</t>
  </si>
  <si>
    <t>INV00000766</t>
  </si>
  <si>
    <t>Kelnico Sdn Bhd</t>
  </si>
  <si>
    <t>INV00000767</t>
  </si>
  <si>
    <t>INV00000768</t>
  </si>
  <si>
    <t>INV00000769</t>
  </si>
  <si>
    <t>INV00000770</t>
  </si>
  <si>
    <t>INV00000771</t>
  </si>
  <si>
    <t>INV00000772</t>
  </si>
  <si>
    <t>INV00000773</t>
  </si>
  <si>
    <t>RA CSM 450 1040mm(W) (37Kg)</t>
  </si>
  <si>
    <t>INV00000774</t>
  </si>
  <si>
    <t>INV00000775</t>
  </si>
  <si>
    <t>INV00000776</t>
  </si>
  <si>
    <t>INV00000777</t>
  </si>
  <si>
    <t>Berkat Fibreglass</t>
  </si>
  <si>
    <t>RF Resin 3317AW (220kg)</t>
  </si>
  <si>
    <t>INV00000778</t>
  </si>
  <si>
    <t>INV00000779</t>
  </si>
  <si>
    <t>INV00000780</t>
  </si>
  <si>
    <t>INV00000781</t>
  </si>
  <si>
    <t>INV00000782</t>
  </si>
  <si>
    <t>Resin 3338W (220kg)</t>
  </si>
  <si>
    <t>CSM 450 1040mm(W) (30kg)</t>
  </si>
  <si>
    <t>Woven Roving E-600gm 1000mm (40Kg)</t>
  </si>
  <si>
    <t>Honeycomb 12mm - 1220(W) x 2440(L)</t>
  </si>
  <si>
    <t>Pigment Red (5kg)</t>
  </si>
  <si>
    <t>Gelcoat LB988 (22kg)</t>
  </si>
  <si>
    <t>INV00000783</t>
  </si>
  <si>
    <t>INV00000784</t>
  </si>
  <si>
    <t>INV00000785</t>
  </si>
  <si>
    <t>INV00000786</t>
  </si>
  <si>
    <t>INV00000787</t>
  </si>
  <si>
    <t>C00000045</t>
  </si>
  <si>
    <t>C00000046</t>
  </si>
  <si>
    <t>Chq PBB 003001, cleared15/1/24 RM2,731.50</t>
  </si>
  <si>
    <t>Chq PBB 395400, cleared 5/1/24 RM2,668.00</t>
  </si>
  <si>
    <t>Cash 10/1/24 RM2,236.00</t>
  </si>
  <si>
    <t>Cash 26/1/24 RM3,752.30.00</t>
  </si>
  <si>
    <t>Trsf 23/12/23 RM12,300.00(RM723.40), 28/12/23 RM13,000.00(RM13,000.00), 5/1/24 RM15,000.00(RM3,656.60)</t>
  </si>
  <si>
    <t>Trsf 5/1/24 RM15,000.00(RM6,384.00)</t>
  </si>
  <si>
    <t>Trsf 5/1/24 RM15,000.00(RM3,024.00)</t>
  </si>
  <si>
    <t>Trsf 5/1/24 RM15,000.00(RM380.00)</t>
  </si>
  <si>
    <t>Trsf 5/1/24 RM15,000.00(RM1,555.40), 19/1/24 RM15,700.00(RM444.60)</t>
  </si>
  <si>
    <t>Trsf 19/1/24 RM15,700.00(RM312.50)</t>
  </si>
  <si>
    <t>Trsf 19/1/24 RM15,700.00(RM8,690.00)</t>
  </si>
  <si>
    <t>Trsf 19/1/24 RM15,700.00(RM3,420.00)</t>
  </si>
  <si>
    <t>Trsf 19/1/24 RM15,700.00(RM2,016.00)</t>
  </si>
  <si>
    <t>Trsf 19/1/24 RM15,700.00(RM380.00)</t>
  </si>
  <si>
    <t>Trsf 19/1/24 RM15,700.00(RM436.70), Trsf 22/1/24 RM15,000.00(RM563.10)</t>
  </si>
  <si>
    <t>Trsf 22/1/24 RM15,000.00(RM2,280.00)</t>
  </si>
  <si>
    <t>Trsf 31/1/24 RM17,000.00(RM6,840.00)</t>
  </si>
  <si>
    <t>Trsf 31/1/24 RM17,000.00(RM229.40)</t>
  </si>
  <si>
    <t>Trsf 22/1/24 RM15,500.00(RM312.50)</t>
  </si>
  <si>
    <t>Trsf 22/1/24 RM15,50\0.00(RM8,690.00)</t>
  </si>
  <si>
    <t>Trsf 22/1/24 RM15,500.00(RM1,260.00)</t>
  </si>
  <si>
    <t>Trsf 22/1/24 RM15,500.00(RM380.00)</t>
  </si>
  <si>
    <t>Trsf 22/1/24 RM15,500.00(RM625.00)</t>
  </si>
  <si>
    <t>Trsf 22/1/24 RM15,500.00(RM889.40), 30/1/24 RM7,000.00(RM7,000.00), 31/1/24 RM17,000.00(RM9,930.60)</t>
  </si>
  <si>
    <t>INV00000788</t>
  </si>
  <si>
    <t>INV00000789</t>
  </si>
  <si>
    <t>INV00000790</t>
  </si>
  <si>
    <t>INV00000791</t>
  </si>
  <si>
    <t>INV00000792</t>
  </si>
  <si>
    <t>INV00000793</t>
  </si>
  <si>
    <t>INV00000794</t>
  </si>
  <si>
    <t>INV00000795</t>
  </si>
  <si>
    <t>INV00000796</t>
  </si>
  <si>
    <t>INV00000797</t>
  </si>
  <si>
    <t>INV00000798</t>
  </si>
  <si>
    <t>INV00000799</t>
  </si>
  <si>
    <t>INV00000800</t>
  </si>
  <si>
    <t>INV00000801</t>
  </si>
  <si>
    <t>INV00000802</t>
  </si>
  <si>
    <t>INV00000803</t>
  </si>
  <si>
    <t>INV00000804</t>
  </si>
  <si>
    <t>INV00000805</t>
  </si>
  <si>
    <t>INV00000806</t>
  </si>
  <si>
    <t xml:space="preserve">KAD Builders Sdn Bhd </t>
  </si>
  <si>
    <t>RD Bristle Roller 4"</t>
  </si>
  <si>
    <t>INV00000807</t>
  </si>
  <si>
    <t>INV00000808</t>
  </si>
  <si>
    <t>INV00000809</t>
  </si>
  <si>
    <t>RM Pigment Super White HV (5Kg)</t>
  </si>
  <si>
    <t>INV00000810</t>
  </si>
  <si>
    <t>INV00000811</t>
  </si>
  <si>
    <t>RO CSM 450 64m(L) 1040mm(W) (37Kg)</t>
  </si>
  <si>
    <t>INV00000812</t>
  </si>
  <si>
    <t>INV00000813</t>
  </si>
  <si>
    <t>INV00000814</t>
  </si>
  <si>
    <t>INV00000815</t>
  </si>
  <si>
    <t>INV00000816</t>
  </si>
  <si>
    <t>INV00000817</t>
  </si>
  <si>
    <t>INV00000818</t>
  </si>
  <si>
    <t>INV00000819</t>
  </si>
  <si>
    <t>INV00000820</t>
  </si>
  <si>
    <t>INV00000821</t>
  </si>
  <si>
    <t>INV00000822</t>
  </si>
  <si>
    <t>INV00000823</t>
  </si>
  <si>
    <t>INV00000824</t>
  </si>
  <si>
    <t>RA CSM 450 1040mm(W) (37kg)</t>
  </si>
  <si>
    <t>INV00000825</t>
  </si>
  <si>
    <t>INV00000826</t>
  </si>
  <si>
    <t>RM Pigment Grey RAL 7038 (10kg)</t>
  </si>
  <si>
    <t>INV00000827</t>
  </si>
  <si>
    <t>INV00000828</t>
  </si>
  <si>
    <t>C00000048</t>
  </si>
  <si>
    <t>C00000047</t>
  </si>
  <si>
    <t xml:space="preserve">Cash - Encik Mohammad Mongal </t>
  </si>
  <si>
    <t>RM Pigment Trafic Orange RAL 2009 (5Kg)</t>
  </si>
  <si>
    <t>INV00000829</t>
  </si>
  <si>
    <t>INV00000830</t>
  </si>
  <si>
    <t>INV00000831</t>
  </si>
  <si>
    <t>INV00000832</t>
  </si>
  <si>
    <t>INV00000833</t>
  </si>
  <si>
    <t>INV00000834</t>
  </si>
  <si>
    <t>RM Fume Silica HJSIL 200 (10Kg)</t>
  </si>
  <si>
    <t>RM Silicone Rubber RTV 2628 (25kg) c/w Hardener (1kg)</t>
  </si>
  <si>
    <t>INV00000835</t>
  </si>
  <si>
    <t>INV00000836</t>
  </si>
  <si>
    <t>INV00000837</t>
  </si>
  <si>
    <t>INV00000838</t>
  </si>
  <si>
    <t>INV00000839</t>
  </si>
  <si>
    <t>INV00000840</t>
  </si>
  <si>
    <t>INV00000841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</si>
</sst>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3" formatCode="_-* #,##0.00_-;\-* #,##0.00_-;_-* &quot;-&quot;??_-;_-@_-"/>
    <numFmt numFmtId="164" formatCode="#,##0.00_ ;[Red]\-#,##0.00\ "/>
    <numFmt numFmtId="165" formatCode="#,##0.00_ ;\-#,##0.00\ "/>
    <numFmt numFmtId="166" formatCode="#,##0.00&quot; &quot;;#,##0.00&quot; &quot;;&quot;-&quot;#&quot; &quot;;&quot; &quot;@"/>
    <numFmt numFmtId="167" formatCode="[$-4409]dd/mm/yyyy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sz val="11"/>
      <color theme="1"/>
      <name val="Calibri"/>
      <family val="2"/>
    </font>
    <font>
      <sz val="12"/>
      <color theme="1"/>
      <name val="Calibri"/>
      <family val="2"/>
    </font>
    <font>
      <sz val="11"/>
      <color theme="1"/>
      <name val="Arial"/>
      <family val="2"/>
    </font>
    <font>
      <b/>
      <sz val="14"/>
      <color rgb="FFFF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000000"/>
      <name val="Calibri"/>
      <family val="2"/>
    </font>
    <font>
      <sz val="11"/>
      <color rgb="FF000000"/>
      <name val="Calibri"/>
      <family val="2"/>
      <scheme val="minor"/>
    </font>
    <font>
      <b/>
      <i/>
      <sz val="12"/>
      <color rgb="FFC00000"/>
      <name val="Calibri"/>
      <family val="2"/>
      <scheme val="minor"/>
    </font>
    <font>
      <sz val="12"/>
      <color rgb="FFC00000"/>
      <name val="Calibri"/>
      <family val="2"/>
      <scheme val="minor"/>
    </font>
    <font>
      <u/>
      <sz val="9"/>
      <color indexed="81"/>
      <name val="Tahoma"/>
      <family val="2"/>
    </font>
    <font>
      <sz val="11"/>
      <color rgb="FF000000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4BEB35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66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D9E1F2"/>
        <bgColor theme="4" tint="0.79998168889431442"/>
      </patternFill>
    </fill>
  </fills>
  <borders count="7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20" fillId="0" borderId="0"/>
  </cellStyleXfs>
  <cellXfs count="132">
    <xf numFmtId="0" fontId="0" fillId="0" borderId="0" xfId="0"/>
    <xf numFmtId="0" fontId="3" fillId="0" borderId="0" xfId="0" applyFont="1"/>
    <xf numFmtId="14" fontId="3" fillId="0" borderId="0" xfId="0" applyNumberFormat="1" applyFont="1" applyAlignment="1">
      <alignment horizontal="left"/>
    </xf>
    <xf numFmtId="0" fontId="3" fillId="0" borderId="0" xfId="0" applyFont="1" applyAlignment="1">
      <alignment horizontal="center" wrapText="1"/>
    </xf>
    <xf numFmtId="14" fontId="3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43" fontId="3" fillId="0" borderId="0" xfId="1" applyFont="1" applyAlignment="1">
      <alignment horizontal="right"/>
    </xf>
    <xf numFmtId="43" fontId="3" fillId="0" borderId="0" xfId="0" applyNumberFormat="1" applyFont="1"/>
    <xf numFmtId="16" fontId="3" fillId="0" borderId="0" xfId="0" applyNumberFormat="1" applyFont="1"/>
    <xf numFmtId="0" fontId="3" fillId="3" borderId="0" xfId="0" applyFont="1" applyFill="1"/>
    <xf numFmtId="0" fontId="3" fillId="2" borderId="0" xfId="0" applyFont="1" applyFill="1"/>
    <xf numFmtId="0" fontId="3" fillId="0" borderId="0" xfId="0" applyFont="1" applyAlignment="1">
      <alignment horizontal="left"/>
    </xf>
    <xf numFmtId="43" fontId="3" fillId="0" borderId="0" xfId="1" applyFont="1" applyFill="1" applyAlignment="1">
      <alignment horizontal="right"/>
    </xf>
    <xf numFmtId="0" fontId="3" fillId="4" borderId="0" xfId="0" applyFont="1" applyFill="1"/>
    <xf numFmtId="0" fontId="0" fillId="0" borderId="0" xfId="0" pivotButton="1"/>
    <xf numFmtId="0" fontId="3" fillId="5" borderId="0" xfId="0" applyFont="1" applyFill="1"/>
    <xf numFmtId="43" fontId="0" fillId="0" borderId="0" xfId="1" applyFont="1"/>
    <xf numFmtId="0" fontId="0" fillId="4" borderId="0" xfId="0" applyFill="1"/>
    <xf numFmtId="4" fontId="0" fillId="0" borderId="0" xfId="0" applyNumberFormat="1"/>
    <xf numFmtId="4" fontId="0" fillId="4" borderId="0" xfId="0" applyNumberFormat="1" applyFill="1"/>
    <xf numFmtId="0" fontId="3" fillId="7" borderId="0" xfId="0" applyFont="1" applyFill="1"/>
    <xf numFmtId="14" fontId="3" fillId="7" borderId="0" xfId="0" applyNumberFormat="1" applyFont="1" applyFill="1"/>
    <xf numFmtId="43" fontId="0" fillId="4" borderId="0" xfId="1" applyFont="1" applyFill="1" applyBorder="1"/>
    <xf numFmtId="43" fontId="0" fillId="4" borderId="0" xfId="1" applyFont="1" applyFill="1"/>
    <xf numFmtId="43" fontId="3" fillId="0" borderId="0" xfId="1" applyFont="1" applyBorder="1"/>
    <xf numFmtId="0" fontId="0" fillId="0" borderId="0" xfId="0" applyAlignment="1">
      <alignment wrapText="1"/>
    </xf>
    <xf numFmtId="0" fontId="0" fillId="0" borderId="0" xfId="0" pivotButton="1" applyAlignment="1">
      <alignment wrapText="1"/>
    </xf>
    <xf numFmtId="43" fontId="3" fillId="0" borderId="0" xfId="1" quotePrefix="1" applyFont="1" applyAlignment="1">
      <alignment horizontal="center"/>
    </xf>
    <xf numFmtId="43" fontId="3" fillId="0" borderId="0" xfId="1" applyFont="1" applyAlignment="1">
      <alignment horizontal="center"/>
    </xf>
    <xf numFmtId="43" fontId="3" fillId="0" borderId="1" xfId="1" applyFont="1" applyBorder="1" applyAlignment="1">
      <alignment horizontal="right"/>
    </xf>
    <xf numFmtId="43" fontId="3" fillId="9" borderId="0" xfId="1" applyFont="1" applyFill="1" applyAlignment="1">
      <alignment horizontal="right"/>
    </xf>
    <xf numFmtId="43" fontId="3" fillId="9" borderId="0" xfId="1" applyFont="1" applyFill="1" applyAlignment="1">
      <alignment horizontal="center"/>
    </xf>
    <xf numFmtId="43" fontId="3" fillId="8" borderId="0" xfId="1" applyFont="1" applyFill="1" applyAlignment="1">
      <alignment horizontal="right"/>
    </xf>
    <xf numFmtId="43" fontId="3" fillId="8" borderId="0" xfId="1" applyFont="1" applyFill="1" applyAlignment="1">
      <alignment horizontal="center"/>
    </xf>
    <xf numFmtId="43" fontId="3" fillId="2" borderId="0" xfId="1" applyFont="1" applyFill="1" applyAlignment="1">
      <alignment horizontal="right"/>
    </xf>
    <xf numFmtId="43" fontId="3" fillId="2" borderId="0" xfId="1" applyFont="1" applyFill="1" applyAlignment="1">
      <alignment horizontal="center"/>
    </xf>
    <xf numFmtId="0" fontId="0" fillId="10" borderId="0" xfId="0" applyFill="1"/>
    <xf numFmtId="4" fontId="0" fillId="10" borderId="0" xfId="0" applyNumberFormat="1" applyFill="1"/>
    <xf numFmtId="164" fontId="0" fillId="0" borderId="0" xfId="0" applyNumberFormat="1"/>
    <xf numFmtId="164" fontId="0" fillId="4" borderId="0" xfId="0" applyNumberFormat="1" applyFill="1"/>
    <xf numFmtId="0" fontId="3" fillId="0" borderId="0" xfId="0" applyFont="1" applyAlignment="1">
      <alignment wrapText="1"/>
    </xf>
    <xf numFmtId="165" fontId="8" fillId="0" borderId="0" xfId="1" applyNumberFormat="1" applyFont="1" applyBorder="1"/>
    <xf numFmtId="164" fontId="8" fillId="0" borderId="0" xfId="1" applyNumberFormat="1" applyFont="1" applyAlignment="1">
      <alignment horizontal="right"/>
    </xf>
    <xf numFmtId="0" fontId="8" fillId="0" borderId="0" xfId="0" applyFont="1" applyAlignment="1">
      <alignment horizontal="left"/>
    </xf>
    <xf numFmtId="43" fontId="3" fillId="0" borderId="0" xfId="0" applyNumberFormat="1" applyFont="1" applyAlignment="1">
      <alignment horizontal="center"/>
    </xf>
    <xf numFmtId="43" fontId="0" fillId="0" borderId="0" xfId="1" applyFont="1" applyFill="1"/>
    <xf numFmtId="43" fontId="3" fillId="0" borderId="0" xfId="1" applyFont="1" applyBorder="1" applyAlignment="1">
      <alignment horizontal="right"/>
    </xf>
    <xf numFmtId="43" fontId="0" fillId="0" borderId="0" xfId="1" applyFont="1" applyFill="1" applyBorder="1"/>
    <xf numFmtId="43" fontId="5" fillId="0" borderId="0" xfId="1" applyFont="1" applyAlignment="1">
      <alignment horizontal="right"/>
    </xf>
    <xf numFmtId="43" fontId="3" fillId="0" borderId="0" xfId="1" applyFont="1" applyAlignment="1">
      <alignment horizontal="left"/>
    </xf>
    <xf numFmtId="43" fontId="5" fillId="0" borderId="0" xfId="1" applyFont="1" applyFill="1" applyAlignment="1">
      <alignment horizontal="left"/>
    </xf>
    <xf numFmtId="43" fontId="3" fillId="0" borderId="0" xfId="1" applyFont="1"/>
    <xf numFmtId="43" fontId="3" fillId="0" borderId="0" xfId="1" applyFont="1" applyFill="1"/>
    <xf numFmtId="43" fontId="3" fillId="0" borderId="0" xfId="1" applyFont="1" applyFill="1" applyAlignment="1">
      <alignment horizontal="center"/>
    </xf>
    <xf numFmtId="43" fontId="9" fillId="8" borderId="0" xfId="1" applyFont="1" applyFill="1" applyAlignment="1">
      <alignment horizontal="left"/>
    </xf>
    <xf numFmtId="14" fontId="10" fillId="0" borderId="0" xfId="0" applyNumberFormat="1" applyFont="1" applyAlignment="1">
      <alignment horizontal="left"/>
    </xf>
    <xf numFmtId="14" fontId="11" fillId="0" borderId="0" xfId="0" applyNumberFormat="1" applyFont="1" applyAlignment="1">
      <alignment horizontal="left"/>
    </xf>
    <xf numFmtId="14" fontId="0" fillId="0" borderId="0" xfId="0" applyNumberFormat="1"/>
    <xf numFmtId="0" fontId="0" fillId="8" borderId="0" xfId="0" applyFill="1"/>
    <xf numFmtId="43" fontId="0" fillId="8" borderId="0" xfId="1" applyFont="1" applyFill="1"/>
    <xf numFmtId="43" fontId="0" fillId="0" borderId="0" xfId="0" applyNumberFormat="1"/>
    <xf numFmtId="0" fontId="4" fillId="6" borderId="2" xfId="0" applyFont="1" applyFill="1" applyBorder="1" applyAlignment="1">
      <alignment horizontal="left"/>
    </xf>
    <xf numFmtId="0" fontId="4" fillId="6" borderId="3" xfId="0" applyFont="1" applyFill="1" applyBorder="1" applyAlignment="1">
      <alignment horizontal="center"/>
    </xf>
    <xf numFmtId="0" fontId="4" fillId="6" borderId="3" xfId="0" applyFont="1" applyFill="1" applyBorder="1"/>
    <xf numFmtId="43" fontId="0" fillId="11" borderId="4" xfId="1" applyFont="1" applyFill="1" applyBorder="1" applyAlignment="1">
      <alignment horizontal="center"/>
    </xf>
    <xf numFmtId="0" fontId="4" fillId="6" borderId="3" xfId="0" applyFont="1" applyFill="1" applyBorder="1" applyAlignment="1">
      <alignment horizontal="left"/>
    </xf>
    <xf numFmtId="43" fontId="0" fillId="11" borderId="3" xfId="1" applyFont="1" applyFill="1" applyBorder="1" applyAlignment="1">
      <alignment horizontal="center"/>
    </xf>
    <xf numFmtId="43" fontId="11" fillId="0" borderId="0" xfId="1" applyFont="1" applyBorder="1"/>
    <xf numFmtId="14" fontId="1" fillId="0" borderId="0" xfId="0" applyNumberFormat="1" applyFont="1" applyAlignment="1">
      <alignment horizontal="left"/>
    </xf>
    <xf numFmtId="14" fontId="0" fillId="0" borderId="0" xfId="0" applyNumberFormat="1" applyAlignment="1">
      <alignment horizontal="left"/>
    </xf>
    <xf numFmtId="14" fontId="0" fillId="0" borderId="0" xfId="0" quotePrefix="1" applyNumberFormat="1" applyAlignment="1">
      <alignment horizontal="left"/>
    </xf>
    <xf numFmtId="43" fontId="3" fillId="0" borderId="0" xfId="1" quotePrefix="1" applyFont="1" applyAlignment="1">
      <alignment horizontal="right"/>
    </xf>
    <xf numFmtId="14" fontId="12" fillId="0" borderId="0" xfId="0" applyNumberFormat="1" applyFont="1"/>
    <xf numFmtId="0" fontId="12" fillId="0" borderId="0" xfId="0" applyFont="1"/>
    <xf numFmtId="14" fontId="10" fillId="0" borderId="0" xfId="0" applyNumberFormat="1" applyFont="1" applyAlignment="1">
      <alignment horizontal="left" wrapText="1"/>
    </xf>
    <xf numFmtId="0" fontId="3" fillId="0" borderId="0" xfId="0" applyFont="1" applyAlignment="1">
      <alignment horizontal="left" wrapText="1"/>
    </xf>
    <xf numFmtId="0" fontId="11" fillId="0" borderId="0" xfId="0" applyFont="1" applyAlignment="1">
      <alignment horizontal="left"/>
    </xf>
    <xf numFmtId="0" fontId="10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14" fontId="11" fillId="0" borderId="0" xfId="0" applyNumberFormat="1" applyFont="1" applyAlignment="1">
      <alignment horizontal="left" wrapText="1"/>
    </xf>
    <xf numFmtId="14" fontId="11" fillId="0" borderId="0" xfId="0" applyNumberFormat="1" applyFont="1"/>
    <xf numFmtId="0" fontId="0" fillId="5" borderId="0" xfId="0" applyFill="1"/>
    <xf numFmtId="4" fontId="0" fillId="5" borderId="0" xfId="0" applyNumberFormat="1" applyFill="1"/>
    <xf numFmtId="164" fontId="0" fillId="5" borderId="0" xfId="0" applyNumberFormat="1" applyFill="1"/>
    <xf numFmtId="0" fontId="0" fillId="0" borderId="0" xfId="0" applyAlignment="1">
      <alignment horizontal="left" wrapText="1"/>
    </xf>
    <xf numFmtId="0" fontId="11" fillId="0" borderId="0" xfId="0" applyFont="1"/>
    <xf numFmtId="14" fontId="0" fillId="0" borderId="0" xfId="0" applyNumberFormat="1" applyAlignment="1">
      <alignment wrapText="1"/>
    </xf>
    <xf numFmtId="17" fontId="0" fillId="4" borderId="0" xfId="0" applyNumberFormat="1" applyFill="1"/>
    <xf numFmtId="0" fontId="14" fillId="0" borderId="0" xfId="0" applyFont="1" applyAlignment="1">
      <alignment horizontal="center"/>
    </xf>
    <xf numFmtId="14" fontId="14" fillId="0" borderId="0" xfId="0" applyNumberFormat="1" applyFont="1" applyAlignment="1">
      <alignment horizontal="left"/>
    </xf>
    <xf numFmtId="0" fontId="14" fillId="0" borderId="0" xfId="0" applyFont="1"/>
    <xf numFmtId="43" fontId="8" fillId="0" borderId="0" xfId="1" applyFont="1" applyAlignment="1">
      <alignment horizontal="right"/>
    </xf>
    <xf numFmtId="0" fontId="0" fillId="0" borderId="0" xfId="0" applyAlignment="1">
      <alignment horizontal="left"/>
    </xf>
    <xf numFmtId="17" fontId="0" fillId="0" borderId="0" xfId="0" applyNumberFormat="1"/>
    <xf numFmtId="17" fontId="0" fillId="0" borderId="0" xfId="0" quotePrefix="1" applyNumberFormat="1" applyAlignment="1">
      <alignment horizontal="right"/>
    </xf>
    <xf numFmtId="14" fontId="14" fillId="0" borderId="5" xfId="0" applyNumberFormat="1" applyFont="1" applyBorder="1" applyAlignment="1">
      <alignment horizontal="left"/>
    </xf>
    <xf numFmtId="166" fontId="15" fillId="0" borderId="0" xfId="0" applyNumberFormat="1" applyFont="1"/>
    <xf numFmtId="167" fontId="14" fillId="0" borderId="0" xfId="0" quotePrefix="1" applyNumberFormat="1" applyFont="1" applyAlignment="1">
      <alignment horizontal="center"/>
    </xf>
    <xf numFmtId="166" fontId="14" fillId="0" borderId="0" xfId="0" applyNumberFormat="1" applyFont="1"/>
    <xf numFmtId="0" fontId="15" fillId="0" borderId="0" xfId="0" applyFont="1"/>
    <xf numFmtId="14" fontId="15" fillId="0" borderId="0" xfId="0" applyNumberFormat="1" applyFont="1" applyAlignment="1">
      <alignment horizontal="left"/>
    </xf>
    <xf numFmtId="0" fontId="4" fillId="12" borderId="3" xfId="0" applyFont="1" applyFill="1" applyBorder="1"/>
    <xf numFmtId="4" fontId="0" fillId="8" borderId="0" xfId="0" applyNumberFormat="1" applyFill="1"/>
    <xf numFmtId="0" fontId="14" fillId="0" borderId="0" xfId="1" applyNumberFormat="1" applyFont="1" applyAlignment="1">
      <alignment horizontal="left"/>
    </xf>
    <xf numFmtId="43" fontId="9" fillId="0" borderId="0" xfId="1" applyFont="1" applyAlignment="1">
      <alignment horizontal="right"/>
    </xf>
    <xf numFmtId="0" fontId="15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14" fontId="15" fillId="0" borderId="5" xfId="0" applyNumberFormat="1" applyFont="1" applyBorder="1" applyAlignment="1">
      <alignment horizontal="left"/>
    </xf>
    <xf numFmtId="0" fontId="10" fillId="0" borderId="0" xfId="0" applyFont="1"/>
    <xf numFmtId="2" fontId="3" fillId="0" borderId="0" xfId="1" applyNumberFormat="1" applyFont="1" applyAlignment="1">
      <alignment horizontal="right"/>
    </xf>
    <xf numFmtId="14" fontId="3" fillId="10" borderId="0" xfId="0" applyNumberFormat="1" applyFont="1" applyFill="1" applyAlignment="1">
      <alignment horizontal="center"/>
    </xf>
    <xf numFmtId="0" fontId="3" fillId="10" borderId="0" xfId="0" applyFont="1" applyFill="1" applyAlignment="1">
      <alignment horizontal="center"/>
    </xf>
    <xf numFmtId="0" fontId="3" fillId="10" borderId="0" xfId="0" applyFont="1" applyFill="1"/>
    <xf numFmtId="0" fontId="14" fillId="10" borderId="0" xfId="0" applyFont="1" applyFill="1"/>
    <xf numFmtId="0" fontId="14" fillId="10" borderId="0" xfId="0" applyFont="1" applyFill="1" applyAlignment="1">
      <alignment horizontal="center"/>
    </xf>
    <xf numFmtId="43" fontId="3" fillId="10" borderId="0" xfId="1" applyFont="1" applyFill="1" applyAlignment="1">
      <alignment horizontal="right"/>
    </xf>
    <xf numFmtId="43" fontId="8" fillId="10" borderId="0" xfId="1" applyFont="1" applyFill="1" applyAlignment="1">
      <alignment horizontal="right"/>
    </xf>
    <xf numFmtId="0" fontId="8" fillId="0" borderId="0" xfId="0" applyFont="1"/>
    <xf numFmtId="0" fontId="0" fillId="0" borderId="0" xfId="0" applyAlignment="1">
      <alignment horizontal="center"/>
    </xf>
    <xf numFmtId="0" fontId="9" fillId="0" borderId="0" xfId="0" applyFont="1"/>
    <xf numFmtId="14" fontId="15" fillId="0" borderId="5" xfId="2" applyNumberFormat="1" applyFont="1" applyBorder="1" applyAlignment="1">
      <alignment horizontal="left"/>
    </xf>
    <xf numFmtId="0" fontId="15" fillId="0" borderId="0" xfId="2" applyFont="1"/>
    <xf numFmtId="14" fontId="14" fillId="0" borderId="0" xfId="0" applyNumberFormat="1" applyFont="1" applyBorder="1" applyAlignment="1">
      <alignment horizontal="left"/>
    </xf>
    <xf numFmtId="14" fontId="3" fillId="0" borderId="0" xfId="0" applyNumberFormat="1" applyFont="1" applyFill="1" applyAlignment="1">
      <alignment horizontal="center"/>
    </xf>
    <xf numFmtId="0" fontId="3" fillId="0" borderId="0" xfId="0" applyFont="1" applyFill="1" applyAlignment="1">
      <alignment horizontal="center"/>
    </xf>
    <xf numFmtId="0" fontId="3" fillId="0" borderId="0" xfId="0" applyFont="1" applyFill="1"/>
    <xf numFmtId="43" fontId="3" fillId="0" borderId="0" xfId="0" applyNumberFormat="1" applyFont="1" applyFill="1"/>
    <xf numFmtId="0" fontId="14" fillId="0" borderId="6" xfId="0" applyFont="1" applyBorder="1"/>
    <xf numFmtId="0" fontId="14" fillId="0" borderId="0" xfId="1" applyNumberFormat="1" applyFont="1" applyFill="1" applyAlignment="1">
      <alignment horizontal="left"/>
    </xf>
    <xf numFmtId="0" fontId="15" fillId="0" borderId="6" xfId="0" applyFont="1" applyBorder="1"/>
    <xf numFmtId="0" fontId="16" fillId="0" borderId="6" xfId="0" applyFont="1" applyBorder="1"/>
    <xf numFmtId="0" fontId="15" fillId="0" borderId="6" xfId="2" applyFont="1" applyBorder="1"/>
  </cellXfs>
  <cellStyles count="3">
    <cellStyle name="Comma" xfId="1" builtinId="3"/>
    <cellStyle name="Normal" xfId="0" builtinId="0"/>
    <cellStyle name="Normal 2" xfId="2"/>
  </cellStyles>
  <dxfs count="35">
    <dxf>
      <fill>
        <patternFill>
          <bgColor rgb="FFFFFF99"/>
        </patternFill>
      </fill>
    </dxf>
    <dxf>
      <fill>
        <patternFill patternType="solid">
          <bgColor rgb="FFFFFF99"/>
        </patternFill>
      </fill>
    </dxf>
    <dxf>
      <numFmt numFmtId="164" formatCode="#,##0.00_ ;[Red]\-#,##0.00\ "/>
    </dxf>
    <dxf>
      <numFmt numFmtId="4" formatCode="#,##0.00"/>
    </dxf>
    <dxf>
      <numFmt numFmtId="4" formatCode="#,##0.00"/>
    </dxf>
    <dxf>
      <fill>
        <patternFill patternType="solid">
          <bgColor rgb="FFCCFFCC"/>
        </patternFill>
      </fill>
    </dxf>
    <dxf>
      <alignment wrapText="1"/>
    </dxf>
    <dxf>
      <alignment wrapText="1"/>
    </dxf>
    <dxf>
      <alignment wrapText="1"/>
    </dxf>
    <dxf>
      <numFmt numFmtId="4" formatCode="#,##0.00"/>
    </dxf>
    <dxf>
      <fill>
        <patternFill>
          <bgColor rgb="FFCCFFCC"/>
        </patternFill>
      </fill>
    </dxf>
    <dxf>
      <fill>
        <patternFill patternType="solid">
          <bgColor rgb="FF4BEB35"/>
        </patternFill>
      </fill>
    </dxf>
    <dxf>
      <fill>
        <patternFill patternType="solid">
          <bgColor rgb="FFCCFFCC"/>
        </patternFill>
      </fill>
    </dxf>
    <dxf>
      <numFmt numFmtId="164" formatCode="#,##0.00_ ;[Red]\-#,##0.00\ "/>
    </dxf>
    <dxf>
      <numFmt numFmtId="4" formatCode="#,##0.00"/>
    </dxf>
    <dxf>
      <numFmt numFmtId="4" formatCode="#,##0.00"/>
    </dxf>
    <dxf>
      <fill>
        <patternFill patternType="solid">
          <bgColor rgb="FFCCFFCC"/>
        </patternFill>
      </fill>
    </dxf>
    <dxf>
      <fill>
        <patternFill>
          <bgColor rgb="FF66FF66"/>
        </patternFill>
      </fill>
    </dxf>
    <dxf>
      <fill>
        <patternFill patternType="solid">
          <bgColor rgb="FF33CC33"/>
        </patternFill>
      </fill>
    </dxf>
    <dxf>
      <numFmt numFmtId="4" formatCode="#,##0.00"/>
    </dxf>
    <dxf>
      <fill>
        <patternFill patternType="solid">
          <bgColor rgb="FF99FF99"/>
        </patternFill>
      </fill>
    </dxf>
    <dxf>
      <numFmt numFmtId="4" formatCode="#,##0.00"/>
    </dxf>
    <dxf>
      <fill>
        <patternFill patternType="solid">
          <bgColor rgb="FF99FF99"/>
        </patternFill>
      </fill>
    </dxf>
    <dxf>
      <numFmt numFmtId="4" formatCode="#,##0.00"/>
    </dxf>
    <dxf>
      <fill>
        <patternFill patternType="solid">
          <bgColor rgb="FF99FF99"/>
        </patternFill>
      </fill>
    </dxf>
    <dxf>
      <alignment wrapText="1"/>
    </dxf>
    <dxf>
      <numFmt numFmtId="4" formatCode="#,##0.00"/>
    </dxf>
    <dxf>
      <fill>
        <patternFill>
          <bgColor rgb="FFCCFFCC"/>
        </patternFill>
      </fill>
    </dxf>
    <dxf>
      <fill>
        <patternFill patternType="solid">
          <bgColor rgb="FF4BEB35"/>
        </patternFill>
      </fill>
    </dxf>
    <dxf>
      <fill>
        <patternFill patternType="solid">
          <bgColor rgb="FFCCFFCC"/>
        </patternFill>
      </fill>
    </dxf>
    <dxf>
      <alignment wrapText="1"/>
    </dxf>
    <dxf>
      <numFmt numFmtId="4" formatCode="#,##0.00"/>
    </dxf>
    <dxf>
      <fill>
        <patternFill>
          <bgColor rgb="FFCCFFCC"/>
        </patternFill>
      </fill>
    </dxf>
    <dxf>
      <fill>
        <patternFill patternType="solid">
          <bgColor rgb="FF4BEB35"/>
        </patternFill>
      </fill>
    </dxf>
    <dxf>
      <fill>
        <patternFill patternType="solid">
          <bgColor rgb="FFCCFFCC"/>
        </patternFill>
      </fill>
    </dxf>
  </dxfs>
  <tableStyles count="0" defaultTableStyle="TableStyleMedium2" defaultPivotStyle="PivotStyleLight16"/>
  <colors>
    <mruColors>
      <color rgb="FF99FF99"/>
      <color rgb="FFFF99FF"/>
      <color rgb="FF66FF66"/>
      <color rgb="FF33CC33"/>
      <color rgb="FFD9E1F2"/>
      <color rgb="FFCCFFCC"/>
      <color rgb="FF4BEB35"/>
      <color rgb="FFFFFF99"/>
      <color rgb="FF99FFCC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drinayoo" refreshedDate="45051.703126273147" createdVersion="8" refreshedVersion="8" minRefreshableVersion="3" recordCount="988">
  <cacheSource type="worksheet">
    <worksheetSource ref="A1:T989" sheet="Raw Sales"/>
  </cacheSource>
  <cacheFields count="20">
    <cacheField name="Invoice Date" numFmtId="14">
      <sharedItems containsDate="1" containsMixedTypes="1" minDate="2019-12-23T00:00:00" maxDate="2022-08-27T00:00:00" count="238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</sharedItems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2" count="4">
        <n v="2019"/>
        <n v="2020"/>
        <n v="2021"/>
        <n v="2022"/>
      </sharedItems>
    </cacheField>
    <cacheField name="Invoice No" numFmtId="0">
      <sharedItems count="320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</sharedItems>
    </cacheField>
    <cacheField name="Customer Code" numFmtId="0">
      <sharedItems/>
    </cacheField>
    <cacheField name="Customer Name" numFmtId="0">
      <sharedItems count="30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"/>
        <s v="IK Fibre Glass Enterprise"/>
        <s v="S&amp;J Business Solutions"/>
        <s v="Win Fiber Sdn Bhd"/>
        <s v="Aumada Energy &amp; Technologies(M) Sdn Bhd"/>
        <s v="Living Divani (M) Sdn Bhd"/>
        <s v="Desuki Affela Empire Enterprise"/>
        <s v="WSK Tanks Sdn Bhd"/>
        <s v="Cash - En Mat"/>
        <s v="KT Profesional Fiber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-" u="1"/>
      </sharedItems>
    </cacheField>
    <cacheField name="Product" numFmtId="0">
      <sharedItems/>
    </cacheField>
    <cacheField name="Qty" numFmtId="0">
      <sharedItems containsSemiMixedTypes="0" containsString="0" containsNumber="1" containsInteger="1" minValue="0" maxValue="20"/>
    </cacheField>
    <cacheField name="Payment Term" numFmtId="0">
      <sharedItems/>
    </cacheField>
    <cacheField name="Term" numFmtId="0">
      <sharedItems containsMixedTypes="1" containsNumber="1" containsInteger="1" minValue="0" maxValue="120"/>
    </cacheField>
    <cacheField name="Due date" numFmtId="14">
      <sharedItems containsSemiMixedTypes="0" containsNonDate="0" containsDate="1" containsString="0" minDate="2019-12-23T00:00:00" maxDate="2022-12-24T00:00:00"/>
    </cacheField>
    <cacheField name="Period (Due)" numFmtId="0">
      <sharedItems containsSemiMixedTypes="0" containsString="0" containsNumber="1" containsInteger="1" minValue="1" maxValue="12"/>
    </cacheField>
    <cacheField name="Year (Due)" numFmtId="0">
      <sharedItems containsSemiMixedTypes="0" containsString="0" containsNumber="1" containsInteger="1" minValue="2019" maxValue="2022"/>
    </cacheField>
    <cacheField name="Sales Amount" numFmtId="0">
      <sharedItems containsSemiMixedTypes="0" containsString="0" containsNumber="1" minValue="0" maxValue="20680"/>
    </cacheField>
    <cacheField name="Collection" numFmtId="0">
      <sharedItems containsString="0" containsBlank="1" containsNumber="1" minValue="-20680" maxValue="0"/>
    </cacheField>
    <cacheField name="Outstanding" numFmtId="0">
      <sharedItems containsString="0" containsBlank="1" containsNumber="1" minValue="0" maxValue="0.20000000000004547"/>
    </cacheField>
    <cacheField name="Total Sales " numFmtId="43">
      <sharedItems containsSemiMixedTypes="0" containsString="0" containsNumber="1" minValue="1530" maxValue="1768365.8500000006"/>
    </cacheField>
    <cacheField name="Payment mode" numFmtId="0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udrinayoo" refreshedDate="45051.703126388886" createdVersion="8" refreshedVersion="8" minRefreshableVersion="3" recordCount="1181">
  <cacheSource type="worksheet">
    <worksheetSource ref="A1:T1182" sheet="Raw Sales"/>
  </cacheSource>
  <cacheFields count="20">
    <cacheField name="Invoice Date" numFmtId="0">
      <sharedItems containsDate="1" containsMixedTypes="1" minDate="2019-12-23T00:00:00" maxDate="2022-11-16T00:00:00"/>
    </cacheField>
    <cacheField name="Period (Sales)" numFmtId="0">
      <sharedItems containsSemiMixedTypes="0" containsString="0" containsNumber="1" containsInteger="1" minValue="1" maxValue="12"/>
    </cacheField>
    <cacheField name="Year (Sales)" numFmtId="0">
      <sharedItems containsSemiMixedTypes="0" containsString="0" containsNumber="1" containsInteger="1" minValue="2019" maxValue="2022" count="4">
        <n v="2019"/>
        <n v="2020"/>
        <n v="2021"/>
        <n v="2022"/>
      </sharedItems>
    </cacheField>
    <cacheField name="Invoice No" numFmtId="0">
      <sharedItems/>
    </cacheField>
    <cacheField name="Customer Code" numFmtId="0">
      <sharedItems/>
    </cacheField>
    <cacheField name="Customer Name" numFmtId="0">
      <sharedItems count="32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"/>
        <s v="IK Fibre Glass Enterprise"/>
        <s v="S&amp;J Business Solutions"/>
        <s v="Win Fiber Sdn Bhd"/>
        <s v="Aumada Energy &amp; Technologies(M) Sdn Bhd"/>
        <s v="Living Divani (M) Sdn Bhd"/>
        <s v="Desuki Affela Empire Enterprise"/>
        <s v="WSK Tanks Sdn Bhd"/>
        <s v="Cash - En Mat"/>
        <s v="KT Profesional Fiber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</sharedItems>
    </cacheField>
    <cacheField name="Product" numFmtId="0">
      <sharedItems/>
    </cacheField>
    <cacheField name="Qty" numFmtId="0">
      <sharedItems containsSemiMixedTypes="0" containsString="0" containsNumber="1" containsInteger="1" minValue="0" maxValue="45"/>
    </cacheField>
    <cacheField name="Payment Term" numFmtId="0">
      <sharedItems/>
    </cacheField>
    <cacheField name="Term" numFmtId="0">
      <sharedItems containsMixedTypes="1" containsNumber="1" containsInteger="1" minValue="0" maxValue="120" count="5">
        <n v="0"/>
        <n v="45"/>
        <s v="120"/>
        <n v="60"/>
        <n v="120"/>
      </sharedItems>
    </cacheField>
    <cacheField name="Due date" numFmtId="14">
      <sharedItems containsSemiMixedTypes="0" containsNonDate="0" containsDate="1" containsString="0" minDate="2019-12-23T00:00:00" maxDate="2023-03-02T00:00:00"/>
    </cacheField>
    <cacheField name="Period (Due)" numFmtId="0">
      <sharedItems containsSemiMixedTypes="0" containsString="0" containsNumber="1" containsInteger="1" minValue="1" maxValue="12"/>
    </cacheField>
    <cacheField name="Year (Due)" numFmtId="0">
      <sharedItems containsSemiMixedTypes="0" containsString="0" containsNumber="1" containsInteger="1" minValue="2019" maxValue="2023"/>
    </cacheField>
    <cacheField name="Sales Amount" numFmtId="0">
      <sharedItems containsSemiMixedTypes="0" containsString="0" containsNumber="1" minValue="0" maxValue="27060"/>
    </cacheField>
    <cacheField name="Collection" numFmtId="0">
      <sharedItems containsString="0" containsBlank="1" containsNumber="1" minValue="-27060" maxValue="0"/>
    </cacheField>
    <cacheField name="Outstanding" numFmtId="0">
      <sharedItems containsString="0" containsBlank="1" containsNumber="1" minValue="0" maxValue="0.20000000000004547"/>
    </cacheField>
    <cacheField name="Total Sales " numFmtId="43">
      <sharedItems containsSemiMixedTypes="0" containsString="0" containsNumber="1" minValue="1530" maxValue="2143909.9500000011"/>
    </cacheField>
    <cacheField name="Payment mode" numFmtId="0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udrinayoo" refreshedDate="45357.825374652777" createdVersion="8" refreshedVersion="8" minRefreshableVersion="3" recordCount="2500">
  <cacheSource type="worksheet">
    <worksheetSource ref="A1:T2504" sheet="Raw Sales"/>
  </cacheSource>
  <cacheFields count="20">
    <cacheField name="Invoice Date" numFmtId="0">
      <sharedItems containsDate="1" containsMixedTypes="1" minDate="2019-12-23T00:00:00" maxDate="2023-12-31T00:00:00" count="502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  <d v="2022-09-02T00:00:00"/>
        <s v="5/9/2022"/>
        <d v="2022-09-06T00:00:00"/>
        <d v="2022-09-09T00:00:00"/>
        <d v="2022-09-13T00:00:00"/>
        <d v="2022-09-14T00:00:00"/>
        <d v="2022-09-15T00:00:00"/>
        <d v="2022-09-23T00:00:00"/>
        <d v="2022-09-24T00:00:00"/>
        <d v="2022-09-26T00:00:00"/>
        <d v="2022-09-28T00:00:00"/>
        <d v="2022-10-01T00:00:00"/>
        <s v="3/10/2022"/>
        <s v="1/10/2022"/>
        <d v="2022-10-02T00:00:00"/>
        <d v="2022-10-11T00:00:00"/>
        <d v="2022-10-13T00:00:00"/>
        <d v="2022-10-15T00:00:00"/>
        <d v="2022-10-17T00:00:00"/>
        <d v="2022-10-18T00:00:00"/>
        <d v="2022-10-20T00:00:00"/>
        <d v="2022-10-21T00:00:00"/>
        <d v="2022-10-22T00:00:00"/>
        <d v="2022-10-27T00:00:00"/>
        <d v="2022-10-31T00:00:00"/>
        <d v="2022-11-01T00:00:00"/>
        <d v="2022-11-03T00:00:00"/>
        <d v="2022-11-04T00:00:00"/>
        <d v="2022-11-05T00:00:00"/>
        <d v="2022-11-07T00:00:00"/>
        <d v="2022-11-08T00:00:00"/>
        <d v="2022-11-09T00:00:00"/>
        <d v="2022-11-11T00:00:00"/>
        <d v="2022-11-14T00:00:00"/>
        <d v="2022-11-15T00:00:00"/>
        <s v="17/11/2022"/>
        <s v="22/11/2022"/>
        <d v="2022-11-29T00:00:00"/>
        <d v="2022-11-30T00:00:00"/>
        <d v="2022-12-01T00:00:00"/>
        <d v="2022-12-02T00:00:00"/>
        <d v="2022-12-03T00:00:00"/>
        <d v="2022-12-05T00:00:00"/>
        <d v="2022-12-06T00:00:00"/>
        <d v="2022-12-07T00:00:00"/>
        <d v="2022-12-09T00:00:00"/>
        <d v="2022-12-13T00:00:00"/>
        <s v="14/12/2022"/>
        <d v="2022-12-22T00:00:00"/>
        <d v="2022-12-20T00:00:00"/>
        <s v="23/12/2022"/>
        <d v="2022-12-24T00:00:00"/>
        <d v="2022-12-27T00:00:00"/>
        <d v="2022-12-28T00:00:00"/>
        <d v="2022-12-30T00:00:00"/>
        <d v="2023-01-05T00:00:00"/>
        <d v="2023-01-06T00:00:00"/>
        <d v="2023-01-07T00:00:00"/>
        <d v="2023-01-09T00:00:00"/>
        <d v="2023-01-11T00:00:00"/>
        <d v="2023-01-12T00:00:00"/>
        <d v="2023-01-13T00:00:00"/>
        <d v="2023-01-14T00:00:00"/>
        <d v="2023-01-16T00:00:00"/>
        <d v="2023-01-18T00:00:00"/>
        <d v="2023-01-19T00:00:00"/>
        <d v="2023-01-20T00:00:00"/>
        <d v="2023-01-27T00:00:00"/>
        <d v="2023-01-30T00:00:00"/>
        <d v="2023-02-01T00:00:00"/>
        <d v="2023-02-02T00:00:00"/>
        <s v="3/2/2023"/>
        <s v="8/2/2023"/>
        <s v="9/2/2023"/>
        <s v="10/2/2023"/>
        <d v="2023-02-11T00:00:00"/>
        <d v="2023-02-15T00:00:00"/>
        <s v="16/2/2023"/>
        <s v="18/2/2023"/>
        <d v="2023-02-21T00:00:00"/>
        <s v="24/2/2023"/>
        <s v="25/2/2023"/>
        <s v="28/2/2023"/>
        <s v="1/3/2023"/>
        <s v="2/3/2023"/>
        <s v="3/3/2023"/>
        <s v="6/3/2023"/>
        <s v="7/3/2023"/>
        <s v="8/3/2023"/>
        <s v="10/3/2023"/>
        <s v="11/3/2023"/>
        <s v="14/3/2023"/>
        <s v="16/3/2023"/>
        <s v="20/3/2023"/>
        <s v="23/3/2023"/>
        <s v="25/3/2023"/>
        <s v="27/3/2023"/>
        <s v="28/3/2023"/>
        <s v="30/3/2023"/>
        <d v="2023-04-03T00:00:00"/>
        <s v="3/4/2023"/>
        <d v="2023-04-04T00:00:00"/>
        <s v="4/4/2023"/>
        <s v="6/4/2023"/>
        <s v="7/4/2023"/>
        <d v="2023-04-07T00:00:00"/>
        <s v="8/4/2023"/>
        <s v="10/4/2023"/>
        <s v="9/4/2023"/>
        <s v="11/4/2023"/>
        <s v="12/4/2023"/>
        <s v="13/4/2023"/>
        <d v="2023-04-14T00:00:00"/>
        <s v="15/4/2023"/>
        <s v="18/4/2023"/>
        <s v="19/4/2023"/>
        <s v="20/4/2023"/>
        <s v="26/4/2023"/>
        <s v="27/4/2023"/>
        <s v="25/4/2023"/>
        <s v="28/4/2023"/>
        <d v="2023-05-02T00:00:00"/>
        <d v="2023-05-06T00:00:00"/>
        <d v="2023-05-08T00:00:00"/>
        <d v="2023-05-12T00:00:00"/>
        <d v="2023-05-10T00:00:00"/>
        <d v="2023-05-15T00:00:00"/>
        <d v="2023-05-17T00:00:00"/>
        <s v="18/5/2023"/>
        <d v="2023-05-20T00:00:00"/>
        <d v="2023-05-25T00:00:00"/>
        <d v="2023-05-26T00:00:00"/>
        <d v="2023-05-30T00:00:00"/>
        <d v="2023-05-31T00:00:00"/>
        <s v="1/6/2023"/>
        <s v="3/6/2023"/>
        <d v="2023-06-07T00:00:00"/>
        <d v="2023-06-06T00:00:00"/>
        <d v="2023-06-08T00:00:00"/>
        <d v="2023-06-09T00:00:00"/>
        <s v="12/6/2023"/>
        <d v="2023-06-14T00:00:00"/>
        <d v="2023-06-15T00:00:00"/>
        <s v="16/6/2023"/>
        <s v="19/6/2023"/>
        <d v="2023-06-20T00:00:00"/>
        <s v="20/6/2023"/>
        <d v="2023-06-21T00:00:00"/>
        <d v="2023-06-22T00:00:00"/>
        <d v="2023-06-24T00:00:00"/>
        <d v="2023-06-26T00:00:00"/>
        <s v="27/6/2023"/>
        <d v="2023-06-28T00:00:00"/>
        <s v="1/7/2023"/>
        <d v="2023-07-03T00:00:00"/>
        <d v="2023-07-04T00:00:00"/>
        <d v="2023-07-06T00:00:00"/>
        <d v="2023-07-10T00:00:00"/>
        <d v="2023-07-11T00:00:00"/>
        <s v="15/7/2023"/>
        <d v="2023-07-17T00:00:00"/>
        <s v="18/7/2023"/>
        <d v="2023-07-26T00:00:00"/>
        <d v="2023-07-20T00:00:00"/>
        <d v="2023-07-21T00:00:00"/>
        <d v="2023-07-24T00:00:00"/>
        <d v="2023-07-25T00:00:00"/>
        <s v="26/7/2023"/>
        <d v="2023-07-27T00:00:00"/>
        <d v="2023-07-28T00:00:00"/>
        <d v="2023-07-31T00:00:00"/>
        <d v="2023-08-01T00:00:00"/>
        <d v="2023-08-02T00:00:00"/>
        <d v="2023-08-03T00:00:00"/>
        <d v="2023-08-04T00:00:00"/>
        <d v="2023-08-07T00:00:00"/>
        <d v="2023-08-08T00:00:00"/>
        <d v="2023-08-09T00:00:00"/>
        <d v="2023-08-14T00:00:00"/>
        <d v="2023-08-15T00:00:00"/>
        <s v="15/8/2023"/>
        <d v="2023-08-16T00:00:00"/>
        <d v="2023-08-17T00:00:00"/>
        <d v="2023-08-21T00:00:00"/>
        <d v="2023-08-22T00:00:00"/>
        <d v="2023-08-23T00:00:00"/>
        <d v="2023-08-24T00:00:00"/>
        <d v="2023-08-25T00:00:00"/>
        <d v="2023-08-26T00:00:00"/>
        <d v="2023-08-28T00:00:00"/>
        <d v="2023-08-30T00:00:00"/>
        <s v="1/9/2023"/>
        <d v="2023-09-05T00:00:00"/>
        <d v="2023-09-06T00:00:00"/>
        <d v="2023-09-07T00:00:00"/>
        <d v="2023-09-08T00:00:00"/>
        <d v="2023-09-09T00:00:00"/>
        <d v="2023-09-11T00:00:00"/>
        <d v="2023-09-12T00:00:00"/>
        <d v="2023-09-14T00:00:00"/>
        <d v="2023-09-13T00:00:00"/>
        <d v="2023-09-15T00:00:00"/>
        <d v="2023-09-18T00:00:00"/>
        <d v="2023-09-19T00:00:00"/>
        <d v="2023-09-20T00:00:00"/>
        <d v="2023-09-22T00:00:00"/>
        <s v="22/9/2023"/>
        <d v="2023-09-23T00:00:00"/>
        <d v="2023-09-26T00:00:00"/>
        <d v="2023-09-27T00:00:00"/>
        <d v="2023-09-29T00:00:00"/>
        <d v="2023-09-30T00:00:00"/>
        <d v="2023-10-02T00:00:00"/>
        <d v="2023-10-03T00:00:00"/>
        <d v="2023-10-04T00:00:00"/>
        <s v="5/10/2023"/>
        <d v="2023-10-06T00:00:00"/>
        <d v="2023-10-07T00:00:00"/>
        <d v="2023-10-12T00:00:00"/>
        <d v="2023-10-10T00:00:00"/>
        <s v="11/10/2023"/>
        <s v="14/10/2023"/>
        <d v="2023-10-17T00:00:00"/>
        <d v="2023-10-19T00:00:00"/>
        <s v="20/10/2023"/>
        <d v="2023-10-21T00:00:00"/>
        <d v="2023-10-25T00:00:00"/>
        <d v="2023-10-26T00:00:00"/>
        <d v="2023-10-27T00:00:00"/>
        <d v="2023-10-28T00:00:00"/>
        <d v="2023-10-30T00:00:00"/>
        <d v="2023-11-01T00:00:00"/>
        <d v="2023-11-03T00:00:00"/>
        <d v="2023-11-04T00:00:00"/>
        <d v="2023-11-06T00:00:00"/>
        <d v="2023-11-07T00:00:00"/>
        <d v="2023-11-09T00:00:00"/>
        <d v="2023-11-10T00:00:00"/>
        <d v="2023-11-15T00:00:00"/>
        <d v="2023-11-17T00:00:00"/>
        <d v="2023-11-21T00:00:00"/>
        <d v="2023-11-22T00:00:00"/>
        <d v="2023-11-24T00:00:00"/>
        <d v="2023-11-25T00:00:00"/>
        <d v="2023-11-27T00:00:00"/>
        <d v="2023-11-28T00:00:00"/>
        <d v="2023-11-29T00:00:00"/>
        <d v="2023-12-01T00:00:00"/>
        <d v="2023-12-02T00:00:00"/>
        <d v="2023-12-04T00:00:00"/>
        <d v="2023-12-07T00:00:00"/>
        <d v="2023-12-08T00:00:00"/>
        <d v="2023-12-09T00:00:00"/>
        <d v="2023-12-13T00:00:00"/>
        <d v="2023-12-14T00:00:00"/>
        <d v="2023-12-15T00:00:00"/>
        <d v="2023-12-16T00:00:00"/>
        <d v="2023-12-18T00:00:00"/>
        <d v="2023-12-19T00:00:00"/>
        <d v="2023-12-20T00:00:00"/>
        <d v="2023-12-21T00:00:00"/>
        <d v="2023-12-22T00:00:00"/>
        <d v="2023-12-27T00:00:00"/>
        <d v="2023-12-30T00:00:00"/>
      </sharedItems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3" count="5">
        <n v="2019"/>
        <n v="2020"/>
        <n v="2021"/>
        <n v="2022"/>
        <n v="2023"/>
      </sharedItems>
    </cacheField>
    <cacheField name="Invoice No" numFmtId="0">
      <sharedItems count="762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  <s v="INV00000321"/>
        <s v="INV00000322"/>
        <s v="INV00000323"/>
        <s v="INV00000324"/>
        <s v="INV00000325"/>
        <s v="INV00000326"/>
        <s v="INV00000327"/>
        <s v="INV00000328"/>
        <s v="INV00000329"/>
        <s v="INV00000330"/>
        <s v="INV00000331"/>
        <s v="INV00000332"/>
        <s v="INV00000333"/>
        <s v="INV00000334"/>
        <s v="INV00000335"/>
        <s v="INV00000336"/>
        <s v="INV00000337"/>
        <s v="INV00000338"/>
        <s v="INV00000339"/>
        <s v="INV00000340"/>
        <s v="INV00000341"/>
        <s v="INV00000342"/>
        <s v="INV00000343"/>
        <s v="INV00000344"/>
        <s v="INV00000345"/>
        <s v="INV00000346"/>
        <s v="INV00000347"/>
        <s v="INV00000348"/>
        <s v="INV00000349"/>
        <s v="INV00000350"/>
        <s v="INV00000351"/>
        <s v="INV00000352"/>
        <s v="INV00000353"/>
        <s v="INV00000354"/>
        <s v="INV00000355"/>
        <s v="INV00000356"/>
        <s v="INV00000357"/>
        <s v="INV00000358"/>
        <s v="INV00000359"/>
        <s v="INV00000360"/>
        <s v="INV00000361"/>
        <s v="INV00000362"/>
        <s v="INV00000363"/>
        <s v="INV00000364"/>
        <s v="INV00000365"/>
        <s v="INV00000366"/>
        <s v="INV00000367"/>
        <s v="INV00000368"/>
        <s v="INV00000369"/>
        <s v="INV00000370"/>
        <s v="INV00000371"/>
        <s v="INV00000372"/>
        <s v="INV00000373"/>
        <s v="INV00000374"/>
        <s v="INV00000375"/>
        <s v="INV00000376"/>
        <s v="INV00000377"/>
        <s v="INV00000378"/>
        <s v="INV00000379"/>
        <s v="INV00000380"/>
        <s v="INV00000381"/>
        <s v="INV00000382"/>
        <s v="INV00000383"/>
        <s v="INV00000384"/>
        <s v="INV00000385"/>
        <s v="INV00000386"/>
        <s v="INV00000387"/>
        <s v="INV00000388"/>
        <s v="INV00000389"/>
        <s v="INV00000390"/>
        <s v="INV00000391"/>
        <s v="INV00000392"/>
        <s v="INV00000393"/>
        <s v="INV00000394"/>
        <s v="INV00000395"/>
        <s v="INV00000396"/>
        <s v="INV00000397"/>
        <s v="INV00000398"/>
        <s v="INV00000399"/>
        <s v="INV00000400"/>
        <s v="INV00000401"/>
        <s v="INV00000402"/>
        <s v="INV00000403"/>
        <s v="INV00000404"/>
        <s v="INV00000405"/>
        <s v="INV00000406"/>
        <s v="INV00000407"/>
        <s v="INV00000408"/>
        <s v="INV00000409"/>
        <s v="INV00000410"/>
        <s v="INV00000411"/>
        <s v="INV00000412"/>
        <s v="INV00000413"/>
        <s v="INV00000414"/>
        <s v="INV00000415"/>
        <s v="INV00000416"/>
        <s v="INV00000417"/>
        <s v="INV00000418"/>
        <s v="INV00000419"/>
        <s v="INV00000420"/>
        <s v="INV00000421"/>
        <s v="INV00000422"/>
        <s v="INV00000423"/>
        <s v="INV00000424"/>
        <s v="INV00000425"/>
        <s v="INV00000426"/>
        <s v="INV00000427"/>
        <s v="INV00000428"/>
        <s v="INV00000429"/>
        <s v="INV00000430"/>
        <s v="INV00000431"/>
        <s v="INV00000432"/>
        <s v="INV00000433"/>
        <s v="INV00000434"/>
        <s v="INV00000435"/>
        <s v="INV00000436"/>
        <s v="INV00000437"/>
        <s v="INV00000438"/>
        <s v="INV00000439"/>
        <s v="INV00000440"/>
        <s v="INV00000441"/>
        <s v="INV00000442"/>
        <s v="INV00000443"/>
        <s v="INV00000444"/>
        <s v="INV00000445"/>
        <s v="INV00000446"/>
        <s v="INV00000447"/>
        <s v="INV00000448"/>
        <s v="INV00000449"/>
        <s v="INV00000450"/>
        <s v="INV00000451"/>
        <s v="INV00000452"/>
        <s v="INV00000453"/>
        <s v="INV00000454"/>
        <s v="INV00000455"/>
        <s v="INV00000456"/>
        <s v="INV00000457"/>
        <s v="INV00000458"/>
        <s v="INV00000459"/>
        <s v="INV00000460"/>
        <s v="INV00000461"/>
        <s v="INV00000462"/>
        <s v="INV00000463"/>
        <s v="INV00000464"/>
        <s v="INV00000465"/>
        <s v="INV00000466"/>
        <s v="INV00000467"/>
        <s v="INV00000468"/>
        <s v="INV00000469"/>
        <s v="INV00000470"/>
        <s v="INV00000471"/>
        <s v="INV00000472"/>
        <s v="INV00000473"/>
        <s v="INV00000474"/>
        <s v="INV00000475"/>
        <s v="INV00000476"/>
        <s v="INV00000477"/>
        <s v="INV00000478"/>
        <s v="INV00000479"/>
        <s v="INV00000480"/>
        <s v="INV00000481"/>
        <s v="INV00000482"/>
        <s v="INV00000483"/>
        <s v="INV00000484"/>
        <s v="INV00000486"/>
        <s v="INV00000487"/>
        <s v="INV00000488"/>
        <s v="INV00000489"/>
        <s v="INV00000490"/>
        <s v="INV00000491"/>
        <s v="INV00000492"/>
        <s v="INV00000493"/>
        <s v="INV00000494"/>
        <s v="INV00000495"/>
        <s v="INV00000496"/>
        <s v="INV00000497"/>
        <s v="INV00000498"/>
        <s v="INV00000499"/>
        <s v="INV00000500"/>
        <s v="INV00000501"/>
        <s v="INV00000502"/>
        <s v="INV00000503"/>
        <s v="INV00000504"/>
        <s v="INV00000505"/>
        <s v="INV00000506"/>
        <s v="INV00000507"/>
        <s v="INV00000508"/>
        <s v="INV00000509"/>
        <s v="INV00000510"/>
        <s v="INV00000511"/>
        <s v="INV00000512"/>
        <s v="INV00000513"/>
        <s v="INV00000514"/>
        <s v="INV00000515"/>
        <s v="INV00000516"/>
        <s v="INV00000517"/>
        <s v="INV00000518"/>
        <s v="INV00000519"/>
        <s v="INV00000520"/>
        <s v="INV00000521"/>
        <s v="INV00000522"/>
        <s v="INV00000523"/>
        <s v="INV00000524"/>
        <s v="INV00000525"/>
        <s v="INV00000526"/>
        <s v="INV00000527"/>
        <s v="INV00000528"/>
        <s v="INV00000529"/>
        <s v="INV00000530"/>
        <s v="INV00000531"/>
        <s v="INV00000532"/>
        <s v="INV00000533"/>
        <s v="INV00000534"/>
        <s v="INV00000535"/>
        <s v="INV00000536"/>
        <s v="INV00000537"/>
        <s v="INV00000538"/>
        <s v="INV00000539"/>
        <s v="INV00000540"/>
        <s v="INV00000541"/>
        <s v="INV00000542"/>
        <s v="INV00000543"/>
        <s v="INV00000544"/>
        <s v="INV00000545"/>
        <s v="INV00000546"/>
        <s v="INV00000547"/>
        <s v="INV00000548"/>
        <s v="INV00000549"/>
        <s v="INV00000550"/>
        <s v="INV00000551"/>
        <s v="INV00000552"/>
        <s v="INV00000553"/>
        <s v="INV00000554"/>
        <s v="INV00000555"/>
        <s v="INV00000556"/>
        <s v="INV00000557"/>
        <s v="INV00000558"/>
        <s v="INV00000559"/>
        <s v="INV00000560"/>
        <s v="INV00000561"/>
        <s v="INV00000562"/>
        <s v="INV00000563"/>
        <s v="INV00000564"/>
        <s v="INV00000565"/>
        <s v="INV00000566"/>
        <s v="INV00000567"/>
        <s v="INV00000568"/>
        <s v="INV00000569"/>
        <s v="INV00000570"/>
        <s v="INV00000571"/>
        <s v="INV00000572"/>
        <s v="INV00000573"/>
        <s v="INV00000574"/>
        <s v="INV00000575"/>
        <s v="INV00000576"/>
        <s v="INV00000577"/>
        <s v="INV00000578"/>
        <s v="INV00000579"/>
        <s v="INV00000580"/>
        <s v="INV00000581"/>
        <s v="INV00000582"/>
        <s v="INV00000583"/>
        <s v="INV00000584"/>
        <s v="INV00000585"/>
        <s v="INV00000586"/>
        <s v="INV00000587"/>
        <s v="INV00000588"/>
        <s v="INV00000589"/>
        <s v="INV00000590"/>
        <s v="INV00000591"/>
        <s v="INV00000592"/>
        <s v="INV00000593"/>
        <s v="INV00000594"/>
        <s v="INV00000595"/>
        <s v="INV00000596"/>
        <s v="INV00000597"/>
        <s v="INV00000598"/>
        <s v="INV00000599"/>
        <s v="INV00000600"/>
        <s v="INV00000601"/>
        <s v="INV00000602"/>
        <s v="INV00000603"/>
        <s v="INV00000604"/>
        <s v="INV00000605"/>
        <s v="INV00000606"/>
        <s v="INV00000607"/>
        <s v="INV00000608"/>
        <s v="INV00000609"/>
        <s v="INV00000610"/>
        <s v="INV00000611"/>
        <s v="INV00000612"/>
        <s v="INV00000613"/>
        <s v="INV00000614"/>
        <s v="INV00000615"/>
        <s v="INV00000616"/>
        <s v="INV00000617"/>
        <s v="INV00000618"/>
        <s v="INV00000619"/>
        <s v="INV00000620"/>
        <s v="INV00000621"/>
        <s v="INV00000622"/>
        <s v="INV00000623"/>
        <s v="INV00000624"/>
        <s v="INV00000625"/>
        <s v="INV00000626"/>
        <s v="INV00000627"/>
        <s v="INV00000628"/>
        <s v="INV00000629"/>
        <s v="INV00000630"/>
        <s v="INV00000631"/>
        <s v="INV00000632"/>
        <s v="INV00000633"/>
        <s v="INV00000634"/>
        <s v="INV00000635"/>
        <s v="INV00000636"/>
        <s v="INV00000637"/>
        <s v="INV00000638"/>
        <s v="INV00000639"/>
        <s v="INV00000640"/>
        <s v="INV00000641"/>
        <s v="INV00000642"/>
        <s v="INV00000643"/>
        <s v="INV00000644"/>
        <s v="INV00000645"/>
        <s v="INV00000646"/>
        <s v="INV00000647"/>
        <s v="INV00000648"/>
        <s v="INV00000649"/>
        <s v="INV00000650"/>
        <s v="INV00000651"/>
        <s v="INV00000652"/>
        <s v="INV00000653"/>
        <s v="INV00000654"/>
        <s v="INV00000655"/>
        <s v="INV00000656"/>
        <s v="INV00000657"/>
        <s v="INV00000658"/>
        <s v="INV00000659"/>
        <s v="INV00000660"/>
        <s v="INV00000661"/>
        <s v="INV00000662"/>
        <s v="INV00000663"/>
        <s v="INV00000664"/>
        <s v="INV00000665"/>
        <s v="INV00000666"/>
        <s v="INV00000667"/>
        <s v="INV00000668"/>
        <s v="INV00000669"/>
        <s v="INV00000670"/>
        <s v="INV00000671"/>
        <s v="INV00000672"/>
        <s v="INV00000673"/>
        <s v="INV00000674"/>
        <s v="INV00000675"/>
        <s v="INV00000676"/>
        <s v="INV00000677"/>
        <s v="INV00000678"/>
        <s v="INV00000679"/>
        <s v="INV00000680"/>
        <s v="INV00000681"/>
        <s v="INV00000682"/>
        <s v="INV00000683"/>
        <s v="INV00000684"/>
        <s v="INV00000685"/>
        <s v="INV00000686"/>
        <s v="INV00000687"/>
        <s v="INV00000688"/>
        <s v="INV00000689"/>
        <s v="INV00000690"/>
        <s v="INV00000691"/>
        <s v="INV00000692"/>
        <s v="INV00000693"/>
        <s v="INV00000694"/>
        <s v="INV00000695"/>
        <s v="INV00000696"/>
        <s v="INV00000697"/>
        <s v="DO00000698"/>
        <s v="DO00000699"/>
        <s v="DO00000700"/>
        <s v="DO00000701"/>
        <s v="DO00000702"/>
        <s v="DO00000703"/>
        <s v="DO00000704"/>
        <s v="DO00000705"/>
        <s v="DO00000706"/>
        <s v="DO00000707"/>
        <s v="DO00000708"/>
        <s v="DO00000709"/>
        <s v="DO00000710"/>
        <s v="DO00000711"/>
        <s v="DO00000712"/>
        <s v="DO00000713"/>
        <s v="DO00000714"/>
        <s v="DO00000715"/>
        <s v="DO00000716"/>
        <s v="DO00000717"/>
        <s v="DO00000718"/>
        <s v="DO00000719"/>
        <s v="DO00000720"/>
        <s v="DO00000721"/>
        <s v="DO00000722"/>
        <s v="DO00000723"/>
        <s v="DO00000724"/>
        <s v="DO00000725"/>
        <s v="DO00000726"/>
        <s v="DO00000727"/>
        <s v="DO00000728"/>
        <s v="DO00000729"/>
        <s v="DO00000730"/>
        <s v="DO00000731"/>
        <s v="DO00000732"/>
        <s v="DO00000733"/>
        <s v="DO00000734"/>
        <s v="DO00000735"/>
        <s v="DO00000736"/>
        <s v="DO00000737"/>
        <s v="DO00000738"/>
        <s v="DO00000739"/>
        <s v="DO00000740"/>
        <s v="DO00000741"/>
        <s v="DO00000742"/>
        <s v="DO00000743"/>
        <s v="DO00000744"/>
        <s v="DO00000745"/>
        <s v="DO00000746"/>
        <s v="DO00000747"/>
        <s v="DO00000748"/>
        <s v="DO00000749"/>
        <s v="DO00000750"/>
        <s v="DO00000751"/>
        <s v="DO00000752"/>
        <s v="DO00000753"/>
        <s v="DO00000754"/>
        <s v="DO00000755"/>
        <s v="DO00000756"/>
        <s v="DO00000757"/>
        <s v="DO00000758"/>
        <s v="DO00000759"/>
        <s v="DO00000760"/>
        <s v="DO00000761"/>
        <s v="DO00000762"/>
        <s v="DO00000763"/>
      </sharedItems>
    </cacheField>
    <cacheField name="Customer Code" numFmtId="0">
      <sharedItems/>
    </cacheField>
    <cacheField name="Customer Name" numFmtId="0">
      <sharedItems count="47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Cash - Zaina"/>
        <s v="Cash - Zaidi"/>
        <s v="Cash - ZTY Fibre"/>
        <s v="Cash - MLGaia Enterprise"/>
        <s v="Choi Fook Sing Enterprise Sdn Bhd"/>
        <s v="Suntruck Sdn Bhd"/>
        <s v="WSA Engineering Sdn Bhd"/>
        <s v="Bestway Bina Sdn Bhd"/>
        <s v="Dynamic Builders Trading"/>
        <s v="Airebus Sdn Bhd"/>
        <s v="Welltech (M) Sdn Bhd"/>
        <s v="Cash Hamdan"/>
        <s v="RBD World Wide Sdn Bhd"/>
        <s v="Cash - Encik Razak"/>
      </sharedItems>
    </cacheField>
    <cacheField name="Product" numFmtId="0">
      <sharedItems containsBlank="1" count="330">
        <s v="RA Resin SHCP 268W (225kg)"/>
        <s v="RA CSM 450 GSM JUSHI 37kg 79m(L) X 1040mm(W)"/>
        <s v="RA Gelcoat GS-S ISO (20kg)"/>
        <s v="RB Acetone (160Kg)"/>
        <s v="RA Butanox M50 (5Kg)"/>
        <s v="RA Gelcoat GP-H (20Kg)"/>
        <s v="RA Silicone Rubber (25Kg)"/>
        <s v="RA Nor 3338W (220Kg)"/>
        <s v="RC Woven Roving E-800 40Kg 1000mm"/>
        <s v="RA CSM 300 GSM TWL 30kg 64m(L) x 1040mm(W)"/>
        <s v="RA CSM 450 GSM 54kg 64m(L) X 1860mm(W)"/>
        <s v="RA Gelcoat GS-H (20kg)"/>
        <s v="RA Talcum Powder (25Kg)"/>
        <s v="RA Norsodyne 3338NW (220Kg)"/>
        <s v="RA Bosny Wax (15kg)"/>
        <s v="RA Resin 3317AW (220Kg)"/>
        <s v="RA CSM 300 GSM 54Kg 96m(L) X 1860mm(W)"/>
        <s v="RA Accelerator (5kg)"/>
        <s v="RA Mirror Glaze"/>
        <s v="RA Pigment Super White (25Kg)"/>
        <s v="Brush 2 1/2&quot; (12 pc)"/>
        <s v="RA Pigment Black (5Kg)"/>
        <s v="RA GP Resin (225Kg)"/>
        <s v="Alkaline resistance Chopped Strand 24MM (18Kgs)"/>
        <s v="Transport charge"/>
        <s v="RA Miracle Gloss Wax"/>
        <s v="RA CSM 450 GSM TWL 30kg 64m(L) X 1040mm(W)"/>
        <s v="RA Norsodyne 3338W (220Kg)"/>
        <s v="RA CSM 450 30kg 79m(L) X 1040mm(W)"/>
        <s v="RA Tooling Gelcoat RP92 (22Kg)"/>
        <s v="RA CSM 450 54kg 64m(L) X 1860mm(W)"/>
        <s v="RA Vinlyeter Resin (200Kg)"/>
        <s v="RA Mirror Glaze Mold Release "/>
        <s v="RA Pigment H 2006 Dark Grey (5Kg)"/>
        <s v="RA Deawa DW-5213"/>
        <s v="RA Pigment H 7001 Bright Orange (5Kg)"/>
        <s v="RA Steel Roller 3&quot;"/>
        <s v="RA Aerosil (Silica Fume) (10Kg)"/>
        <s v="RA Accelerator (4Kg)"/>
        <s v="RA Styrene Monomer (6Kg)"/>
        <s v="RA Steel Roller 4&quot;"/>
        <s v="RC Woven Roving E-800 1000mm (40Kg)"/>
        <s v="RA Pigment Super White (5Kg)"/>
        <s v="RA Nor 3338NW (220Kg)"/>
        <s v="RA Resin 8201W (225Kg)"/>
        <s v="RA Resin 3338AW (220Kg)"/>
        <s v="RA Resin 9539NW (225Kg)"/>
        <s v="RD Paint Brush 3&quot;(12Pc/Ctr)"/>
        <s v="RH Bosny Wax (15kg)"/>
        <s v="RF Nor 3338NW (220Kg)"/>
        <s v="RG CSM 450 GSM 54kg 64m(L) X 1860mm(W)"/>
        <s v="Mould Released"/>
        <s v="RE Frekote 770NC (1 Gallon)"/>
        <s v="RD Steel Roller 4&quot;"/>
        <s v="RD Steel Roller 3&quot;"/>
        <s v="RD Brush 1.1/2 (12 PC)"/>
        <s v="RD Brush 3&quot; (12 PC)"/>
        <s v="RA CSM 450 TWL 60kg 64m(L) X 2080mm(W)"/>
        <s v="RA CSM 300 GSM 54kg 64m(L) X 1860mm(W)"/>
        <s v="RA Resin (25kg)"/>
        <s v="RA Mepoxe M (5kg)"/>
        <s v="RA Resin 3338NW (220kg)"/>
        <s v="RF Resin 3317AW (220Kg)"/>
        <s v="RI Silicone Rubber (25kg)"/>
        <s v="RA Resin SHCP268W (225kg)"/>
        <s v="RA CSM 450 TWL (37Kg) 1040mm"/>
        <s v="RA Woven Roving E-600 (45kg) 1120mm"/>
        <s v="RG CSM 450 CQ 54kg 64m(L) X 1860mm(W)"/>
        <s v="RJ TR104 Hi Temp Wax"/>
        <s v="RA VE Resin (25kg)"/>
        <s v="RA GP ResinW (225Kg)"/>
        <s v="RK Smooth Cream (25kg)"/>
        <s v="RA CSM 450 37kg 79m(L) X 1040mm(W)"/>
        <s v="RA Pigment Black (1kg)"/>
        <s v="RA Resin 3317AW (20Kg)"/>
        <s v="RD Paint Brush 1.1/2&quot;(12Pc/Ctr)"/>
        <s v="RA Tissue Mat (300M2) 30G/M2 1Meter (9Kg) Soft"/>
        <s v="RA Resin 9539W (225Kg)"/>
        <s v="RA CSM 450 GSM 51kg 64m(L) X 1860mm(W)"/>
        <s v="RF Resin 3338NW (220Kg)"/>
        <s v="RA CSM 300 TWL 54Kg 96m(L) X 1860mm(W)"/>
        <s v="RL CSM 450 Jushi 64kg 1800mm(W)"/>
        <s v="RL CSM 450 Jushi 37kg 1040mm(W)"/>
        <s v="RA CSM 450 (30Kg) 64m(L) x 1040mm(W)"/>
        <s v="RF Woven Roving E-600 (45kg) 1120mm"/>
        <s v="RG Resin 3317AW (220Kg)"/>
        <s v="RG TR104 Hi Temp Wax"/>
        <s v="RG CSM 300 (30Kg) 64m(L) x 1040mm(W)"/>
        <s v="RG Resin 3338AW (220kg)"/>
        <s v="RG CSM 450 30kg 79m(L) X 1040mm(W)"/>
        <s v="RA CSM 450 (60Kg) 64m(L) x 2080mm(W)"/>
        <s v="RG Woven Roving E-600 (45kg) 1120mm"/>
        <s v="RG Nor 3338W (220Kg)"/>
        <s v="RA Butanox M50"/>
        <s v="RG Nor 3338NW (220Kg)"/>
        <s v="RG CSM 450 (30Kg) 64m(L) x 1040mm(W)"/>
        <s v="RM Nor 3338NW (220Kg)"/>
        <s v="RM Wax Solution 54-56 (10L)"/>
        <s v="RM NPG Gelcoat 9319-H (25Kg)"/>
        <s v="RM Pgment Paste Riviera Blue B5 (5Kg)"/>
        <s v="RM CSM 450 64m(L) 1040mm(W) (30Kg)"/>
        <s v="RM Woven Roving E-600gm 1000mm (40Kg)"/>
        <s v="RA Pigment Super Black (5kg)"/>
        <s v="RM Cobalt (5kg)"/>
        <s v="RM Acetone (163Kg)"/>
        <s v="RM Pigment Smooth Cream (25kg)"/>
        <s v="RJ Mepoxe (5kg)"/>
        <s v="RM Gelcoat GSH"/>
        <s v="RM CSM 450 (60Kg) 64m(L) x 2080mm(W)"/>
        <s v="RA CSM 300 (54Kg) 1860mm"/>
        <s v="RA Resin 3317AW (25Kg)"/>
        <s v="RM NPG Gelcoat 9319-H (5Kg)"/>
        <s v="RM CSM 450 64m(L) X 1860mm(W) (54kg)"/>
        <s v="RA Nor 3317W (220Kg)"/>
        <s v="Resin 3317AW (25Kg)"/>
        <s v="CSM 450 64m(L) 1040mm(W) (30Kg)"/>
        <s v="Mepoxe (5kg)"/>
        <s v="Talcum Powder (25kg)"/>
        <s v="RM Resin 3317AW (220Kg)"/>
        <s v="RM Butanox M50"/>
        <s v="RM Nor 3338W (220Kg)"/>
        <s v="RM Resin 3338AW (220kg)"/>
        <s v="Epoxy primer 15kg + Hardener 7.5kg "/>
        <s v="RM Pigment Super Black (5kg)"/>
        <s v="RM Pgment Opaline (10Kg)"/>
        <s v="RM Gelcoat GPH (20Kg)"/>
        <s v="RM Catalyst Despender"/>
        <s v="RM Resin Nor 3317AW (220Kg)"/>
        <s v="RJ Woven Roving E-600gm 1000mm (40Kg)"/>
        <s v="RA Miracle Gloss Wax No. 8 (311g/Can)"/>
        <s v="RM Dark Gray (5Kg)"/>
        <s v="RM Fume silica HJSIL 200(10Kg)"/>
        <s v="RM Talcum Powder (25kg)"/>
        <s v="RA  Woven Roing 600 1120mm (45kg)"/>
        <s v="RA Sand Wheel 105 X 2 X 16 (30PC)"/>
        <s v="RM Woven Roving E-800 1000mm (40Kg)"/>
        <s v="RA/RM Pigment Super White (5Kg)"/>
        <s v="RM TR104 Hi Temp Wax (12Can)"/>
        <s v="RM PVA (5Kg)"/>
        <s v="RM CSM 450 Jushi 64m(L) X 1860mm(W) (67Kg)"/>
        <s v="RA CSM 300 96m(L) X 1860mm(W) (54Kg)"/>
        <s v="RM Pigment Super White (5Kg)"/>
        <s v="RA CSM 450 GSM JUSHI 79m(L) X 1040mm(W) (37kg)"/>
        <s v="-"/>
        <s v="RM Resin Nor 3338W (220Kg)"/>
        <s v="RM Resin 268BQTN (225Kg)"/>
        <s v="RM Cobalt 10% (5Kg)"/>
        <s v="RA CSM 450 Jushi 64m(L) x 1040mm(W) (37Kg)"/>
        <s v="RA CSM 450 64m(L) 1040mm(W) (30Kg)"/>
        <s v="RM Vinyl Ester Resin (20Kg)"/>
        <s v="RM Butanox M50 (5kg)"/>
        <s v="RD Brush 3&quot; (12Pc)"/>
        <s v="RJ Butonox M50 (5kg)"/>
        <s v="RM TR104 Hi Temp Wax"/>
        <s v="RJ Woven Roving E-600 (42kg) 1120mm"/>
        <s v="RA CSM 300 (30Kg) 64m(L) x 1040mm(W)"/>
        <s v="RA Woven Roing 600 1120mm (45kg)"/>
        <s v="RA CSM 450 79m(L) x 1040mm(W) (30Kg)"/>
        <s v="RA Woven Roving 600 1120mm (45kg)"/>
        <s v="RM Pigment Paste Smooth Cream M19 (25kg)"/>
        <s v="RJ Butanox M50 (5kg)"/>
        <s v="RD Brush 2&quot; (12Pc)"/>
        <s v="RM Pigment Orange (5Kg)"/>
        <s v="RM CSM 300 96m(L) X 1860mm(W) (54Kg)"/>
        <s v="RA Woven Roving 600 1000mm (40kg)"/>
        <s v="RM Gelcoat GSH (20Kg)"/>
        <s v="Transportation fee "/>
        <s v="RM Nor 3338W (20Kg)"/>
        <s v="RM Resin 3338W (22.50kg)"/>
        <s v="RM VE Resin (22.50kg)"/>
        <s v="RM CSM 450 GSM 1040mm (30kg)"/>
        <s v="RA Mepoxe (5kg)"/>
        <s v="RM Woven Roving 600 1000mm (40Kg)"/>
        <s v="RM MEKP-9 (3.6Kg)"/>
        <s v="RM Brush 3&quot; (12Pc)"/>
        <s v="RA CSM 300  64m(L) x 1040mm(W) (30Kg)"/>
        <s v="RA Woven Roving 600 1020mm (45Kg)"/>
        <s v="RM Steel Roller 4&quot; 10mm"/>
        <s v="RM Steel Roller 4&quot; 16mm"/>
        <s v="Transport fee for DO00000389-1"/>
        <s v="RM Pgment Paste Riviera Blue B5 (1Kg)"/>
        <s v="RM CSM 450 CQ 54kg 64m(L) X 1860mm(W)"/>
        <s v="RM Aerosil (Silica Fume) (10Kg)"/>
        <s v="RN Bosny Wax (12Kg)"/>
        <s v="RM CSM 450 79m(L) x 1040mm(W) (30Kg)"/>
        <s v="RJ Woven Roving E-600gm 1000mm (42Kg)"/>
        <s v="RM Pigment Paste Smooth Cream M19 (5Kg)"/>
        <s v="RM Pigment Paste Smooth Cream M19 (20Kg)"/>
        <s v="RA Resin 3338W (220kg)"/>
        <s v="RA Nor 3338NonWax (220Kg)"/>
        <s v="RA CSM 300 64m(L) 1040mm(W) (30Kg)"/>
        <s v="RJ Woven Roving E-600gm 1000mm (42Kg) (offer price)*"/>
        <s v="RM Pigment Pearl Grey (2Kg)"/>
        <s v="RM Pigment Light Grey (2Kg)"/>
        <s v="RA CSM 300 64m(L) x 1040mm(W) (30Kg) "/>
        <s v="RA Nor 9539NonWax (225Kg)"/>
        <s v="RJ Woven Roving E-600gm 1000mm (42Kg) (offer price)"/>
        <s v="RA Honeycomb 12mm - 1220(W) x 2440(L)"/>
        <s v="RA Honeycomb 9mm - 1220(W) x 2440(L)"/>
        <s v="RM GP NPG 9319-H (25kg)"/>
        <s v="Desuki Affela Empire Enterprise"/>
        <s v="RM Resin 3338W (20Kg)"/>
        <s v="Brush 1.1/2&quot;(12Pc)"/>
        <s v="RM Resin 3330W (220Kg)"/>
        <s v="Pgment Paste Riviera Blue B5 (2Kg)"/>
        <s v="Pgment Paste Navy Blue B15 (2Kg)"/>
        <s v="RM VE Tooling Gelcoat 14 (Unpromoted) (orange) 25kg "/>
        <s v="RM VE Resin SW901-3 (unpromoted) 25kg "/>
        <s v="RM Cobalt 10% (0.06kg) Free of Charge"/>
        <s v="RM Tissue Mat (250 meter)"/>
        <s v="RM Steel Roller 3&quot; 16mm"/>
        <s v="RM Pigment Super White (2Kg)"/>
        <s v="RM Pigment Signal Red (2kg)"/>
        <s v="RM Pigment Light Grey (5kg)"/>
        <s v="RM Pigment Signal Red (5kg)"/>
        <s v="RM Honeycomb 12mm - 1220(W) x 2440(L)"/>
        <s v="RM CSM 450 1040mm(W) (30Kg)"/>
        <s v="RM Nor 3338NonWax (220Kg)"/>
        <s v="RM Pigment Super White (25kg)"/>
        <s v="RM CSM 300 1860mm(W) (54kg)"/>
        <s v="RM CSM 300 1040mm(W) (30kg)"/>
        <s v="Pigment Light Grey G1 (2kg)"/>
        <s v="Pigment Signal Red R13 (2kg)"/>
        <s v="RM Resin 3338W (220kg)"/>
        <s v="RM Miracle Gloss Wax No. 8 (311g/Can)"/>
        <s v="RM Nor 3317W (220Kg)"/>
        <s v="RM CSM 450 1860mm(W) (54kg)"/>
        <s v="RM Mepoxe M (MEKP) (5kg)"/>
        <s v="RM Miracle Gloss Wax No. 8 (311g/Can) "/>
        <s v="RM Woven Roving E-600gm 1000mm (42Kg)"/>
        <s v="Resin 3317AW (220kg)"/>
        <s v="CSM 450 GSM 1860mm (54kg)"/>
        <s v="CSM 300 GSM 1860mm (54kg)"/>
        <s v="Gelcoat GP-H (20kg)"/>
        <s v="TR104 Wax Mould Release"/>
        <s v="Pigment Grey G13 (25kg)"/>
        <s v="Frekote 770NC (1 Gallon)"/>
        <s v="Butanox M50 (5Kg)"/>
        <s v="Brush 3&quot; (12pcs)"/>
        <s v="Brush 1.1/2&quot; (12pcs)"/>
        <s v="Acetone (163kg)"/>
        <s v="RM Pigment White (5Kg)"/>
        <s v="RM Pigment Black (5Kg)"/>
        <s v="RM Gelcoat NPG 9319-H (25kg)"/>
        <s v="RM Chemlease 71-90 EZ (1 gallon)"/>
        <s v="RM Pigment Paste Grey (12Kg)"/>
        <s v="RM Pigment Super White (5Kg)  **Or 20kg x 1 pail"/>
        <s v="RA CSM 450 1040mm(W) (30kg)"/>
        <s v="RM CSM 450 64m(L) X 1860mm(W) (67kg)"/>
        <s v="RM Pigment Super White (30kg)"/>
        <s v="RM Resin 3338W (20g)"/>
        <s v="RM Resin 3338W (25g)"/>
        <s v="RM Resin 3338NW (220kg)"/>
        <s v="RM CLiQSPERSE PB (5kg)"/>
        <s v="RM CSM 450 1860mm(W) (67kg)"/>
        <s v="RM Nor 3338W (30Kg)"/>
        <s v="RM Pigment Paste Smooth Cream M19 (2Kg)"/>
        <s v="RM Woven Roving E-600gm 1000mm (42g)"/>
        <s v="RM Woven Roving E-600gm 1000mm (40g)"/>
        <s v="RM Pigment Yellow Orange Y11 (5Kg)"/>
        <s v="RM Resin 3338W (25kg)"/>
        <s v="Transportation Charge"/>
        <s v="Chemlease 71-90 EZ (1 gallon)"/>
        <s v="Pigment Super White W2 (5kg)  "/>
        <s v="Woven Roving 600 1000mm (40kg)"/>
        <s v="Pigment Super Black PE30 (5kg)"/>
        <s v="Pigment Super White W2 (5kg)"/>
        <s v="RM Resin 3310W (220kg)"/>
        <s v="RM Gelcoat GP-H (20kg)"/>
        <s v="RM Brush 3&quot; "/>
        <s v="RM Brush 2&quot;"/>
        <s v="RM Pigment Super White (2kg)  "/>
        <s v="RM Pigment Super Black (2kg)  "/>
        <s v="RM Pigment Orange (2kg)  "/>
        <s v="RM Pigment Super Black PE30 (5kg)"/>
        <s v="RM Pigment Pearl Grey G2 (5Kg)"/>
        <s v="Transportation fee"/>
        <s v="RM Pigment Paste Riviera Blue B5 (2Kg)"/>
        <s v="RM Pigment Light Grey G1 (5kg)"/>
        <s v="RA Resin 3317W (220Kg)"/>
        <s v="RM CSM 450 GSM 1860mm (54kg)"/>
        <s v="RM CSM 300 GSM 1860mm (54kg)"/>
        <s v="RM Pigment Grey G13 (25kg)"/>
        <s v="RD Brush 3&quot; (12pcs)"/>
        <s v="RD Brush 2&quot; (12pcs)"/>
        <s v="RJ Woven Roing 600 1000mm (40kg)"/>
        <s v="RM Accelerator (4kg)"/>
        <s v="RM Pigment Super White (5Kg) "/>
        <s v="RM NPG Gelcoat 9319-H (22kg)"/>
        <s v="RM Pigment Super White (5kg) High viscosity "/>
        <s v="RM Pigment Super White (5kg) High viscosity FOC sample"/>
        <s v="RJ Woven Roving E-600gm 1000mm (40g)"/>
        <s v="RM Pigment Super White W2 (5kg)"/>
        <s v="RA CSM 300 1040mm(W) (30Kg)"/>
        <s v="RM Pigment Super White W2HV (5Kg)"/>
        <s v="RM Paint Roller 4&quot; "/>
        <s v="RM VE Resin 901-3 (200Kg)"/>
        <s v="RM Pigment Riviera Blue B5 (5kg)"/>
        <s v="RM Pigment Paste Light Grey G1 (5kg)"/>
        <s v="RA CSM 450 64m(L) X 1860mm(W) (54kg)"/>
        <s v="RM 800g/450g 1250mm (50Kg)"/>
        <s v="RJ Woven Roving E-800gm 1120mm (45g)"/>
        <s v="RA Woven Roving E-600gm 1120mm (45Kg)"/>
        <s v="RM VE Resin 901-3P (200Kg)"/>
        <s v="RM Pigment Grey RAL 7038 (25kg)"/>
        <s v="RA Resin 9509NW (225Kg)"/>
        <m/>
        <s v="Resin 3338W (20Kg)"/>
        <s v="CSM 450  64m(L) X 1860mm(W) (54kg)"/>
        <s v="Pigment Brown Mahogany (5kg)"/>
        <s v="Transport fee "/>
        <s v="RA Woven Roving E-600gm 1000mm (40Kg)"/>
        <s v="RA CSM 450 Jushi 64m(L) 1040mm(W) (37Kg)"/>
        <s v="RO CSM 450 Jushi 79m(L) x 1040mm(W) (37Kg)"/>
        <s v="RO CSM 450 Jushi 1040mm(W) (37Kg)"/>
        <s v="RO Gelcoat LB988 (22kg)"/>
        <s v="RO Resin 8213W (225kg)"/>
        <s v="RO Polymal LB-9888 (22kg)"/>
        <s v="RO CSM 450 1040mm(W) (37kg)"/>
        <s v="RP Talcum Powder (25Kg)"/>
        <s v="RM TR104 Wax Mould Release"/>
        <s v="RM Pigment Paste Riviera Blue B5 (5Kg)"/>
        <s v="RM Sand Wheel 105 X 2 X 16 (30PC)"/>
        <s v="RM Tissue Mat (250 M2)"/>
        <s v="RD Brush 2&quot; "/>
        <s v="RO CSM 450 Jushi 64m(L) X 1860mm(W) (67kg)"/>
        <s v="RO CSM 450 1860mm(W) (54kg)"/>
        <s v="RO CSM 450 64m(L) X 1860mm(W) (67kg)"/>
        <s v="RO Gelcoat LB9888 (22kg)"/>
        <s v="RM Pigment Chestnut Brown C1 (5kg)"/>
      </sharedItems>
    </cacheField>
    <cacheField name="Qty" numFmtId="0">
      <sharedItems containsSemiMixedTypes="0" containsString="0" containsNumber="1" containsInteger="1" minValue="0" maxValue="51"/>
    </cacheField>
    <cacheField name="Payment Term" numFmtId="0">
      <sharedItems containsMixedTypes="1" containsNumber="1" containsInteger="1" minValue="30" maxValue="120"/>
    </cacheField>
    <cacheField name="Term" numFmtId="0">
      <sharedItems containsMixedTypes="1" containsNumber="1" containsInteger="1" minValue="0" maxValue="120" count="6">
        <n v="0"/>
        <n v="45"/>
        <n v="120"/>
        <n v="60"/>
        <e v="#N/A"/>
        <n v="30"/>
      </sharedItems>
    </cacheField>
    <cacheField name="Due date" numFmtId="14">
      <sharedItems containsDate="1" containsMixedTypes="1" minDate="2019-12-23T00:00:00" maxDate="2024-04-17T00:00:00"/>
    </cacheField>
    <cacheField name="Period (Due)" numFmtId="0">
      <sharedItems containsMixedTypes="1" containsNumber="1" containsInteger="1" minValue="1" maxValue="12" count="13">
        <n v="12"/>
        <n v="6"/>
        <n v="8"/>
        <n v="10"/>
        <n v="7"/>
        <n v="11"/>
        <n v="9"/>
        <n v="1"/>
        <n v="2"/>
        <n v="3"/>
        <e v="#N/A"/>
        <n v="4"/>
        <n v="5"/>
      </sharedItems>
    </cacheField>
    <cacheField name="Year (Due)" numFmtId="0">
      <sharedItems containsMixedTypes="1" containsNumber="1" containsInteger="1" minValue="2019" maxValue="2024" count="7">
        <n v="2019"/>
        <n v="2020"/>
        <n v="2021"/>
        <e v="#N/A"/>
        <n v="2022"/>
        <n v="2023"/>
        <n v="2024"/>
      </sharedItems>
    </cacheField>
    <cacheField name="Sales Amount" numFmtId="0">
      <sharedItems containsSemiMixedTypes="0" containsString="0" containsNumber="1" minValue="0" maxValue="27060"/>
    </cacheField>
    <cacheField name="Collection" numFmtId="0">
      <sharedItems containsString="0" containsBlank="1" containsNumber="1" minValue="-27060" maxValue="0"/>
    </cacheField>
    <cacheField name="Outstanding" numFmtId="0">
      <sharedItems containsString="0" containsBlank="1" containsNumber="1" minValue="-179.39999999999998" maxValue="27060"/>
    </cacheField>
    <cacheField name="Total Sales " numFmtId="43">
      <sharedItems containsSemiMixedTypes="0" containsString="0" containsNumber="1" minValue="1530" maxValue="4082381.1500000018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audrinayoo" refreshedDate="45357.826586574076" createdVersion="8" refreshedVersion="8" minRefreshableVersion="3" recordCount="1360">
  <cacheSource type="worksheet">
    <worksheetSource ref="A1:T1361" sheet="Raw Sales"/>
  </cacheSource>
  <cacheFields count="20">
    <cacheField name="Invoice Date" numFmtId="0">
      <sharedItems containsDate="1" containsMixedTypes="1" minDate="2019-12-23T00:00:00" maxDate="2023-02-02T00:00:00" count="308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  <d v="2022-09-02T00:00:00"/>
        <s v="5/9/2022"/>
        <d v="2022-09-06T00:00:00"/>
        <d v="2022-09-09T00:00:00"/>
        <d v="2022-09-13T00:00:00"/>
        <d v="2022-09-14T00:00:00"/>
        <d v="2022-09-15T00:00:00"/>
        <d v="2022-09-23T00:00:00"/>
        <d v="2022-09-24T00:00:00"/>
        <d v="2022-09-26T00:00:00"/>
        <d v="2022-09-28T00:00:00"/>
        <d v="2022-10-01T00:00:00"/>
        <s v="3/10/2022"/>
        <s v="1/10/2022"/>
        <d v="2022-10-02T00:00:00"/>
        <d v="2022-10-11T00:00:00"/>
        <d v="2022-10-13T00:00:00"/>
        <d v="2022-10-15T00:00:00"/>
        <d v="2022-10-17T00:00:00"/>
        <d v="2022-10-18T00:00:00"/>
        <d v="2022-10-20T00:00:00"/>
        <d v="2022-10-21T00:00:00"/>
        <d v="2022-10-22T00:00:00"/>
        <d v="2022-10-27T00:00:00"/>
        <d v="2022-10-31T00:00:00"/>
        <d v="2022-11-01T00:00:00"/>
        <d v="2022-11-03T00:00:00"/>
        <d v="2022-11-04T00:00:00"/>
        <d v="2022-11-05T00:00:00"/>
        <d v="2022-11-07T00:00:00"/>
        <d v="2022-11-08T00:00:00"/>
        <d v="2022-11-09T00:00:00"/>
        <d v="2022-11-11T00:00:00"/>
        <d v="2022-11-14T00:00:00"/>
        <d v="2022-11-15T00:00:00"/>
        <s v="17/11/2022"/>
        <s v="22/11/2022"/>
        <d v="2022-11-29T00:00:00"/>
        <d v="2022-11-30T00:00:00"/>
        <d v="2022-12-01T00:00:00"/>
        <d v="2022-12-02T00:00:00"/>
        <d v="2022-12-03T00:00:00"/>
        <d v="2022-12-05T00:00:00"/>
        <d v="2022-12-06T00:00:00"/>
        <d v="2022-12-07T00:00:00"/>
        <d v="2022-12-09T00:00:00"/>
        <d v="2022-12-13T00:00:00"/>
        <s v="14/12/2022"/>
        <d v="2022-12-22T00:00:00"/>
        <d v="2022-12-20T00:00:00"/>
        <s v="23/12/2022"/>
        <d v="2022-12-24T00:00:00"/>
        <d v="2022-12-27T00:00:00"/>
        <d v="2022-12-28T00:00:00"/>
        <d v="2022-12-30T00:00:00"/>
        <d v="2023-01-05T00:00:00"/>
        <d v="2023-01-06T00:00:00"/>
        <d v="2023-01-07T00:00:00"/>
        <d v="2023-01-09T00:00:00"/>
        <d v="2023-01-11T00:00:00"/>
        <d v="2023-01-12T00:00:00"/>
        <d v="2023-01-13T00:00:00"/>
        <d v="2023-01-14T00:00:00"/>
        <d v="2023-01-16T00:00:00"/>
        <d v="2023-01-18T00:00:00"/>
        <d v="2023-01-19T00:00:00"/>
        <d v="2023-01-20T00:00:00"/>
        <d v="2023-01-27T00:00:00"/>
        <d v="2023-01-30T00:00:00"/>
        <d v="2023-02-01T00:00:00"/>
      </sharedItems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3" count="5">
        <n v="2019"/>
        <n v="2020"/>
        <n v="2021"/>
        <n v="2022"/>
        <n v="2023"/>
      </sharedItems>
    </cacheField>
    <cacheField name="Invoice No" numFmtId="0">
      <sharedItems count="421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  <s v="INV00000321"/>
        <s v="INV00000322"/>
        <s v="INV00000323"/>
        <s v="INV00000324"/>
        <s v="INV00000325"/>
        <s v="INV00000326"/>
        <s v="INV00000327"/>
        <s v="INV00000328"/>
        <s v="INV00000329"/>
        <s v="INV00000330"/>
        <s v="INV00000331"/>
        <s v="INV00000332"/>
        <s v="INV00000333"/>
        <s v="INV00000334"/>
        <s v="INV00000335"/>
        <s v="INV00000336"/>
        <s v="INV00000337"/>
        <s v="INV00000338"/>
        <s v="INV00000339"/>
        <s v="INV00000340"/>
        <s v="INV00000341"/>
        <s v="INV00000342"/>
        <s v="INV00000343"/>
        <s v="INV00000344"/>
        <s v="INV00000345"/>
        <s v="INV00000346"/>
        <s v="INV00000347"/>
        <s v="INV00000348"/>
        <s v="INV00000349"/>
        <s v="INV00000350"/>
        <s v="INV00000351"/>
        <s v="INV00000352"/>
        <s v="INV00000353"/>
        <s v="INV00000354"/>
        <s v="INV00000355"/>
        <s v="INV00000356"/>
        <s v="INV00000357"/>
        <s v="INV00000358"/>
        <s v="INV00000359"/>
        <s v="INV00000360"/>
        <s v="INV00000361"/>
        <s v="INV00000362"/>
        <s v="INV00000363"/>
        <s v="INV00000364"/>
        <s v="INV00000365"/>
        <s v="INV00000366"/>
        <s v="INV00000367"/>
        <s v="INV00000368"/>
        <s v="INV00000369"/>
        <s v="INV00000370"/>
        <s v="INV00000371"/>
        <s v="INV00000372"/>
        <s v="INV00000373"/>
        <s v="INV00000374"/>
        <s v="INV00000375"/>
        <s v="INV00000376"/>
        <s v="INV00000377"/>
        <s v="INV00000378"/>
        <s v="INV00000379"/>
        <s v="INV00000380"/>
        <s v="INV00000381"/>
        <s v="INV00000382"/>
        <s v="INV00000383"/>
        <s v="INV00000384"/>
        <s v="INV00000385"/>
        <s v="INV00000386"/>
        <s v="INV00000387"/>
        <s v="INV00000388"/>
        <s v="INV00000389"/>
        <s v="INV00000390"/>
        <s v="INV00000391"/>
        <s v="INV00000392"/>
        <s v="INV00000393"/>
        <s v="INV00000394"/>
        <s v="INV00000395"/>
        <s v="INV00000396"/>
        <s v="INV00000397"/>
        <s v="INV00000398"/>
        <s v="INV00000399"/>
        <s v="INV00000400"/>
        <s v="INV00000401"/>
        <s v="INV00000402"/>
        <s v="INV00000403"/>
        <s v="INV00000404"/>
        <s v="INV00000405"/>
        <s v="INV00000406"/>
        <s v="INV00000407"/>
        <s v="INV00000408"/>
        <s v="INV00000409"/>
        <s v="INV00000410"/>
        <s v="INV00000411"/>
        <s v="INV00000412"/>
        <s v="INV00000413"/>
        <s v="INV00000414"/>
        <s v="INV00000415"/>
        <s v="INV00000416"/>
        <s v="INV00000417"/>
        <s v="INV00000418"/>
        <s v="INV00000419"/>
        <s v="INV00000420"/>
        <s v="INV00000421"/>
      </sharedItems>
    </cacheField>
    <cacheField name="Customer Code" numFmtId="0">
      <sharedItems/>
    </cacheField>
    <cacheField name="Customer Name" numFmtId="0">
      <sharedItems count="36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Cash - Zaina"/>
        <s v="Cash - Zaidi"/>
        <s v="Cash - ZTY Fibre"/>
      </sharedItems>
    </cacheField>
    <cacheField name="Product" numFmtId="0">
      <sharedItems/>
    </cacheField>
    <cacheField name="Qty" numFmtId="0">
      <sharedItems containsSemiMixedTypes="0" containsString="0" containsNumber="1" containsInteger="1" minValue="0" maxValue="51"/>
    </cacheField>
    <cacheField name="Payment Term" numFmtId="0">
      <sharedItems containsMixedTypes="1" containsNumber="1" containsInteger="1" minValue="45" maxValue="120"/>
    </cacheField>
    <cacheField name="Term" numFmtId="0">
      <sharedItems containsMixedTypes="1" containsNumber="1" containsInteger="1" minValue="0" maxValue="120"/>
    </cacheField>
    <cacheField name="Due date" numFmtId="14">
      <sharedItems containsDate="1" containsMixedTypes="1" minDate="2019-12-23T00:00:00" maxDate="2023-05-19T00:00:00"/>
    </cacheField>
    <cacheField name="Period (Due)" numFmtId="0">
      <sharedItems containsMixedTypes="1" containsNumber="1" containsInteger="1" minValue="1" maxValue="12"/>
    </cacheField>
    <cacheField name="Year (Due)" numFmtId="0">
      <sharedItems containsMixedTypes="1" containsNumber="1" containsInteger="1" minValue="2019" maxValue="2023"/>
    </cacheField>
    <cacheField name="Sales Amount" numFmtId="0">
      <sharedItems containsSemiMixedTypes="0" containsString="0" containsNumber="1" minValue="0" maxValue="27060"/>
    </cacheField>
    <cacheField name="Collection" numFmtId="0">
      <sharedItems containsString="0" containsBlank="1" containsNumber="1" minValue="-27060" maxValue="0"/>
    </cacheField>
    <cacheField name="Outstanding" numFmtId="0">
      <sharedItems containsString="0" containsBlank="1" containsNumber="1" minValue="-179.39999999999998" maxValue="0.20000000000004547"/>
    </cacheField>
    <cacheField name="Total Sales " numFmtId="43">
      <sharedItems containsSemiMixedTypes="0" containsString="0" containsNumber="1" minValue="1530" maxValue="2517487.6500000008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8">
  <r>
    <x v="0"/>
    <x v="0"/>
    <x v="0"/>
    <x v="0"/>
    <s v="C00000001"/>
    <x v="0"/>
    <s v="RA Resin SHCP 268W (225kg)"/>
    <n v="1"/>
    <s v="Cash"/>
    <n v="0"/>
    <d v="2019-12-23T00:00:00"/>
    <n v="12"/>
    <n v="2019"/>
    <n v="1530"/>
    <n v="-1530"/>
    <n v="0"/>
    <n v="1530"/>
    <s v="Trsf"/>
    <s v="Trsf 29/5"/>
    <m/>
  </r>
  <r>
    <x v="0"/>
    <x v="0"/>
    <x v="0"/>
    <x v="0"/>
    <s v="C00000001"/>
    <x v="0"/>
    <s v="RA CSM 450 GSM JUSHI 37kg 79m(L) X 1040mm(W)"/>
    <n v="6"/>
    <s v="Cash"/>
    <n v="0"/>
    <d v="2019-12-23T00:00:00"/>
    <n v="12"/>
    <n v="2019"/>
    <n v="1443"/>
    <n v="-1443"/>
    <n v="0"/>
    <n v="2973"/>
    <s v="Trsf"/>
    <s v="Trsf 29/5"/>
    <m/>
  </r>
  <r>
    <x v="1"/>
    <x v="1"/>
    <x v="1"/>
    <x v="1"/>
    <s v="C00000001"/>
    <x v="0"/>
    <s v="RA Gelcoat GS-S ISO (20kg)"/>
    <n v="2"/>
    <s v="Cash"/>
    <n v="0"/>
    <d v="2020-06-02T00:00:00"/>
    <n v="6"/>
    <n v="2020"/>
    <n v="480"/>
    <n v="-480"/>
    <n v="0"/>
    <n v="3453"/>
    <s v="Trsf"/>
    <s v="Trsf 24/6"/>
    <m/>
  </r>
  <r>
    <x v="2"/>
    <x v="1"/>
    <x v="1"/>
    <x v="2"/>
    <s v="C00000002"/>
    <x v="1"/>
    <s v="RA Resin SHCP 268W (225kg)"/>
    <n v="1"/>
    <s v="Cash"/>
    <n v="0"/>
    <d v="2020-06-11T00:00:00"/>
    <n v="6"/>
    <n v="2020"/>
    <n v="1395"/>
    <n v="-1395"/>
    <n v="0"/>
    <n v="4848"/>
    <s v="Chq"/>
    <s v="Chq 13/6"/>
    <m/>
  </r>
  <r>
    <x v="2"/>
    <x v="1"/>
    <x v="1"/>
    <x v="2"/>
    <s v="C00000002"/>
    <x v="1"/>
    <s v="RB Acetone (160Kg)"/>
    <n v="1"/>
    <s v="Cash"/>
    <n v="0"/>
    <d v="2020-06-11T00:00:00"/>
    <n v="6"/>
    <n v="2020"/>
    <n v="672"/>
    <n v="-672"/>
    <n v="0"/>
    <n v="5520"/>
    <s v="Chq"/>
    <s v="Chq 13/6"/>
    <m/>
  </r>
  <r>
    <x v="3"/>
    <x v="1"/>
    <x v="1"/>
    <x v="3"/>
    <s v="C00000001"/>
    <x v="0"/>
    <s v="RA Resin SHCP 268W (225kg)"/>
    <n v="1"/>
    <s v="Cash"/>
    <n v="0"/>
    <d v="2020-06-17T00:00:00"/>
    <n v="6"/>
    <n v="2020"/>
    <n v="1530"/>
    <n v="-1530"/>
    <n v="0"/>
    <n v="7050"/>
    <s v="Trsf"/>
    <s v="Trsf 24/6"/>
    <m/>
  </r>
  <r>
    <x v="3"/>
    <x v="1"/>
    <x v="1"/>
    <x v="3"/>
    <s v="C00000001"/>
    <x v="0"/>
    <s v="RA CSM 450 GSM JUSHI 37kg 79m(L) X 1040mm(W)"/>
    <n v="3"/>
    <s v="Cash"/>
    <n v="0"/>
    <d v="2020-06-17T00:00:00"/>
    <n v="6"/>
    <n v="2020"/>
    <n v="720"/>
    <n v="-720"/>
    <n v="0"/>
    <n v="7770"/>
    <s v="Trsf"/>
    <s v="Trsf 24/6"/>
    <m/>
  </r>
  <r>
    <x v="3"/>
    <x v="1"/>
    <x v="1"/>
    <x v="3"/>
    <s v="C00000001"/>
    <x v="0"/>
    <s v="RA Butanox M50 (5Kg)"/>
    <n v="2"/>
    <s v="Cash"/>
    <n v="0"/>
    <d v="2020-06-17T00:00:00"/>
    <n v="6"/>
    <n v="2020"/>
    <n v="185"/>
    <n v="-185"/>
    <n v="0"/>
    <n v="7955"/>
    <s v="Trsf"/>
    <s v="Trsf 24/6"/>
    <m/>
  </r>
  <r>
    <x v="4"/>
    <x v="1"/>
    <x v="1"/>
    <x v="4"/>
    <s v="C00000003"/>
    <x v="2"/>
    <s v="RA Resin SHCP 268W (225kg)"/>
    <n v="1"/>
    <s v="T45"/>
    <n v="45"/>
    <d v="2020-08-06T00:00:00"/>
    <n v="8"/>
    <n v="2020"/>
    <n v="1642.5"/>
    <n v="-1642.5"/>
    <n v="0"/>
    <n v="9597.5"/>
    <s v="PD Chq"/>
    <s v="PD chq 8/8, RM1,827.00 &amp; Cash RM0.50"/>
    <m/>
  </r>
  <r>
    <x v="4"/>
    <x v="1"/>
    <x v="1"/>
    <x v="4"/>
    <s v="C00000003"/>
    <x v="2"/>
    <s v="RA Butanox M50 (5Kg)"/>
    <n v="2"/>
    <s v="T45"/>
    <n v="45"/>
    <d v="2020-08-06T00:00:00"/>
    <n v="8"/>
    <n v="2020"/>
    <n v="185"/>
    <n v="-185"/>
    <n v="0"/>
    <n v="9782.5"/>
    <s v="PD Chq"/>
    <s v="PD chq 8/8, RM1,827.00 &amp; Cash RM0.50"/>
    <m/>
  </r>
  <r>
    <x v="5"/>
    <x v="2"/>
    <x v="1"/>
    <x v="5"/>
    <s v="C00000004"/>
    <x v="3"/>
    <s v="RA Gelcoat GP-H (20Kg)"/>
    <n v="9"/>
    <s v="T120"/>
    <s v="120"/>
    <d v="2020-10-29T00:00:00"/>
    <n v="10"/>
    <n v="2020"/>
    <n v="1836"/>
    <n v="-1836"/>
    <n v="0"/>
    <n v="11618.5"/>
    <s v="Term"/>
    <s v="Chq 16/11/2020"/>
    <m/>
  </r>
  <r>
    <x v="6"/>
    <x v="2"/>
    <x v="1"/>
    <x v="6"/>
    <s v="C00000003"/>
    <x v="2"/>
    <s v="RA Silicone Rubber (25Kg)"/>
    <n v="1"/>
    <s v="T45"/>
    <n v="45"/>
    <d v="2020-08-28T00:00:00"/>
    <n v="8"/>
    <n v="2020"/>
    <n v="1200"/>
    <n v="-1200"/>
    <n v="0"/>
    <n v="12818.5"/>
    <s v="PD Chq"/>
    <s v="PD chq 16/8"/>
    <m/>
  </r>
  <r>
    <x v="7"/>
    <x v="2"/>
    <x v="1"/>
    <x v="7"/>
    <s v="C00000001"/>
    <x v="0"/>
    <s v="RA Nor 3338W (220Kg)"/>
    <n v="1"/>
    <s v="Cash"/>
    <n v="0"/>
    <d v="2020-07-15T00:00:00"/>
    <n v="7"/>
    <n v="2020"/>
    <n v="1496"/>
    <n v="-1496"/>
    <n v="0"/>
    <n v="14314.5"/>
    <s v="Trsf"/>
    <s v="Trsf 28/7"/>
    <m/>
  </r>
  <r>
    <x v="7"/>
    <x v="2"/>
    <x v="1"/>
    <x v="7"/>
    <s v="C00000001"/>
    <x v="0"/>
    <s v="RA Butanox M50 (5Kg)"/>
    <n v="4"/>
    <s v="Cash"/>
    <n v="0"/>
    <d v="2020-07-15T00:00:00"/>
    <n v="7"/>
    <n v="2020"/>
    <n v="370"/>
    <n v="-370"/>
    <n v="0"/>
    <n v="14684.5"/>
    <s v="Trsf"/>
    <s v="Trsf 28/7"/>
    <m/>
  </r>
  <r>
    <x v="7"/>
    <x v="2"/>
    <x v="1"/>
    <x v="7"/>
    <s v="C00000001"/>
    <x v="0"/>
    <s v="RC Woven Roving E-800 40Kg 1000mm"/>
    <n v="1"/>
    <s v="Cash"/>
    <n v="0"/>
    <d v="2020-07-15T00:00:00"/>
    <n v="7"/>
    <n v="2020"/>
    <n v="232"/>
    <n v="-232"/>
    <n v="0"/>
    <n v="14916.5"/>
    <s v="Trsf"/>
    <s v="Trsf 28/7"/>
    <s v="Delivered 22/7/20"/>
  </r>
  <r>
    <x v="8"/>
    <x v="3"/>
    <x v="1"/>
    <x v="8"/>
    <s v="C00000004"/>
    <x v="3"/>
    <s v="RA Nor 3338W (220Kg)"/>
    <n v="2"/>
    <s v="T120"/>
    <s v="120"/>
    <d v="2020-11-29T00:00:00"/>
    <n v="11"/>
    <n v="2020"/>
    <n v="2508"/>
    <n v="-2508"/>
    <n v="0"/>
    <n v="17424.5"/>
    <s v="Term"/>
    <s v="Chq 1/12/2020"/>
    <m/>
  </r>
  <r>
    <x v="9"/>
    <x v="3"/>
    <x v="1"/>
    <x v="9"/>
    <s v="C00000004"/>
    <x v="3"/>
    <s v="RA Nor 3338W (220Kg)"/>
    <n v="2"/>
    <s v="T120"/>
    <s v="120"/>
    <d v="2020-12-06T00:00:00"/>
    <n v="12"/>
    <n v="2020"/>
    <n v="2508"/>
    <n v="-2508"/>
    <n v="0"/>
    <n v="19932.5"/>
    <s v="Term"/>
    <s v="Chq 1/12/2020"/>
    <m/>
  </r>
  <r>
    <x v="9"/>
    <x v="3"/>
    <x v="1"/>
    <x v="10"/>
    <s v="C00000004"/>
    <x v="3"/>
    <s v="RA CSM 300 GSM TWL 30kg 64m(L) x 1040mm(W)"/>
    <n v="2"/>
    <s v="T120"/>
    <s v="120"/>
    <d v="2020-12-06T00:00:00"/>
    <n v="12"/>
    <n v="2020"/>
    <n v="324"/>
    <n v="-324"/>
    <n v="0"/>
    <n v="20256.5"/>
    <s v="Term"/>
    <s v="Chq 1/12/2020"/>
    <m/>
  </r>
  <r>
    <x v="10"/>
    <x v="3"/>
    <x v="1"/>
    <x v="11"/>
    <s v="C00000005"/>
    <x v="4"/>
    <s v="RA Nor 3338W (220Kg)"/>
    <n v="1"/>
    <s v="Cash"/>
    <n v="0"/>
    <d v="2020-08-10T00:00:00"/>
    <n v="8"/>
    <n v="2020"/>
    <n v="1496"/>
    <n v="-1496"/>
    <n v="0"/>
    <n v="21752.5"/>
    <s v="Chq"/>
    <s v="Chq 10/8"/>
    <m/>
  </r>
  <r>
    <x v="10"/>
    <x v="3"/>
    <x v="1"/>
    <x v="11"/>
    <s v="C00000005"/>
    <x v="4"/>
    <s v="RA Butanox M50 (5Kg)"/>
    <n v="1"/>
    <s v="Cash"/>
    <n v="0"/>
    <d v="2020-08-10T00:00:00"/>
    <n v="8"/>
    <n v="2020"/>
    <n v="90"/>
    <n v="-90"/>
    <n v="0"/>
    <n v="21842.5"/>
    <s v="Chq"/>
    <s v="Chq 10/8"/>
    <m/>
  </r>
  <r>
    <x v="10"/>
    <x v="3"/>
    <x v="1"/>
    <x v="12"/>
    <s v="C00000003"/>
    <x v="2"/>
    <s v="RA Nor 3338W (220Kg)"/>
    <n v="2"/>
    <s v="T45"/>
    <n v="45"/>
    <d v="2020-09-24T00:00:00"/>
    <n v="9"/>
    <n v="2020"/>
    <n v="3036"/>
    <n v="-3036"/>
    <n v="0"/>
    <n v="24878.5"/>
    <s v="PD Chq"/>
    <s v="PD chq 13/9, RM1,700/- &amp; 20/9, RM1,706/-"/>
    <m/>
  </r>
  <r>
    <x v="10"/>
    <x v="3"/>
    <x v="1"/>
    <x v="12"/>
    <s v="C00000003"/>
    <x v="2"/>
    <s v="RA Butanox M50 (5Kg)"/>
    <n v="4"/>
    <s v="T45"/>
    <n v="45"/>
    <d v="2020-09-24T00:00:00"/>
    <n v="9"/>
    <n v="2020"/>
    <n v="370"/>
    <n v="-370"/>
    <n v="0"/>
    <n v="25248.5"/>
    <s v="PD Chq"/>
    <s v="PD chq 13/9, RM1,700/- &amp; 20/9, RM1,706/-"/>
    <m/>
  </r>
  <r>
    <x v="11"/>
    <x v="3"/>
    <x v="1"/>
    <x v="13"/>
    <s v="C00000001"/>
    <x v="0"/>
    <s v="RA Nor 3338W (220Kg)"/>
    <n v="1"/>
    <s v="Cash"/>
    <n v="0"/>
    <d v="2020-08-12T00:00:00"/>
    <n v="8"/>
    <n v="2020"/>
    <n v="1496"/>
    <n v="-1496"/>
    <n v="0"/>
    <n v="26744.5"/>
    <s v="Trsf"/>
    <s v="Trsf 23/8"/>
    <m/>
  </r>
  <r>
    <x v="11"/>
    <x v="3"/>
    <x v="1"/>
    <x v="13"/>
    <s v="C00000001"/>
    <x v="0"/>
    <s v="RA CSM 450 GSM JUSHI 37kg 79m(L) X 1040mm(W)"/>
    <n v="4"/>
    <s v="Cash"/>
    <n v="0"/>
    <d v="2020-08-12T00:00:00"/>
    <n v="8"/>
    <n v="2020"/>
    <n v="962"/>
    <n v="-962"/>
    <n v="0"/>
    <n v="27706.5"/>
    <s v="Trsf"/>
    <s v="Trsf 23/8"/>
    <m/>
  </r>
  <r>
    <x v="11"/>
    <x v="3"/>
    <x v="1"/>
    <x v="13"/>
    <s v="C00000001"/>
    <x v="0"/>
    <s v="RC Woven Roving E-800 40Kg 1000mm"/>
    <n v="2"/>
    <s v="Cash"/>
    <n v="0"/>
    <d v="2020-08-12T00:00:00"/>
    <n v="8"/>
    <n v="2020"/>
    <n v="464"/>
    <n v="-464"/>
    <n v="0"/>
    <n v="28170.5"/>
    <s v="Trsf"/>
    <s v="Trsf 23/8"/>
    <m/>
  </r>
  <r>
    <x v="12"/>
    <x v="3"/>
    <x v="1"/>
    <x v="14"/>
    <s v="C00000001"/>
    <x v="0"/>
    <s v="RA Gelcoat GS-S ISO (20kg)"/>
    <n v="4"/>
    <s v="Cash"/>
    <n v="0"/>
    <d v="2020-08-13T00:00:00"/>
    <n v="8"/>
    <n v="2020"/>
    <n v="960"/>
    <n v="-960"/>
    <n v="0"/>
    <n v="29130.5"/>
    <s v="Trsf"/>
    <s v="Trsf 23/8"/>
    <m/>
  </r>
  <r>
    <x v="13"/>
    <x v="3"/>
    <x v="1"/>
    <x v="15"/>
    <s v="C00000003"/>
    <x v="2"/>
    <s v="RA CSM 450 GSM 54kg 64m(L) X 1860mm(W)"/>
    <n v="1"/>
    <s v="T45"/>
    <n v="45"/>
    <d v="2020-10-03T00:00:00"/>
    <n v="10"/>
    <n v="2020"/>
    <n v="367.2"/>
    <n v="-367.2"/>
    <n v="0"/>
    <n v="29497.7"/>
    <s v="PD Chq"/>
    <s v="PD Chq 27/9, RM1,270.20"/>
    <m/>
  </r>
  <r>
    <x v="13"/>
    <x v="3"/>
    <x v="1"/>
    <x v="16"/>
    <s v="C00000006"/>
    <x v="5"/>
    <s v="RA Nor 3338W (220Kg)"/>
    <n v="1"/>
    <s v="Cash"/>
    <n v="0"/>
    <d v="2020-08-19T00:00:00"/>
    <n v="8"/>
    <n v="2020"/>
    <n v="1496"/>
    <n v="-1496"/>
    <n v="0"/>
    <n v="30993.7"/>
    <s v="Chq"/>
    <s v="Chq 19/8"/>
    <m/>
  </r>
  <r>
    <x v="13"/>
    <x v="3"/>
    <x v="1"/>
    <x v="16"/>
    <s v="C00000006"/>
    <x v="5"/>
    <s v="RA Gelcoat GP-H (20Kg)"/>
    <n v="1"/>
    <s v="Cash"/>
    <n v="0"/>
    <d v="2020-08-19T00:00:00"/>
    <n v="8"/>
    <n v="2020"/>
    <n v="210"/>
    <n v="-210"/>
    <n v="0"/>
    <n v="31203.7"/>
    <s v="Chq"/>
    <s v="Chq 19/8"/>
    <m/>
  </r>
  <r>
    <x v="14"/>
    <x v="3"/>
    <x v="1"/>
    <x v="17"/>
    <s v="C00000007"/>
    <x v="6"/>
    <s v="RA CSM 450 GSM 54kg 64m(L) X 1860mm(W)"/>
    <n v="4"/>
    <s v="T60"/>
    <n v="60"/>
    <d v="2020-10-21T00:00:00"/>
    <n v="10"/>
    <n v="2020"/>
    <n v="1296"/>
    <n v="-1296"/>
    <n v="0"/>
    <n v="32499.7"/>
    <s v="Term"/>
    <s v="Due 30/9/2020, Trsf IBG 1/10/2020"/>
    <m/>
  </r>
  <r>
    <x v="14"/>
    <x v="3"/>
    <x v="1"/>
    <x v="17"/>
    <s v="C00000007"/>
    <x v="6"/>
    <s v="RA Gelcoat GP-H (20Kg)"/>
    <n v="4"/>
    <s v="T60"/>
    <n v="60"/>
    <d v="2020-10-21T00:00:00"/>
    <n v="10"/>
    <n v="2020"/>
    <n v="840"/>
    <n v="-840"/>
    <n v="0"/>
    <n v="33339.699999999997"/>
    <s v="Term"/>
    <s v="Due 30/9/2020, Trsf IBG 1/10/2020"/>
    <m/>
  </r>
  <r>
    <x v="14"/>
    <x v="3"/>
    <x v="1"/>
    <x v="17"/>
    <s v="C00000007"/>
    <x v="6"/>
    <s v="RA Gelcoat GS-H (20kg)"/>
    <n v="2"/>
    <s v="T60"/>
    <n v="60"/>
    <d v="2020-10-21T00:00:00"/>
    <n v="10"/>
    <n v="2020"/>
    <n v="460"/>
    <n v="-460"/>
    <n v="0"/>
    <n v="33799.699999999997"/>
    <s v="Term"/>
    <s v="Due 30/9/2020, Trsf IBG 1/10/2020"/>
    <m/>
  </r>
  <r>
    <x v="14"/>
    <x v="3"/>
    <x v="1"/>
    <x v="17"/>
    <s v="C00000007"/>
    <x v="6"/>
    <s v="RA Butanox M50 (5Kg)"/>
    <n v="4"/>
    <s v="T60"/>
    <n v="60"/>
    <d v="2020-10-21T00:00:00"/>
    <n v="10"/>
    <n v="2020"/>
    <n v="360"/>
    <n v="-360"/>
    <n v="0"/>
    <n v="34159.699999999997"/>
    <s v="Term"/>
    <s v="Due 30/9/2020, Trsf IBG 1/10/2020"/>
    <m/>
  </r>
  <r>
    <x v="14"/>
    <x v="3"/>
    <x v="1"/>
    <x v="18"/>
    <s v="C00000008"/>
    <x v="7"/>
    <s v="RA Nor 3338W (220Kg)"/>
    <n v="1"/>
    <s v="Cash"/>
    <n v="0"/>
    <d v="2020-08-22T00:00:00"/>
    <n v="8"/>
    <n v="2020"/>
    <n v="1452"/>
    <n v="-1452"/>
    <n v="0"/>
    <n v="35611.699999999997"/>
    <s v="Trsf"/>
    <s v="Trsf 24/8"/>
    <m/>
  </r>
  <r>
    <x v="15"/>
    <x v="3"/>
    <x v="1"/>
    <x v="19"/>
    <s v="C00000003"/>
    <x v="2"/>
    <s v="RA Nor 3338W (220Kg)"/>
    <n v="1"/>
    <s v="T45"/>
    <n v="45"/>
    <d v="2020-10-08T00:00:00"/>
    <n v="10"/>
    <n v="2020"/>
    <n v="1518"/>
    <n v="-1518"/>
    <n v="0"/>
    <n v="37129.699999999997"/>
    <s v="PD Chq"/>
    <s v="PD Chq 27/9, RM1,270.20 &amp; 11/10, RM1,000.00"/>
    <m/>
  </r>
  <r>
    <x v="15"/>
    <x v="3"/>
    <x v="1"/>
    <x v="19"/>
    <s v="C00000003"/>
    <x v="2"/>
    <s v="RA Talcum Powder (25Kg)"/>
    <n v="4"/>
    <s v="T45"/>
    <n v="45"/>
    <d v="2020-10-08T00:00:00"/>
    <n v="10"/>
    <n v="2020"/>
    <n v="200"/>
    <n v="-200"/>
    <n v="0"/>
    <n v="37329.699999999997"/>
    <s v="PD Chq"/>
    <s v="PD Chq 11/10, RM1,000/-"/>
    <m/>
  </r>
  <r>
    <x v="15"/>
    <x v="3"/>
    <x v="1"/>
    <x v="19"/>
    <s v="C00000003"/>
    <x v="2"/>
    <s v="RA Butanox M50 (5Kg)"/>
    <n v="2"/>
    <s v="T45"/>
    <n v="45"/>
    <d v="2020-10-08T00:00:00"/>
    <n v="10"/>
    <n v="2020"/>
    <n v="185"/>
    <n v="-185"/>
    <n v="0"/>
    <n v="37514.699999999997"/>
    <s v="PD Chq"/>
    <s v="PD Chq 11/10, RM1,000/-"/>
    <m/>
  </r>
  <r>
    <x v="16"/>
    <x v="3"/>
    <x v="1"/>
    <x v="20"/>
    <s v="C00000009"/>
    <x v="8"/>
    <s v="RA Nor 3338W (220Kg)"/>
    <n v="1"/>
    <s v="T60"/>
    <n v="60"/>
    <d v="2020-10-24T00:00:00"/>
    <n v="10"/>
    <n v="2020"/>
    <n v="1276"/>
    <n v="-1276"/>
    <n v="0"/>
    <n v="38790.699999999997"/>
    <s v="Term"/>
    <s v="HLIB Chq No 008781, 28/11/20"/>
    <m/>
  </r>
  <r>
    <x v="16"/>
    <x v="3"/>
    <x v="1"/>
    <x v="20"/>
    <s v="C00000009"/>
    <x v="8"/>
    <s v="RA Norsodyne 3338NW (220Kg)"/>
    <n v="1"/>
    <s v="T60"/>
    <n v="60"/>
    <d v="2020-10-24T00:00:00"/>
    <n v="10"/>
    <n v="2020"/>
    <n v="1276"/>
    <n v="-1276"/>
    <n v="0"/>
    <n v="40066.699999999997"/>
    <s v="Term"/>
    <s v="HLIB Chq No 008781, 28/11/20"/>
    <m/>
  </r>
  <r>
    <x v="16"/>
    <x v="3"/>
    <x v="1"/>
    <x v="21"/>
    <s v="C00000001"/>
    <x v="0"/>
    <s v="RA Nor 3338W (220Kg)"/>
    <n v="1"/>
    <s v="Cash"/>
    <n v="0"/>
    <d v="2020-08-25T00:00:00"/>
    <n v="8"/>
    <n v="2020"/>
    <n v="1496"/>
    <n v="-1496"/>
    <n v="0"/>
    <n v="41562.699999999997"/>
    <s v="Trsf"/>
    <s v="Trsf 1/9/2020"/>
    <m/>
  </r>
  <r>
    <x v="17"/>
    <x v="3"/>
    <x v="1"/>
    <x v="22"/>
    <s v="C00000010"/>
    <x v="9"/>
    <s v="RA Nor 3338W (220Kg)"/>
    <n v="4"/>
    <s v="T120"/>
    <s v="120"/>
    <d v="2020-12-25T00:00:00"/>
    <n v="12"/>
    <n v="2020"/>
    <n v="5280"/>
    <n v="-5280"/>
    <n v="0"/>
    <n v="46842.7"/>
    <s v="Term"/>
    <s v="Trsf 23/12/2020"/>
    <m/>
  </r>
  <r>
    <x v="17"/>
    <x v="3"/>
    <x v="1"/>
    <x v="22"/>
    <s v="C00000010"/>
    <x v="9"/>
    <s v="RA CSM 450 GSM JUSHI 37kg 79m(L) X 1040mm(W)"/>
    <n v="2"/>
    <s v="T120"/>
    <s v="120"/>
    <d v="2020-12-25T00:00:00"/>
    <n v="12"/>
    <n v="2020"/>
    <n v="444"/>
    <n v="-444"/>
    <n v="0"/>
    <n v="47286.7"/>
    <s v="Term"/>
    <s v="Trsf 23/12/2020"/>
    <m/>
  </r>
  <r>
    <x v="17"/>
    <x v="3"/>
    <x v="1"/>
    <x v="22"/>
    <s v="C00000010"/>
    <x v="9"/>
    <s v="RA Talcum Powder (25Kg)"/>
    <n v="5"/>
    <s v="T120"/>
    <s v="120"/>
    <d v="2020-12-25T00:00:00"/>
    <n v="12"/>
    <n v="2020"/>
    <n v="275"/>
    <n v="-275"/>
    <n v="0"/>
    <n v="47561.7"/>
    <s v="Term"/>
    <s v="Trsf 23/12/2020"/>
    <m/>
  </r>
  <r>
    <x v="17"/>
    <x v="3"/>
    <x v="1"/>
    <x v="22"/>
    <s v="C00000010"/>
    <x v="9"/>
    <s v="RA Butanox M50 (5Kg)"/>
    <n v="4"/>
    <s v="T120"/>
    <s v="120"/>
    <d v="2020-12-25T00:00:00"/>
    <n v="12"/>
    <n v="2020"/>
    <n v="360"/>
    <n v="-360"/>
    <n v="0"/>
    <n v="47921.7"/>
    <s v="Term"/>
    <s v="Trsf 23/12/2020"/>
    <m/>
  </r>
  <r>
    <x v="17"/>
    <x v="3"/>
    <x v="1"/>
    <x v="22"/>
    <s v="C00000010"/>
    <x v="9"/>
    <s v="RA Bosny Wax (15kg)"/>
    <n v="1"/>
    <s v="T120"/>
    <s v="120"/>
    <d v="2020-12-25T00:00:00"/>
    <n v="12"/>
    <n v="2020"/>
    <n v="375"/>
    <n v="-375"/>
    <n v="0"/>
    <n v="48296.7"/>
    <s v="Term"/>
    <s v="Trsf 23/12/2020"/>
    <m/>
  </r>
  <r>
    <x v="18"/>
    <x v="4"/>
    <x v="1"/>
    <x v="23"/>
    <s v="C00000008"/>
    <x v="7"/>
    <s v="RA Resin 3317AW (220Kg)"/>
    <n v="2"/>
    <s v="Cash"/>
    <n v="0"/>
    <d v="2020-09-01T00:00:00"/>
    <n v="9"/>
    <n v="2020"/>
    <n v="2948"/>
    <n v="-2948"/>
    <n v="0"/>
    <n v="51244.7"/>
    <s v="Trsf"/>
    <s v="Trsf 7/9/2020"/>
    <m/>
  </r>
  <r>
    <x v="18"/>
    <x v="4"/>
    <x v="1"/>
    <x v="23"/>
    <s v="C00000008"/>
    <x v="7"/>
    <s v="RA Gelcoat GP-H (20Kg)"/>
    <n v="4"/>
    <s v="Cash"/>
    <n v="0"/>
    <d v="2020-09-01T00:00:00"/>
    <n v="9"/>
    <n v="2020"/>
    <n v="840"/>
    <n v="-840"/>
    <n v="0"/>
    <n v="52084.7"/>
    <s v="Trsf"/>
    <s v="Trsf 7/9/2020"/>
    <m/>
  </r>
  <r>
    <x v="18"/>
    <x v="4"/>
    <x v="1"/>
    <x v="23"/>
    <s v="C00000008"/>
    <x v="7"/>
    <s v="RA Butanox M50 (5Kg)"/>
    <n v="2"/>
    <s v="Cash"/>
    <n v="0"/>
    <d v="2020-09-01T00:00:00"/>
    <n v="9"/>
    <n v="2020"/>
    <n v="180"/>
    <n v="-180"/>
    <n v="0"/>
    <n v="52264.7"/>
    <s v="Trsf"/>
    <s v="Trsf 7/9/2020"/>
    <m/>
  </r>
  <r>
    <x v="19"/>
    <x v="4"/>
    <x v="1"/>
    <x v="24"/>
    <s v="C00000001"/>
    <x v="0"/>
    <s v="RA Silicone Rubber (25Kg)"/>
    <n v="1"/>
    <s v="Cash"/>
    <n v="0"/>
    <d v="2020-09-02T00:00:00"/>
    <n v="9"/>
    <n v="2020"/>
    <n v="1250"/>
    <n v="-1250"/>
    <n v="0"/>
    <n v="53514.7"/>
    <s v="Trsf"/>
    <s v="Trsf 5/9/2020"/>
    <s v="Delived on 3/9/2020"/>
  </r>
  <r>
    <x v="20"/>
    <x v="4"/>
    <x v="1"/>
    <x v="25"/>
    <s v="C00000001"/>
    <x v="0"/>
    <s v="RA Resin 3317AW (220Kg)"/>
    <n v="1"/>
    <s v="Cash"/>
    <n v="0"/>
    <d v="2020-09-05T00:00:00"/>
    <n v="9"/>
    <n v="2020"/>
    <n v="1496"/>
    <n v="-1496"/>
    <n v="0"/>
    <n v="55010.7"/>
    <s v="Trsf"/>
    <s v="Trsf 5/9/2020"/>
    <m/>
  </r>
  <r>
    <x v="20"/>
    <x v="4"/>
    <x v="1"/>
    <x v="25"/>
    <s v="C00000001"/>
    <x v="0"/>
    <s v="RA CSM 450 GSM JUSHI 37kg 79m(L) X 1040mm(W)"/>
    <n v="4"/>
    <s v="Cash"/>
    <n v="0"/>
    <d v="2020-09-05T00:00:00"/>
    <n v="9"/>
    <n v="2020"/>
    <n v="962"/>
    <n v="-962"/>
    <n v="0"/>
    <n v="55972.7"/>
    <s v="Trsf"/>
    <s v="Trsf 5/9/2020"/>
    <m/>
  </r>
  <r>
    <x v="21"/>
    <x v="4"/>
    <x v="1"/>
    <x v="26"/>
    <s v="C00000004"/>
    <x v="3"/>
    <s v="RA Nor 3338W (220Kg)"/>
    <n v="5"/>
    <s v="T120"/>
    <s v="120"/>
    <d v="2021-01-15T00:00:00"/>
    <n v="1"/>
    <n v="2021"/>
    <n v="6270"/>
    <n v="-6270"/>
    <n v="0"/>
    <n v="62242.7"/>
    <s v="Term"/>
    <s v="PD HLB 004649, 25/1/2021"/>
    <m/>
  </r>
  <r>
    <x v="21"/>
    <x v="4"/>
    <x v="1"/>
    <x v="26"/>
    <s v="C00000004"/>
    <x v="3"/>
    <s v="RA Norsodyne 3338NW (220Kg)"/>
    <n v="1"/>
    <s v="T120"/>
    <s v="120"/>
    <d v="2021-01-15T00:00:00"/>
    <n v="1"/>
    <n v="2021"/>
    <n v="1254"/>
    <n v="-1254"/>
    <n v="0"/>
    <n v="63496.7"/>
    <s v="Term"/>
    <s v="PD HLB 004649, 25/1/2021"/>
    <m/>
  </r>
  <r>
    <x v="21"/>
    <x v="4"/>
    <x v="1"/>
    <x v="26"/>
    <s v="C00000004"/>
    <x v="3"/>
    <s v="RA CSM 450 GSM 54kg 64m(L) X 1860mm(W)"/>
    <n v="3"/>
    <s v="T120"/>
    <s v="120"/>
    <d v="2021-01-15T00:00:00"/>
    <n v="1"/>
    <n v="2021"/>
    <n v="874.80000000000007"/>
    <n v="-874.80000000000007"/>
    <n v="0"/>
    <n v="64371.5"/>
    <s v="Term"/>
    <s v="PD HLB 004649, 25/1/2021"/>
    <m/>
  </r>
  <r>
    <x v="21"/>
    <x v="4"/>
    <x v="1"/>
    <x v="26"/>
    <s v="C00000004"/>
    <x v="3"/>
    <s v="RA CSM 300 GSM 54Kg 96m(L) X 1860mm(W)"/>
    <n v="3"/>
    <s v="T120"/>
    <s v="120"/>
    <d v="2021-01-15T00:00:00"/>
    <n v="1"/>
    <n v="2021"/>
    <n v="874.80000000000007"/>
    <n v="-874.80000000000007"/>
    <n v="0"/>
    <n v="65246.3"/>
    <s v="Term"/>
    <s v="PD HLB 004649, 25/1/2021"/>
    <m/>
  </r>
  <r>
    <x v="21"/>
    <x v="4"/>
    <x v="1"/>
    <x v="26"/>
    <s v="C00000004"/>
    <x v="3"/>
    <s v="RA Gelcoat GP-H (20Kg)"/>
    <n v="6"/>
    <s v="T120"/>
    <s v="120"/>
    <d v="2021-01-15T00:00:00"/>
    <n v="1"/>
    <n v="2021"/>
    <n v="1224"/>
    <n v="-1224"/>
    <n v="0"/>
    <n v="66470.3"/>
    <s v="Term"/>
    <s v="PD HLB 004649, 25/1/2021"/>
    <m/>
  </r>
  <r>
    <x v="21"/>
    <x v="4"/>
    <x v="1"/>
    <x v="26"/>
    <s v="C00000004"/>
    <x v="3"/>
    <s v="RA Butanox M50 (5Kg)"/>
    <n v="4"/>
    <s v="T120"/>
    <s v="120"/>
    <d v="2021-01-15T00:00:00"/>
    <n v="1"/>
    <n v="2021"/>
    <n v="360"/>
    <n v="-360"/>
    <n v="0"/>
    <n v="66830.3"/>
    <s v="Term"/>
    <s v="PD HLB 004649, 25/1/2021"/>
    <m/>
  </r>
  <r>
    <x v="21"/>
    <x v="4"/>
    <x v="1"/>
    <x v="26"/>
    <s v="C00000004"/>
    <x v="3"/>
    <s v="RA Accelerator (5kg)"/>
    <n v="1"/>
    <s v="T120"/>
    <s v="120"/>
    <d v="2021-01-15T00:00:00"/>
    <n v="1"/>
    <n v="2021"/>
    <n v="390"/>
    <n v="-390"/>
    <n v="0"/>
    <n v="67220.3"/>
    <s v="Term"/>
    <s v="PD HLB 004649, 25/1/2021"/>
    <m/>
  </r>
  <r>
    <x v="21"/>
    <x v="4"/>
    <x v="1"/>
    <x v="27"/>
    <s v="C00000001"/>
    <x v="0"/>
    <s v="RA Resin 3317AW (220Kg)"/>
    <n v="1"/>
    <s v="Cash"/>
    <n v="0"/>
    <d v="2020-09-17T00:00:00"/>
    <n v="9"/>
    <n v="2020"/>
    <n v="1496"/>
    <n v="-1496"/>
    <n v="0"/>
    <n v="68716.3"/>
    <s v="Trsf"/>
    <s v="Trst 22/9/2020"/>
    <m/>
  </r>
  <r>
    <x v="21"/>
    <x v="4"/>
    <x v="1"/>
    <x v="27"/>
    <s v="C00000001"/>
    <x v="0"/>
    <s v="RA CSM 450 GSM JUSHI 37kg 79m(L) X 1040mm(W)"/>
    <n v="2"/>
    <s v="Cash"/>
    <n v="0"/>
    <d v="2020-09-17T00:00:00"/>
    <n v="9"/>
    <n v="2020"/>
    <n v="481"/>
    <n v="-481"/>
    <n v="0"/>
    <n v="69197.3"/>
    <s v="Trsf"/>
    <s v="Trst 22/9/2020"/>
    <m/>
  </r>
  <r>
    <x v="22"/>
    <x v="4"/>
    <x v="1"/>
    <x v="28"/>
    <s v="C00000004"/>
    <x v="3"/>
    <s v="RA Nor 3338W (220Kg)"/>
    <n v="5"/>
    <s v="T120"/>
    <s v="120"/>
    <d v="2021-01-20T00:00:00"/>
    <n v="1"/>
    <n v="2021"/>
    <n v="6270"/>
    <n v="-6270"/>
    <n v="0"/>
    <n v="75467.3"/>
    <s v="Term"/>
    <s v="PD HLB 004649, 25/1/2021"/>
    <m/>
  </r>
  <r>
    <x v="22"/>
    <x v="4"/>
    <x v="1"/>
    <x v="28"/>
    <s v="C00000004"/>
    <x v="3"/>
    <s v="RA Norsodyne 3338NW (220Kg)"/>
    <n v="1"/>
    <s v="T120"/>
    <s v="120"/>
    <d v="2021-01-20T00:00:00"/>
    <n v="1"/>
    <n v="2021"/>
    <n v="1254"/>
    <n v="-1254"/>
    <n v="0"/>
    <n v="76721.3"/>
    <s v="Term"/>
    <s v="PD HLB 004649, 25/1/2021"/>
    <m/>
  </r>
  <r>
    <x v="22"/>
    <x v="4"/>
    <x v="1"/>
    <x v="28"/>
    <s v="C00000004"/>
    <x v="3"/>
    <s v="RA CSM 450 GSM 54kg 64m(L) X 1860mm(W)"/>
    <n v="5"/>
    <s v="T120"/>
    <s v="120"/>
    <d v="2021-01-20T00:00:00"/>
    <n v="1"/>
    <n v="2021"/>
    <n v="1458"/>
    <n v="-1458"/>
    <n v="0"/>
    <n v="78179.3"/>
    <s v="Term"/>
    <s v="PD HLB 004649, 25/1/2021"/>
    <m/>
  </r>
  <r>
    <x v="22"/>
    <x v="4"/>
    <x v="1"/>
    <x v="28"/>
    <s v="C00000004"/>
    <x v="3"/>
    <s v="RA CSM 300 GSM 54Kg 96m(L) X 1860mm(W)"/>
    <n v="2"/>
    <s v="T120"/>
    <s v="120"/>
    <d v="2021-01-20T00:00:00"/>
    <n v="1"/>
    <n v="2021"/>
    <n v="583.20000000000005"/>
    <n v="-583.20000000000005"/>
    <n v="0"/>
    <n v="78762.5"/>
    <s v="Term"/>
    <s v="PD HLB 004649, 25/1/2021"/>
    <m/>
  </r>
  <r>
    <x v="22"/>
    <x v="4"/>
    <x v="1"/>
    <x v="28"/>
    <s v="C00000004"/>
    <x v="3"/>
    <s v="RA Gelcoat GP-H (20Kg)"/>
    <n v="10"/>
    <s v="T120"/>
    <s v="120"/>
    <d v="2021-01-20T00:00:00"/>
    <n v="1"/>
    <n v="2021"/>
    <n v="2040"/>
    <n v="-2040"/>
    <n v="0"/>
    <n v="80802.5"/>
    <s v="Term"/>
    <s v="PD HLB 004649, 25/1/2021"/>
    <m/>
  </r>
  <r>
    <x v="23"/>
    <x v="4"/>
    <x v="1"/>
    <x v="29"/>
    <s v="C00000010"/>
    <x v="9"/>
    <s v="RA Nor 3338W (220Kg)"/>
    <n v="5"/>
    <s v="T120"/>
    <s v="120"/>
    <d v="2021-01-21T00:00:00"/>
    <n v="1"/>
    <n v="2021"/>
    <n v="6600"/>
    <n v="-6600"/>
    <n v="0"/>
    <n v="87402.5"/>
    <s v="Term"/>
    <s v="Trsf 20/1/2021"/>
    <m/>
  </r>
  <r>
    <x v="23"/>
    <x v="4"/>
    <x v="1"/>
    <x v="29"/>
    <s v="C00000010"/>
    <x v="9"/>
    <s v="RA CSM 450 GSM JUSHI 37kg 79m(L) X 1040mm(W)"/>
    <n v="4"/>
    <s v="T120"/>
    <s v="120"/>
    <d v="2021-01-21T00:00:00"/>
    <n v="1"/>
    <n v="2021"/>
    <n v="888"/>
    <n v="-888"/>
    <n v="0"/>
    <n v="88290.5"/>
    <s v="Term"/>
    <s v="Trsf 20/1/2021"/>
    <m/>
  </r>
  <r>
    <x v="23"/>
    <x v="4"/>
    <x v="1"/>
    <x v="29"/>
    <s v="C00000010"/>
    <x v="9"/>
    <s v="RA Talcum Powder (25Kg)"/>
    <n v="5"/>
    <s v="T120"/>
    <s v="120"/>
    <d v="2021-01-21T00:00:00"/>
    <n v="1"/>
    <n v="2021"/>
    <n v="275"/>
    <n v="-275"/>
    <n v="0"/>
    <n v="88565.5"/>
    <s v="Term"/>
    <s v="Trsf 20/1/2021"/>
    <m/>
  </r>
  <r>
    <x v="23"/>
    <x v="4"/>
    <x v="1"/>
    <x v="29"/>
    <s v="C00000010"/>
    <x v="9"/>
    <s v="RA Butanox M50 (5Kg)"/>
    <n v="4"/>
    <s v="T120"/>
    <s v="120"/>
    <d v="2021-01-21T00:00:00"/>
    <n v="1"/>
    <n v="2021"/>
    <n v="360"/>
    <n v="-360"/>
    <n v="0"/>
    <n v="88925.5"/>
    <s v="Term"/>
    <s v="Trsf 20/1/2021"/>
    <m/>
  </r>
  <r>
    <x v="23"/>
    <x v="4"/>
    <x v="1"/>
    <x v="30"/>
    <s v="C00000001"/>
    <x v="0"/>
    <s v="RC Woven Roving E-800 40Kg 1000mm"/>
    <n v="6"/>
    <s v="Cash"/>
    <n v="0"/>
    <d v="2020-09-23T00:00:00"/>
    <n v="9"/>
    <n v="2020"/>
    <n v="1392"/>
    <n v="-1392"/>
    <n v="0"/>
    <n v="90317.5"/>
    <s v="Term"/>
    <s v="Trst 01/10/2020"/>
    <m/>
  </r>
  <r>
    <x v="24"/>
    <x v="4"/>
    <x v="1"/>
    <x v="31"/>
    <s v="C00000001"/>
    <x v="0"/>
    <s v="RA Nor 3338W (220Kg)"/>
    <n v="1"/>
    <s v="Cash"/>
    <n v="0"/>
    <d v="2020-09-26T00:00:00"/>
    <n v="9"/>
    <n v="2020"/>
    <n v="1496"/>
    <n v="-1496"/>
    <n v="0"/>
    <n v="91813.5"/>
    <s v="Term"/>
    <s v="Trst 01/10/2020"/>
    <m/>
  </r>
  <r>
    <x v="25"/>
    <x v="5"/>
    <x v="1"/>
    <x v="32"/>
    <s v="C00000005"/>
    <x v="4"/>
    <s v="RA Resin 3317AW (220Kg)"/>
    <n v="1"/>
    <s v="Cash"/>
    <n v="0"/>
    <d v="2020-10-05T00:00:00"/>
    <n v="10"/>
    <n v="2020"/>
    <n v="1496"/>
    <n v="-1496"/>
    <n v="0"/>
    <n v="93309.5"/>
    <s v="Term"/>
    <s v="Chq 5/10 (Bank in 19/10/2020)"/>
    <m/>
  </r>
  <r>
    <x v="25"/>
    <x v="5"/>
    <x v="1"/>
    <x v="33"/>
    <s v="C00000003"/>
    <x v="2"/>
    <s v="RA Resin 3317AW (220Kg)"/>
    <n v="3"/>
    <s v="T45"/>
    <n v="45"/>
    <d v="2020-11-19T00:00:00"/>
    <n v="11"/>
    <n v="2020"/>
    <n v="4554"/>
    <n v="-4554"/>
    <n v="0"/>
    <n v="97863.5"/>
    <s v="Term"/>
    <s v="PD Chq 14/11, RM2,713/-"/>
    <m/>
  </r>
  <r>
    <x v="25"/>
    <x v="5"/>
    <x v="1"/>
    <x v="33"/>
    <s v="C00000003"/>
    <x v="2"/>
    <s v="RA Talcum Powder (25Kg)"/>
    <n v="8"/>
    <s v="T45"/>
    <n v="45"/>
    <d v="2020-11-19T00:00:00"/>
    <n v="11"/>
    <n v="2020"/>
    <n v="400"/>
    <n v="-400"/>
    <n v="0"/>
    <n v="98263.5"/>
    <s v="Term"/>
    <s v="PD Chq 21/11, RM1,500/-"/>
    <m/>
  </r>
  <r>
    <x v="25"/>
    <x v="5"/>
    <x v="1"/>
    <x v="33"/>
    <s v="C00000003"/>
    <x v="2"/>
    <s v="RA Butanox M50 (5Kg)"/>
    <n v="6"/>
    <s v="T45"/>
    <n v="45"/>
    <d v="2020-11-19T00:00:00"/>
    <n v="11"/>
    <n v="2020"/>
    <n v="555"/>
    <n v="-555"/>
    <n v="0"/>
    <n v="98818.5"/>
    <s v="Term"/>
    <s v="PD Chq 29/11, RM1,500/-"/>
    <m/>
  </r>
  <r>
    <x v="25"/>
    <x v="5"/>
    <x v="1"/>
    <x v="33"/>
    <s v="C00000003"/>
    <x v="2"/>
    <s v="RA CSM 300 GSM TWL 30kg 64m(L) x 1040mm(W)"/>
    <n v="1"/>
    <s v="T45"/>
    <n v="45"/>
    <d v="2020-11-19T00:00:00"/>
    <n v="11"/>
    <n v="2020"/>
    <n v="204"/>
    <n v="-204"/>
    <n v="0"/>
    <n v="99022.5"/>
    <s v="Term"/>
    <s v="PD Chq 29/11, RM1,500/-"/>
    <m/>
  </r>
  <r>
    <x v="26"/>
    <x v="5"/>
    <x v="1"/>
    <x v="34"/>
    <s v="C00000004"/>
    <x v="3"/>
    <s v="RA Nor 3338W (220Kg)"/>
    <n v="5"/>
    <s v="T120"/>
    <s v="120"/>
    <d v="2021-02-05T00:00:00"/>
    <n v="2"/>
    <n v="2021"/>
    <n v="6270"/>
    <n v="-6270"/>
    <n v="0"/>
    <n v="105292.5"/>
    <s v="Term"/>
    <s v="PD HLB 5704, 22/2/2021"/>
    <m/>
  </r>
  <r>
    <x v="26"/>
    <x v="5"/>
    <x v="1"/>
    <x v="34"/>
    <s v="C00000004"/>
    <x v="3"/>
    <s v="RA Norsodyne 3338NW (220Kg)"/>
    <n v="1"/>
    <s v="T120"/>
    <s v="120"/>
    <d v="2021-02-05T00:00:00"/>
    <n v="2"/>
    <n v="2021"/>
    <n v="1254"/>
    <n v="-1254"/>
    <n v="0"/>
    <n v="106546.5"/>
    <s v="Term"/>
    <s v="PD HLB 5704, 22/2/2021"/>
    <m/>
  </r>
  <r>
    <x v="26"/>
    <x v="5"/>
    <x v="1"/>
    <x v="34"/>
    <s v="C00000004"/>
    <x v="3"/>
    <s v="RA CSM 300 GSM 54Kg 96m(L) X 1860mm(W)"/>
    <n v="3"/>
    <s v="T120"/>
    <s v="120"/>
    <d v="2021-02-05T00:00:00"/>
    <n v="2"/>
    <n v="2021"/>
    <n v="874.80000000000007"/>
    <n v="-874.80000000000007"/>
    <n v="0"/>
    <n v="107421.3"/>
    <s v="Term"/>
    <s v="PD HLB 5704, 22/2/2021"/>
    <m/>
  </r>
  <r>
    <x v="26"/>
    <x v="5"/>
    <x v="1"/>
    <x v="34"/>
    <s v="C00000004"/>
    <x v="3"/>
    <s v="RA Gelcoat GP-H (20Kg)"/>
    <n v="10"/>
    <s v="T120"/>
    <s v="120"/>
    <d v="2021-02-05T00:00:00"/>
    <n v="2"/>
    <n v="2021"/>
    <n v="2040"/>
    <n v="-2040"/>
    <n v="0"/>
    <n v="109461.3"/>
    <s v="Term"/>
    <s v="PD HLB 5704, 22/2/2021"/>
    <m/>
  </r>
  <r>
    <x v="26"/>
    <x v="5"/>
    <x v="1"/>
    <x v="34"/>
    <s v="C00000004"/>
    <x v="3"/>
    <s v="RA Butanox M50 (5Kg)"/>
    <n v="2"/>
    <s v="T120"/>
    <s v="120"/>
    <d v="2021-02-05T00:00:00"/>
    <n v="2"/>
    <n v="2021"/>
    <n v="180"/>
    <n v="-180"/>
    <n v="0"/>
    <n v="109641.3"/>
    <s v="Term"/>
    <s v="PD HLB 5704, 22/2/2021"/>
    <m/>
  </r>
  <r>
    <x v="27"/>
    <x v="5"/>
    <x v="1"/>
    <x v="35"/>
    <s v="C00000004"/>
    <x v="3"/>
    <s v="RA Nor 3338W (220Kg)"/>
    <n v="6"/>
    <s v="T120"/>
    <s v="120"/>
    <d v="2021-02-09T00:00:00"/>
    <n v="2"/>
    <n v="2021"/>
    <n v="7524"/>
    <n v="-7524"/>
    <n v="0"/>
    <n v="117165.3"/>
    <s v="Term"/>
    <s v="PD HLB 5704, 22/2/2021"/>
    <m/>
  </r>
  <r>
    <x v="27"/>
    <x v="5"/>
    <x v="1"/>
    <x v="35"/>
    <s v="C00000004"/>
    <x v="3"/>
    <s v="RA Norsodyne 3338NW (220Kg)"/>
    <n v="1"/>
    <s v="T120"/>
    <s v="120"/>
    <d v="2021-02-09T00:00:00"/>
    <n v="2"/>
    <n v="2021"/>
    <n v="1254"/>
    <n v="-1254"/>
    <n v="0"/>
    <n v="118419.3"/>
    <s v="Term"/>
    <s v="PD HLB 5704, 22/2/2021"/>
    <m/>
  </r>
  <r>
    <x v="27"/>
    <x v="5"/>
    <x v="1"/>
    <x v="36"/>
    <s v="C00000001"/>
    <x v="0"/>
    <s v="RA Resin 3317AW (220Kg)"/>
    <n v="1"/>
    <s v="Cash"/>
    <n v="0"/>
    <d v="2020-10-12T00:00:00"/>
    <n v="10"/>
    <n v="2020"/>
    <n v="1496"/>
    <n v="-1496"/>
    <n v="0"/>
    <n v="119915.3"/>
    <s v="Trsf"/>
    <s v="Trsf 19/10/2020"/>
    <m/>
  </r>
  <r>
    <x v="27"/>
    <x v="5"/>
    <x v="1"/>
    <x v="36"/>
    <s v="C00000001"/>
    <x v="0"/>
    <s v="RA CSM 450 GSM JUSHI 37kg 79m(L) X 1040mm(W)"/>
    <n v="4"/>
    <s v="Cash"/>
    <n v="0"/>
    <d v="2020-10-12T00:00:00"/>
    <n v="10"/>
    <n v="2020"/>
    <n v="962"/>
    <n v="-962"/>
    <n v="0"/>
    <n v="120877.3"/>
    <s v="Trsf"/>
    <s v="Trsf 19/10/2020"/>
    <m/>
  </r>
  <r>
    <x v="28"/>
    <x v="5"/>
    <x v="1"/>
    <x v="37"/>
    <s v="C00000007"/>
    <x v="6"/>
    <s v="RA Gelcoat GP-H (20Kg)"/>
    <n v="7"/>
    <s v="T60"/>
    <n v="60"/>
    <d v="2020-12-13T00:00:00"/>
    <n v="12"/>
    <n v="2020"/>
    <n v="1470"/>
    <n v="-1470"/>
    <n v="0"/>
    <n v="122347.3"/>
    <s v="Term"/>
    <s v="Due 30/11/2020"/>
    <m/>
  </r>
  <r>
    <x v="28"/>
    <x v="5"/>
    <x v="1"/>
    <x v="37"/>
    <s v="C00000007"/>
    <x v="6"/>
    <s v="RA Butanox M50 (5Kg)"/>
    <n v="8"/>
    <s v="T60"/>
    <n v="60"/>
    <d v="2020-12-13T00:00:00"/>
    <n v="12"/>
    <n v="2020"/>
    <n v="720"/>
    <n v="-720"/>
    <n v="0"/>
    <n v="123067.3"/>
    <s v="Term"/>
    <s v="Due 30/11/2020"/>
    <m/>
  </r>
  <r>
    <x v="29"/>
    <x v="5"/>
    <x v="1"/>
    <x v="37"/>
    <s v="C00000007"/>
    <x v="6"/>
    <s v="RA Gelcoat GS-H (20kg)"/>
    <n v="2"/>
    <s v="T60"/>
    <n v="60"/>
    <d v="2020-12-18T00:00:00"/>
    <n v="12"/>
    <n v="2020"/>
    <n v="460"/>
    <n v="-460"/>
    <n v="0"/>
    <n v="123527.3"/>
    <s v="Term"/>
    <s v="Due 30/11/2020"/>
    <m/>
  </r>
  <r>
    <x v="30"/>
    <x v="5"/>
    <x v="1"/>
    <x v="38"/>
    <s v="C00000003"/>
    <x v="2"/>
    <s v="RA Mirror Glaze"/>
    <n v="4"/>
    <s v="T45"/>
    <n v="45"/>
    <d v="2020-12-01T00:00:00"/>
    <n v="12"/>
    <n v="2020"/>
    <n v="180"/>
    <n v="-180"/>
    <n v="0"/>
    <n v="123707.3"/>
    <s v="Term"/>
    <s v="PD Chq 22/10, RM384/-"/>
    <m/>
  </r>
  <r>
    <x v="30"/>
    <x v="5"/>
    <x v="1"/>
    <x v="39"/>
    <s v="C00000003"/>
    <x v="2"/>
    <s v="RA CSM 300 GSM TWL 30kg 64m(L) x 1040mm(W)"/>
    <n v="1"/>
    <s v="T45"/>
    <n v="45"/>
    <d v="2020-12-01T00:00:00"/>
    <n v="12"/>
    <n v="2020"/>
    <n v="204"/>
    <n v="-204"/>
    <n v="0"/>
    <n v="123911.3"/>
    <s v="Term"/>
    <s v="PD Chq 22/10, RM384/-"/>
    <m/>
  </r>
  <r>
    <x v="29"/>
    <x v="5"/>
    <x v="1"/>
    <x v="40"/>
    <s v="C00000001"/>
    <x v="0"/>
    <s v="RA Gelcoat GS-S ISO (20kg)"/>
    <n v="4"/>
    <s v="Cash"/>
    <n v="0"/>
    <d v="2020-10-19T00:00:00"/>
    <n v="10"/>
    <n v="2020"/>
    <n v="960"/>
    <n v="-960"/>
    <n v="0"/>
    <n v="124871.3"/>
    <s v="Trsf"/>
    <s v="Trsf 9/11/2020"/>
    <m/>
  </r>
  <r>
    <x v="29"/>
    <x v="5"/>
    <x v="1"/>
    <x v="40"/>
    <s v="C00000001"/>
    <x v="0"/>
    <s v="RA Pigment Super White (25Kg)"/>
    <n v="1"/>
    <s v="Cash"/>
    <n v="0"/>
    <d v="2020-10-19T00:00:00"/>
    <n v="10"/>
    <n v="2020"/>
    <n v="625"/>
    <n v="-625"/>
    <n v="0"/>
    <n v="125496.3"/>
    <s v="Trsf"/>
    <s v="Trsf 9/11/2020"/>
    <m/>
  </r>
  <r>
    <x v="29"/>
    <x v="5"/>
    <x v="1"/>
    <x v="40"/>
    <s v="C00000001"/>
    <x v="0"/>
    <s v="Brush 2 1/2&quot; (12 pc)"/>
    <n v="1"/>
    <s v="Cash"/>
    <n v="0"/>
    <d v="2020-10-19T00:00:00"/>
    <n v="10"/>
    <n v="2020"/>
    <n v="60"/>
    <n v="-60"/>
    <n v="0"/>
    <n v="125556.3"/>
    <s v="Trsf"/>
    <s v="Trsf 9/11/2020"/>
    <m/>
  </r>
  <r>
    <x v="29"/>
    <x v="5"/>
    <x v="1"/>
    <x v="41"/>
    <s v="C00000005"/>
    <x v="4"/>
    <s v="RA Butanox M50 (5Kg)"/>
    <n v="1"/>
    <s v="Cash"/>
    <n v="0"/>
    <d v="2020-10-19T00:00:00"/>
    <n v="10"/>
    <n v="2020"/>
    <n v="90"/>
    <n v="-90"/>
    <n v="0"/>
    <n v="125646.3"/>
    <s v="Chq"/>
    <s v="Chq CIMB 000054 28/10/2019"/>
    <m/>
  </r>
  <r>
    <x v="31"/>
    <x v="5"/>
    <x v="1"/>
    <x v="42"/>
    <s v="C00000005"/>
    <x v="4"/>
    <s v="RA Resin 3317AW (220Kg)"/>
    <n v="1"/>
    <s v="Cash"/>
    <n v="0"/>
    <d v="2020-10-21T00:00:00"/>
    <n v="10"/>
    <n v="2020"/>
    <n v="1496"/>
    <n v="-1496"/>
    <n v="0"/>
    <n v="127142.3"/>
    <s v="Chq"/>
    <s v="Chq CIMB 000050 21/10/2020"/>
    <m/>
  </r>
  <r>
    <x v="31"/>
    <x v="5"/>
    <x v="1"/>
    <x v="43"/>
    <s v="C00000010"/>
    <x v="9"/>
    <s v="RA Nor 3338W (220Kg)"/>
    <n v="5"/>
    <s v="T120"/>
    <s v="120"/>
    <d v="2021-02-18T00:00:00"/>
    <n v="2"/>
    <n v="2021"/>
    <n v="6600"/>
    <n v="-6600"/>
    <n v="0"/>
    <n v="133742.29999999999"/>
    <s v="Term"/>
    <s v="Trsf 19/3/2021"/>
    <m/>
  </r>
  <r>
    <x v="31"/>
    <x v="5"/>
    <x v="1"/>
    <x v="43"/>
    <s v="C00000010"/>
    <x v="9"/>
    <s v="RA CSM 450 GSM JUSHI 37kg 79m(L) X 1040mm(W)"/>
    <n v="4"/>
    <s v="T120"/>
    <s v="120"/>
    <d v="2021-02-18T00:00:00"/>
    <n v="2"/>
    <n v="2021"/>
    <n v="888"/>
    <n v="-888"/>
    <n v="0"/>
    <n v="134630.29999999999"/>
    <s v="Term"/>
    <s v="Trsf 19/3/2021"/>
    <m/>
  </r>
  <r>
    <x v="31"/>
    <x v="5"/>
    <x v="1"/>
    <x v="43"/>
    <s v="C00000010"/>
    <x v="9"/>
    <s v="RA Talcum Powder (25Kg)"/>
    <n v="5"/>
    <s v="T120"/>
    <s v="120"/>
    <d v="2021-02-18T00:00:00"/>
    <n v="2"/>
    <n v="2021"/>
    <n v="275"/>
    <n v="-275"/>
    <n v="0"/>
    <n v="134905.29999999999"/>
    <s v="Term"/>
    <s v="Trsf 19/3/2021"/>
    <m/>
  </r>
  <r>
    <x v="31"/>
    <x v="5"/>
    <x v="1"/>
    <x v="43"/>
    <s v="C00000010"/>
    <x v="9"/>
    <s v="RA Butanox M50 (5Kg)"/>
    <n v="4"/>
    <s v="T120"/>
    <s v="120"/>
    <d v="2021-02-18T00:00:00"/>
    <n v="2"/>
    <n v="2021"/>
    <n v="360"/>
    <n v="-360"/>
    <n v="0"/>
    <n v="135265.29999999999"/>
    <s v="Term"/>
    <s v="Trsf 19/3/2021"/>
    <m/>
  </r>
  <r>
    <x v="32"/>
    <x v="5"/>
    <x v="1"/>
    <x v="44"/>
    <s v="C00000003"/>
    <x v="2"/>
    <s v="RA Resin 3317AW (220Kg)"/>
    <n v="3"/>
    <s v="T45"/>
    <n v="45"/>
    <d v="2020-12-10T00:00:00"/>
    <n v="12"/>
    <n v="2020"/>
    <n v="4554"/>
    <n v="-4554"/>
    <n v="0"/>
    <n v="139819.29999999999"/>
    <s v="Term"/>
    <s v="PD Chq 12/10, 19/10 &amp; 26/10 "/>
    <m/>
  </r>
  <r>
    <x v="32"/>
    <x v="5"/>
    <x v="1"/>
    <x v="44"/>
    <s v="C00000003"/>
    <x v="2"/>
    <s v="RA Butanox M50 (5Kg)"/>
    <n v="6"/>
    <s v="T45"/>
    <n v="45"/>
    <d v="2020-12-10T00:00:00"/>
    <n v="12"/>
    <n v="2020"/>
    <n v="555"/>
    <n v="-555"/>
    <n v="0"/>
    <n v="140374.29999999999"/>
    <s v="Term"/>
    <s v="RM1,700/-, RM1,700/- &amp; RM1,709/-"/>
    <m/>
  </r>
  <r>
    <x v="33"/>
    <x v="5"/>
    <x v="1"/>
    <x v="45"/>
    <s v="C00000001"/>
    <x v="0"/>
    <s v="RA Resin 3317AW (220Kg)"/>
    <n v="1"/>
    <s v="Cash"/>
    <n v="0"/>
    <d v="2020-10-31T00:00:00"/>
    <n v="10"/>
    <n v="2020"/>
    <n v="1496"/>
    <n v="-1496"/>
    <n v="0"/>
    <n v="141870.29999999999"/>
    <s v="Trsf"/>
    <s v="Trsf 9/11/2020"/>
    <m/>
  </r>
  <r>
    <x v="33"/>
    <x v="5"/>
    <x v="1"/>
    <x v="45"/>
    <s v="C00000001"/>
    <x v="0"/>
    <s v="RA CSM 450 GSM JUSHI 37kg 79m(L) X 1040mm(W)"/>
    <n v="4"/>
    <s v="Cash"/>
    <n v="0"/>
    <d v="2020-10-31T00:00:00"/>
    <n v="10"/>
    <n v="2020"/>
    <n v="962"/>
    <n v="-962"/>
    <n v="0"/>
    <n v="142832.29999999999"/>
    <s v="Trsf"/>
    <s v="Trsf 9/11/2020"/>
    <m/>
  </r>
  <r>
    <x v="33"/>
    <x v="5"/>
    <x v="1"/>
    <x v="46"/>
    <s v="C00000005"/>
    <x v="4"/>
    <s v="RA Resin 3317AW (220Kg)"/>
    <n v="1"/>
    <s v="Cash"/>
    <n v="0"/>
    <d v="2020-10-31T00:00:00"/>
    <n v="10"/>
    <n v="2020"/>
    <n v="1496"/>
    <n v="-1496"/>
    <n v="0"/>
    <n v="144328.29999999999"/>
    <s v="Chq"/>
    <s v="Chq CIMB 000056, 31/10/2020"/>
    <m/>
  </r>
  <r>
    <x v="34"/>
    <x v="6"/>
    <x v="1"/>
    <x v="47"/>
    <s v="C00000006"/>
    <x v="5"/>
    <s v="RA Nor 3338W (220Kg)"/>
    <n v="1"/>
    <s v="Cash"/>
    <n v="0"/>
    <d v="2020-11-09T00:00:00"/>
    <n v="11"/>
    <n v="2020"/>
    <n v="1584"/>
    <n v="-1584"/>
    <n v="0"/>
    <n v="145912.29999999999"/>
    <s v="Chq"/>
    <s v="Bank in 16/12/2020"/>
    <m/>
  </r>
  <r>
    <x v="34"/>
    <x v="6"/>
    <x v="1"/>
    <x v="47"/>
    <s v="C00000006"/>
    <x v="5"/>
    <s v="RA Gelcoat GP-H (20Kg)"/>
    <n v="1"/>
    <s v="Cash"/>
    <n v="0"/>
    <d v="2020-11-09T00:00:00"/>
    <n v="11"/>
    <n v="2020"/>
    <n v="210"/>
    <n v="-210"/>
    <n v="0"/>
    <n v="146122.29999999999"/>
    <s v="Chq"/>
    <s v="Bank in 16/12/2020"/>
    <m/>
  </r>
  <r>
    <x v="34"/>
    <x v="6"/>
    <x v="1"/>
    <x v="47"/>
    <s v="C00000006"/>
    <x v="5"/>
    <s v="RA CSM 300 GSM 54Kg 96m(L) X 1860mm(W)"/>
    <n v="1"/>
    <s v="Cash"/>
    <n v="0"/>
    <d v="2020-11-09T00:00:00"/>
    <n v="11"/>
    <n v="2020"/>
    <n v="378"/>
    <n v="-378"/>
    <n v="0"/>
    <n v="146500.29999999999"/>
    <s v="Chq"/>
    <s v="Bank in 16/12/2020"/>
    <m/>
  </r>
  <r>
    <x v="34"/>
    <x v="6"/>
    <x v="1"/>
    <x v="47"/>
    <s v="C00000006"/>
    <x v="5"/>
    <s v="RA Pigment Black (5Kg)"/>
    <n v="1"/>
    <s v="Cash"/>
    <n v="0"/>
    <d v="2020-11-09T00:00:00"/>
    <n v="11"/>
    <n v="2020"/>
    <n v="130"/>
    <n v="-130"/>
    <n v="0"/>
    <n v="146630.29999999999"/>
    <s v="Chq"/>
    <s v="Bank in 16/12/2020"/>
    <m/>
  </r>
  <r>
    <x v="35"/>
    <x v="6"/>
    <x v="1"/>
    <x v="48"/>
    <s v="C00000001"/>
    <x v="0"/>
    <s v="RA Resin 3317AW (220Kg)"/>
    <n v="1"/>
    <s v="Cash"/>
    <n v="0"/>
    <d v="2020-11-10T00:00:00"/>
    <n v="11"/>
    <n v="2020"/>
    <n v="1584"/>
    <n v="-1584"/>
    <n v="0"/>
    <n v="148214.29999999999"/>
    <s v="Chq"/>
    <s v="Trsf 20/11/2020"/>
    <m/>
  </r>
  <r>
    <x v="35"/>
    <x v="6"/>
    <x v="1"/>
    <x v="48"/>
    <s v="C00000001"/>
    <x v="0"/>
    <s v="RA Butanox M50 (5Kg)"/>
    <n v="4"/>
    <s v="Cash"/>
    <n v="0"/>
    <d v="2020-11-10T00:00:00"/>
    <n v="11"/>
    <n v="2020"/>
    <n v="370"/>
    <n v="-370"/>
    <n v="0"/>
    <n v="148584.29999999999"/>
    <s v="Chq"/>
    <s v="Trsf 20/11/2020"/>
    <m/>
  </r>
  <r>
    <x v="35"/>
    <x v="6"/>
    <x v="1"/>
    <x v="49"/>
    <s v="C00000005"/>
    <x v="4"/>
    <s v="RA Resin 3317AW (220Kg)"/>
    <n v="1"/>
    <s v="Cash"/>
    <n v="0"/>
    <d v="2020-11-10T00:00:00"/>
    <n v="11"/>
    <n v="2020"/>
    <n v="1540"/>
    <n v="-1540"/>
    <n v="0"/>
    <n v="150124.29999999999"/>
    <s v="Chq"/>
    <s v="Chq CIMB 000058 10/11/20, Banked in 22/11/20"/>
    <m/>
  </r>
  <r>
    <x v="35"/>
    <x v="6"/>
    <x v="1"/>
    <x v="49"/>
    <s v="C00000005"/>
    <x v="4"/>
    <s v="RA Butanox M50 (5Kg)"/>
    <n v="1"/>
    <s v="Cash"/>
    <n v="0"/>
    <d v="2020-11-10T00:00:00"/>
    <n v="11"/>
    <n v="2020"/>
    <n v="90"/>
    <n v="-90"/>
    <n v="0"/>
    <n v="150214.29999999999"/>
    <s v="Chq"/>
    <s v="Chq CIMB 000058 10/11/20, Banked in 22/11/20"/>
    <m/>
  </r>
  <r>
    <x v="36"/>
    <x v="6"/>
    <x v="1"/>
    <x v="50"/>
    <s v="C00000009"/>
    <x v="8"/>
    <s v="RA CSM 450 GSM 54kg 64m(L) X 1860mm(W)"/>
    <n v="3"/>
    <s v="T60"/>
    <n v="60"/>
    <d v="2021-01-10T00:00:00"/>
    <n v="1"/>
    <n v="2021"/>
    <n v="923.4"/>
    <n v="-923.4"/>
    <n v="0"/>
    <n v="151137.69999999998"/>
    <s v="Term"/>
    <s v="Chq HL 009828, dd 6/2/21, Banked in 7/2/21"/>
    <m/>
  </r>
  <r>
    <x v="36"/>
    <x v="6"/>
    <x v="1"/>
    <x v="50"/>
    <s v="C00000009"/>
    <x v="8"/>
    <s v="RA CSM 300 GSM 54Kg 96m(L) X 1860mm(W)"/>
    <n v="1"/>
    <s v="T60"/>
    <n v="60"/>
    <d v="2021-01-10T00:00:00"/>
    <n v="1"/>
    <n v="2021"/>
    <n v="307.8"/>
    <n v="-307.8"/>
    <n v="0"/>
    <n v="151445.49999999997"/>
    <s v="Term"/>
    <s v="Chq HL 009828, dd 6/2/21, Banked in 7/2/21"/>
    <m/>
  </r>
  <r>
    <x v="37"/>
    <x v="6"/>
    <x v="1"/>
    <x v="51"/>
    <s v="C00000001"/>
    <x v="0"/>
    <s v="RA Resin 3317AW (220Kg)"/>
    <n v="1"/>
    <s v="Cash"/>
    <n v="0"/>
    <d v="2020-11-18T00:00:00"/>
    <n v="11"/>
    <n v="2020"/>
    <n v="1584"/>
    <n v="-1584"/>
    <n v="0"/>
    <n v="153029.49999999997"/>
    <s v="Term"/>
    <s v="Trsf 20/11/2020"/>
    <m/>
  </r>
  <r>
    <x v="38"/>
    <x v="6"/>
    <x v="1"/>
    <x v="52"/>
    <s v="C00000001"/>
    <x v="0"/>
    <s v="RC Woven Roving E-800 40Kg 1000mm"/>
    <n v="2"/>
    <s v="Cash"/>
    <n v="0"/>
    <d v="2020-11-24T00:00:00"/>
    <n v="11"/>
    <n v="2020"/>
    <n v="520"/>
    <n v="-520"/>
    <n v="0"/>
    <n v="153549.49999999997"/>
    <s v="Term"/>
    <s v="Trsf 5/12/2020"/>
    <m/>
  </r>
  <r>
    <x v="39"/>
    <x v="6"/>
    <x v="1"/>
    <x v="53"/>
    <s v="C00000010"/>
    <x v="9"/>
    <s v="RA GP Resin (225Kg)"/>
    <n v="3"/>
    <s v="T120"/>
    <s v="120"/>
    <d v="2021-03-20T00:00:00"/>
    <n v="3"/>
    <n v="2021"/>
    <n v="4050"/>
    <n v="-4050"/>
    <n v="0"/>
    <n v="157599.49999999997"/>
    <s v="Term"/>
    <s v="Due 28/2/2020"/>
    <m/>
  </r>
  <r>
    <x v="39"/>
    <x v="6"/>
    <x v="1"/>
    <x v="53"/>
    <s v="C00000010"/>
    <x v="9"/>
    <s v="RA Nor 3338W (220Kg)"/>
    <n v="2"/>
    <s v="T120"/>
    <s v="120"/>
    <d v="2021-03-20T00:00:00"/>
    <n v="3"/>
    <n v="2021"/>
    <n v="2640"/>
    <n v="-2640"/>
    <n v="0"/>
    <n v="160239.49999999997"/>
    <s v="Term"/>
    <s v="Due 28/2/2020"/>
    <m/>
  </r>
  <r>
    <x v="39"/>
    <x v="6"/>
    <x v="1"/>
    <x v="53"/>
    <s v="C00000010"/>
    <x v="9"/>
    <s v="RA CSM 450 GSM JUSHI 37kg 79m(L) X 1040mm(W)"/>
    <n v="8"/>
    <s v="T120"/>
    <s v="120"/>
    <d v="2021-03-20T00:00:00"/>
    <n v="3"/>
    <n v="2021"/>
    <n v="1776"/>
    <n v="-1776"/>
    <n v="0"/>
    <n v="162015.49999999997"/>
    <s v="Term"/>
    <s v="Due 28/2/2020"/>
    <m/>
  </r>
  <r>
    <x v="39"/>
    <x v="6"/>
    <x v="1"/>
    <x v="53"/>
    <s v="C00000010"/>
    <x v="9"/>
    <s v="RA Talcum Powder (25Kg)"/>
    <n v="5"/>
    <s v="T120"/>
    <s v="120"/>
    <d v="2021-03-20T00:00:00"/>
    <n v="3"/>
    <n v="2021"/>
    <n v="275"/>
    <n v="-275"/>
    <n v="0"/>
    <n v="162290.49999999997"/>
    <s v="Term"/>
    <s v="Due 28/2/2020"/>
    <m/>
  </r>
  <r>
    <x v="39"/>
    <x v="6"/>
    <x v="1"/>
    <x v="53"/>
    <s v="C00000010"/>
    <x v="9"/>
    <s v="RA Butanox M50 (5Kg)"/>
    <n v="2"/>
    <s v="T120"/>
    <s v="120"/>
    <d v="2021-03-20T00:00:00"/>
    <n v="3"/>
    <n v="2021"/>
    <n v="180"/>
    <n v="-180"/>
    <n v="0"/>
    <n v="162470.49999999997"/>
    <s v="Term"/>
    <s v="Due 28/2/2020"/>
    <m/>
  </r>
  <r>
    <x v="39"/>
    <x v="6"/>
    <x v="1"/>
    <x v="53"/>
    <s v="C00000010"/>
    <x v="9"/>
    <s v="RA Bosny Wax (15kg)"/>
    <n v="1"/>
    <s v="T120"/>
    <s v="120"/>
    <d v="2021-03-20T00:00:00"/>
    <n v="3"/>
    <n v="2021"/>
    <n v="375"/>
    <n v="-375"/>
    <n v="0"/>
    <n v="162845.49999999997"/>
    <s v="Term"/>
    <s v="Due 28/2/2020"/>
    <m/>
  </r>
  <r>
    <x v="40"/>
    <x v="6"/>
    <x v="1"/>
    <x v="54"/>
    <s v="C00000008"/>
    <x v="7"/>
    <s v="RA Nor 3338W (220Kg)"/>
    <n v="1"/>
    <s v="Cash"/>
    <n v="0"/>
    <d v="2020-11-21T00:00:00"/>
    <n v="11"/>
    <n v="2020"/>
    <n v="1584"/>
    <n v="-1584"/>
    <n v="0"/>
    <n v="164429.49999999997"/>
    <s v="Trsf"/>
    <m/>
    <m/>
  </r>
  <r>
    <x v="40"/>
    <x v="6"/>
    <x v="1"/>
    <x v="54"/>
    <s v="C00000008"/>
    <x v="7"/>
    <s v="RA Gelcoat GP-H (20Kg)"/>
    <n v="2"/>
    <s v="Cash"/>
    <n v="0"/>
    <d v="2020-11-21T00:00:00"/>
    <n v="11"/>
    <n v="2020"/>
    <n v="420"/>
    <n v="-420"/>
    <n v="0"/>
    <n v="164849.49999999997"/>
    <s v="Trsf"/>
    <m/>
    <m/>
  </r>
  <r>
    <x v="40"/>
    <x v="6"/>
    <x v="1"/>
    <x v="54"/>
    <s v="C00000008"/>
    <x v="7"/>
    <s v="RA Butanox M50 (5Kg)"/>
    <n v="1"/>
    <s v="Cash"/>
    <n v="0"/>
    <d v="2020-11-21T00:00:00"/>
    <n v="11"/>
    <n v="2020"/>
    <n v="90"/>
    <n v="-90"/>
    <n v="0"/>
    <n v="164939.49999999997"/>
    <s v="Trsf"/>
    <m/>
    <m/>
  </r>
  <r>
    <x v="40"/>
    <x v="6"/>
    <x v="1"/>
    <x v="54"/>
    <s v="C00000008"/>
    <x v="7"/>
    <s v="RA CSM 450 GSM JUSHI 37kg 79m(L) X 1040mm(W)"/>
    <n v="2"/>
    <s v="Cash"/>
    <n v="0"/>
    <d v="2020-11-21T00:00:00"/>
    <n v="11"/>
    <n v="2020"/>
    <n v="518"/>
    <n v="-518"/>
    <n v="0"/>
    <n v="165457.49999999997"/>
    <s v="Trsf"/>
    <m/>
    <m/>
  </r>
  <r>
    <x v="41"/>
    <x v="6"/>
    <x v="1"/>
    <x v="55"/>
    <s v="C00000005"/>
    <x v="4"/>
    <s v="RA Resin 3317AW (220Kg)"/>
    <n v="1"/>
    <s v="Cash"/>
    <n v="0"/>
    <d v="2020-11-23T00:00:00"/>
    <n v="11"/>
    <n v="2020"/>
    <n v="1540"/>
    <n v="-1540"/>
    <n v="0"/>
    <n v="166997.49999999997"/>
    <s v="Chq"/>
    <s v="Chq CIMB 000060 24/11/20, Banked in 30/11/20"/>
    <m/>
  </r>
  <r>
    <x v="38"/>
    <x v="6"/>
    <x v="1"/>
    <x v="56"/>
    <s v="C00000011"/>
    <x v="10"/>
    <s v="Alkaline resistance Chopped Strand 24MM (18Kgs)"/>
    <n v="3"/>
    <s v="Cash"/>
    <n v="0"/>
    <d v="2020-11-24T00:00:00"/>
    <n v="11"/>
    <n v="2020"/>
    <n v="982.80000000000007"/>
    <n v="-982.80000000000007"/>
    <n v="0"/>
    <n v="167980.29999999996"/>
    <s v="Trsf"/>
    <s v="Trsf 23/11/2020"/>
    <m/>
  </r>
  <r>
    <x v="38"/>
    <x v="6"/>
    <x v="1"/>
    <x v="56"/>
    <s v="C00000011"/>
    <x v="10"/>
    <s v="Transport charge"/>
    <n v="1"/>
    <s v="Cash"/>
    <n v="0"/>
    <d v="2020-11-24T00:00:00"/>
    <n v="11"/>
    <n v="2020"/>
    <n v="100"/>
    <n v="-100"/>
    <n v="0"/>
    <n v="168080.29999999996"/>
    <s v="Trsf"/>
    <s v="Trsf 23/11/2020"/>
    <m/>
  </r>
  <r>
    <x v="38"/>
    <x v="6"/>
    <x v="1"/>
    <x v="57"/>
    <s v="C00000003"/>
    <x v="2"/>
    <s v="RA Resin 3317AW (220Kg)"/>
    <n v="1"/>
    <s v="T45"/>
    <n v="45"/>
    <d v="2021-01-08T00:00:00"/>
    <n v="1"/>
    <n v="2021"/>
    <n v="1628"/>
    <n v="-1628"/>
    <n v="0"/>
    <n v="169708.29999999996"/>
    <s v="Term"/>
    <s v="PD Chq 10/1/21, RM2,008/-"/>
    <m/>
  </r>
  <r>
    <x v="38"/>
    <x v="6"/>
    <x v="1"/>
    <x v="57"/>
    <s v="C00000003"/>
    <x v="2"/>
    <s v="RA Talcum Powder (25Kg)"/>
    <n v="3"/>
    <s v="T45"/>
    <n v="45"/>
    <d v="2021-01-08T00:00:00"/>
    <n v="1"/>
    <n v="2021"/>
    <n v="150"/>
    <n v="-150"/>
    <n v="0"/>
    <n v="169858.29999999996"/>
    <s v="Term"/>
    <s v="PD Chq 10/1/21, RM2,008/-"/>
    <m/>
  </r>
  <r>
    <x v="38"/>
    <x v="6"/>
    <x v="1"/>
    <x v="57"/>
    <s v="C00000003"/>
    <x v="2"/>
    <s v="RA Butanox M50 (5Kg)"/>
    <n v="2"/>
    <s v="T45"/>
    <n v="45"/>
    <d v="2021-01-08T00:00:00"/>
    <n v="1"/>
    <n v="2021"/>
    <n v="185"/>
    <n v="-185"/>
    <n v="0"/>
    <n v="170043.29999999996"/>
    <s v="Term"/>
    <s v="PD Chq 10/1/21, RM2,008/-"/>
    <m/>
  </r>
  <r>
    <x v="38"/>
    <x v="6"/>
    <x v="1"/>
    <x v="57"/>
    <s v="C00000003"/>
    <x v="2"/>
    <s v="RA Miracle Gloss Wax"/>
    <n v="1"/>
    <s v="T45"/>
    <n v="45"/>
    <d v="2021-01-08T00:00:00"/>
    <n v="1"/>
    <n v="2021"/>
    <n v="45"/>
    <n v="-45"/>
    <n v="0"/>
    <n v="170088.29999999996"/>
    <s v="Term"/>
    <s v="PD Chq 10/1/21, RM2,008/-"/>
    <m/>
  </r>
  <r>
    <x v="42"/>
    <x v="6"/>
    <x v="1"/>
    <x v="58"/>
    <s v="C00000001"/>
    <x v="0"/>
    <s v="RA Nor 3338W (220Kg)"/>
    <n v="1"/>
    <s v="Cash"/>
    <n v="0"/>
    <d v="2020-11-27T00:00:00"/>
    <n v="11"/>
    <n v="2020"/>
    <n v="1584"/>
    <n v="-1584"/>
    <n v="0"/>
    <n v="171672.29999999996"/>
    <s v="Trsf"/>
    <s v="Trsf 5/12/2020"/>
    <m/>
  </r>
  <r>
    <x v="42"/>
    <x v="6"/>
    <x v="1"/>
    <x v="58"/>
    <s v="C00000001"/>
    <x v="0"/>
    <s v="RA CSM 450 GSM TWL 30kg 64m(L) X 1040mm(W)"/>
    <n v="4"/>
    <s v="Cash"/>
    <n v="0"/>
    <d v="2020-11-27T00:00:00"/>
    <n v="11"/>
    <n v="2020"/>
    <n v="840"/>
    <n v="-840"/>
    <n v="0"/>
    <n v="172512.29999999996"/>
    <s v="Trsf"/>
    <s v="Trsf 5/12/2020"/>
    <m/>
  </r>
  <r>
    <x v="43"/>
    <x v="6"/>
    <x v="1"/>
    <x v="59"/>
    <s v="C00000009"/>
    <x v="8"/>
    <s v="RA Gelcoat GP-H (20Kg)"/>
    <n v="2"/>
    <s v="T60"/>
    <n v="60"/>
    <d v="2021-01-27T00:00:00"/>
    <n v="1"/>
    <n v="2021"/>
    <n v="408"/>
    <n v="-408"/>
    <n v="0"/>
    <n v="172920.29999999996"/>
    <s v="Term"/>
    <s v="Chq HL 009828, dd 6/2/21, Banked in 7/2/21"/>
    <m/>
  </r>
  <r>
    <x v="44"/>
    <x v="6"/>
    <x v="1"/>
    <x v="60"/>
    <s v="C00000008"/>
    <x v="7"/>
    <s v="RA Gelcoat GP-H (20Kg)"/>
    <n v="5"/>
    <s v="Cash"/>
    <n v="0"/>
    <d v="2020-11-30T00:00:00"/>
    <n v="11"/>
    <n v="2020"/>
    <n v="1050"/>
    <n v="-1050"/>
    <n v="0"/>
    <n v="173970.29999999996"/>
    <s v="Trsf"/>
    <m/>
    <m/>
  </r>
  <r>
    <x v="44"/>
    <x v="6"/>
    <x v="1"/>
    <x v="61"/>
    <s v="C00000010"/>
    <x v="9"/>
    <s v="RA Nor 3338W (220Kg)"/>
    <n v="5"/>
    <s v="T120"/>
    <s v="120"/>
    <d v="2021-03-30T00:00:00"/>
    <n v="3"/>
    <n v="2021"/>
    <n v="6600"/>
    <n v="-6600"/>
    <n v="0"/>
    <n v="180570.29999999996"/>
    <s v="Term"/>
    <s v="Due 28/2/2020"/>
    <m/>
  </r>
  <r>
    <x v="44"/>
    <x v="6"/>
    <x v="1"/>
    <x v="61"/>
    <s v="C00000010"/>
    <x v="9"/>
    <s v="RA CSM 450 GSM TWL 30kg 64m(L) X 1040mm(W)"/>
    <n v="4"/>
    <s v="T120"/>
    <s v="120"/>
    <d v="2021-03-30T00:00:00"/>
    <n v="3"/>
    <n v="2021"/>
    <n v="720"/>
    <n v="-720"/>
    <n v="0"/>
    <n v="181290.29999999996"/>
    <s v="Term"/>
    <s v="Due 28/2/2020"/>
    <m/>
  </r>
  <r>
    <x v="44"/>
    <x v="6"/>
    <x v="1"/>
    <x v="61"/>
    <s v="C00000010"/>
    <x v="9"/>
    <s v="RA Talcum Powder (25Kg)"/>
    <n v="5"/>
    <s v="T120"/>
    <s v="120"/>
    <d v="2021-03-30T00:00:00"/>
    <n v="3"/>
    <n v="2021"/>
    <n v="275"/>
    <n v="-275"/>
    <n v="0"/>
    <n v="181565.29999999996"/>
    <s v="Term"/>
    <s v="Due 28/2/2020"/>
    <m/>
  </r>
  <r>
    <x v="44"/>
    <x v="6"/>
    <x v="1"/>
    <x v="61"/>
    <s v="C00000010"/>
    <x v="9"/>
    <s v="RA Butanox M50 (5Kg)"/>
    <n v="2"/>
    <s v="T120"/>
    <s v="120"/>
    <d v="2021-03-30T00:00:00"/>
    <n v="3"/>
    <n v="2021"/>
    <n v="180"/>
    <n v="-180"/>
    <n v="0"/>
    <n v="181745.29999999996"/>
    <s v="Term"/>
    <s v="Due 28/2/2020"/>
    <m/>
  </r>
  <r>
    <x v="44"/>
    <x v="6"/>
    <x v="1"/>
    <x v="62"/>
    <s v="C00000010"/>
    <x v="9"/>
    <s v="RA Talcum Powder (25Kg)"/>
    <n v="5"/>
    <s v="T120"/>
    <s v="120"/>
    <d v="2021-03-30T00:00:00"/>
    <n v="3"/>
    <n v="2021"/>
    <n v="275"/>
    <n v="-275"/>
    <n v="0"/>
    <n v="182020.29999999996"/>
    <s v="Term"/>
    <s v="Due 28/2/2020"/>
    <m/>
  </r>
  <r>
    <x v="45"/>
    <x v="0"/>
    <x v="1"/>
    <x v="63"/>
    <s v="C00000011"/>
    <x v="11"/>
    <s v="RA CSM 450 GSM 54kg 64m(L) X 1860mm(W)"/>
    <n v="2"/>
    <s v="Cash"/>
    <n v="0"/>
    <d v="2020-12-05T00:00:00"/>
    <n v="12"/>
    <n v="2020"/>
    <n v="799.2"/>
    <n v="-799.2"/>
    <n v="0"/>
    <n v="182819.49999999997"/>
    <s v="Term"/>
    <s v="Trsf 5/12/2020"/>
    <m/>
  </r>
  <r>
    <x v="46"/>
    <x v="0"/>
    <x v="1"/>
    <x v="64"/>
    <s v="C00000001"/>
    <x v="0"/>
    <s v="RA Resin 3317AW (220Kg)"/>
    <n v="1"/>
    <s v="Cash"/>
    <n v="0"/>
    <d v="2020-12-15T00:00:00"/>
    <n v="12"/>
    <n v="2020"/>
    <n v="1716"/>
    <n v="-1716"/>
    <n v="0"/>
    <n v="184535.49999999997"/>
    <s v="Trsf"/>
    <s v="Trsf 18/12/2020"/>
    <m/>
  </r>
  <r>
    <x v="46"/>
    <x v="0"/>
    <x v="1"/>
    <x v="64"/>
    <s v="C00000001"/>
    <x v="0"/>
    <s v="RA Gelcoat GS-S ISO (20kg)"/>
    <n v="2"/>
    <s v="Cash"/>
    <n v="0"/>
    <d v="2020-12-15T00:00:00"/>
    <n v="12"/>
    <n v="2020"/>
    <n v="512"/>
    <n v="-512"/>
    <n v="0"/>
    <n v="185047.49999999997"/>
    <s v="Trsf"/>
    <s v="Trsf 18/12/2020"/>
    <m/>
  </r>
  <r>
    <x v="47"/>
    <x v="0"/>
    <x v="1"/>
    <x v="65"/>
    <s v="C00000004"/>
    <x v="3"/>
    <s v="RA Norsodyne 3338NW (220Kg)"/>
    <n v="2"/>
    <s v="T120"/>
    <n v="120"/>
    <d v="2021-04-25T00:00:00"/>
    <n v="4"/>
    <n v="2021"/>
    <n v="2860"/>
    <n v="-2860"/>
    <n v="0"/>
    <n v="187907.49999999997"/>
    <s v="Term"/>
    <s v="HL005820, 200321 (clear on 30/3/2021)"/>
    <m/>
  </r>
  <r>
    <x v="48"/>
    <x v="0"/>
    <x v="1"/>
    <x v="66"/>
    <s v="C00000003"/>
    <x v="2"/>
    <s v="RA Resin 3317AW (220Kg)"/>
    <n v="3"/>
    <s v="T45"/>
    <n v="45"/>
    <d v="2021-02-13T00:00:00"/>
    <n v="2"/>
    <n v="2021"/>
    <n v="5148"/>
    <n v="-5148"/>
    <m/>
    <n v="193055.49999999997"/>
    <s v="Term"/>
    <s v="PD Chq 13/2, 16/2, 20/2, 27/2 (RM1,500.00, RM1,608.00, RM1,500.00 &amp; RM1,500.00)"/>
    <m/>
  </r>
  <r>
    <x v="48"/>
    <x v="0"/>
    <x v="1"/>
    <x v="66"/>
    <s v="C00000003"/>
    <x v="2"/>
    <s v="RA CSM 450 GSM 54kg 64m(L) X 1860mm(W)"/>
    <n v="1"/>
    <s v="T45"/>
    <n v="45"/>
    <d v="2021-02-13T00:00:00"/>
    <n v="2"/>
    <n v="2021"/>
    <n v="405"/>
    <n v="-405"/>
    <n v="0"/>
    <n v="193460.49999999997"/>
    <s v="Term"/>
    <s v="PD Chq 13/2, 16/2, 20/2, 27/2 (RM1,500.00, RM1,608.00, RM1,500.00 &amp; RM1,500.00)"/>
    <m/>
  </r>
  <r>
    <x v="48"/>
    <x v="0"/>
    <x v="1"/>
    <x v="66"/>
    <s v="C00000003"/>
    <x v="2"/>
    <s v="RA Butanox M50 (5Kg)"/>
    <n v="6"/>
    <s v="T45"/>
    <n v="45"/>
    <d v="2021-02-13T00:00:00"/>
    <n v="2"/>
    <n v="2021"/>
    <n v="555"/>
    <n v="-555"/>
    <n v="0"/>
    <n v="194015.49999999997"/>
    <s v="Term"/>
    <s v="PD Chq 13/2, 16/2, 20/2, 27/2 (RM1,500.00, RM1,608.00, RM1,500.00 &amp; RM1,500.00)"/>
    <m/>
  </r>
  <r>
    <x v="49"/>
    <x v="0"/>
    <x v="1"/>
    <x v="67"/>
    <s v="C00000010"/>
    <x v="9"/>
    <s v="RA Norsodyne 3338W (220Kg)"/>
    <n v="5"/>
    <s v="T120"/>
    <s v="120"/>
    <d v="2021-04-30T00:00:00"/>
    <n v="4"/>
    <n v="2021"/>
    <n v="7700"/>
    <n v="-7700"/>
    <n v="0"/>
    <n v="201715.49999999997"/>
    <s v="Term"/>
    <s v="Trsf 20/04/21"/>
    <m/>
  </r>
  <r>
    <x v="49"/>
    <x v="0"/>
    <x v="1"/>
    <x v="67"/>
    <s v="C00000010"/>
    <x v="9"/>
    <s v="RA CSM 450 30kg 79m(L) X 1040mm(W)"/>
    <n v="8"/>
    <s v="T120"/>
    <s v="120"/>
    <d v="2021-04-30T00:00:00"/>
    <n v="4"/>
    <n v="2021"/>
    <n v="1680"/>
    <n v="-1680"/>
    <n v="0"/>
    <n v="203395.49999999997"/>
    <s v="Term"/>
    <s v="Trsf 20/04/21"/>
    <m/>
  </r>
  <r>
    <x v="49"/>
    <x v="0"/>
    <x v="1"/>
    <x v="67"/>
    <s v="C00000010"/>
    <x v="9"/>
    <s v="RA Talcum Powder (25Kg)"/>
    <n v="10"/>
    <s v="T120"/>
    <s v="120"/>
    <d v="2021-04-30T00:00:00"/>
    <n v="4"/>
    <n v="2021"/>
    <n v="550"/>
    <n v="-550"/>
    <n v="0"/>
    <n v="203945.49999999997"/>
    <s v="Term"/>
    <s v="Trsf 20/04/21"/>
    <m/>
  </r>
  <r>
    <x v="49"/>
    <x v="0"/>
    <x v="1"/>
    <x v="67"/>
    <s v="C00000010"/>
    <x v="9"/>
    <s v="RA Butanox M50 (5Kg)"/>
    <n v="2"/>
    <s v="T120"/>
    <s v="120"/>
    <d v="2021-04-30T00:00:00"/>
    <n v="4"/>
    <n v="2021"/>
    <n v="190"/>
    <n v="-190"/>
    <n v="0"/>
    <n v="204135.49999999997"/>
    <s v="Term"/>
    <s v="Trsf 20/04/21"/>
    <m/>
  </r>
  <r>
    <x v="50"/>
    <x v="7"/>
    <x v="2"/>
    <x v="68"/>
    <s v="C00000013"/>
    <x v="12"/>
    <s v="RA Tooling Gelcoat RP92 (22Kg)"/>
    <n v="2"/>
    <s v="Cash"/>
    <n v="0"/>
    <d v="2021-01-04T00:00:00"/>
    <n v="1"/>
    <n v="2021"/>
    <n v="1540"/>
    <n v="-1540"/>
    <n v="0"/>
    <n v="205675.49999999997"/>
    <s v="Cash"/>
    <s v="Bank in 2-5/1/2021"/>
    <m/>
  </r>
  <r>
    <x v="50"/>
    <x v="7"/>
    <x v="2"/>
    <x v="68"/>
    <s v="C00000013"/>
    <x v="12"/>
    <s v="RA CSM 450 54kg 64m(L) X 1860mm(W)"/>
    <n v="2"/>
    <s v="Cash"/>
    <n v="0"/>
    <d v="2021-01-04T00:00:00"/>
    <n v="1"/>
    <n v="2021"/>
    <n v="810"/>
    <n v="-810"/>
    <n v="0"/>
    <n v="206485.49999999997"/>
    <s v="Cash"/>
    <s v="Bank in 2-5/1/2021"/>
    <m/>
  </r>
  <r>
    <x v="50"/>
    <x v="7"/>
    <x v="2"/>
    <x v="68"/>
    <s v="C00000013"/>
    <x v="12"/>
    <s v="RA CSM 300 GSM 54Kg 96m(L) X 1860mm(W)"/>
    <n v="1"/>
    <s v="Cash"/>
    <n v="0"/>
    <d v="2021-01-04T00:00:00"/>
    <n v="1"/>
    <n v="2021"/>
    <n v="405"/>
    <n v="-405"/>
    <n v="0"/>
    <n v="206890.49999999997"/>
    <s v="Cash"/>
    <s v="Bank in 2-5/1/2021"/>
    <m/>
  </r>
  <r>
    <x v="50"/>
    <x v="7"/>
    <x v="2"/>
    <x v="68"/>
    <s v="C00000013"/>
    <x v="12"/>
    <s v="RA Vinlyeter Resin (200Kg)"/>
    <n v="2"/>
    <s v="Cash"/>
    <n v="0"/>
    <d v="2021-01-04T00:00:00"/>
    <n v="1"/>
    <n v="2021"/>
    <n v="5920"/>
    <n v="-5920"/>
    <n v="0"/>
    <n v="212810.49999999997"/>
    <s v="Cash"/>
    <s v="Bank in 2-5/1/2021"/>
    <m/>
  </r>
  <r>
    <x v="50"/>
    <x v="7"/>
    <x v="2"/>
    <x v="68"/>
    <s v="C00000013"/>
    <x v="12"/>
    <s v="RA Mirror Glaze Mold Release "/>
    <n v="3"/>
    <s v="Cash"/>
    <n v="0"/>
    <d v="2021-01-04T00:00:00"/>
    <n v="1"/>
    <n v="2021"/>
    <n v="135"/>
    <n v="-135"/>
    <n v="0"/>
    <n v="212945.49999999997"/>
    <s v="Cash"/>
    <s v="Bank in 2-5/1/2021"/>
    <m/>
  </r>
  <r>
    <x v="50"/>
    <x v="7"/>
    <x v="2"/>
    <x v="68"/>
    <s v="C00000013"/>
    <x v="12"/>
    <s v="RA Pigment H 2006 Dark Grey (5Kg)"/>
    <n v="1"/>
    <s v="Cash"/>
    <n v="0"/>
    <d v="2021-01-04T00:00:00"/>
    <n v="1"/>
    <n v="2021"/>
    <n v="130"/>
    <n v="-130"/>
    <n v="0"/>
    <n v="213075.49999999997"/>
    <s v="Cash"/>
    <s v="Bank in 2-5/1/2021"/>
    <m/>
  </r>
  <r>
    <x v="50"/>
    <x v="7"/>
    <x v="2"/>
    <x v="68"/>
    <s v="C00000013"/>
    <x v="12"/>
    <s v="RA Deawa DW-5213"/>
    <n v="1"/>
    <s v="Cash"/>
    <n v="0"/>
    <d v="2021-01-04T00:00:00"/>
    <n v="1"/>
    <n v="2021"/>
    <n v="380"/>
    <n v="-380"/>
    <n v="0"/>
    <n v="213455.49999999997"/>
    <s v="Cash"/>
    <s v="Bank in 2-5/1/2021"/>
    <m/>
  </r>
  <r>
    <x v="50"/>
    <x v="7"/>
    <x v="2"/>
    <x v="68"/>
    <s v="C00000013"/>
    <x v="12"/>
    <s v="RA Pigment H 7001 Bright Orange (5Kg)"/>
    <n v="1"/>
    <s v="Cash"/>
    <n v="0"/>
    <d v="2021-01-04T00:00:00"/>
    <n v="1"/>
    <n v="2021"/>
    <n v="180"/>
    <n v="-180"/>
    <n v="0"/>
    <n v="213635.49999999997"/>
    <s v="Cash"/>
    <s v="Bank in 2-5/1/2021"/>
    <m/>
  </r>
  <r>
    <x v="50"/>
    <x v="7"/>
    <x v="2"/>
    <x v="68"/>
    <s v="C00000013"/>
    <x v="12"/>
    <s v="RA Steel Roller 3&quot;"/>
    <n v="3"/>
    <s v="Cash"/>
    <n v="0"/>
    <d v="2021-01-04T00:00:00"/>
    <n v="1"/>
    <n v="2021"/>
    <n v="144"/>
    <n v="-144"/>
    <n v="0"/>
    <n v="213779.49999999997"/>
    <s v="Cash"/>
    <s v="Bank in 2-5/1/2021"/>
    <m/>
  </r>
  <r>
    <x v="50"/>
    <x v="7"/>
    <x v="2"/>
    <x v="68"/>
    <s v="C00000013"/>
    <x v="12"/>
    <s v="RA Aerosil (Silica Fume) (10Kg)"/>
    <n v="1"/>
    <s v="Cash"/>
    <n v="0"/>
    <d v="2021-01-04T00:00:00"/>
    <n v="1"/>
    <n v="2021"/>
    <n v="360"/>
    <n v="-360"/>
    <n v="0"/>
    <n v="214139.49999999997"/>
    <s v="Cash"/>
    <s v="Bank in 2-5/1/2021"/>
    <m/>
  </r>
  <r>
    <x v="50"/>
    <x v="7"/>
    <x v="2"/>
    <x v="68"/>
    <s v="C00000013"/>
    <x v="12"/>
    <s v="RA Butanox M50 (5Kg)"/>
    <n v="1"/>
    <s v="Cash"/>
    <n v="0"/>
    <d v="2021-01-04T00:00:00"/>
    <n v="1"/>
    <n v="2021"/>
    <n v="95"/>
    <n v="-95"/>
    <n v="0"/>
    <n v="214234.49999999997"/>
    <s v="Cash"/>
    <s v="Bank in 2-5/1/2021"/>
    <m/>
  </r>
  <r>
    <x v="50"/>
    <x v="7"/>
    <x v="2"/>
    <x v="68"/>
    <s v="C00000013"/>
    <x v="12"/>
    <s v="RA Accelerator (4Kg)"/>
    <n v="1"/>
    <s v="Cash"/>
    <n v="0"/>
    <d v="2021-01-04T00:00:00"/>
    <n v="1"/>
    <n v="2021"/>
    <n v="300"/>
    <n v="-300"/>
    <n v="0"/>
    <n v="214534.49999999997"/>
    <s v="Cash"/>
    <s v="Bank in 2-5/1/2021"/>
    <m/>
  </r>
  <r>
    <x v="51"/>
    <x v="7"/>
    <x v="2"/>
    <x v="69"/>
    <s v="C00000010"/>
    <x v="9"/>
    <s v="RA Styrene Monomer (6Kg)"/>
    <n v="1"/>
    <s v="FOC"/>
    <n v="0"/>
    <d v="2021-01-11T00:00:00"/>
    <n v="1"/>
    <n v="2021"/>
    <n v="0"/>
    <n v="0"/>
    <n v="0"/>
    <n v="214534.49999999997"/>
    <s v="FOC"/>
    <s v="FOC"/>
    <m/>
  </r>
  <r>
    <x v="52"/>
    <x v="7"/>
    <x v="2"/>
    <x v="70"/>
    <s v="C00000013"/>
    <x v="12"/>
    <s v="RA Steel Roller 4&quot;"/>
    <n v="3"/>
    <s v="Cash"/>
    <n v="0"/>
    <d v="2021-01-08T00:00:00"/>
    <n v="1"/>
    <n v="2021"/>
    <n v="49"/>
    <n v="-49"/>
    <n v="0"/>
    <n v="214583.49999999997"/>
    <s v="Bank in"/>
    <m/>
    <m/>
  </r>
  <r>
    <x v="53"/>
    <x v="7"/>
    <x v="2"/>
    <x v="71"/>
    <s v="C00000003"/>
    <x v="2"/>
    <s v="RA Talcum Powder (25Kg)"/>
    <n v="5"/>
    <s v="T45"/>
    <n v="45"/>
    <d v="2021-02-23T00:00:00"/>
    <n v="2"/>
    <n v="2021"/>
    <n v="250"/>
    <n v="-250"/>
    <n v="0"/>
    <n v="214833.49999999997"/>
    <s v="Cash"/>
    <s v="Cash 9/1/2021"/>
    <m/>
  </r>
  <r>
    <x v="53"/>
    <x v="7"/>
    <x v="2"/>
    <x v="71"/>
    <s v="C00000003"/>
    <x v="2"/>
    <s v="RA Miracle Gloss Wax"/>
    <n v="2"/>
    <s v="T45"/>
    <n v="45"/>
    <d v="2021-02-23T00:00:00"/>
    <n v="2"/>
    <n v="2021"/>
    <n v="90"/>
    <n v="-90"/>
    <n v="0"/>
    <n v="214923.49999999997"/>
    <s v="Cash"/>
    <s v="Cash 9/1/2021"/>
    <m/>
  </r>
  <r>
    <x v="54"/>
    <x v="7"/>
    <x v="2"/>
    <x v="72"/>
    <s v="C00000013"/>
    <x v="12"/>
    <s v="RA Gelcoat GP-H (20Kg)"/>
    <n v="2"/>
    <s v="Cash"/>
    <n v="0"/>
    <d v="2021-01-18T00:00:00"/>
    <n v="1"/>
    <n v="2021"/>
    <n v="472"/>
    <n v="-472"/>
    <n v="0"/>
    <n v="215395.49999999997"/>
    <s v="Cash"/>
    <s v="Bank in 18-19/1/2021"/>
    <m/>
  </r>
  <r>
    <x v="54"/>
    <x v="7"/>
    <x v="2"/>
    <x v="72"/>
    <s v="C00000013"/>
    <x v="12"/>
    <s v="RA CSM 450 54kg 64m(L) X 1860mm(W)"/>
    <n v="1"/>
    <s v="Cash"/>
    <n v="0"/>
    <d v="2021-01-18T00:00:00"/>
    <n v="1"/>
    <n v="2021"/>
    <n v="405"/>
    <n v="-405"/>
    <n v="0"/>
    <n v="215800.49999999997"/>
    <s v="Cash"/>
    <s v="Bank in 18-19/1/2021"/>
    <m/>
  </r>
  <r>
    <x v="54"/>
    <x v="7"/>
    <x v="2"/>
    <x v="72"/>
    <s v="C00000013"/>
    <x v="12"/>
    <s v="RA CSM 300 GSM 54Kg 96m(L) X 1860mm(W)"/>
    <n v="1"/>
    <s v="Cash"/>
    <n v="0"/>
    <d v="2021-01-18T00:00:00"/>
    <n v="1"/>
    <n v="2021"/>
    <n v="405"/>
    <n v="-405"/>
    <n v="0"/>
    <n v="216205.49999999997"/>
    <s v="Cash"/>
    <s v="Bank in 18-19/1/2021"/>
    <m/>
  </r>
  <r>
    <x v="54"/>
    <x v="7"/>
    <x v="2"/>
    <x v="72"/>
    <s v="C00000013"/>
    <x v="12"/>
    <s v="RA Pigment H 2006 Dark Grey (5Kg)"/>
    <n v="1"/>
    <s v="Cash"/>
    <n v="0"/>
    <d v="2021-01-18T00:00:00"/>
    <n v="1"/>
    <n v="2021"/>
    <n v="130"/>
    <n v="-130"/>
    <n v="0"/>
    <n v="216335.49999999997"/>
    <s v="Cash"/>
    <s v="Bank in 18-19/1/2021"/>
    <m/>
  </r>
  <r>
    <x v="54"/>
    <x v="7"/>
    <x v="2"/>
    <x v="72"/>
    <s v="C00000013"/>
    <x v="12"/>
    <s v="RA Miracle Gloss Wax"/>
    <n v="2"/>
    <s v="Cash"/>
    <n v="0"/>
    <d v="2021-01-18T00:00:00"/>
    <n v="1"/>
    <n v="2021"/>
    <n v="90"/>
    <n v="-90"/>
    <n v="0"/>
    <n v="216425.49999999997"/>
    <s v="Cash"/>
    <s v="Bank in 18-19/1/2021"/>
    <m/>
  </r>
  <r>
    <x v="54"/>
    <x v="7"/>
    <x v="2"/>
    <x v="72"/>
    <s v="C00000013"/>
    <x v="12"/>
    <s v="RA Butanox M50 (5Kg)"/>
    <n v="2"/>
    <s v="Cash"/>
    <n v="0"/>
    <d v="2021-01-18T00:00:00"/>
    <n v="1"/>
    <n v="2021"/>
    <n v="190"/>
    <n v="-190"/>
    <n v="0"/>
    <n v="216615.49999999997"/>
    <s v="Cash"/>
    <s v="Bank in 18-19/1/2021"/>
    <m/>
  </r>
  <r>
    <x v="54"/>
    <x v="7"/>
    <x v="2"/>
    <x v="72"/>
    <s v="C00000013"/>
    <x v="12"/>
    <s v="RA Norsodyne 3338W (220Kg)"/>
    <n v="1"/>
    <s v="Cash"/>
    <n v="0"/>
    <d v="2021-01-18T00:00:00"/>
    <n v="1"/>
    <n v="2021"/>
    <n v="1716"/>
    <n v="-1716"/>
    <n v="0"/>
    <n v="218331.49999999997"/>
    <s v="Cash"/>
    <s v="Bank in 18-19/1/2021"/>
    <m/>
  </r>
  <r>
    <x v="55"/>
    <x v="7"/>
    <x v="2"/>
    <x v="73"/>
    <s v="C00000003"/>
    <x v="2"/>
    <s v="RA Resin 3317AW (220Kg)"/>
    <n v="3"/>
    <s v="T45"/>
    <n v="45"/>
    <d v="2021-03-13T00:00:00"/>
    <n v="3"/>
    <n v="2021"/>
    <n v="5082"/>
    <n v="-5082"/>
    <n v="0"/>
    <n v="223413.49999999997"/>
    <s v="Term"/>
    <s v="PD Chq 14/3, 21/3, 28/3, 31/3,  (RM1,500.00, RM1,500.00, RM1,500.00 &amp; RM1,387.00)"/>
    <m/>
  </r>
  <r>
    <x v="55"/>
    <x v="7"/>
    <x v="2"/>
    <x v="73"/>
    <s v="C00000003"/>
    <x v="2"/>
    <s v="RA Talcum Powder (25Kg)"/>
    <n v="5"/>
    <s v="T45"/>
    <n v="45"/>
    <d v="2021-03-13T00:00:00"/>
    <n v="3"/>
    <n v="2021"/>
    <n v="250"/>
    <n v="-250"/>
    <n v="0"/>
    <n v="223663.49999999997"/>
    <s v="Term"/>
    <s v="PD Chq 14/3, 21/3, 28/3, 31/3,  (RM1,500.00, RM1,500.00, RM1,500.00 &amp; RM1,387.00)"/>
    <m/>
  </r>
  <r>
    <x v="55"/>
    <x v="7"/>
    <x v="2"/>
    <x v="73"/>
    <s v="C00000003"/>
    <x v="2"/>
    <s v="RA Butanox M50 (5kg)"/>
    <n v="6"/>
    <s v="T45"/>
    <n v="45"/>
    <d v="2021-03-13T00:00:00"/>
    <n v="3"/>
    <n v="2021"/>
    <n v="555"/>
    <n v="-555"/>
    <n v="0"/>
    <n v="224218.49999999997"/>
    <s v="Term"/>
    <s v="PD Chq 14/3, 21/3, 28/3, 31/3,  (RM1,500.00, RM1,500.00, RM1,500.00 &amp; RM1,387.00)"/>
    <m/>
  </r>
  <r>
    <x v="56"/>
    <x v="7"/>
    <x v="2"/>
    <x v="74"/>
    <s v="C00000001"/>
    <x v="0"/>
    <s v="RA Nor 3338W (220Kg)"/>
    <n v="1"/>
    <s v="Cash"/>
    <n v="0"/>
    <d v="2021-01-29T00:00:00"/>
    <n v="1"/>
    <n v="2021"/>
    <n v="1694"/>
    <n v="-1694"/>
    <n v="0"/>
    <n v="225912.49999999997"/>
    <s v="Cash"/>
    <s v="Trsf 1/2/2021"/>
    <m/>
  </r>
  <r>
    <x v="56"/>
    <x v="7"/>
    <x v="2"/>
    <x v="74"/>
    <s v="C00000001"/>
    <x v="0"/>
    <s v="RA CSM 450 GSM TWL 30kg 64m(L) X 1040mm(W)"/>
    <n v="4"/>
    <s v="Cash"/>
    <n v="0"/>
    <d v="2021-01-29T00:00:00"/>
    <n v="1"/>
    <n v="2021"/>
    <n v="900"/>
    <n v="-900"/>
    <n v="0"/>
    <n v="226812.49999999997"/>
    <s v="Cash"/>
    <s v="Trsf 1/2/2021"/>
    <m/>
  </r>
  <r>
    <x v="56"/>
    <x v="7"/>
    <x v="2"/>
    <x v="74"/>
    <s v="C00000001"/>
    <x v="0"/>
    <s v="RC Woven Roving E-800 40Kg 1000mm"/>
    <n v="1"/>
    <s v="Cash"/>
    <n v="0"/>
    <d v="2021-01-29T00:00:00"/>
    <n v="1"/>
    <n v="2021"/>
    <n v="272"/>
    <n v="-272"/>
    <n v="0"/>
    <n v="227084.49999999997"/>
    <s v="Cash"/>
    <s v="Trsf 1/2/2021"/>
    <m/>
  </r>
  <r>
    <x v="56"/>
    <x v="7"/>
    <x v="2"/>
    <x v="75"/>
    <s v="C00000010"/>
    <x v="9"/>
    <s v="RA Norsodyne 3338W (220Kg)"/>
    <n v="5"/>
    <s v="T120"/>
    <s v="120"/>
    <d v="2021-05-29T00:00:00"/>
    <n v="5"/>
    <n v="2021"/>
    <n v="7700"/>
    <n v="-7700"/>
    <n v="0"/>
    <n v="234784.49999999997"/>
    <s v="Term"/>
    <s v="Trsf 21/5/2021"/>
    <m/>
  </r>
  <r>
    <x v="56"/>
    <x v="7"/>
    <x v="2"/>
    <x v="75"/>
    <s v="C00000010"/>
    <x v="9"/>
    <s v="RA CSM 450 30kg 79m(L) X 1040mm(W)"/>
    <n v="8"/>
    <s v="T120"/>
    <s v="120"/>
    <d v="2021-05-29T00:00:00"/>
    <n v="5"/>
    <n v="2021"/>
    <n v="1680"/>
    <n v="-1680"/>
    <n v="0"/>
    <n v="236464.49999999997"/>
    <s v="Term"/>
    <s v="Trsf 21/5/2021"/>
    <m/>
  </r>
  <r>
    <x v="56"/>
    <x v="7"/>
    <x v="2"/>
    <x v="75"/>
    <s v="C00000010"/>
    <x v="9"/>
    <s v="RA Talcum Powder (25kg)"/>
    <n v="10"/>
    <s v="T120"/>
    <s v="120"/>
    <d v="2021-05-29T00:00:00"/>
    <n v="5"/>
    <n v="2021"/>
    <n v="550"/>
    <n v="-550"/>
    <n v="0"/>
    <n v="237014.49999999997"/>
    <s v="Term"/>
    <s v="Trsf 21/5/2021"/>
    <m/>
  </r>
  <r>
    <x v="56"/>
    <x v="7"/>
    <x v="2"/>
    <x v="75"/>
    <s v="C00000010"/>
    <x v="9"/>
    <s v="RA Butanox M50 (5kg)"/>
    <n v="4"/>
    <s v="T120"/>
    <s v="120"/>
    <d v="2021-05-29T00:00:00"/>
    <n v="5"/>
    <n v="2021"/>
    <n v="380"/>
    <n v="-380"/>
    <n v="0"/>
    <n v="237394.49999999997"/>
    <s v="Term"/>
    <s v="Trsf 21/5/2021"/>
    <m/>
  </r>
  <r>
    <x v="57"/>
    <x v="8"/>
    <x v="2"/>
    <x v="76"/>
    <s v="C00000014"/>
    <x v="13"/>
    <s v="RA Resin 3317AW (220Kg)"/>
    <n v="2"/>
    <s v="Cash"/>
    <n v="0"/>
    <d v="2021-02-03T00:00:00"/>
    <n v="2"/>
    <n v="2021"/>
    <n v="3344"/>
    <n v="-3344"/>
    <n v="0"/>
    <n v="240738.49999999997"/>
    <s v="Cash"/>
    <s v="Cash 3/2/2021"/>
    <m/>
  </r>
  <r>
    <x v="57"/>
    <x v="8"/>
    <x v="2"/>
    <x v="76"/>
    <s v="C00000014"/>
    <x v="13"/>
    <s v="RA CSM 450 GSM TWL 30kg 64m(L) X 1040mm(W)"/>
    <n v="5"/>
    <s v="Cash"/>
    <n v="0"/>
    <d v="2021-02-03T00:00:00"/>
    <n v="2"/>
    <n v="2021"/>
    <n v="1125"/>
    <n v="-1125"/>
    <n v="0"/>
    <n v="241863.49999999997"/>
    <s v="Cash"/>
    <s v="Cash 3/2/2021"/>
    <m/>
  </r>
  <r>
    <x v="57"/>
    <x v="8"/>
    <x v="2"/>
    <x v="76"/>
    <s v="C00000014"/>
    <x v="13"/>
    <s v="RC Woven Roving E-800 1000mm (40Kg)"/>
    <n v="1"/>
    <s v="Cash"/>
    <n v="0"/>
    <d v="2021-02-03T00:00:00"/>
    <n v="2"/>
    <n v="2021"/>
    <n v="280"/>
    <n v="-280"/>
    <n v="0"/>
    <n v="242143.49999999997"/>
    <s v="Cash"/>
    <s v="Cash 3/2/2021"/>
    <m/>
  </r>
  <r>
    <x v="57"/>
    <x v="8"/>
    <x v="2"/>
    <x v="76"/>
    <s v="C00000014"/>
    <x v="13"/>
    <s v="RA Butanox M50 (5kg)"/>
    <n v="2"/>
    <s v="Cash"/>
    <n v="0"/>
    <d v="2021-02-03T00:00:00"/>
    <n v="2"/>
    <n v="2021"/>
    <n v="195"/>
    <n v="-195"/>
    <n v="0"/>
    <n v="242338.49999999997"/>
    <s v="Cash"/>
    <s v="Cash 3/2/2021"/>
    <m/>
  </r>
  <r>
    <x v="57"/>
    <x v="8"/>
    <x v="2"/>
    <x v="76"/>
    <s v="C00000014"/>
    <x v="13"/>
    <s v="RA Miracle Gloss Wax"/>
    <n v="4"/>
    <s v="Cash"/>
    <n v="0"/>
    <d v="2021-02-03T00:00:00"/>
    <n v="2"/>
    <n v="2021"/>
    <n v="180"/>
    <n v="-180"/>
    <n v="0"/>
    <n v="242518.49999999997"/>
    <s v="Cash"/>
    <s v="Cash 3/2/2021"/>
    <m/>
  </r>
  <r>
    <x v="57"/>
    <x v="8"/>
    <x v="2"/>
    <x v="76"/>
    <s v="C00000014"/>
    <x v="13"/>
    <s v="RA Gelcoat GP-H (20kg)"/>
    <n v="1"/>
    <s v="Cash"/>
    <n v="0"/>
    <d v="2021-02-03T00:00:00"/>
    <n v="2"/>
    <n v="2021"/>
    <n v="232"/>
    <n v="-232"/>
    <n v="0"/>
    <n v="242750.49999999997"/>
    <s v="Cash"/>
    <s v="Cash 3/2/2021"/>
    <m/>
  </r>
  <r>
    <x v="58"/>
    <x v="8"/>
    <x v="2"/>
    <x v="77"/>
    <s v="C00000005"/>
    <x v="4"/>
    <s v="RA Resin 3317AW (220Kg)"/>
    <n v="1"/>
    <s v="Cash"/>
    <n v="0"/>
    <d v="2021-02-02T00:00:00"/>
    <n v="2"/>
    <n v="2021"/>
    <n v="1650"/>
    <n v="-1650"/>
    <n v="0"/>
    <n v="244400.49999999997"/>
    <s v="Cash"/>
    <s v="Chq CIMB 000070 2/2/21, Banked in 3/2/21"/>
    <m/>
  </r>
  <r>
    <x v="58"/>
    <x v="8"/>
    <x v="2"/>
    <x v="77"/>
    <s v="C00000005"/>
    <x v="4"/>
    <s v="RA Butanox M50 (5kg)"/>
    <n v="1"/>
    <s v="Cash"/>
    <n v="0"/>
    <d v="2021-02-02T00:00:00"/>
    <n v="2"/>
    <n v="2021"/>
    <n v="100"/>
    <n v="-100"/>
    <n v="0"/>
    <n v="244500.49999999997"/>
    <s v="Cash"/>
    <s v="Chq CIMB 000070 2/2/21, Banked in 3/2/21"/>
    <m/>
  </r>
  <r>
    <x v="59"/>
    <x v="8"/>
    <x v="2"/>
    <x v="78"/>
    <s v="C00000014"/>
    <x v="13"/>
    <s v="RA Pigment Super White (5Kg)"/>
    <n v="1"/>
    <s v="Cash"/>
    <n v="0"/>
    <d v="2021-02-06T00:00:00"/>
    <n v="2"/>
    <n v="2021"/>
    <n v="130"/>
    <n v="-130"/>
    <n v="0"/>
    <n v="244630.49999999997"/>
    <s v="Cash"/>
    <s v="Cash 3/2/2021"/>
    <m/>
  </r>
  <r>
    <x v="60"/>
    <x v="8"/>
    <x v="2"/>
    <x v="79"/>
    <s v="C00000013"/>
    <x v="12"/>
    <s v="RA Deawa DW-5213"/>
    <n v="1"/>
    <s v="Cash"/>
    <n v="0"/>
    <d v="2021-02-09T00:00:00"/>
    <n v="2"/>
    <n v="2021"/>
    <n v="380"/>
    <n v="-380"/>
    <n v="0"/>
    <n v="245010.49999999997"/>
    <s v="Cash"/>
    <s v="Trsf 8/2/2021"/>
    <m/>
  </r>
  <r>
    <x v="60"/>
    <x v="8"/>
    <x v="2"/>
    <x v="79"/>
    <s v="C00000013"/>
    <x v="12"/>
    <s v="RA Gelcoat GP-H (20Kg)"/>
    <n v="2"/>
    <s v="Cash"/>
    <n v="0"/>
    <d v="2021-02-09T00:00:00"/>
    <n v="2"/>
    <n v="2021"/>
    <n v="472"/>
    <n v="-472"/>
    <n v="0"/>
    <n v="245482.49999999997"/>
    <s v="Cash"/>
    <s v="Trsf 8/2/2021"/>
    <m/>
  </r>
  <r>
    <x v="60"/>
    <x v="8"/>
    <x v="2"/>
    <x v="79"/>
    <s v="C00000013"/>
    <x v="12"/>
    <s v="RA Resin 3317AW (220Kg)"/>
    <n v="1"/>
    <s v="Cash"/>
    <n v="0"/>
    <d v="2021-02-09T00:00:00"/>
    <n v="2"/>
    <n v="2021"/>
    <n v="1716"/>
    <n v="-1716"/>
    <n v="0"/>
    <n v="247198.49999999997"/>
    <s v="Cash"/>
    <s v="Trsf 8/2/2021"/>
    <m/>
  </r>
  <r>
    <x v="60"/>
    <x v="8"/>
    <x v="2"/>
    <x v="79"/>
    <s v="C00000013"/>
    <x v="12"/>
    <s v="RA CSM 450 54kg 64m(L) X 1860mm(W)"/>
    <n v="1"/>
    <s v="Cash"/>
    <n v="0"/>
    <d v="2021-02-09T00:00:00"/>
    <n v="2"/>
    <n v="2021"/>
    <n v="405"/>
    <n v="-405"/>
    <n v="0"/>
    <n v="247603.49999999997"/>
    <s v="Cash"/>
    <s v="Trsf 8/2/2021"/>
    <m/>
  </r>
  <r>
    <x v="60"/>
    <x v="8"/>
    <x v="2"/>
    <x v="79"/>
    <s v="C00000013"/>
    <x v="12"/>
    <s v="RA Butanox M50 (5Kg)"/>
    <n v="1"/>
    <s v="Cash"/>
    <n v="0"/>
    <d v="2021-02-09T00:00:00"/>
    <n v="2"/>
    <n v="2021"/>
    <n v="95"/>
    <n v="-95"/>
    <n v="0"/>
    <n v="247698.49999999997"/>
    <s v="Cash"/>
    <s v="Trsf 9/2/2021"/>
    <m/>
  </r>
  <r>
    <x v="60"/>
    <x v="8"/>
    <x v="2"/>
    <x v="79"/>
    <s v="C00000013"/>
    <x v="12"/>
    <s v="RA Pigment H 2006 Dark Grey (5Kg)"/>
    <n v="1"/>
    <s v="Cash"/>
    <n v="0"/>
    <d v="2021-02-09T00:00:00"/>
    <n v="2"/>
    <n v="2021"/>
    <n v="130"/>
    <n v="-130"/>
    <n v="0"/>
    <n v="247828.49999999997"/>
    <s v="Cash"/>
    <s v="Trsf 9/2/2021"/>
    <m/>
  </r>
  <r>
    <x v="61"/>
    <x v="8"/>
    <x v="2"/>
    <x v="80"/>
    <s v="C00000005"/>
    <x v="4"/>
    <s v="RA CSM 450 GSM TWL 30kg 64m(L) X 1040mm(W)"/>
    <n v="1"/>
    <s v="Cash"/>
    <n v="0"/>
    <d v="2021-02-17T00:00:00"/>
    <n v="2"/>
    <n v="2021"/>
    <n v="225"/>
    <n v="-225"/>
    <n v="0"/>
    <n v="248053.49999999997"/>
    <s v="Cash"/>
    <m/>
    <m/>
  </r>
  <r>
    <x v="62"/>
    <x v="8"/>
    <x v="2"/>
    <x v="81"/>
    <s v="C00000001"/>
    <x v="0"/>
    <s v="RA Resin 3317AW (220Kg)"/>
    <n v="1"/>
    <s v="Cash"/>
    <n v="0"/>
    <d v="2021-02-19T00:00:00"/>
    <n v="2"/>
    <n v="2021"/>
    <n v="1694"/>
    <n v="-1694"/>
    <n v="0"/>
    <n v="249747.49999999997"/>
    <s v="Cash"/>
    <s v="Trsf 26/2/2021"/>
    <m/>
  </r>
  <r>
    <x v="63"/>
    <x v="8"/>
    <x v="2"/>
    <x v="82"/>
    <s v="C00000004"/>
    <x v="3"/>
    <s v="RA Nor 3338W (220Kg)"/>
    <n v="5"/>
    <s v="T120"/>
    <n v="120"/>
    <d v="2021-06-24T00:00:00"/>
    <n v="6"/>
    <n v="2021"/>
    <n v="7370"/>
    <n v="-7370"/>
    <n v="0"/>
    <n v="257117.49999999997"/>
    <s v="Term"/>
    <s v="Chq Cleared 2/8/2021"/>
    <m/>
  </r>
  <r>
    <x v="63"/>
    <x v="8"/>
    <x v="2"/>
    <x v="82"/>
    <s v="C00000004"/>
    <x v="3"/>
    <s v="RA CSM 450 54kg 64m(L) X 1860mm(W)"/>
    <n v="3"/>
    <s v="T120"/>
    <n v="120"/>
    <d v="2021-06-24T00:00:00"/>
    <n v="6"/>
    <n v="2021"/>
    <n v="1069.2"/>
    <n v="-1069.2"/>
    <n v="0"/>
    <n v="258186.69999999998"/>
    <s v="Term"/>
    <s v="Chq Cleared 2/8/2021"/>
    <m/>
  </r>
  <r>
    <x v="63"/>
    <x v="8"/>
    <x v="2"/>
    <x v="82"/>
    <s v="C00000004"/>
    <x v="3"/>
    <s v="RA Butanox M50 (5Kg)"/>
    <n v="1"/>
    <s v="T120"/>
    <n v="120"/>
    <d v="2021-06-24T00:00:00"/>
    <n v="6"/>
    <n v="2021"/>
    <n v="360"/>
    <n v="-360"/>
    <n v="0"/>
    <n v="258546.69999999998"/>
    <s v="Term"/>
    <s v="Chq Cleared 2/8/2021"/>
    <m/>
  </r>
  <r>
    <x v="63"/>
    <x v="8"/>
    <x v="2"/>
    <x v="82"/>
    <s v="C00000004"/>
    <x v="3"/>
    <s v="RA Accelerator (4Kg)"/>
    <n v="1"/>
    <s v="T120"/>
    <n v="120"/>
    <d v="2021-06-24T00:00:00"/>
    <n v="6"/>
    <n v="2021"/>
    <n v="312"/>
    <n v="-312"/>
    <n v="0"/>
    <n v="258858.69999999998"/>
    <s v="Term"/>
    <s v="Chq Cleared 2/8/2021"/>
    <m/>
  </r>
  <r>
    <x v="64"/>
    <x v="8"/>
    <x v="2"/>
    <x v="83"/>
    <s v="C00000008"/>
    <x v="7"/>
    <s v="RA Gelcoat GP-H (20Kg)"/>
    <n v="4"/>
    <s v="Cash"/>
    <n v="0"/>
    <d v="2021-02-23T00:00:00"/>
    <n v="2"/>
    <n v="2021"/>
    <n v="920"/>
    <n v="-920"/>
    <n v="0"/>
    <n v="259778.69999999998"/>
    <s v="Cash"/>
    <s v="Trsf 11/3/3021"/>
    <m/>
  </r>
  <r>
    <x v="64"/>
    <x v="8"/>
    <x v="2"/>
    <x v="83"/>
    <s v="C00000008"/>
    <x v="7"/>
    <s v="RA Butanox M50 (5Kg)"/>
    <n v="1"/>
    <s v="Cash"/>
    <n v="0"/>
    <d v="2021-02-23T00:00:00"/>
    <n v="2"/>
    <n v="2021"/>
    <n v="100"/>
    <n v="-100"/>
    <n v="0"/>
    <n v="259878.69999999998"/>
    <s v="Cash"/>
    <s v="Trsf 11/3/3021"/>
    <m/>
  </r>
  <r>
    <x v="64"/>
    <x v="8"/>
    <x v="2"/>
    <x v="83"/>
    <s v="C00000008"/>
    <x v="7"/>
    <s v="Brush 2 1/2&quot; (12 pc)"/>
    <n v="3"/>
    <s v="Cash"/>
    <n v="0"/>
    <d v="2021-02-23T00:00:00"/>
    <n v="2"/>
    <n v="2021"/>
    <n v="180"/>
    <n v="-180"/>
    <n v="0"/>
    <n v="260058.69999999998"/>
    <s v="Cash"/>
    <s v="Trsf 11/3/3021"/>
    <m/>
  </r>
  <r>
    <x v="65"/>
    <x v="8"/>
    <x v="2"/>
    <x v="84"/>
    <s v="C00000015"/>
    <x v="14"/>
    <s v="RA Nor 3338W (220Kg)"/>
    <n v="1"/>
    <s v="Cash"/>
    <n v="0"/>
    <d v="2021-02-26T00:00:00"/>
    <n v="2"/>
    <n v="2021"/>
    <n v="1694"/>
    <n v="-1694"/>
    <n v="0"/>
    <n v="261752.69999999998"/>
    <s v="Cash"/>
    <s v="Trsf 27/2/2021"/>
    <m/>
  </r>
  <r>
    <x v="65"/>
    <x v="8"/>
    <x v="2"/>
    <x v="84"/>
    <s v="C00000015"/>
    <x v="14"/>
    <s v="RA CSM 450 GSM TWL 30kg 64m(L) X 1040mm(W)"/>
    <n v="1"/>
    <s v="Cash"/>
    <n v="0"/>
    <d v="2021-02-26T00:00:00"/>
    <n v="2"/>
    <n v="2021"/>
    <n v="228"/>
    <n v="-228"/>
    <n v="0"/>
    <n v="261980.69999999998"/>
    <s v="Cash"/>
    <s v="Trsf 27/2/2021"/>
    <m/>
  </r>
  <r>
    <x v="65"/>
    <x v="8"/>
    <x v="2"/>
    <x v="84"/>
    <s v="C00000015"/>
    <x v="14"/>
    <s v="RA Butanox M50 (5kg)"/>
    <n v="1"/>
    <s v="Cash"/>
    <n v="0"/>
    <d v="2021-02-26T00:00:00"/>
    <n v="2"/>
    <n v="2021"/>
    <n v="100"/>
    <n v="-100"/>
    <n v="0"/>
    <n v="262080.69999999998"/>
    <s v="Cash"/>
    <s v="Trsf 27/2/2021"/>
    <m/>
  </r>
  <r>
    <x v="66"/>
    <x v="9"/>
    <x v="2"/>
    <x v="85"/>
    <s v="C00000004"/>
    <x v="3"/>
    <s v="RA Nor 3338W (220Kg)"/>
    <n v="6"/>
    <s v="T120"/>
    <n v="120"/>
    <d v="2021-07-06T00:00:00"/>
    <n v="7"/>
    <n v="2021"/>
    <n v="8976"/>
    <n v="-8976"/>
    <n v="0"/>
    <n v="271056.69999999995"/>
    <s v="Term"/>
    <s v="Chq Cleared 13/9/2021"/>
    <m/>
  </r>
  <r>
    <x v="66"/>
    <x v="9"/>
    <x v="2"/>
    <x v="85"/>
    <s v="C00000004"/>
    <x v="3"/>
    <s v="RA Nor 3338NW (220Kg)"/>
    <n v="1"/>
    <s v="T120"/>
    <n v="120"/>
    <d v="2021-07-06T00:00:00"/>
    <n v="7"/>
    <n v="2021"/>
    <n v="1496"/>
    <n v="-1496"/>
    <n v="0"/>
    <n v="272552.69999999995"/>
    <s v="Term"/>
    <s v="Chq Cleared 13/9/2021"/>
    <m/>
  </r>
  <r>
    <x v="66"/>
    <x v="9"/>
    <x v="2"/>
    <x v="85"/>
    <s v="C00000004"/>
    <x v="3"/>
    <s v="RA CSM 450 GSM 54kg 64m(L) X 1860mm(W)"/>
    <n v="7"/>
    <s v="T120"/>
    <n v="120"/>
    <d v="2021-07-06T00:00:00"/>
    <n v="7"/>
    <n v="2021"/>
    <n v="2532.6"/>
    <n v="-2532.6"/>
    <n v="0"/>
    <n v="275085.29999999993"/>
    <s v="Term"/>
    <s v="Chq Cleared 13/9/2021"/>
    <m/>
  </r>
  <r>
    <x v="66"/>
    <x v="9"/>
    <x v="2"/>
    <x v="85"/>
    <s v="C00000004"/>
    <x v="3"/>
    <s v="RA CSM 300 GSM 54Kg 96m(L) X 1860mm(W)"/>
    <n v="5"/>
    <s v="T120"/>
    <n v="120"/>
    <d v="2021-07-06T00:00:00"/>
    <n v="7"/>
    <n v="2021"/>
    <n v="1809"/>
    <n v="-1809"/>
    <n v="0"/>
    <n v="276894.29999999993"/>
    <s v="Term"/>
    <s v="Chq Cleared 13/9/2021"/>
    <m/>
  </r>
  <r>
    <x v="67"/>
    <x v="9"/>
    <x v="2"/>
    <x v="86"/>
    <s v="C00000016"/>
    <x v="15"/>
    <s v="RA Nor 3338W (220Kg)"/>
    <n v="2"/>
    <s v="Cash"/>
    <n v="0"/>
    <d v="2021-03-10T00:00:00"/>
    <n v="3"/>
    <n v="2021"/>
    <n v="3058"/>
    <n v="-3058"/>
    <n v="0"/>
    <n v="279952.29999999993"/>
    <s v="Cash"/>
    <s v="Trsf 10/3/2021"/>
    <m/>
  </r>
  <r>
    <x v="67"/>
    <x v="9"/>
    <x v="2"/>
    <x v="86"/>
    <s v="C00000016"/>
    <x v="15"/>
    <s v="RA Resin 3317AW (220Kg)"/>
    <n v="2"/>
    <s v="Cash"/>
    <n v="0"/>
    <d v="2021-03-10T00:00:00"/>
    <n v="3"/>
    <n v="2021"/>
    <n v="3058"/>
    <n v="-3058"/>
    <n v="0"/>
    <n v="283010.29999999993"/>
    <s v="Cash"/>
    <s v="Trsf 10/3/2021"/>
    <m/>
  </r>
  <r>
    <x v="67"/>
    <x v="9"/>
    <x v="2"/>
    <x v="86"/>
    <s v="C00000016"/>
    <x v="15"/>
    <s v="RA Resin 8201W (225Kg)"/>
    <n v="3"/>
    <s v="Cash"/>
    <n v="0"/>
    <d v="2021-03-10T00:00:00"/>
    <n v="3"/>
    <n v="2021"/>
    <n v="4691.25"/>
    <n v="-4691.25"/>
    <n v="0"/>
    <n v="287701.54999999993"/>
    <s v="Cash"/>
    <s v="Trsf 10/3/2021"/>
    <m/>
  </r>
  <r>
    <x v="68"/>
    <x v="9"/>
    <x v="2"/>
    <x v="87"/>
    <s v="C00000009"/>
    <x v="8"/>
    <s v="RA Nor 3338NW (220Kg)"/>
    <n v="2"/>
    <s v="T60"/>
    <n v="60"/>
    <d v="2021-05-10T00:00:00"/>
    <n v="5"/>
    <n v="2021"/>
    <n v="3212"/>
    <n v="-3212"/>
    <n v="0"/>
    <n v="290913.54999999993"/>
    <s v="Term"/>
    <s v="Chq HL 012137 dd 20/10/21"/>
    <m/>
  </r>
  <r>
    <x v="68"/>
    <x v="9"/>
    <x v="2"/>
    <x v="87"/>
    <s v="C00000009"/>
    <x v="8"/>
    <s v="RA Nor 3338NW (220Kg)"/>
    <n v="1"/>
    <s v="T60"/>
    <n v="60"/>
    <d v="2021-05-10T00:00:00"/>
    <n v="5"/>
    <n v="2021"/>
    <n v="1606"/>
    <n v="-1606"/>
    <n v="0"/>
    <n v="292519.54999999993"/>
    <s v="Term"/>
    <s v="Chq HL 012137 dd 20/10/21"/>
    <m/>
  </r>
  <r>
    <x v="68"/>
    <x v="9"/>
    <x v="2"/>
    <x v="87"/>
    <s v="C00000009"/>
    <x v="8"/>
    <s v="RA CSM 450 GSM 54kg 64m(L) X 1860mm(W)"/>
    <n v="2"/>
    <s v="T60"/>
    <n v="60"/>
    <d v="2021-05-10T00:00:00"/>
    <n v="5"/>
    <n v="2021"/>
    <n v="820.8"/>
    <n v="-820.8"/>
    <n v="0"/>
    <n v="293340.34999999992"/>
    <s v="Term"/>
    <s v="Chq HL 012137 dd 20/10/21"/>
    <m/>
  </r>
  <r>
    <x v="68"/>
    <x v="9"/>
    <x v="2"/>
    <x v="87"/>
    <s v="C00000009"/>
    <x v="8"/>
    <s v="RA CSM 300 GSM 54Kg 96m(L) X 1860mm(W)"/>
    <n v="2"/>
    <s v="T60"/>
    <n v="60"/>
    <d v="2021-05-10T00:00:00"/>
    <n v="5"/>
    <n v="2021"/>
    <n v="820.8"/>
    <n v="-820.8"/>
    <n v="0"/>
    <n v="294161.14999999991"/>
    <s v="Term"/>
    <s v="Chq HL 012137 dd 20/10/21"/>
    <m/>
  </r>
  <r>
    <x v="69"/>
    <x v="9"/>
    <x v="2"/>
    <x v="88"/>
    <s v="C00000004"/>
    <x v="3"/>
    <s v="RA Nor 3338W (220Kg)"/>
    <n v="5"/>
    <s v="T120"/>
    <n v="120"/>
    <d v="2021-07-21T00:00:00"/>
    <n v="7"/>
    <n v="2021"/>
    <n v="8140"/>
    <n v="-8140"/>
    <n v="0"/>
    <n v="302301.14999999991"/>
    <s v="Term"/>
    <s v="Chq Cleared 13/9/2021"/>
    <m/>
  </r>
  <r>
    <x v="69"/>
    <x v="9"/>
    <x v="2"/>
    <x v="88"/>
    <s v="C00000004"/>
    <x v="3"/>
    <s v="RA CSM 450 GSM 54kg 64m(L) X 1860mm(W)"/>
    <n v="4"/>
    <s v="T120"/>
    <n v="120"/>
    <d v="2021-07-21T00:00:00"/>
    <n v="7"/>
    <n v="2021"/>
    <n v="1641.6"/>
    <n v="-1641.6"/>
    <n v="0"/>
    <n v="303942.74999999988"/>
    <s v="Term"/>
    <s v="Chq Cleared 13/9/2021"/>
    <m/>
  </r>
  <r>
    <x v="69"/>
    <x v="9"/>
    <x v="2"/>
    <x v="88"/>
    <s v="C00000004"/>
    <x v="3"/>
    <s v="RA CSM 300 GSM 54Kg 96m(L) X 1860mm(W)"/>
    <n v="4"/>
    <s v="T120"/>
    <n v="120"/>
    <d v="2021-07-21T00:00:00"/>
    <n v="7"/>
    <n v="2021"/>
    <n v="1641.6"/>
    <n v="-1641.6"/>
    <n v="0"/>
    <n v="305584.34999999986"/>
    <s v="Term"/>
    <s v="Chq Cleared 13/9/2021"/>
    <m/>
  </r>
  <r>
    <x v="69"/>
    <x v="9"/>
    <x v="2"/>
    <x v="88"/>
    <s v="C00000004"/>
    <x v="3"/>
    <s v="RA Butanox M50 (5kg)"/>
    <n v="4"/>
    <s v="T120"/>
    <n v="120"/>
    <d v="2021-07-21T00:00:00"/>
    <n v="7"/>
    <n v="2021"/>
    <n v="380"/>
    <n v="-380"/>
    <n v="0"/>
    <n v="305964.34999999986"/>
    <s v="Term"/>
    <s v="Chq Cleared 13/9/2021"/>
    <m/>
  </r>
  <r>
    <x v="70"/>
    <x v="9"/>
    <x v="2"/>
    <x v="89"/>
    <s v="C00000009"/>
    <x v="8"/>
    <s v="RA Miracle Gloss Wax"/>
    <n v="2"/>
    <s v="T60"/>
    <n v="60"/>
    <d v="2021-05-23T00:00:00"/>
    <n v="5"/>
    <n v="2021"/>
    <n v="90"/>
    <n v="-90"/>
    <n v="0"/>
    <n v="306054.34999999986"/>
    <s v="Term"/>
    <s v="Chq HL 012137 dd 20/10/21"/>
    <m/>
  </r>
  <r>
    <x v="70"/>
    <x v="9"/>
    <x v="2"/>
    <x v="90"/>
    <s v="C00000010"/>
    <x v="9"/>
    <s v="RA Resin 3338AW (220Kg)"/>
    <n v="5"/>
    <s v="T120"/>
    <s v="120"/>
    <d v="2021-07-22T00:00:00"/>
    <n v="7"/>
    <n v="2021"/>
    <n v="8250"/>
    <n v="-8250"/>
    <n v="0"/>
    <n v="314304.34999999986"/>
    <s v="Term"/>
    <s v="Trsf 26/7/21"/>
    <m/>
  </r>
  <r>
    <x v="70"/>
    <x v="9"/>
    <x v="2"/>
    <x v="90"/>
    <s v="C00000010"/>
    <x v="9"/>
    <s v="RA CSM 450 30kg 79m(L) X 1040mm(W)"/>
    <n v="5"/>
    <s v="T120"/>
    <s v="120"/>
    <d v="2021-07-22T00:00:00"/>
    <n v="7"/>
    <n v="2021"/>
    <n v="1170"/>
    <n v="-1170"/>
    <n v="0"/>
    <n v="315474.34999999986"/>
    <s v="Term"/>
    <s v="Trsf 26/7/21"/>
    <m/>
  </r>
  <r>
    <x v="70"/>
    <x v="9"/>
    <x v="2"/>
    <x v="90"/>
    <s v="C00000010"/>
    <x v="9"/>
    <s v="RA Talcum Powder (25kg)"/>
    <n v="5"/>
    <s v="T120"/>
    <s v="120"/>
    <d v="2021-07-22T00:00:00"/>
    <n v="7"/>
    <n v="2021"/>
    <n v="275"/>
    <n v="-275"/>
    <n v="0"/>
    <n v="315749.34999999986"/>
    <s v="Term"/>
    <s v="Trsf 26/7/21"/>
    <m/>
  </r>
  <r>
    <x v="70"/>
    <x v="9"/>
    <x v="2"/>
    <x v="90"/>
    <s v="C00000010"/>
    <x v="9"/>
    <s v="RA Butanox M50 (5kg)"/>
    <n v="4"/>
    <s v="T120"/>
    <s v="120"/>
    <d v="2021-07-22T00:00:00"/>
    <n v="7"/>
    <n v="2021"/>
    <n v="380"/>
    <n v="-380"/>
    <n v="0"/>
    <n v="316129.34999999986"/>
    <s v="Term"/>
    <s v="Trsf 26/7/21"/>
    <m/>
  </r>
  <r>
    <x v="71"/>
    <x v="9"/>
    <x v="2"/>
    <x v="91"/>
    <s v="C00000014"/>
    <x v="13"/>
    <s v="RA Gelcoat GP-H (20Kg)"/>
    <n v="1"/>
    <s v="Cash"/>
    <n v="0"/>
    <d v="2021-03-25T00:00:00"/>
    <n v="3"/>
    <n v="2021"/>
    <n v="240"/>
    <n v="-240"/>
    <n v="0"/>
    <n v="316369.34999999986"/>
    <s v="Cash"/>
    <s v="Bank in Cash 18/4/2021"/>
    <m/>
  </r>
  <r>
    <x v="72"/>
    <x v="9"/>
    <x v="2"/>
    <x v="92"/>
    <s v="C00000004"/>
    <x v="3"/>
    <s v="RA Resin 9539NW (225Kg)"/>
    <n v="2"/>
    <s v="T120"/>
    <n v="120"/>
    <d v="2021-07-28T00:00:00"/>
    <n v="7"/>
    <n v="2021"/>
    <n v="3510"/>
    <n v="-3510"/>
    <n v="0"/>
    <n v="319879.34999999986"/>
    <s v="Term"/>
    <s v="Chq Cleared 13/9/2021"/>
    <m/>
  </r>
  <r>
    <x v="73"/>
    <x v="10"/>
    <x v="2"/>
    <x v="93"/>
    <s v="C00000003"/>
    <x v="2"/>
    <s v="RA Resin 3317AW (220Kg)"/>
    <n v="3"/>
    <s v="T45"/>
    <n v="45"/>
    <d v="2021-05-16T00:00:00"/>
    <n v="5"/>
    <n v="2021"/>
    <n v="5412"/>
    <n v="-5412"/>
    <n v="0"/>
    <n v="325291.34999999986"/>
    <s v="Term"/>
    <s v="Chq dd 9, 16, 23/5 - RHB 001310, 1, 2 &amp; 3 (1,700.00 X3), Banked in 10, 17 &amp; 24/5.  Balance 312.00 changed new chq RHB 001441, dd 18/9/2021"/>
    <m/>
  </r>
  <r>
    <x v="73"/>
    <x v="10"/>
    <x v="2"/>
    <x v="93"/>
    <s v="C00000003"/>
    <x v="2"/>
    <s v="RA CSM 300 GSM 54Kg 96m(L) X 1860mm(W)"/>
    <n v="1"/>
    <s v="T45"/>
    <n v="45"/>
    <d v="2021-05-16T00:00:00"/>
    <n v="5"/>
    <n v="2021"/>
    <n v="459"/>
    <n v="-459"/>
    <n v="0"/>
    <n v="325750.34999999986"/>
    <s v="Term"/>
    <s v="Chq dd 11/6 - RHB 001313 (RM1,521.00), changed new chq RHB 001441 18/9/21"/>
    <m/>
  </r>
  <r>
    <x v="73"/>
    <x v="10"/>
    <x v="2"/>
    <x v="93"/>
    <s v="C00000003"/>
    <x v="2"/>
    <s v="RA Talcum Powder (25Kg)"/>
    <n v="5"/>
    <s v="T45"/>
    <n v="45"/>
    <d v="2021-05-16T00:00:00"/>
    <n v="5"/>
    <n v="2021"/>
    <n v="250"/>
    <n v="-250"/>
    <n v="0"/>
    <n v="326000.34999999986"/>
    <s v="Term"/>
    <s v="Chq dd 11/6 - RHB 001313 (RM1,521.00), changed new chq RHB 001441 18/9/21"/>
    <m/>
  </r>
  <r>
    <x v="73"/>
    <x v="10"/>
    <x v="2"/>
    <x v="93"/>
    <s v="C00000003"/>
    <x v="2"/>
    <s v="RA Butanox M50 (5kg)"/>
    <n v="5"/>
    <s v="T45"/>
    <n v="45"/>
    <d v="2021-05-16T00:00:00"/>
    <n v="5"/>
    <n v="2021"/>
    <n v="500"/>
    <n v="-500"/>
    <n v="0"/>
    <n v="326500.34999999986"/>
    <s v="Term"/>
    <s v="Chq dd 11/6 - RHB 001313 (RM1,521.00), changed new chq RHB 001441 18/9/21"/>
    <m/>
  </r>
  <r>
    <x v="73"/>
    <x v="10"/>
    <x v="2"/>
    <x v="94"/>
    <s v="C00000003"/>
    <x v="2"/>
    <s v="RA Miracle Gloss Wax"/>
    <n v="2"/>
    <s v="T45"/>
    <n v="45"/>
    <d v="2021-05-16T00:00:00"/>
    <n v="5"/>
    <n v="2021"/>
    <n v="90"/>
    <n v="-90"/>
    <n v="0"/>
    <n v="326590.34999999986"/>
    <s v="Term"/>
    <s v="Bank in Cash 18/4/2021"/>
    <m/>
  </r>
  <r>
    <x v="74"/>
    <x v="10"/>
    <x v="2"/>
    <x v="95"/>
    <s v="C00000015"/>
    <x v="14"/>
    <s v="RA Nor 3338W (220Kg)"/>
    <n v="1"/>
    <s v="Cash"/>
    <n v="0"/>
    <d v="2021-04-08T00:00:00"/>
    <n v="4"/>
    <n v="2021"/>
    <n v="1870"/>
    <n v="-1870"/>
    <n v="0"/>
    <n v="328460.34999999986"/>
    <s v="Cash"/>
    <s v="Trsf 13/4/2021"/>
    <m/>
  </r>
  <r>
    <x v="74"/>
    <x v="10"/>
    <x v="2"/>
    <x v="95"/>
    <s v="C00000015"/>
    <x v="14"/>
    <s v="RA CSM 450 GSM TWL 30kg 64m(L) X 1040mm(W)"/>
    <n v="1"/>
    <s v="Cash"/>
    <n v="0"/>
    <d v="2021-04-08T00:00:00"/>
    <n v="4"/>
    <n v="2021"/>
    <n v="255"/>
    <n v="-255"/>
    <n v="0"/>
    <n v="328715.34999999986"/>
    <s v="Cash"/>
    <s v="Trsf 13/4/2021"/>
    <m/>
  </r>
  <r>
    <x v="74"/>
    <x v="10"/>
    <x v="2"/>
    <x v="95"/>
    <s v="C00000015"/>
    <x v="14"/>
    <s v="RA Butanox M50 (5kg)"/>
    <n v="1"/>
    <s v="Cash"/>
    <n v="0"/>
    <d v="2021-04-08T00:00:00"/>
    <n v="4"/>
    <n v="2021"/>
    <n v="100"/>
    <n v="-100"/>
    <n v="0"/>
    <n v="328815.34999999986"/>
    <s v="Cash"/>
    <s v="Trsf 13/4/2021"/>
    <m/>
  </r>
  <r>
    <x v="74"/>
    <x v="10"/>
    <x v="2"/>
    <x v="96"/>
    <s v="C00000010"/>
    <x v="9"/>
    <s v="RA Resin 3338AW (220kg)"/>
    <n v="5"/>
    <s v="T120"/>
    <n v="120"/>
    <d v="2021-08-06T00:00:00"/>
    <n v="8"/>
    <n v="2021"/>
    <n v="8690"/>
    <n v="-8690"/>
    <n v="0"/>
    <n v="337505.34999999986"/>
    <s v="Term"/>
    <s v="Trsf 17/8/2021"/>
    <m/>
  </r>
  <r>
    <x v="74"/>
    <x v="10"/>
    <x v="2"/>
    <x v="96"/>
    <s v="C00000010"/>
    <x v="9"/>
    <s v="RA CSM 450 GSM JUSHI 37kg 79m(L) X 1040mm(W)"/>
    <n v="6"/>
    <s v="T120"/>
    <n v="120"/>
    <d v="2021-08-06T00:00:00"/>
    <n v="8"/>
    <n v="2021"/>
    <n v="1731.6000000000001"/>
    <n v="-1731.6000000000001"/>
    <n v="0"/>
    <n v="339236.94999999984"/>
    <s v="Term"/>
    <s v="Trsf 17/8/2021"/>
    <m/>
  </r>
  <r>
    <x v="74"/>
    <x v="10"/>
    <x v="2"/>
    <x v="96"/>
    <s v="C00000010"/>
    <x v="9"/>
    <s v="RA Talcum Powder (25kg)"/>
    <n v="10"/>
    <s v="T120"/>
    <n v="120"/>
    <d v="2021-08-06T00:00:00"/>
    <n v="8"/>
    <n v="2021"/>
    <n v="550"/>
    <n v="-550"/>
    <n v="0"/>
    <n v="339786.94999999984"/>
    <s v="Term"/>
    <s v="Trsf 17/8/2021"/>
    <m/>
  </r>
  <r>
    <x v="74"/>
    <x v="10"/>
    <x v="2"/>
    <x v="96"/>
    <s v="C00000010"/>
    <x v="9"/>
    <s v="RA Butanox M50 (5kg)"/>
    <n v="2"/>
    <s v="T120"/>
    <n v="120"/>
    <d v="2021-08-06T00:00:00"/>
    <n v="8"/>
    <n v="2021"/>
    <n v="190"/>
    <n v="-190"/>
    <n v="0"/>
    <n v="339976.94999999984"/>
    <s v="Term"/>
    <s v="Trsf 17/8/2021"/>
    <m/>
  </r>
  <r>
    <x v="74"/>
    <x v="10"/>
    <x v="2"/>
    <x v="96"/>
    <s v="C00000010"/>
    <x v="9"/>
    <s v="RA Aerosil (Silica Fume) (10Kg)"/>
    <n v="2"/>
    <s v="T120"/>
    <n v="120"/>
    <d v="2021-08-06T00:00:00"/>
    <n v="8"/>
    <n v="2021"/>
    <n v="720"/>
    <n v="-720"/>
    <n v="0"/>
    <n v="340696.94999999984"/>
    <s v="Term"/>
    <s v="Trsf 17/8/2021"/>
    <m/>
  </r>
  <r>
    <x v="74"/>
    <x v="10"/>
    <x v="2"/>
    <x v="96"/>
    <s v="C00000010"/>
    <x v="9"/>
    <s v="RD Paint Brush 3&quot;(12Pc/Ctr)"/>
    <n v="4"/>
    <s v="T120"/>
    <n v="120"/>
    <d v="2021-08-06T00:00:00"/>
    <n v="8"/>
    <n v="2021"/>
    <n v="220"/>
    <n v="-220"/>
    <n v="0"/>
    <n v="340916.94999999984"/>
    <s v="Term"/>
    <s v="Trsf 17/8/2021"/>
    <m/>
  </r>
  <r>
    <x v="75"/>
    <x v="10"/>
    <x v="2"/>
    <x v="97"/>
    <s v="C00000001"/>
    <x v="0"/>
    <s v="RA Gelcoat GS-S ISO (20Kg)"/>
    <n v="2"/>
    <s v="Cash"/>
    <n v="0"/>
    <d v="2021-04-09T00:00:00"/>
    <n v="4"/>
    <n v="2021"/>
    <n v="520"/>
    <n v="-520"/>
    <n v="0"/>
    <n v="341436.94999999984"/>
    <s v="Cash"/>
    <s v="Trsf 9/4/21"/>
    <m/>
  </r>
  <r>
    <x v="76"/>
    <x v="10"/>
    <x v="2"/>
    <x v="98"/>
    <s v="C00000009"/>
    <x v="8"/>
    <s v="RA Nor 3338W (220Kg)"/>
    <n v="2"/>
    <s v="T60"/>
    <n v="60"/>
    <d v="2021-06-26T00:00:00"/>
    <n v="6"/>
    <n v="2021"/>
    <n v="3476"/>
    <n v="-3476"/>
    <n v="0"/>
    <n v="344912.94999999984"/>
    <s v="Term"/>
    <s v="HLB 012122, dd101121"/>
    <m/>
  </r>
  <r>
    <x v="76"/>
    <x v="10"/>
    <x v="2"/>
    <x v="98"/>
    <s v="C00000010"/>
    <x v="8"/>
    <s v="RA Nor 3338NW (220Kg)"/>
    <n v="1"/>
    <s v="T60"/>
    <n v="60"/>
    <d v="2021-06-26T00:00:00"/>
    <n v="6"/>
    <n v="2021"/>
    <n v="1738"/>
    <n v="-1738"/>
    <n v="0"/>
    <n v="346650.94999999984"/>
    <s v="Term"/>
    <s v="HLB 012122, dd101121"/>
    <m/>
  </r>
  <r>
    <x v="76"/>
    <x v="10"/>
    <x v="2"/>
    <x v="98"/>
    <s v="C00000011"/>
    <x v="8"/>
    <s v="RA CSM 450 GSM 54kg 64m(L) X 1860mm(W)"/>
    <n v="5"/>
    <s v="T60"/>
    <n v="60"/>
    <d v="2021-06-26T00:00:00"/>
    <n v="6"/>
    <n v="2021"/>
    <n v="2268"/>
    <n v="-2268"/>
    <n v="0"/>
    <n v="348918.94999999984"/>
    <s v="Term"/>
    <s v="HLB 012122, dd101121"/>
    <m/>
  </r>
  <r>
    <x v="77"/>
    <x v="10"/>
    <x v="2"/>
    <x v="99"/>
    <s v="C00000010"/>
    <x v="9"/>
    <s v="RA Resin 3338AW (220kg)"/>
    <n v="5"/>
    <s v="T120"/>
    <n v="120"/>
    <d v="2021-08-27T00:00:00"/>
    <n v="8"/>
    <n v="2021"/>
    <n v="8690"/>
    <n v="-8690"/>
    <n v="0"/>
    <n v="357608.94999999984"/>
    <s v="Term"/>
    <s v="Trsf 17/8/2021"/>
    <m/>
  </r>
  <r>
    <x v="77"/>
    <x v="10"/>
    <x v="2"/>
    <x v="99"/>
    <s v="C00000010"/>
    <x v="9"/>
    <s v="RA CSM 450 30kg 79m(L) X 1040mm(W)"/>
    <n v="5"/>
    <s v="T120"/>
    <n v="120"/>
    <d v="2021-08-27T00:00:00"/>
    <n v="8"/>
    <n v="2021"/>
    <n v="1230"/>
    <n v="-1230"/>
    <n v="0"/>
    <n v="358838.94999999984"/>
    <s v="Term"/>
    <s v="Trsf 17/8/2021"/>
    <m/>
  </r>
  <r>
    <x v="77"/>
    <x v="10"/>
    <x v="2"/>
    <x v="99"/>
    <s v="C00000010"/>
    <x v="9"/>
    <s v="RA Talcum Powder (25kg)"/>
    <n v="10"/>
    <s v="T120"/>
    <n v="120"/>
    <d v="2021-08-27T00:00:00"/>
    <n v="8"/>
    <n v="2021"/>
    <n v="550"/>
    <n v="-550"/>
    <n v="0"/>
    <n v="359388.94999999984"/>
    <s v="Term"/>
    <s v="Trsf 17/8/2021"/>
    <m/>
  </r>
  <r>
    <x v="77"/>
    <x v="10"/>
    <x v="2"/>
    <x v="99"/>
    <s v="C00000010"/>
    <x v="9"/>
    <s v="RA Butanox M50 (5kg)"/>
    <n v="4"/>
    <s v="T120"/>
    <n v="120"/>
    <d v="2021-08-27T00:00:00"/>
    <n v="8"/>
    <n v="2021"/>
    <n v="380"/>
    <n v="-380"/>
    <n v="0"/>
    <n v="359768.94999999984"/>
    <s v="Term"/>
    <s v="Trsf 17/8/2021"/>
    <m/>
  </r>
  <r>
    <x v="77"/>
    <x v="10"/>
    <x v="2"/>
    <x v="99"/>
    <s v="C00000010"/>
    <x v="9"/>
    <s v="RA Aerosil (Silica Fume) (10Kg)"/>
    <n v="1"/>
    <s v="T120"/>
    <n v="120"/>
    <d v="2021-08-27T00:00:00"/>
    <n v="8"/>
    <n v="2021"/>
    <n v="360"/>
    <n v="-360"/>
    <n v="0"/>
    <n v="360128.94999999984"/>
    <s v="Term"/>
    <s v="Trsf 17/8/2021"/>
    <m/>
  </r>
  <r>
    <x v="77"/>
    <x v="10"/>
    <x v="2"/>
    <x v="99"/>
    <s v="C00000010"/>
    <x v="9"/>
    <s v="RH Bosny Wax (15kg)"/>
    <n v="1"/>
    <s v="T120"/>
    <n v="120"/>
    <d v="2021-08-27T00:00:00"/>
    <n v="8"/>
    <n v="2021"/>
    <n v="375"/>
    <n v="-375"/>
    <n v="0"/>
    <n v="360503.94999999984"/>
    <s v="Term"/>
    <s v="Trsf 17/8/2021, overpayment 179.40"/>
    <m/>
  </r>
  <r>
    <x v="78"/>
    <x v="11"/>
    <x v="2"/>
    <x v="100"/>
    <s v="C00000004"/>
    <x v="3"/>
    <s v="RA Nor 3338W (220Kg)"/>
    <n v="5"/>
    <s v="T120"/>
    <n v="120"/>
    <d v="2021-08-31T00:00:00"/>
    <n v="8"/>
    <n v="2021"/>
    <n v="8690"/>
    <n v="-8690"/>
    <n v="0"/>
    <n v="369193.94999999984"/>
    <s v="Term"/>
    <s v="Chq 008127, cleared 22/11/21"/>
    <m/>
  </r>
  <r>
    <x v="78"/>
    <x v="11"/>
    <x v="2"/>
    <x v="100"/>
    <s v="C00000004"/>
    <x v="3"/>
    <s v="RF Nor 3338NW (220Kg)"/>
    <n v="1"/>
    <s v="T120"/>
    <n v="120"/>
    <d v="2021-08-31T00:00:00"/>
    <n v="8"/>
    <n v="2021"/>
    <n v="1716"/>
    <n v="-1716"/>
    <n v="0"/>
    <n v="370909.94999999984"/>
    <s v="Term"/>
    <s v="Chq 008127, cleared 22/11/21"/>
    <m/>
  </r>
  <r>
    <x v="78"/>
    <x v="11"/>
    <x v="2"/>
    <x v="100"/>
    <s v="C00000004"/>
    <x v="3"/>
    <s v="RG CSM 450 GSM 54kg 64m(L) X 1860mm(W)"/>
    <n v="4"/>
    <s v="T120"/>
    <n v="120"/>
    <d v="2021-08-31T00:00:00"/>
    <n v="8"/>
    <n v="2021"/>
    <n v="1814.4"/>
    <n v="-1814.4"/>
    <n v="0"/>
    <n v="372724.34999999986"/>
    <s v="Term"/>
    <s v="Chq 008127, cleared 22/11/21"/>
    <m/>
  </r>
  <r>
    <x v="78"/>
    <x v="11"/>
    <x v="2"/>
    <x v="100"/>
    <s v="C00000004"/>
    <x v="3"/>
    <s v="RA CSM 300 GSM 54Kg 96m(L) X 1860mm(W)"/>
    <n v="4"/>
    <s v="T120"/>
    <n v="120"/>
    <d v="2021-08-31T00:00:00"/>
    <n v="8"/>
    <n v="2021"/>
    <n v="1814.4"/>
    <n v="-1814.4"/>
    <n v="0"/>
    <n v="374538.74999999988"/>
    <s v="Term"/>
    <s v="Chq 008127, cleared 22/11/21"/>
    <m/>
  </r>
  <r>
    <x v="79"/>
    <x v="11"/>
    <x v="2"/>
    <x v="101"/>
    <s v="C00000005"/>
    <x v="4"/>
    <s v="RA Resin 3317AW (220Kg)"/>
    <n v="1"/>
    <s v="Cash"/>
    <n v="0"/>
    <d v="2021-05-06T00:00:00"/>
    <n v="5"/>
    <n v="2021"/>
    <n v="1826"/>
    <n v="-1826"/>
    <n v="0"/>
    <n v="376364.74999999988"/>
    <s v="Cash"/>
    <s v="Chq CIMB 000077 8/5/21, Banked in 17/5/21"/>
    <m/>
  </r>
  <r>
    <x v="79"/>
    <x v="11"/>
    <x v="2"/>
    <x v="101"/>
    <s v="C00000005"/>
    <x v="4"/>
    <s v="Mould Released"/>
    <n v="1"/>
    <s v="Cash"/>
    <n v="0"/>
    <d v="2021-05-06T00:00:00"/>
    <n v="5"/>
    <n v="2021"/>
    <n v="50"/>
    <n v="-50"/>
    <n v="0"/>
    <n v="376414.74999999988"/>
    <s v="Cash"/>
    <s v="Chq CIMB 000077 8/5/21, Banked in 17/5/21"/>
    <m/>
  </r>
  <r>
    <x v="80"/>
    <x v="11"/>
    <x v="2"/>
    <x v="102"/>
    <s v="C00000001"/>
    <x v="0"/>
    <s v="RA Resin 3317AW (220Kg)"/>
    <n v="1"/>
    <s v="Cash"/>
    <n v="0"/>
    <d v="2021-05-07T00:00:00"/>
    <n v="5"/>
    <n v="2021"/>
    <n v="1826"/>
    <n v="-1826"/>
    <n v="0"/>
    <n v="378240.74999999988"/>
    <s v="Cash"/>
    <s v="Trsf 8/5/2021"/>
    <m/>
  </r>
  <r>
    <x v="80"/>
    <x v="11"/>
    <x v="2"/>
    <x v="102"/>
    <s v="C00000001"/>
    <x v="0"/>
    <s v="RA CSM 450 GSM TWL 30kg 64m(L) X 1040mm(W)"/>
    <n v="4"/>
    <s v="Cash"/>
    <n v="0"/>
    <d v="2021-05-07T00:00:00"/>
    <n v="5"/>
    <n v="2021"/>
    <n v="1020"/>
    <n v="-1020"/>
    <n v="0"/>
    <n v="379260.74999999988"/>
    <s v="Cash"/>
    <s v="Trsf 8/5/2021"/>
    <m/>
  </r>
  <r>
    <x v="81"/>
    <x v="11"/>
    <x v="2"/>
    <x v="103"/>
    <s v="C00000005"/>
    <x v="4"/>
    <s v="RA Resin 3317AW (220Kg)"/>
    <n v="1"/>
    <s v="Cash"/>
    <n v="0"/>
    <d v="2021-05-19T00:00:00"/>
    <n v="5"/>
    <n v="2021"/>
    <n v="1826"/>
    <n v="-1826"/>
    <n v="0"/>
    <n v="381086.74999999988"/>
    <s v="Cash"/>
    <s v="Chq CIMB 000079 18/5/21, Banked in 20/5/21"/>
    <m/>
  </r>
  <r>
    <x v="82"/>
    <x v="11"/>
    <x v="2"/>
    <x v="104"/>
    <s v="C00000003"/>
    <x v="2"/>
    <s v="RA Resin 3317AW (220Kg)"/>
    <n v="3"/>
    <s v="T45"/>
    <n v="45"/>
    <d v="2021-07-05T00:00:00"/>
    <n v="5"/>
    <n v="2021"/>
    <n v="5610"/>
    <n v="-5610"/>
    <n v="0"/>
    <n v="386696.74999999988"/>
    <s v="Term"/>
    <s v="13, 23, 27/6 &amp; 11/7 - RHB 001402, 4, 5 &amp; 6 (1,350.00, 3X1,700.00)"/>
    <m/>
  </r>
  <r>
    <x v="82"/>
    <x v="11"/>
    <x v="2"/>
    <x v="104"/>
    <s v="C00000003"/>
    <x v="2"/>
    <s v="RA Talcum Powder (25Kg)"/>
    <n v="5"/>
    <s v="T45"/>
    <n v="45"/>
    <d v="2021-07-05T00:00:00"/>
    <n v="5"/>
    <n v="2021"/>
    <n v="250"/>
    <n v="-250"/>
    <n v="0"/>
    <n v="386946.74999999988"/>
    <s v="Term"/>
    <s v="13, 23, 27/6 &amp; 11/7 - RHB 001402, 4, 5 &amp; 6 (1,350.00, 3X1,700.00)"/>
    <m/>
  </r>
  <r>
    <x v="82"/>
    <x v="11"/>
    <x v="2"/>
    <x v="104"/>
    <s v="C00000003"/>
    <x v="2"/>
    <s v="RA Butanox M50 (5kg)"/>
    <n v="5"/>
    <s v="T45"/>
    <n v="45"/>
    <d v="2021-07-05T00:00:00"/>
    <n v="5"/>
    <n v="2021"/>
    <n v="500"/>
    <n v="-500"/>
    <n v="0"/>
    <n v="387446.74999999988"/>
    <s v="Term"/>
    <s v="13, 23, 27/6 &amp; 11/7 - RHB 001402, 4, 5 &amp; 6 (1,350.00, 3X1,700.00)"/>
    <m/>
  </r>
  <r>
    <x v="82"/>
    <x v="11"/>
    <x v="2"/>
    <x v="104"/>
    <s v="C00000003"/>
    <x v="2"/>
    <s v="RA Miracle Gloss Wax"/>
    <n v="2"/>
    <s v="T45"/>
    <n v="45"/>
    <d v="2021-07-05T00:00:00"/>
    <n v="5"/>
    <n v="2021"/>
    <n v="90"/>
    <n v="-90"/>
    <n v="0"/>
    <n v="387536.74999999988"/>
    <s v="Term"/>
    <s v="13, 23, 27/6 &amp; 11/7 - RHB 001402, 4, 5 &amp; 6 (1,350.00, 3X1,700.00)"/>
    <m/>
  </r>
  <r>
    <x v="83"/>
    <x v="11"/>
    <x v="2"/>
    <x v="105"/>
    <s v="C00000013"/>
    <x v="12"/>
    <s v="RA CSM 450 GSM 54kg 64m(L) X 1860mm(W)"/>
    <n v="1"/>
    <s v="Cash"/>
    <n v="0"/>
    <d v="2021-05-25T00:00:00"/>
    <n v="5"/>
    <n v="2021"/>
    <n v="459"/>
    <n v="-459"/>
    <n v="0"/>
    <n v="387995.74999999988"/>
    <s v="Cash"/>
    <s v="Trsf 21 &amp; 22/5/2021"/>
    <m/>
  </r>
  <r>
    <x v="83"/>
    <x v="11"/>
    <x v="2"/>
    <x v="105"/>
    <s v="C00000013"/>
    <x v="12"/>
    <s v="RA CSM 300 GSM 54Kg 96m(L) X 1860mm(W)"/>
    <n v="1"/>
    <s v="Cash"/>
    <n v="0"/>
    <d v="2021-05-25T00:00:00"/>
    <n v="5"/>
    <n v="2021"/>
    <n v="459"/>
    <n v="-459"/>
    <n v="0"/>
    <n v="388454.74999999988"/>
    <s v="Cash"/>
    <s v="Trsf 21 &amp; 22/5/2021"/>
    <m/>
  </r>
  <r>
    <x v="83"/>
    <x v="11"/>
    <x v="2"/>
    <x v="105"/>
    <s v="C00000013"/>
    <x v="12"/>
    <s v="RA Butanox M50 (5Kg)"/>
    <n v="1"/>
    <s v="Cash"/>
    <n v="0"/>
    <d v="2021-05-25T00:00:00"/>
    <n v="5"/>
    <n v="2021"/>
    <n v="100"/>
    <n v="-100"/>
    <n v="0"/>
    <n v="388554.74999999988"/>
    <s v="Cash"/>
    <s v="Trsf 21 &amp; 22/5/2021"/>
    <m/>
  </r>
  <r>
    <x v="83"/>
    <x v="11"/>
    <x v="2"/>
    <x v="105"/>
    <s v="C00000013"/>
    <x v="12"/>
    <s v="RE Frekote 770NC (1 Gallon)"/>
    <n v="1"/>
    <s v="Cash"/>
    <n v="0"/>
    <d v="2021-05-25T00:00:00"/>
    <n v="5"/>
    <n v="2021"/>
    <n v="380"/>
    <n v="-380"/>
    <n v="0"/>
    <n v="388934.74999999988"/>
    <s v="Cash"/>
    <s v="Trsf 21 &amp; 22/5/2021"/>
    <m/>
  </r>
  <r>
    <x v="83"/>
    <x v="11"/>
    <x v="2"/>
    <x v="105"/>
    <s v="C00000013"/>
    <x v="12"/>
    <s v="RA Gelcoat GP-H (20Kg)"/>
    <n v="1"/>
    <s v="Cash"/>
    <n v="0"/>
    <d v="2021-05-25T00:00:00"/>
    <n v="5"/>
    <n v="2021"/>
    <n v="246"/>
    <n v="-246"/>
    <n v="0"/>
    <n v="389180.74999999988"/>
    <s v="Cash"/>
    <s v="Trsf 21 &amp; 22/5/2021"/>
    <m/>
  </r>
  <r>
    <x v="83"/>
    <x v="11"/>
    <x v="2"/>
    <x v="105"/>
    <s v="C00000013"/>
    <x v="12"/>
    <s v="RA Miracle Gloss Wax"/>
    <n v="2"/>
    <s v="Cash"/>
    <n v="0"/>
    <d v="2021-05-25T00:00:00"/>
    <n v="5"/>
    <n v="2021"/>
    <n v="90"/>
    <n v="-90"/>
    <n v="0"/>
    <n v="389270.74999999988"/>
    <s v="Cash"/>
    <s v="Trsf 21 &amp; 22/5/2021"/>
    <m/>
  </r>
  <r>
    <x v="83"/>
    <x v="11"/>
    <x v="2"/>
    <x v="105"/>
    <s v="C00000013"/>
    <x v="12"/>
    <s v="RD Steel Roller 4&quot;"/>
    <n v="1"/>
    <s v="Cash"/>
    <n v="0"/>
    <d v="2021-05-25T00:00:00"/>
    <n v="5"/>
    <n v="2021"/>
    <n v="68"/>
    <n v="-68"/>
    <n v="0"/>
    <n v="389338.74999999988"/>
    <s v="Cash"/>
    <s v="Trsf 21 &amp; 22/5/2021"/>
    <m/>
  </r>
  <r>
    <x v="83"/>
    <x v="11"/>
    <x v="2"/>
    <x v="105"/>
    <s v="C00000013"/>
    <x v="12"/>
    <s v="RD Steel Roller 3&quot;"/>
    <n v="2"/>
    <s v="Cash"/>
    <n v="0"/>
    <d v="2021-05-25T00:00:00"/>
    <n v="5"/>
    <n v="2021"/>
    <n v="130"/>
    <n v="-130"/>
    <n v="0"/>
    <n v="389468.74999999988"/>
    <s v="Cash"/>
    <s v="Trsf 21 &amp; 22/5/2021"/>
    <m/>
  </r>
  <r>
    <x v="83"/>
    <x v="11"/>
    <x v="2"/>
    <x v="105"/>
    <s v="C00000013"/>
    <x v="12"/>
    <s v="RD Brush 1.1/2 (12 PC)"/>
    <n v="1"/>
    <s v="Cash"/>
    <n v="0"/>
    <d v="2021-05-25T00:00:00"/>
    <n v="5"/>
    <n v="2021"/>
    <n v="42"/>
    <n v="-42"/>
    <n v="0"/>
    <n v="389510.74999999988"/>
    <s v="Cash"/>
    <s v="Trsf 21 &amp; 22/5/2021"/>
    <m/>
  </r>
  <r>
    <x v="83"/>
    <x v="11"/>
    <x v="2"/>
    <x v="105"/>
    <s v="C00000013"/>
    <x v="12"/>
    <s v="RD Brush 3&quot; (12 PC)"/>
    <n v="1"/>
    <s v="Cash"/>
    <n v="0"/>
    <d v="2021-05-25T00:00:00"/>
    <n v="5"/>
    <n v="2021"/>
    <n v="60"/>
    <n v="-60"/>
    <n v="0"/>
    <n v="389570.74999999988"/>
    <s v="Cash"/>
    <s v="Trsf 21 &amp; 22/5/2021"/>
    <m/>
  </r>
  <r>
    <x v="83"/>
    <x v="11"/>
    <x v="2"/>
    <x v="105"/>
    <s v="C00000013"/>
    <x v="12"/>
    <s v="RA Resin 3317AW (220Kg)"/>
    <n v="1"/>
    <s v="Cash"/>
    <n v="0"/>
    <d v="2021-05-25T00:00:00"/>
    <n v="5"/>
    <n v="2021"/>
    <n v="1870"/>
    <n v="-1870"/>
    <n v="0"/>
    <n v="391440.74999999988"/>
    <s v="Cash"/>
    <s v="Trsf 21 &amp; 22/5/2021"/>
    <m/>
  </r>
  <r>
    <x v="83"/>
    <x v="11"/>
    <x v="2"/>
    <x v="105"/>
    <s v="C00000013"/>
    <x v="12"/>
    <s v="RA Talcum Powder (25kg)"/>
    <n v="1"/>
    <s v="Cash"/>
    <n v="0"/>
    <d v="2021-05-25T00:00:00"/>
    <n v="5"/>
    <n v="2021"/>
    <n v="55"/>
    <n v="-55"/>
    <n v="0"/>
    <n v="391495.74999999988"/>
    <s v="Cash"/>
    <s v="Trsf 21 &amp; 22/5/2021"/>
    <m/>
  </r>
  <r>
    <x v="83"/>
    <x v="11"/>
    <x v="2"/>
    <x v="106"/>
    <s v="C00000005"/>
    <x v="4"/>
    <s v="RA Butanox M50 (5Kg)"/>
    <n v="1"/>
    <s v="Cash"/>
    <n v="0"/>
    <d v="2021-05-25T00:00:00"/>
    <n v="5"/>
    <n v="2021"/>
    <n v="100"/>
    <n v="-100"/>
    <n v="0"/>
    <n v="391595.74999999988"/>
    <s v="Cash"/>
    <s v="Bank in Cash 27/5/2021"/>
    <m/>
  </r>
  <r>
    <x v="84"/>
    <x v="1"/>
    <x v="2"/>
    <x v="107"/>
    <s v="C00000010"/>
    <x v="9"/>
    <s v="RA Resin 3338AW (220kg)"/>
    <n v="4"/>
    <s v="T120"/>
    <n v="120"/>
    <d v="2021-09-29T00:00:00"/>
    <n v="9"/>
    <n v="2021"/>
    <n v="6952"/>
    <n v="-6952"/>
    <n v="0"/>
    <n v="398547.74999999988"/>
    <s v="Term"/>
    <s v="Trsf 20/10/2021"/>
    <m/>
  </r>
  <r>
    <x v="84"/>
    <x v="1"/>
    <x v="2"/>
    <x v="108"/>
    <s v="C00000009"/>
    <x v="8"/>
    <s v="RA CSM 450 TWL 60kg 64m(L) X 2080mm(W)"/>
    <n v="3"/>
    <s v="T60"/>
    <n v="60"/>
    <d v="2021-06-26T00:00:00"/>
    <n v="6"/>
    <n v="2021"/>
    <n v="1530"/>
    <n v="-1530"/>
    <n v="0"/>
    <n v="400077.74999999988"/>
    <s v="Term"/>
    <s v="HLB 012142, cleared20/12/21"/>
    <m/>
  </r>
  <r>
    <x v="84"/>
    <x v="1"/>
    <x v="2"/>
    <x v="108"/>
    <s v="C00000009"/>
    <x v="8"/>
    <s v="RA CSM 300 GSM 54kg 64m(L) X 1860mm(W)"/>
    <n v="5"/>
    <s v="T60"/>
    <n v="60"/>
    <d v="2021-06-26T00:00:00"/>
    <n v="6"/>
    <n v="2021"/>
    <n v="2295"/>
    <n v="-2295"/>
    <n v="0"/>
    <n v="402372.74999999988"/>
    <s v="Term"/>
    <s v="HLB 012142, cleared20/12/21"/>
    <m/>
  </r>
  <r>
    <x v="84"/>
    <x v="1"/>
    <x v="2"/>
    <x v="109"/>
    <s v="C00000009"/>
    <x v="8"/>
    <s v="RA Gelcoat GP-H (20kg)"/>
    <n v="3"/>
    <s v="T60"/>
    <n v="60"/>
    <d v="2021-06-26T00:00:00"/>
    <n v="6"/>
    <n v="2021"/>
    <n v="690"/>
    <n v="-690"/>
    <n v="0"/>
    <n v="403062.74999999988"/>
    <s v="Term"/>
    <s v="HLB 012142, cleared20/12/21"/>
    <m/>
  </r>
  <r>
    <x v="84"/>
    <x v="1"/>
    <x v="2"/>
    <x v="110"/>
    <s v="C00000010"/>
    <x v="9"/>
    <s v="RA Talcum Powder (25kg)"/>
    <n v="10"/>
    <s v="T120"/>
    <n v="120"/>
    <d v="2021-09-29T00:00:00"/>
    <n v="9"/>
    <n v="2021"/>
    <n v="550"/>
    <n v="-550"/>
    <n v="0"/>
    <n v="403612.74999999988"/>
    <s v="Term"/>
    <s v="Trsf 20/10/2021"/>
    <m/>
  </r>
  <r>
    <x v="84"/>
    <x v="1"/>
    <x v="2"/>
    <x v="110"/>
    <s v="C00000010"/>
    <x v="9"/>
    <s v="RA Butanox M50 (5kg)"/>
    <n v="4"/>
    <s v="T120"/>
    <n v="120"/>
    <d v="2021-09-29T00:00:00"/>
    <n v="9"/>
    <n v="2021"/>
    <n v="380"/>
    <n v="-380"/>
    <n v="0"/>
    <n v="403992.74999999988"/>
    <s v="Term"/>
    <s v="Trsf 20/10/2021"/>
    <m/>
  </r>
  <r>
    <x v="85"/>
    <x v="4"/>
    <x v="2"/>
    <x v="111"/>
    <s v="C00000017"/>
    <x v="16"/>
    <s v="RA Resin (25kg)"/>
    <n v="2"/>
    <s v="Cash"/>
    <n v="0"/>
    <d v="2021-09-01T00:00:00"/>
    <n v="9"/>
    <n v="2021"/>
    <n v="600"/>
    <n v="-600"/>
    <n v="0"/>
    <n v="404592.74999999988"/>
    <s v="Term"/>
    <s v="Advance payment 26/7/2021"/>
    <m/>
  </r>
  <r>
    <x v="85"/>
    <x v="4"/>
    <x v="2"/>
    <x v="111"/>
    <s v="C00000017"/>
    <x v="16"/>
    <s v="RA CSM 450 GSM TWL 30kg 64m(L) X 1040mm(W)"/>
    <n v="1"/>
    <s v="Cash"/>
    <n v="0"/>
    <d v="2021-09-01T00:00:00"/>
    <n v="9"/>
    <n v="2021"/>
    <n v="255"/>
    <n v="-255"/>
    <n v="0"/>
    <n v="404847.74999999988"/>
    <s v="Term"/>
    <s v="Advance payment 26/7/2021"/>
    <m/>
  </r>
  <r>
    <x v="85"/>
    <x v="4"/>
    <x v="2"/>
    <x v="112"/>
    <s v="C00000005"/>
    <x v="4"/>
    <s v="RA Resin 3317AW (220Kg)"/>
    <n v="1"/>
    <s v="Cash"/>
    <n v="0"/>
    <d v="2021-09-01T00:00:00"/>
    <n v="9"/>
    <n v="2021"/>
    <n v="1826"/>
    <n v="-1826"/>
    <n v="0"/>
    <n v="406673.74999999988"/>
    <s v="Cash"/>
    <s v="Advance payment 20/8/2021"/>
    <m/>
  </r>
  <r>
    <x v="85"/>
    <x v="4"/>
    <x v="2"/>
    <x v="113"/>
    <s v="C00000005"/>
    <x v="4"/>
    <s v="RA Resin 3317AW (220Kg)"/>
    <n v="1"/>
    <s v="Cash"/>
    <n v="0"/>
    <d v="2021-09-01T00:00:00"/>
    <n v="9"/>
    <n v="2021"/>
    <n v="1826"/>
    <n v="-1826"/>
    <n v="0"/>
    <n v="408499.74999999988"/>
    <s v="Cash"/>
    <s v="Advance payment 9/9/2021"/>
    <m/>
  </r>
  <r>
    <x v="85"/>
    <x v="4"/>
    <x v="2"/>
    <x v="113"/>
    <s v="C00000005"/>
    <x v="4"/>
    <s v="RA Butanox M50 (5kg)"/>
    <n v="1"/>
    <s v="Cash"/>
    <n v="0"/>
    <d v="2021-09-01T00:00:00"/>
    <n v="9"/>
    <n v="2021"/>
    <n v="100"/>
    <n v="-100"/>
    <n v="0"/>
    <n v="408599.74999999988"/>
    <s v="Cash"/>
    <s v="Advance payment 9/9/2021"/>
    <m/>
  </r>
  <r>
    <x v="85"/>
    <x v="4"/>
    <x v="2"/>
    <x v="114"/>
    <s v="C00000004"/>
    <x v="3"/>
    <s v="RA CSM 450 TWL 60kg 64m(L) X 2080mm(W)"/>
    <n v="4"/>
    <s v="T120"/>
    <n v="120"/>
    <d v="2021-12-30T00:00:00"/>
    <n v="12"/>
    <n v="2021"/>
    <n v="2016"/>
    <n v="-2016"/>
    <n v="0"/>
    <n v="410615.74999999988"/>
    <s v="Term"/>
    <s v="Chq HLB009259 dd 170122"/>
    <m/>
  </r>
  <r>
    <x v="85"/>
    <x v="4"/>
    <x v="2"/>
    <x v="114"/>
    <s v="C00000004"/>
    <x v="3"/>
    <s v="RA CSM 300 GSM 54kg 64m(L) X 1860mm(W)"/>
    <n v="4"/>
    <s v="T120"/>
    <n v="120"/>
    <d v="2021-12-30T00:00:00"/>
    <n v="12"/>
    <n v="2021"/>
    <n v="1814.4"/>
    <n v="-1814.4"/>
    <n v="0"/>
    <n v="412430.14999999991"/>
    <s v="Term"/>
    <s v="Chq HLB009259 dd 170122"/>
    <m/>
  </r>
  <r>
    <x v="85"/>
    <x v="4"/>
    <x v="2"/>
    <x v="115"/>
    <s v="C00000002"/>
    <x v="1"/>
    <s v="RA Resin 3338AW (220kg)"/>
    <n v="2"/>
    <s v="Cash"/>
    <n v="0"/>
    <d v="2021-09-01T00:00:00"/>
    <n v="9"/>
    <n v="2021"/>
    <n v="3432"/>
    <n v="-3432"/>
    <n v="0"/>
    <n v="415862.14999999991"/>
    <s v="Cash"/>
    <s v="Chq 494585,  Cleared 13/10/21"/>
    <m/>
  </r>
  <r>
    <x v="86"/>
    <x v="4"/>
    <x v="2"/>
    <x v="116"/>
    <s v="C00000003"/>
    <x v="2"/>
    <s v="RA Resin 3317AW (220Kg)"/>
    <n v="3"/>
    <s v="T45"/>
    <n v="45"/>
    <d v="2021-10-29T00:00:00"/>
    <n v="10"/>
    <n v="2021"/>
    <n v="5610"/>
    <n v="-5610"/>
    <n v="0"/>
    <n v="421472.14999999991"/>
    <s v="Term"/>
    <s v="30/10/2021 RHB 001446 RM1,400.00, Chq cleared on 1/11/2021"/>
    <m/>
  </r>
  <r>
    <x v="86"/>
    <x v="4"/>
    <x v="2"/>
    <x v="116"/>
    <s v="C00000003"/>
    <x v="2"/>
    <s v="RA Talcum Powder (25Kg)"/>
    <n v="4"/>
    <s v="T45"/>
    <n v="45"/>
    <d v="2021-10-29T00:00:00"/>
    <n v="10"/>
    <n v="2021"/>
    <n v="200"/>
    <n v="-200"/>
    <n v="0"/>
    <n v="421672.14999999991"/>
    <s v="Term"/>
    <s v="13/11/2021 RHB 001447 RM1,400.00, Chq cleared on 15/11/21"/>
    <m/>
  </r>
  <r>
    <x v="86"/>
    <x v="4"/>
    <x v="2"/>
    <x v="116"/>
    <s v="C00000003"/>
    <x v="2"/>
    <s v="RA Butanox M50 (5kg)"/>
    <n v="6"/>
    <s v="T45"/>
    <n v="45"/>
    <d v="2021-10-29T00:00:00"/>
    <n v="10"/>
    <n v="2021"/>
    <n v="600"/>
    <n v="-600"/>
    <n v="0"/>
    <n v="422272.14999999991"/>
    <s v="Term"/>
    <s v="20/11/2021 RHB 001448 RM1,400.00, Chq cleared on 22/11/21"/>
    <m/>
  </r>
  <r>
    <x v="86"/>
    <x v="4"/>
    <x v="2"/>
    <x v="116"/>
    <s v="C00000003"/>
    <x v="2"/>
    <s v="RA Miracle Gloss Wax"/>
    <n v="1"/>
    <s v="T45"/>
    <n v="45"/>
    <d v="2021-10-29T00:00:00"/>
    <n v="10"/>
    <n v="2021"/>
    <n v="45"/>
    <n v="-45"/>
    <n v="0"/>
    <n v="422317.14999999991"/>
    <s v="Term"/>
    <s v="27/11/2021 RHB 001449 RM1,400.00, Chq cleared on 30/11/21"/>
    <m/>
  </r>
  <r>
    <x v="86"/>
    <x v="4"/>
    <x v="2"/>
    <x v="116"/>
    <s v="C00000003"/>
    <x v="2"/>
    <s v="RA CSM 300 GSM 54Kg 96m(L) X 1860mm(W)"/>
    <n v="1"/>
    <s v="T45"/>
    <n v="45"/>
    <d v="2021-10-29T00:00:00"/>
    <n v="10"/>
    <n v="2021"/>
    <n v="459"/>
    <n v="-459"/>
    <n v="0"/>
    <n v="422776.14999999991"/>
    <s v="Term"/>
    <s v="30/11/2021 RHB 001450 RM1,314.00, Chq cleared on 30/11/21"/>
    <m/>
  </r>
  <r>
    <x v="86"/>
    <x v="4"/>
    <x v="2"/>
    <x v="117"/>
    <s v="C00000010"/>
    <x v="9"/>
    <s v="RA Resin 3338AW (220kg)"/>
    <n v="6"/>
    <s v="T120"/>
    <n v="120"/>
    <d v="2022-01-12T00:00:00"/>
    <n v="1"/>
    <n v="2022"/>
    <n v="10428"/>
    <n v="-10428"/>
    <n v="0"/>
    <n v="433204.14999999991"/>
    <s v="Term"/>
    <s v="Trsf 13/12/2021"/>
    <m/>
  </r>
  <r>
    <x v="86"/>
    <x v="4"/>
    <x v="2"/>
    <x v="117"/>
    <s v="C00000010"/>
    <x v="9"/>
    <s v="RA CSM 450 30kg 79m(L) X 1040mm(W)"/>
    <n v="10"/>
    <s v="T120"/>
    <n v="120"/>
    <d v="2022-01-12T00:00:00"/>
    <n v="1"/>
    <n v="2022"/>
    <n v="2550"/>
    <n v="-2550"/>
    <n v="0"/>
    <n v="435754.14999999991"/>
    <s v="Term"/>
    <s v="Trsf 13/12/2021"/>
    <m/>
  </r>
  <r>
    <x v="86"/>
    <x v="4"/>
    <x v="2"/>
    <x v="117"/>
    <s v="C00000010"/>
    <x v="9"/>
    <s v="RA Talcum Powder (25kg)"/>
    <n v="10"/>
    <s v="T120"/>
    <n v="120"/>
    <d v="2022-01-12T00:00:00"/>
    <n v="1"/>
    <n v="2022"/>
    <n v="550"/>
    <n v="-550"/>
    <n v="0"/>
    <n v="436304.14999999991"/>
    <s v="Term"/>
    <s v="Trsf 13/12/2021"/>
    <m/>
  </r>
  <r>
    <x v="86"/>
    <x v="4"/>
    <x v="2"/>
    <x v="117"/>
    <s v="C00000010"/>
    <x v="9"/>
    <s v="RA Mepoxe M (5kg)"/>
    <n v="4"/>
    <s v="T120"/>
    <n v="120"/>
    <d v="2022-01-12T00:00:00"/>
    <n v="1"/>
    <n v="2022"/>
    <n v="320"/>
    <n v="-320"/>
    <n v="0"/>
    <n v="436624.14999999991"/>
    <s v="Term"/>
    <s v="Trsf 13/12/2021"/>
    <m/>
  </r>
  <r>
    <x v="86"/>
    <x v="4"/>
    <x v="2"/>
    <x v="117"/>
    <s v="C00000010"/>
    <x v="9"/>
    <s v="RA Aerosil (Silica Fume) (10Kg)"/>
    <n v="1"/>
    <s v="T120"/>
    <n v="120"/>
    <d v="2022-01-12T00:00:00"/>
    <n v="1"/>
    <n v="2022"/>
    <n v="360"/>
    <n v="-360"/>
    <n v="0"/>
    <n v="436984.14999999991"/>
    <s v="Term"/>
    <s v="Trsf 13/12/2021"/>
    <m/>
  </r>
  <r>
    <x v="87"/>
    <x v="4"/>
    <x v="2"/>
    <x v="118"/>
    <s v="C00000018"/>
    <x v="17"/>
    <s v="RA Resin 3317AW (220Kg)"/>
    <n v="4"/>
    <s v="Cash"/>
    <n v="0"/>
    <d v="2021-09-21T00:00:00"/>
    <n v="9"/>
    <n v="2021"/>
    <n v="6952"/>
    <n v="-6952"/>
    <n v="0"/>
    <n v="443936.14999999991"/>
    <s v="Cash"/>
    <s v="Trsf 21/9/2021"/>
    <m/>
  </r>
  <r>
    <x v="87"/>
    <x v="4"/>
    <x v="2"/>
    <x v="118"/>
    <s v="C00000018"/>
    <x v="17"/>
    <s v="RA CSM 450 30kg 79m(L) X 1040mm(W)"/>
    <n v="10"/>
    <s v="Cash"/>
    <n v="0"/>
    <d v="2021-09-21T00:00:00"/>
    <n v="9"/>
    <n v="2021"/>
    <n v="2400"/>
    <n v="-2400"/>
    <n v="0"/>
    <n v="446336.14999999991"/>
    <s v="Cash"/>
    <s v="Trsf 21/9/2021"/>
    <m/>
  </r>
  <r>
    <x v="87"/>
    <x v="4"/>
    <x v="2"/>
    <x v="118"/>
    <s v="C00000018"/>
    <x v="17"/>
    <s v="RA Mepoxe M (5kg)"/>
    <n v="3"/>
    <s v="Cash"/>
    <n v="0"/>
    <d v="2021-09-21T00:00:00"/>
    <n v="9"/>
    <n v="2021"/>
    <n v="240"/>
    <n v="-240"/>
    <n v="0"/>
    <n v="446576.14999999991"/>
    <s v="Cash"/>
    <s v="Trsf 21/9/2021"/>
    <m/>
  </r>
  <r>
    <x v="88"/>
    <x v="4"/>
    <x v="2"/>
    <x v="119"/>
    <s v="C00000001"/>
    <x v="0"/>
    <s v="RA Resin 3317AW (220Kg)"/>
    <n v="1"/>
    <s v="Cash"/>
    <n v="0"/>
    <d v="2021-09-25T00:00:00"/>
    <n v="9"/>
    <n v="2021"/>
    <n v="1870"/>
    <n v="-1870"/>
    <n v="0"/>
    <n v="448446.14999999991"/>
    <s v="Cash"/>
    <s v="Trsf 4/10/2021"/>
    <m/>
  </r>
  <r>
    <x v="89"/>
    <x v="4"/>
    <x v="2"/>
    <x v="120"/>
    <s v="C00000004"/>
    <x v="3"/>
    <s v="RA Resin 3338AW (220kg)"/>
    <n v="5"/>
    <s v="T120"/>
    <n v="120"/>
    <d v="2022-01-25T00:00:00"/>
    <n v="1"/>
    <n v="2022"/>
    <n v="8690"/>
    <n v="-8690"/>
    <n v="0"/>
    <n v="457136.14999999991"/>
    <s v="Term"/>
    <s v="Chq HLB009259 dd 170122"/>
    <m/>
  </r>
  <r>
    <x v="89"/>
    <x v="4"/>
    <x v="2"/>
    <x v="120"/>
    <s v="C00000004"/>
    <x v="3"/>
    <s v="RA Resin 3338NW (220kg)"/>
    <n v="1"/>
    <s v="T120"/>
    <n v="120"/>
    <d v="2022-01-25T00:00:00"/>
    <n v="1"/>
    <n v="2022"/>
    <n v="1738"/>
    <n v="-1738"/>
    <n v="0"/>
    <n v="458874.14999999991"/>
    <s v="Term"/>
    <s v="Chq HLB009259 dd 170122"/>
    <m/>
  </r>
  <r>
    <x v="89"/>
    <x v="4"/>
    <x v="2"/>
    <x v="120"/>
    <s v="C00000004"/>
    <x v="3"/>
    <s v="RA CSM 450 TWL 60kg 64m(L) X 2080mm(W)"/>
    <n v="4"/>
    <s v="T120"/>
    <n v="120"/>
    <d v="2022-01-25T00:00:00"/>
    <n v="1"/>
    <n v="2022"/>
    <n v="2016"/>
    <n v="-2016"/>
    <n v="0"/>
    <n v="460890.14999999991"/>
    <s v="Term"/>
    <s v="Chq HLB009259 dd 170122"/>
    <m/>
  </r>
  <r>
    <x v="89"/>
    <x v="4"/>
    <x v="2"/>
    <x v="120"/>
    <s v="C00000004"/>
    <x v="3"/>
    <s v="RA Mepoxe M (5kg)"/>
    <n v="1"/>
    <s v="T120"/>
    <n v="120"/>
    <d v="2022-01-25T00:00:00"/>
    <n v="1"/>
    <n v="2022"/>
    <n v="80"/>
    <n v="-80"/>
    <n v="0"/>
    <n v="460970.14999999991"/>
    <s v="Term"/>
    <s v="Chq HLB009259 dd 170122"/>
    <m/>
  </r>
  <r>
    <x v="90"/>
    <x v="4"/>
    <x v="2"/>
    <x v="121"/>
    <s v="C00000005"/>
    <x v="4"/>
    <s v="RA Resin 3317AW (220Kg)"/>
    <n v="1"/>
    <s v="Cash"/>
    <n v="0"/>
    <d v="2021-09-28T00:00:00"/>
    <n v="9"/>
    <n v="2021"/>
    <n v="1826"/>
    <n v="-1826"/>
    <n v="0"/>
    <n v="462796.14999999991"/>
    <s v="Term"/>
    <s v="Chq CIMB 000086, cleared 8/10/2021"/>
    <m/>
  </r>
  <r>
    <x v="91"/>
    <x v="4"/>
    <x v="2"/>
    <x v="122"/>
    <s v="C00000004"/>
    <x v="3"/>
    <s v="RA Butanox M50 (5Kg)"/>
    <n v="3"/>
    <s v="T120"/>
    <n v="120"/>
    <d v="2022-01-28T00:00:00"/>
    <n v="1"/>
    <n v="2022"/>
    <n v="240"/>
    <n v="-240"/>
    <n v="0"/>
    <n v="463036.14999999991"/>
    <s v="Term"/>
    <s v="Chq HLB009259 dd 170122"/>
    <m/>
  </r>
  <r>
    <x v="92"/>
    <x v="5"/>
    <x v="2"/>
    <x v="123"/>
    <s v="C00000006"/>
    <x v="5"/>
    <s v="RA Gelcoat GP-H (20Kg)"/>
    <n v="1"/>
    <s v="Cash"/>
    <n v="0"/>
    <d v="2021-10-01T00:00:00"/>
    <n v="10"/>
    <n v="2021"/>
    <n v="240"/>
    <n v="-240"/>
    <n v="0"/>
    <n v="463276.14999999991"/>
    <s v="Cash"/>
    <s v="chq 934897 5/11/2021"/>
    <m/>
  </r>
  <r>
    <x v="93"/>
    <x v="5"/>
    <x v="2"/>
    <x v="124"/>
    <s v="C00000019"/>
    <x v="18"/>
    <s v="RA Resin 3338AW (220kg)"/>
    <n v="2"/>
    <s v="Cash"/>
    <n v="0"/>
    <d v="2021-10-02T00:00:00"/>
    <n v="10"/>
    <n v="2021"/>
    <n v="3696"/>
    <n v="-3696"/>
    <n v="0"/>
    <n v="466972.14999999991"/>
    <s v="Cash"/>
    <s v="Trsf 2/10/2021"/>
    <m/>
  </r>
  <r>
    <x v="93"/>
    <x v="5"/>
    <x v="2"/>
    <x v="124"/>
    <s v="C00000019"/>
    <x v="18"/>
    <s v="RA CSM 450 GSM 54kg 64m(L) X 1860mm(W)"/>
    <n v="1"/>
    <s v="Cash"/>
    <n v="0"/>
    <d v="2021-10-02T00:00:00"/>
    <n v="10"/>
    <n v="2021"/>
    <n v="475.2"/>
    <n v="-475.2"/>
    <n v="0"/>
    <n v="467447.34999999992"/>
    <s v="Cash"/>
    <s v="Trsf 2/10/2021"/>
    <m/>
  </r>
  <r>
    <x v="93"/>
    <x v="5"/>
    <x v="2"/>
    <x v="124"/>
    <s v="C00000019"/>
    <x v="18"/>
    <s v="RE Frekote 770NC (1 Gallon)"/>
    <n v="2"/>
    <s v="Cash"/>
    <n v="0"/>
    <d v="2021-10-02T00:00:00"/>
    <n v="10"/>
    <n v="2021"/>
    <n v="720"/>
    <n v="-720"/>
    <n v="0"/>
    <n v="468167.34999999992"/>
    <s v="Cash"/>
    <s v="Trsf 2/10/2021"/>
    <m/>
  </r>
  <r>
    <x v="93"/>
    <x v="5"/>
    <x v="2"/>
    <x v="124"/>
    <s v="C00000019"/>
    <x v="18"/>
    <s v="RA Talcum Powder (25kg)"/>
    <n v="3"/>
    <s v="Cash"/>
    <n v="0"/>
    <d v="2021-10-02T00:00:00"/>
    <n v="10"/>
    <n v="2021"/>
    <n v="165"/>
    <n v="-165"/>
    <n v="0"/>
    <n v="468332.34999999992"/>
    <s v="Cash"/>
    <s v="Trsf 2/10/2021"/>
    <m/>
  </r>
  <r>
    <x v="94"/>
    <x v="5"/>
    <x v="2"/>
    <x v="125"/>
    <s v="C00000019"/>
    <x v="18"/>
    <s v="RA Butanox M50 (5kg)"/>
    <n v="1"/>
    <s v="Cash"/>
    <n v="0"/>
    <d v="2021-10-05T00:00:00"/>
    <n v="10"/>
    <n v="2021"/>
    <n v="100"/>
    <n v="-100"/>
    <n v="0"/>
    <n v="468432.34999999992"/>
    <s v="Cash"/>
    <s v="Trsf 11/10/2021"/>
    <m/>
  </r>
  <r>
    <x v="94"/>
    <x v="5"/>
    <x v="2"/>
    <x v="126"/>
    <s v="C00000010"/>
    <x v="9"/>
    <s v="RA Resin 3338AW (220kg)"/>
    <n v="6"/>
    <s v="T120"/>
    <n v="120"/>
    <d v="2022-02-02T00:00:00"/>
    <n v="2"/>
    <n v="2022"/>
    <n v="10428"/>
    <n v="-10428"/>
    <n v="0"/>
    <n v="478860.34999999992"/>
    <s v="Term"/>
    <s v="Trsf 10/2/2022 RM35,864.00"/>
    <m/>
  </r>
  <r>
    <x v="94"/>
    <x v="5"/>
    <x v="2"/>
    <x v="126"/>
    <s v="C00000010"/>
    <x v="9"/>
    <s v="RA CSM 450 30kg 79m(L) X 1040mm(W)"/>
    <n v="4"/>
    <s v="T120"/>
    <n v="120"/>
    <d v="2022-02-02T00:00:00"/>
    <n v="2"/>
    <n v="2022"/>
    <n v="1258"/>
    <n v="-1258"/>
    <n v="0"/>
    <n v="480118.34999999992"/>
    <s v="Term"/>
    <s v="Trsf 10/2/2022 RM35,864.00"/>
    <m/>
  </r>
  <r>
    <x v="94"/>
    <x v="5"/>
    <x v="2"/>
    <x v="126"/>
    <s v="C00000010"/>
    <x v="9"/>
    <s v="RA Talcum Powder (25kg)"/>
    <n v="5"/>
    <s v="T120"/>
    <n v="120"/>
    <d v="2022-02-02T00:00:00"/>
    <n v="2"/>
    <n v="2022"/>
    <n v="275"/>
    <n v="-275"/>
    <n v="0"/>
    <n v="480393.34999999992"/>
    <s v="Term"/>
    <s v="Trsf 10/2/2022 RM35,864.00"/>
    <m/>
  </r>
  <r>
    <x v="94"/>
    <x v="5"/>
    <x v="2"/>
    <x v="126"/>
    <s v="C00000010"/>
    <x v="9"/>
    <s v="RA Mepoxe M (5kg)"/>
    <n v="2"/>
    <s v="T120"/>
    <n v="120"/>
    <d v="2022-02-02T00:00:00"/>
    <n v="2"/>
    <n v="2022"/>
    <n v="160"/>
    <n v="-160"/>
    <n v="0"/>
    <n v="480553.34999999992"/>
    <s v="Term"/>
    <s v="Trsf 10/2/2022 RM35,864.00"/>
    <m/>
  </r>
  <r>
    <x v="95"/>
    <x v="5"/>
    <x v="2"/>
    <x v="127"/>
    <s v="C00000003"/>
    <x v="2"/>
    <s v="RF Resin 3317AW (220Kg)"/>
    <n v="1"/>
    <s v="T45"/>
    <n v="45"/>
    <d v="2021-11-21T00:00:00"/>
    <n v="11"/>
    <n v="2021"/>
    <n v="1870"/>
    <n v="-1870"/>
    <n v="0"/>
    <n v="482423.34999999992"/>
    <s v="Term"/>
    <s v="RHB 001451cleared6/12/21-RM1,314.00(1,314.00partial, 1452cleared14/12/21-RM1,500(RM556.00partial)"/>
    <m/>
  </r>
  <r>
    <x v="95"/>
    <x v="5"/>
    <x v="2"/>
    <x v="127"/>
    <s v="C00000003"/>
    <x v="2"/>
    <s v="RA Talcum Powder (25Kg)"/>
    <n v="6"/>
    <s v="T45"/>
    <n v="45"/>
    <d v="2021-11-21T00:00:00"/>
    <n v="11"/>
    <n v="2021"/>
    <n v="300"/>
    <n v="-300"/>
    <n v="0"/>
    <n v="482723.34999999992"/>
    <s v="Term"/>
    <s v="RHB 001452cleared14/12/21-RM1.500.00(300.00partial)"/>
    <m/>
  </r>
  <r>
    <x v="95"/>
    <x v="5"/>
    <x v="2"/>
    <x v="127"/>
    <s v="C00000003"/>
    <x v="2"/>
    <s v="RA Mepoxe M (5kg)"/>
    <n v="2"/>
    <s v="T45"/>
    <n v="45"/>
    <d v="2021-11-21T00:00:00"/>
    <n v="11"/>
    <n v="2021"/>
    <n v="160"/>
    <n v="-160"/>
    <n v="0"/>
    <n v="482883.34999999992"/>
    <s v="Term"/>
    <s v="RHB 001452cleared14/12/21-RM1.500.00(160.00patial)"/>
    <m/>
  </r>
  <r>
    <x v="96"/>
    <x v="5"/>
    <x v="2"/>
    <x v="128"/>
    <s v="C00000003"/>
    <x v="2"/>
    <s v="RI Silicone Rubber (25kg)"/>
    <n v="1"/>
    <s v="T45"/>
    <n v="45"/>
    <d v="2021-11-22T00:00:00"/>
    <n v="11"/>
    <n v="2021"/>
    <n v="1300"/>
    <n v="-1300"/>
    <n v="0"/>
    <n v="484183.34999999992"/>
    <s v="Term"/>
    <s v="RHB 001452cleared14/12/21-RM1.500.00(484.00patial), 1453cleared20/12/21-RM1,500.00(816.00patial)"/>
    <m/>
  </r>
  <r>
    <x v="97"/>
    <x v="5"/>
    <x v="2"/>
    <x v="129"/>
    <s v="C00000020"/>
    <x v="19"/>
    <s v="RA Nor 3338NW (220Kg)"/>
    <n v="1"/>
    <s v="Cash"/>
    <n v="0"/>
    <d v="2021-10-09T00:00:00"/>
    <n v="10"/>
    <n v="2021"/>
    <n v="1760"/>
    <n v="-1760"/>
    <n v="0"/>
    <n v="485943.34999999992"/>
    <s v="Cash"/>
    <s v="Trsf 11/10/2021"/>
    <m/>
  </r>
  <r>
    <x v="98"/>
    <x v="5"/>
    <x v="2"/>
    <x v="130"/>
    <s v="C00000013"/>
    <x v="12"/>
    <s v="RA Talcum Powder (25kg)"/>
    <n v="2"/>
    <s v="Cash"/>
    <n v="0"/>
    <d v="2021-10-11T00:00:00"/>
    <n v="10"/>
    <n v="2021"/>
    <n v="125"/>
    <n v="-125"/>
    <n v="0"/>
    <n v="486068.34999999992"/>
    <s v="Cash"/>
    <s v="Trsf 11/10/2021"/>
    <m/>
  </r>
  <r>
    <x v="98"/>
    <x v="5"/>
    <x v="2"/>
    <x v="130"/>
    <s v="C00000013"/>
    <x v="12"/>
    <s v="RA Mepoxe M (5kg)"/>
    <n v="1"/>
    <s v="Cash"/>
    <n v="0"/>
    <d v="2021-10-11T00:00:00"/>
    <n v="10"/>
    <n v="2021"/>
    <n v="80"/>
    <n v="-80"/>
    <n v="0"/>
    <n v="486148.34999999992"/>
    <s v="Cash"/>
    <s v="Trsf 11/10/2021"/>
    <m/>
  </r>
  <r>
    <x v="99"/>
    <x v="5"/>
    <x v="2"/>
    <x v="131"/>
    <s v="C00000020"/>
    <x v="19"/>
    <s v="RA Resin SHCP268W (225kg)"/>
    <n v="4"/>
    <s v="Cash"/>
    <n v="0"/>
    <d v="2021-10-12T00:00:00"/>
    <n v="10"/>
    <n v="2021"/>
    <n v="7650"/>
    <n v="-7650"/>
    <n v="0"/>
    <n v="493798.34999999992"/>
    <s v="Cash"/>
    <s v="Trsf 13/10/2021"/>
    <m/>
  </r>
  <r>
    <x v="99"/>
    <x v="5"/>
    <x v="2"/>
    <x v="131"/>
    <s v="C00000020"/>
    <x v="19"/>
    <s v="RA CSM 450 TWL (37Kg) 1040mm"/>
    <n v="10"/>
    <s v="Cash"/>
    <n v="0"/>
    <d v="2021-10-12T00:00:00"/>
    <n v="10"/>
    <n v="2021"/>
    <n v="3182"/>
    <n v="-3182"/>
    <n v="0"/>
    <n v="496980.34999999992"/>
    <s v="Cash"/>
    <s v="Trsf 13/10/2021"/>
    <m/>
  </r>
  <r>
    <x v="99"/>
    <x v="5"/>
    <x v="2"/>
    <x v="131"/>
    <s v="C00000020"/>
    <x v="19"/>
    <s v="RA Talcum Powder (25kg)"/>
    <n v="2"/>
    <s v="Cash"/>
    <n v="0"/>
    <d v="2021-10-12T00:00:00"/>
    <n v="10"/>
    <n v="2021"/>
    <n v="125"/>
    <n v="-125"/>
    <n v="0"/>
    <n v="497105.34999999992"/>
    <s v="Cash"/>
    <s v="Trsf 13/10/2021"/>
    <m/>
  </r>
  <r>
    <x v="99"/>
    <x v="5"/>
    <x v="2"/>
    <x v="131"/>
    <s v="C00000020"/>
    <x v="19"/>
    <s v="RA Mepoxe M (5kg)"/>
    <n v="4"/>
    <s v="Cash"/>
    <n v="0"/>
    <d v="2021-10-12T00:00:00"/>
    <n v="10"/>
    <n v="2021"/>
    <n v="320"/>
    <n v="-320"/>
    <n v="0"/>
    <n v="497425.34999999992"/>
    <s v="Cash"/>
    <s v="Trsf 13/10/2021"/>
    <m/>
  </r>
  <r>
    <x v="99"/>
    <x v="5"/>
    <x v="2"/>
    <x v="131"/>
    <s v="C00000020"/>
    <x v="19"/>
    <s v="RA Woven Roving E-600 (45kg) 1120mm"/>
    <n v="4"/>
    <s v="Cash"/>
    <n v="0"/>
    <d v="2021-10-12T00:00:00"/>
    <n v="10"/>
    <n v="2021"/>
    <n v="1350"/>
    <n v="-1350"/>
    <n v="0"/>
    <n v="498775.34999999992"/>
    <s v="Cash"/>
    <s v="Trsf 13/10/2021"/>
    <m/>
  </r>
  <r>
    <x v="100"/>
    <x v="5"/>
    <x v="2"/>
    <x v="132"/>
    <s v="C00000019"/>
    <x v="18"/>
    <s v="RA Resin 3338AW (220kg)"/>
    <n v="2"/>
    <s v="Cash"/>
    <n v="0"/>
    <d v="2021-10-13T00:00:00"/>
    <n v="10"/>
    <n v="2021"/>
    <n v="3696"/>
    <n v="-3696"/>
    <n v="0"/>
    <n v="502471.34999999992"/>
    <s v="Cash"/>
    <s v="Trsf 14/10/2021"/>
    <m/>
  </r>
  <r>
    <x v="100"/>
    <x v="5"/>
    <x v="2"/>
    <x v="132"/>
    <s v="C00000019"/>
    <x v="18"/>
    <s v="RG CSM 450 CQ 54kg 64m(L) X 1860mm(W)"/>
    <n v="2"/>
    <s v="Cash"/>
    <n v="0"/>
    <d v="2021-10-13T00:00:00"/>
    <n v="10"/>
    <n v="2021"/>
    <n v="950.4"/>
    <n v="-950.4"/>
    <n v="0"/>
    <n v="503421.74999999994"/>
    <s v="Cash"/>
    <s v="Trsf 14/10/2021"/>
    <m/>
  </r>
  <r>
    <x v="100"/>
    <x v="5"/>
    <x v="2"/>
    <x v="132"/>
    <s v="C00000019"/>
    <x v="18"/>
    <s v="RA Aerosil (Silica Fume) (10Kg)"/>
    <n v="1"/>
    <s v="Cash"/>
    <n v="0"/>
    <d v="2021-10-13T00:00:00"/>
    <n v="10"/>
    <n v="2021"/>
    <n v="360"/>
    <n v="-360"/>
    <n v="0"/>
    <n v="503781.74999999994"/>
    <s v="Cash"/>
    <s v="Trsf 14/10/2021"/>
    <m/>
  </r>
  <r>
    <x v="101"/>
    <x v="5"/>
    <x v="2"/>
    <x v="133"/>
    <s v="C00000019"/>
    <x v="18"/>
    <s v="RJ TR104 Hi Temp Wax"/>
    <n v="6"/>
    <s v="Cash"/>
    <n v="0"/>
    <d v="2021-10-14T00:00:00"/>
    <n v="10"/>
    <n v="2021"/>
    <n v="300"/>
    <n v="-300"/>
    <n v="0"/>
    <n v="504081.74999999994"/>
    <s v="Cash"/>
    <s v="Trsf 14/10/2021"/>
    <m/>
  </r>
  <r>
    <x v="101"/>
    <x v="5"/>
    <x v="2"/>
    <x v="133"/>
    <s v="C00000019"/>
    <x v="18"/>
    <s v="RA Butanox M50 (5kg)"/>
    <n v="1"/>
    <s v="Cash"/>
    <n v="0"/>
    <d v="2021-10-14T00:00:00"/>
    <n v="10"/>
    <n v="2021"/>
    <n v="100"/>
    <n v="-100"/>
    <n v="0"/>
    <n v="504181.74999999994"/>
    <s v="Cash"/>
    <s v="Trsf 14/10/2021"/>
    <m/>
  </r>
  <r>
    <x v="101"/>
    <x v="5"/>
    <x v="2"/>
    <x v="134"/>
    <s v="C00000009"/>
    <x v="8"/>
    <s v="RA CSM 450 TWL 60kg 64m(L) X 2080mm(W)"/>
    <n v="10"/>
    <s v="T60"/>
    <n v="60"/>
    <d v="2021-12-13T00:00:00"/>
    <n v="12"/>
    <n v="2021"/>
    <n v="5100"/>
    <n v="-5100"/>
    <n v="0"/>
    <n v="509281.74999999994"/>
    <s v="Term"/>
    <s v="Chq HLB013309 dd 260122"/>
    <m/>
  </r>
  <r>
    <x v="102"/>
    <x v="5"/>
    <x v="2"/>
    <x v="135"/>
    <s v="C00000014"/>
    <x v="13"/>
    <s v="RA VE Resin (25kg)"/>
    <n v="3"/>
    <s v="Cash"/>
    <n v="0"/>
    <d v="2021-10-15T00:00:00"/>
    <n v="10"/>
    <n v="2021"/>
    <n v="2025"/>
    <n v="-2025"/>
    <n v="0"/>
    <n v="511306.74999999994"/>
    <s v="Cash"/>
    <s v="Cash 17/10/2021"/>
    <m/>
  </r>
  <r>
    <x v="102"/>
    <x v="5"/>
    <x v="2"/>
    <x v="135"/>
    <s v="C00000014"/>
    <x v="13"/>
    <s v="RA CSM 450 TWL (37Kg) 1040mm"/>
    <n v="2"/>
    <s v="Cash"/>
    <n v="0"/>
    <d v="2021-10-15T00:00:00"/>
    <n v="10"/>
    <n v="2021"/>
    <n v="516"/>
    <n v="-516"/>
    <n v="0"/>
    <n v="511822.74999999994"/>
    <s v="Cash"/>
    <s v="Cash 17/10/2021"/>
    <m/>
  </r>
  <r>
    <x v="102"/>
    <x v="5"/>
    <x v="2"/>
    <x v="135"/>
    <s v="C00000014"/>
    <x v="13"/>
    <s v="RA Talcum Powder (25kg)"/>
    <n v="1"/>
    <s v="Cash"/>
    <n v="0"/>
    <d v="2021-10-15T00:00:00"/>
    <n v="10"/>
    <n v="2021"/>
    <n v="55"/>
    <n v="-55"/>
    <n v="0"/>
    <n v="511877.74999999994"/>
    <s v="Cash"/>
    <s v="Cash 17/10/2021"/>
    <m/>
  </r>
  <r>
    <x v="102"/>
    <x v="5"/>
    <x v="2"/>
    <x v="135"/>
    <s v="C00000014"/>
    <x v="13"/>
    <s v="RA Mepoxe M (5kg)"/>
    <n v="1"/>
    <s v="Cash"/>
    <n v="0"/>
    <d v="2021-10-15T00:00:00"/>
    <n v="10"/>
    <n v="2021"/>
    <n v="80"/>
    <n v="-80"/>
    <n v="0"/>
    <n v="511957.74999999994"/>
    <s v="Cash"/>
    <s v="Cash 17/10/2021"/>
    <m/>
  </r>
  <r>
    <x v="102"/>
    <x v="5"/>
    <x v="2"/>
    <x v="136"/>
    <s v="C00000005"/>
    <x v="4"/>
    <s v="RA Resin 3317AW (220Kg)"/>
    <n v="1"/>
    <s v="Cash"/>
    <n v="0"/>
    <d v="2021-10-15T00:00:00"/>
    <n v="10"/>
    <n v="2021"/>
    <n v="1826"/>
    <n v="-1826"/>
    <n v="0"/>
    <n v="513783.74999999994"/>
    <s v="Cash"/>
    <s v="Chq CIMB 000087, cleared 3/11/2021"/>
    <m/>
  </r>
  <r>
    <x v="102"/>
    <x v="5"/>
    <x v="2"/>
    <x v="136"/>
    <s v="C00000005"/>
    <x v="4"/>
    <s v="RA Butanox M50 (5kg)"/>
    <n v="1"/>
    <s v="Cash"/>
    <n v="0"/>
    <d v="2021-10-15T00:00:00"/>
    <n v="10"/>
    <n v="2021"/>
    <n v="100"/>
    <n v="-100"/>
    <n v="0"/>
    <n v="513883.74999999994"/>
    <s v="Cash"/>
    <s v="Chq CIMB 000087, cleared 3/11/2021"/>
    <m/>
  </r>
  <r>
    <x v="102"/>
    <x v="5"/>
    <x v="2"/>
    <x v="137"/>
    <s v="C00000020"/>
    <x v="19"/>
    <s v="RA CSM 450 30kg 79m(L) X 1040mm(W)"/>
    <n v="2"/>
    <s v="Cash"/>
    <n v="0"/>
    <d v="2021-10-15T00:00:00"/>
    <n v="10"/>
    <n v="2021"/>
    <n v="636.4"/>
    <n v="-636.4"/>
    <n v="0"/>
    <n v="514520.14999999997"/>
    <s v="Cash"/>
    <s v="Trsf 16/10/2021"/>
    <m/>
  </r>
  <r>
    <x v="102"/>
    <x v="5"/>
    <x v="2"/>
    <x v="137"/>
    <s v="C00000020"/>
    <x v="19"/>
    <s v="RA Woven Roving E-600 (45kg) 1120mm"/>
    <n v="2"/>
    <s v="Cash"/>
    <n v="0"/>
    <d v="2021-10-15T00:00:00"/>
    <n v="10"/>
    <n v="2021"/>
    <n v="675"/>
    <n v="-675"/>
    <n v="0"/>
    <n v="515195.14999999997"/>
    <s v="Cash"/>
    <s v="Trsf 16/10/2021"/>
    <m/>
  </r>
  <r>
    <x v="103"/>
    <x v="5"/>
    <x v="2"/>
    <x v="138"/>
    <s v="C00000020"/>
    <x v="19"/>
    <s v="RA GP ResinW (225Kg)"/>
    <n v="2"/>
    <s v="Cash"/>
    <n v="0"/>
    <d v="2021-10-18T00:00:00"/>
    <n v="10"/>
    <n v="2021"/>
    <n v="3825"/>
    <n v="-3825"/>
    <n v="0"/>
    <n v="519020.14999999997"/>
    <s v="Cash"/>
    <s v="Trsf 1/11/2021"/>
    <m/>
  </r>
  <r>
    <x v="103"/>
    <x v="5"/>
    <x v="2"/>
    <x v="138"/>
    <s v="C00000020"/>
    <x v="19"/>
    <s v="RA Nor 3338W (220Kg)"/>
    <n v="2"/>
    <s v="Cash"/>
    <n v="0"/>
    <d v="2021-10-18T00:00:00"/>
    <n v="10"/>
    <n v="2021"/>
    <n v="3740"/>
    <n v="-3740"/>
    <n v="0"/>
    <n v="522760.14999999997"/>
    <s v="Cash"/>
    <s v="Trsf 1/11/2021"/>
    <m/>
  </r>
  <r>
    <x v="103"/>
    <x v="5"/>
    <x v="2"/>
    <x v="138"/>
    <s v="C00000020"/>
    <x v="19"/>
    <s v="RA CSM 450 TWL (37Kg) 1040mm"/>
    <n v="6"/>
    <s v="Cash"/>
    <n v="0"/>
    <d v="2021-10-18T00:00:00"/>
    <n v="10"/>
    <n v="2021"/>
    <n v="1909.2"/>
    <n v="-1909.2"/>
    <n v="0"/>
    <n v="524669.35"/>
    <s v="Cash"/>
    <s v="Trsf 1/11/2021"/>
    <m/>
  </r>
  <r>
    <x v="103"/>
    <x v="5"/>
    <x v="2"/>
    <x v="138"/>
    <s v="C00000020"/>
    <x v="19"/>
    <s v="RA Talcum Powder (25kg)"/>
    <n v="7"/>
    <s v="Cash"/>
    <n v="0"/>
    <d v="2021-10-18T00:00:00"/>
    <n v="10"/>
    <n v="2021"/>
    <n v="437.5"/>
    <n v="-437.5"/>
    <n v="0"/>
    <n v="525106.85"/>
    <s v="Cash"/>
    <s v="Trsf 1/11/2021"/>
    <m/>
  </r>
  <r>
    <x v="103"/>
    <x v="5"/>
    <x v="2"/>
    <x v="138"/>
    <s v="C00000020"/>
    <x v="19"/>
    <s v="RA Mepoxe M (5kg)"/>
    <n v="2"/>
    <s v="Cash"/>
    <n v="0"/>
    <d v="2021-10-18T00:00:00"/>
    <n v="10"/>
    <n v="2021"/>
    <n v="160"/>
    <n v="-160"/>
    <n v="0"/>
    <n v="525266.85"/>
    <s v="Cash"/>
    <s v="Trsf 1/11/2021"/>
    <m/>
  </r>
  <r>
    <x v="103"/>
    <x v="5"/>
    <x v="2"/>
    <x v="138"/>
    <s v="C00000020"/>
    <x v="19"/>
    <s v="RA Woven Roving E-600 (45kg) 1120mm"/>
    <n v="9"/>
    <s v="Cash"/>
    <n v="0"/>
    <d v="2021-10-18T00:00:00"/>
    <n v="10"/>
    <n v="2021"/>
    <n v="3037.5"/>
    <n v="-3037.5"/>
    <n v="0"/>
    <n v="528304.35"/>
    <s v="Cash"/>
    <s v="Trsf 1/11/2021"/>
    <m/>
  </r>
  <r>
    <x v="104"/>
    <x v="5"/>
    <x v="2"/>
    <x v="139"/>
    <s v="C00000020"/>
    <x v="19"/>
    <s v="RK Smooth Cream (25kg)"/>
    <n v="1"/>
    <s v="Cash"/>
    <n v="0"/>
    <d v="2021-10-19T00:00:00"/>
    <n v="10"/>
    <n v="2021"/>
    <n v="1000"/>
    <n v="-1000"/>
    <n v="0"/>
    <n v="529304.35"/>
    <s v="Cash"/>
    <s v="Trsf 1/11/2021"/>
    <m/>
  </r>
  <r>
    <x v="105"/>
    <x v="5"/>
    <x v="2"/>
    <x v="140"/>
    <s v="C00000020"/>
    <x v="19"/>
    <s v="RA GP ResinW (225Kg)"/>
    <n v="2"/>
    <s v="Cash"/>
    <n v="0"/>
    <d v="2021-10-20T00:00:00"/>
    <n v="10"/>
    <n v="2021"/>
    <n v="3825"/>
    <n v="-3825"/>
    <n v="0"/>
    <n v="533129.35"/>
    <s v="Cash"/>
    <s v="Trsf 10/11/21"/>
    <m/>
  </r>
  <r>
    <x v="105"/>
    <x v="5"/>
    <x v="2"/>
    <x v="140"/>
    <s v="C00000020"/>
    <x v="19"/>
    <s v="RA Nor 3338W (220Kg)"/>
    <n v="1"/>
    <s v="Cash"/>
    <n v="0"/>
    <d v="2021-10-20T00:00:00"/>
    <n v="10"/>
    <n v="2021"/>
    <n v="1870"/>
    <n v="-1870"/>
    <n v="0"/>
    <n v="534999.35"/>
    <s v="Cash"/>
    <s v="Trsf 10/11/21"/>
    <m/>
  </r>
  <r>
    <x v="105"/>
    <x v="5"/>
    <x v="2"/>
    <x v="140"/>
    <s v="C00000020"/>
    <x v="19"/>
    <s v="RA CSM 450 TWL (37Kg) 1040mm"/>
    <n v="12"/>
    <s v="Cash"/>
    <n v="0"/>
    <d v="2021-10-20T00:00:00"/>
    <n v="10"/>
    <n v="2021"/>
    <n v="3818.4"/>
    <n v="-3818.4"/>
    <n v="0"/>
    <n v="538817.75"/>
    <s v="Cash"/>
    <s v="Trsf 10/11/21"/>
    <m/>
  </r>
  <r>
    <x v="105"/>
    <x v="5"/>
    <x v="2"/>
    <x v="140"/>
    <s v="C00000020"/>
    <x v="19"/>
    <s v="RA Mepoxe M (5kg)"/>
    <n v="2"/>
    <s v="Cash"/>
    <n v="0"/>
    <d v="2021-10-20T00:00:00"/>
    <n v="10"/>
    <n v="2021"/>
    <n v="160"/>
    <n v="-160"/>
    <n v="0"/>
    <n v="538977.75"/>
    <s v="Cash"/>
    <s v="Trsf 10/11/21"/>
    <m/>
  </r>
  <r>
    <x v="106"/>
    <x v="5"/>
    <x v="2"/>
    <x v="141"/>
    <s v="C00000008"/>
    <x v="7"/>
    <s v="RA Resin 3317AW (220Kg)"/>
    <n v="1"/>
    <s v="Cash"/>
    <n v="0"/>
    <d v="2021-10-23T00:00:00"/>
    <n v="10"/>
    <n v="2021"/>
    <n v="1892"/>
    <n v="-1892"/>
    <n v="0"/>
    <n v="540869.75"/>
    <s v="Cash"/>
    <s v="Trsf 25/10/21"/>
    <m/>
  </r>
  <r>
    <x v="106"/>
    <x v="5"/>
    <x v="2"/>
    <x v="141"/>
    <s v="C00000008"/>
    <x v="7"/>
    <s v="RA CSM 450 30kg 79m(L) X 1040mm(W)"/>
    <n v="2"/>
    <s v="Cash"/>
    <n v="0"/>
    <d v="2021-10-23T00:00:00"/>
    <n v="10"/>
    <n v="2021"/>
    <n v="510"/>
    <n v="-510"/>
    <n v="0"/>
    <n v="541379.75"/>
    <s v="Cash"/>
    <s v="Trsf 25/10/21"/>
    <m/>
  </r>
  <r>
    <x v="106"/>
    <x v="5"/>
    <x v="2"/>
    <x v="141"/>
    <s v="C00000008"/>
    <x v="7"/>
    <s v="RA Gelcoat GP-H (20Kg)"/>
    <n v="4"/>
    <s v="Cash"/>
    <n v="0"/>
    <d v="2021-10-23T00:00:00"/>
    <n v="10"/>
    <n v="2021"/>
    <n v="960"/>
    <n v="-960"/>
    <n v="0"/>
    <n v="542339.75"/>
    <s v="Cash"/>
    <s v="Trsf 25/10/21"/>
    <m/>
  </r>
  <r>
    <x v="107"/>
    <x v="5"/>
    <x v="2"/>
    <x v="142"/>
    <s v="C00000001"/>
    <x v="0"/>
    <s v="RA Resin 3317AW (220Kg)"/>
    <n v="2"/>
    <s v="Cash"/>
    <n v="0"/>
    <d v="2021-10-26T00:00:00"/>
    <n v="10"/>
    <n v="2021"/>
    <n v="3740"/>
    <n v="-3740"/>
    <n v="0"/>
    <n v="546079.75"/>
    <s v="Cash"/>
    <s v="Trsf 27/10/21"/>
    <m/>
  </r>
  <r>
    <x v="107"/>
    <x v="5"/>
    <x v="2"/>
    <x v="142"/>
    <s v="C00000001"/>
    <x v="0"/>
    <s v="RA CSM 450 30kg 79m(L) X 1040mm(W)"/>
    <n v="8"/>
    <s v="Cash"/>
    <n v="0"/>
    <d v="2021-10-26T00:00:00"/>
    <n v="10"/>
    <n v="2021"/>
    <n v="2516"/>
    <n v="-2516"/>
    <n v="0"/>
    <n v="548595.75"/>
    <s v="Cash"/>
    <s v="Trsf 27/10/21"/>
    <m/>
  </r>
  <r>
    <x v="107"/>
    <x v="5"/>
    <x v="2"/>
    <x v="142"/>
    <s v="C00000001"/>
    <x v="0"/>
    <s v="RA Butanox M50 (5kg)"/>
    <n v="4"/>
    <s v="Cash"/>
    <n v="0"/>
    <d v="2021-10-26T00:00:00"/>
    <n v="10"/>
    <n v="2021"/>
    <n v="400"/>
    <n v="-400"/>
    <n v="0"/>
    <n v="548995.75"/>
    <s v="Cash"/>
    <s v="Trsf 27/10/21"/>
    <m/>
  </r>
  <r>
    <x v="107"/>
    <x v="5"/>
    <x v="2"/>
    <x v="142"/>
    <s v="C00000001"/>
    <x v="0"/>
    <s v="RA Styrene Monomer (6Kg)"/>
    <n v="1"/>
    <s v="Cash"/>
    <n v="0"/>
    <d v="2021-10-26T00:00:00"/>
    <n v="10"/>
    <n v="2021"/>
    <n v="0"/>
    <n v="0"/>
    <n v="0"/>
    <n v="548995.75"/>
    <s v="Cash"/>
    <m/>
    <m/>
  </r>
  <r>
    <x v="107"/>
    <x v="5"/>
    <x v="2"/>
    <x v="143"/>
    <s v="C00000020"/>
    <x v="19"/>
    <s v="RA Resin 3317AW (220Kg)"/>
    <n v="2"/>
    <s v="Cash"/>
    <n v="0"/>
    <d v="2021-10-26T00:00:00"/>
    <n v="10"/>
    <n v="2021"/>
    <n v="3916"/>
    <n v="-3916"/>
    <n v="0"/>
    <n v="552911.75"/>
    <s v="Cash"/>
    <s v="Trsf 13/11/21, RM7,000.00"/>
    <m/>
  </r>
  <r>
    <x v="107"/>
    <x v="5"/>
    <x v="2"/>
    <x v="143"/>
    <s v="C00000020"/>
    <x v="19"/>
    <s v="RA Nor 3338W (220Kg)"/>
    <n v="2"/>
    <s v="Cash"/>
    <n v="0"/>
    <d v="2021-10-26T00:00:00"/>
    <n v="10"/>
    <n v="2021"/>
    <n v="3916"/>
    <n v="-3916"/>
    <n v="0"/>
    <n v="556827.75"/>
    <s v="Cash"/>
    <s v="Trsf 13/11/21-RM7,000.00 (3,084.00partial), Trsf 26/11/21-RM3,000.00 (832.00partial)"/>
    <m/>
  </r>
  <r>
    <x v="107"/>
    <x v="5"/>
    <x v="2"/>
    <x v="143"/>
    <s v="C00000020"/>
    <x v="19"/>
    <s v="RA CSM 450 30kg 79m(L) X 1040mm(W)"/>
    <n v="14"/>
    <s v="Cash"/>
    <n v="0"/>
    <d v="2021-10-26T00:00:00"/>
    <n v="10"/>
    <n v="2021"/>
    <n v="4610.2"/>
    <n v="-4610.2"/>
    <n v="0"/>
    <n v="561437.94999999995"/>
    <s v="Cash"/>
    <s v="Trsf 26/11/21-RM3,000.00 (2,168.00partial), Trsf 10/12/21-RM20,000.00 (2,442.20partial)"/>
    <m/>
  </r>
  <r>
    <x v="107"/>
    <x v="5"/>
    <x v="2"/>
    <x v="143"/>
    <s v="C00000020"/>
    <x v="19"/>
    <s v="RA Talcum Powder (25kg)"/>
    <n v="6"/>
    <s v="Cash"/>
    <n v="0"/>
    <d v="2021-10-26T00:00:00"/>
    <n v="10"/>
    <n v="2021"/>
    <n v="375"/>
    <n v="-375"/>
    <n v="0"/>
    <n v="561812.94999999995"/>
    <s v="Cash"/>
    <s v="Trsf 10/12/21-RM20,000.00"/>
    <m/>
  </r>
  <r>
    <x v="107"/>
    <x v="5"/>
    <x v="2"/>
    <x v="143"/>
    <s v="C00000020"/>
    <x v="19"/>
    <s v="RA Woven Roving E-600 (45kg) 1120mm"/>
    <n v="9"/>
    <s v="Cash"/>
    <n v="0"/>
    <d v="2021-10-26T00:00:00"/>
    <n v="10"/>
    <n v="2021"/>
    <n v="3159"/>
    <n v="-3159"/>
    <n v="0"/>
    <n v="564971.94999999995"/>
    <s v="Cash"/>
    <s v="Trsf 10/12/21-RM20,000.00"/>
    <m/>
  </r>
  <r>
    <x v="107"/>
    <x v="5"/>
    <x v="2"/>
    <x v="143"/>
    <s v="C00000020"/>
    <x v="19"/>
    <s v="RK Smooth Cream (25kg)"/>
    <n v="1"/>
    <s v="Cash"/>
    <n v="0"/>
    <d v="2021-10-26T00:00:00"/>
    <n v="10"/>
    <n v="2021"/>
    <n v="1000"/>
    <n v="-1000"/>
    <n v="0"/>
    <n v="565971.94999999995"/>
    <s v="Cash"/>
    <s v="Trsf 10/12/21-RM20,000.00"/>
    <m/>
  </r>
  <r>
    <x v="108"/>
    <x v="5"/>
    <x v="2"/>
    <x v="144"/>
    <s v="C00000008"/>
    <x v="7"/>
    <s v="RA CSM 450 30kg 79m(L) X 1040mm(W)"/>
    <n v="2"/>
    <s v="Cash"/>
    <n v="0"/>
    <d v="2021-10-28T00:00:00"/>
    <n v="10"/>
    <n v="2021"/>
    <n v="510"/>
    <n v="-510"/>
    <n v="0"/>
    <n v="566481.94999999995"/>
    <s v="Cash"/>
    <s v="Trsf 21/1/2022, RM4,006.00"/>
    <m/>
  </r>
  <r>
    <x v="109"/>
    <x v="5"/>
    <x v="2"/>
    <x v="145"/>
    <s v="C00000020"/>
    <x v="19"/>
    <s v="RA Resin 3317AW (220Kg)"/>
    <n v="3"/>
    <s v="Cash"/>
    <n v="0"/>
    <d v="2021-10-27T00:00:00"/>
    <n v="10"/>
    <n v="2021"/>
    <n v="5874"/>
    <n v="-5874"/>
    <n v="0"/>
    <n v="572355.94999999995"/>
    <s v="Cash"/>
    <s v="Trsf 10/12/21-RM20,000.00"/>
    <m/>
  </r>
  <r>
    <x v="108"/>
    <x v="5"/>
    <x v="2"/>
    <x v="146"/>
    <s v="C00000010"/>
    <x v="9"/>
    <s v="RA Resin 3338AW (220kg)"/>
    <n v="6"/>
    <s v="T120"/>
    <n v="120"/>
    <d v="2022-02-25T00:00:00"/>
    <n v="2"/>
    <n v="2022"/>
    <n v="11748"/>
    <n v="-11748"/>
    <n v="0"/>
    <n v="584103.94999999995"/>
    <s v="Term"/>
    <s v="Trsf 10/2/2022 RM35,864.00"/>
    <m/>
  </r>
  <r>
    <x v="108"/>
    <x v="5"/>
    <x v="2"/>
    <x v="146"/>
    <s v="C00000010"/>
    <x v="9"/>
    <s v="RA CSM 450 37kg 79m(L) X 1040mm(W)"/>
    <n v="6"/>
    <s v="T120"/>
    <n v="120"/>
    <d v="2022-02-25T00:00:00"/>
    <n v="2"/>
    <n v="2022"/>
    <n v="1975.8"/>
    <n v="-1975.8"/>
    <n v="0"/>
    <n v="586079.75"/>
    <s v="Term"/>
    <s v="Trsf 10/2/2022 RM35,864.00"/>
    <m/>
  </r>
  <r>
    <x v="108"/>
    <x v="5"/>
    <x v="2"/>
    <x v="147"/>
    <s v="C00000019"/>
    <x v="18"/>
    <s v="RE Frekote 770NC (1 Gallon)"/>
    <n v="2"/>
    <s v="Cash"/>
    <n v="0"/>
    <d v="2021-10-28T00:00:00"/>
    <n v="10"/>
    <n v="2021"/>
    <n v="720"/>
    <n v="-720"/>
    <n v="0"/>
    <n v="586799.75"/>
    <s v="Cash"/>
    <s v="Trsf 30/10/21"/>
    <m/>
  </r>
  <r>
    <x v="110"/>
    <x v="5"/>
    <x v="2"/>
    <x v="148"/>
    <s v="C00000010"/>
    <x v="9"/>
    <s v="RA Resin 3338AW (220kg)"/>
    <n v="4"/>
    <s v="T120"/>
    <n v="120"/>
    <d v="2022-02-27T00:00:00"/>
    <n v="2"/>
    <n v="2022"/>
    <n v="7832"/>
    <n v="-7832"/>
    <n v="0"/>
    <n v="594631.75"/>
    <s v="Term"/>
    <s v="Trsf 10/2/2022 RM35,864.00"/>
    <m/>
  </r>
  <r>
    <x v="110"/>
    <x v="5"/>
    <x v="2"/>
    <x v="148"/>
    <s v="C00000010"/>
    <x v="9"/>
    <s v="RA CSM 450 37kg 79m(L) X 1040mm(W)"/>
    <n v="4"/>
    <s v="T120"/>
    <n v="120"/>
    <d v="2022-02-27T00:00:00"/>
    <n v="2"/>
    <n v="2022"/>
    <n v="1317.2"/>
    <n v="-1317.2"/>
    <n v="0"/>
    <n v="595948.94999999995"/>
    <s v="Term"/>
    <s v="Trsf 10/2/2022 RM35,864.00"/>
    <m/>
  </r>
  <r>
    <x v="110"/>
    <x v="5"/>
    <x v="2"/>
    <x v="148"/>
    <s v="C00000010"/>
    <x v="9"/>
    <s v="RA Talcum Powder (25kg)"/>
    <n v="10"/>
    <s v="T120"/>
    <n v="120"/>
    <d v="2022-02-27T00:00:00"/>
    <n v="2"/>
    <n v="2022"/>
    <n v="550"/>
    <n v="-550"/>
    <n v="0"/>
    <n v="596498.94999999995"/>
    <s v="Term"/>
    <s v="Trsf 10/2/2022 RM35,864.00"/>
    <m/>
  </r>
  <r>
    <x v="110"/>
    <x v="5"/>
    <x v="2"/>
    <x v="148"/>
    <s v="C00000010"/>
    <x v="9"/>
    <s v="RA Mepoxe M (5kg)"/>
    <n v="4"/>
    <s v="T120"/>
    <n v="120"/>
    <d v="2022-02-27T00:00:00"/>
    <n v="2"/>
    <n v="2022"/>
    <n v="320"/>
    <n v="-320"/>
    <n v="0"/>
    <n v="596818.94999999995"/>
    <s v="Term"/>
    <s v="Trsf 10/2/2022 RM35,864.00"/>
    <m/>
  </r>
  <r>
    <x v="111"/>
    <x v="6"/>
    <x v="2"/>
    <x v="149"/>
    <s v="C00000005"/>
    <x v="4"/>
    <s v="RA CSM 450 37kg 79m(L) X 1040mm(W)"/>
    <n v="1"/>
    <s v="Cash"/>
    <n v="0"/>
    <d v="2021-11-01T00:00:00"/>
    <n v="11"/>
    <n v="2021"/>
    <n v="340.4"/>
    <n v="-340.4"/>
    <n v="0"/>
    <n v="597159.35"/>
    <s v="Cash"/>
    <s v="Chq 000090, cleared 19/11/21"/>
    <m/>
  </r>
  <r>
    <x v="111"/>
    <x v="6"/>
    <x v="2"/>
    <x v="149"/>
    <s v="C00000005"/>
    <x v="4"/>
    <s v="RA Pigment Black (1kg)"/>
    <n v="1"/>
    <s v="Cash"/>
    <n v="0"/>
    <d v="2021-11-01T00:00:00"/>
    <n v="11"/>
    <n v="2021"/>
    <n v="40"/>
    <n v="-40"/>
    <n v="0"/>
    <n v="597199.35"/>
    <s v="Cash"/>
    <s v="Chq 000090, cleared 19/11/21"/>
    <m/>
  </r>
  <r>
    <x v="112"/>
    <x v="6"/>
    <x v="2"/>
    <x v="150"/>
    <s v="C00000019"/>
    <x v="18"/>
    <s v="RA Resin 3338AW (220kg)"/>
    <n v="2"/>
    <s v="Cash"/>
    <n v="0"/>
    <d v="2021-11-02T00:00:00"/>
    <n v="11"/>
    <n v="2021"/>
    <n v="3960"/>
    <n v="-3960"/>
    <n v="0"/>
    <n v="601159.35"/>
    <s v="Cash"/>
    <s v="Trsf 3/11/21"/>
    <m/>
  </r>
  <r>
    <x v="112"/>
    <x v="6"/>
    <x v="2"/>
    <x v="150"/>
    <s v="C00000019"/>
    <x v="18"/>
    <s v="RA Talcum Powder (25kg)"/>
    <n v="6"/>
    <s v="Cash"/>
    <n v="0"/>
    <d v="2021-11-02T00:00:00"/>
    <n v="11"/>
    <n v="2021"/>
    <n v="360"/>
    <n v="-360"/>
    <n v="0"/>
    <n v="601519.35"/>
    <s v="Cash"/>
    <s v="Trsf 3/11/21"/>
    <m/>
  </r>
  <r>
    <x v="112"/>
    <x v="6"/>
    <x v="2"/>
    <x v="150"/>
    <s v="C00000019"/>
    <x v="18"/>
    <s v="RA Aerosil (Silica Fume) (10Kg)"/>
    <n v="1"/>
    <s v="Cash"/>
    <n v="0"/>
    <d v="2021-11-02T00:00:00"/>
    <n v="11"/>
    <n v="2021"/>
    <n v="440"/>
    <n v="-440"/>
    <n v="0"/>
    <n v="601959.35"/>
    <s v="Cash"/>
    <s v="Trsf 3/11/21"/>
    <m/>
  </r>
  <r>
    <x v="112"/>
    <x v="6"/>
    <x v="2"/>
    <x v="150"/>
    <s v="C00000019"/>
    <x v="18"/>
    <s v="RE Frekote 770NC (1 Gallon)"/>
    <n v="1"/>
    <s v="Cash"/>
    <n v="0"/>
    <d v="2021-11-02T00:00:00"/>
    <n v="11"/>
    <n v="2021"/>
    <n v="360"/>
    <n v="-360"/>
    <n v="0"/>
    <n v="602319.35"/>
    <s v="Cash"/>
    <s v="Trsf 3/11/21"/>
    <m/>
  </r>
  <r>
    <x v="112"/>
    <x v="6"/>
    <x v="2"/>
    <x v="151"/>
    <s v="C00000003"/>
    <x v="2"/>
    <s v="RF Resin 3317AW (220Kg)"/>
    <n v="1"/>
    <s v="T45"/>
    <n v="45"/>
    <d v="2021-12-17T00:00:00"/>
    <n v="12"/>
    <n v="2021"/>
    <n v="2024"/>
    <n v="-2024"/>
    <n v="0"/>
    <n v="604343.35"/>
    <s v="Cash"/>
    <s v="RHB 001453cleared20/12/21-RM1,500(684.00partial), RHB 001454cleared27/12/21-RM1,500.00 (1,340.00partial)"/>
    <m/>
  </r>
  <r>
    <x v="112"/>
    <x v="6"/>
    <x v="2"/>
    <x v="151"/>
    <s v="C00000003"/>
    <x v="2"/>
    <s v="RA Mepoxe M (5kg)"/>
    <n v="2"/>
    <s v="T45"/>
    <n v="45"/>
    <d v="2021-12-17T00:00:00"/>
    <n v="12"/>
    <n v="2021"/>
    <n v="160"/>
    <n v="-160"/>
    <n v="0"/>
    <n v="604503.35"/>
    <s v="Cash"/>
    <s v="RHB 001454cleared27/12/21-RM1,500.00 (160.00partial)"/>
    <m/>
  </r>
  <r>
    <x v="113"/>
    <x v="6"/>
    <x v="2"/>
    <x v="152"/>
    <s v="C00000020"/>
    <x v="19"/>
    <s v="RA Resin 3317AW (220Kg)"/>
    <n v="2"/>
    <s v="Cash"/>
    <n v="0"/>
    <d v="2021-11-03T00:00:00"/>
    <n v="11"/>
    <n v="2021"/>
    <n v="4048"/>
    <n v="-4048"/>
    <n v="0"/>
    <n v="608551.35"/>
    <s v="Cash"/>
    <s v="Trsf 10/12/21-RM20,000.00"/>
    <m/>
  </r>
  <r>
    <x v="113"/>
    <x v="6"/>
    <x v="2"/>
    <x v="152"/>
    <s v="C00000020"/>
    <x v="19"/>
    <s v="RA Nor 3338W (220Kg)"/>
    <n v="3"/>
    <s v="Cash"/>
    <n v="0"/>
    <d v="2021-11-03T00:00:00"/>
    <n v="11"/>
    <n v="2021"/>
    <n v="6072"/>
    <n v="-6072"/>
    <n v="0"/>
    <n v="614623.35"/>
    <s v="Cash"/>
    <s v="Trsf 10/12/21-RM20,000.00 (3,101.80partial), Trsf 20/12/21-RM10,000.00 (2,970.20partial)"/>
    <m/>
  </r>
  <r>
    <x v="113"/>
    <x v="6"/>
    <x v="2"/>
    <x v="152"/>
    <s v="C00000020"/>
    <x v="19"/>
    <s v="RA CSM 450 37kg 79m(L) X 1040mm(W)"/>
    <n v="15"/>
    <s v="Cash"/>
    <n v="0"/>
    <d v="2021-11-03T00:00:00"/>
    <n v="11"/>
    <n v="2021"/>
    <n v="5106"/>
    <n v="-5106"/>
    <n v="0"/>
    <n v="619729.35"/>
    <s v="Cash"/>
    <s v="Trsf 20/12/21-RM10,000.00"/>
    <m/>
  </r>
  <r>
    <x v="113"/>
    <x v="6"/>
    <x v="2"/>
    <x v="152"/>
    <s v="C00000020"/>
    <x v="19"/>
    <s v="RA Talcum Powder (25kg)"/>
    <n v="5"/>
    <s v="Cash"/>
    <n v="0"/>
    <d v="2021-11-03T00:00:00"/>
    <n v="11"/>
    <n v="2021"/>
    <n v="312.5"/>
    <n v="-312.5"/>
    <n v="0"/>
    <n v="620041.85"/>
    <s v="Cash"/>
    <s v="Trsf 20/12/21-RM10,000.00"/>
    <m/>
  </r>
  <r>
    <x v="113"/>
    <x v="6"/>
    <x v="2"/>
    <x v="152"/>
    <s v="C00000020"/>
    <x v="19"/>
    <s v="RA Woven Roving E-600 (45kg) 1120mm"/>
    <n v="9"/>
    <s v="Cash"/>
    <n v="0"/>
    <d v="2021-11-03T00:00:00"/>
    <n v="11"/>
    <n v="2021"/>
    <n v="3159"/>
    <n v="-3159"/>
    <n v="0"/>
    <n v="623200.85"/>
    <s v="Cash"/>
    <s v="Trsf 20/12/21-RM10,000.00 (1,611.30patial), Trsf 29/12/21-RM12,500.00 (1,547.70patial)"/>
    <m/>
  </r>
  <r>
    <x v="113"/>
    <x v="6"/>
    <x v="2"/>
    <x v="152"/>
    <s v="C00000020"/>
    <x v="19"/>
    <s v="RA Mepoxe M (5kg)"/>
    <n v="4"/>
    <s v="Cash"/>
    <n v="0"/>
    <d v="2021-11-03T00:00:00"/>
    <n v="11"/>
    <n v="2021"/>
    <n v="320"/>
    <n v="-320"/>
    <n v="0"/>
    <n v="623520.85"/>
    <s v="Cash"/>
    <s v="Trsf 29/12/21-RM12,500.00 (320.00partial)"/>
    <m/>
  </r>
  <r>
    <x v="113"/>
    <x v="6"/>
    <x v="2"/>
    <x v="153"/>
    <s v="C00000010"/>
    <x v="9"/>
    <s v="RA Talcum Powder (25kg)"/>
    <n v="5"/>
    <s v="T120"/>
    <n v="120"/>
    <d v="2022-03-03T00:00:00"/>
    <n v="3"/>
    <n v="2022"/>
    <n v="275"/>
    <n v="-275"/>
    <n v="0"/>
    <n v="623795.85"/>
    <s v="Term"/>
    <s v="Trsf 15/2/2022 RM16,388.00"/>
    <m/>
  </r>
  <r>
    <x v="113"/>
    <x v="6"/>
    <x v="2"/>
    <x v="153"/>
    <s v="C00000010"/>
    <x v="9"/>
    <s v="RA Mepoxe M (5kg)"/>
    <n v="4"/>
    <s v="T120"/>
    <n v="120"/>
    <d v="2022-03-03T00:00:00"/>
    <n v="3"/>
    <n v="2022"/>
    <n v="320"/>
    <n v="-320"/>
    <n v="0"/>
    <n v="624115.85"/>
    <s v="Term"/>
    <s v="Trsf 15/2/2022 RM16,388.00"/>
    <m/>
  </r>
  <r>
    <x v="113"/>
    <x v="6"/>
    <x v="2"/>
    <x v="153"/>
    <s v="C00000010"/>
    <x v="9"/>
    <s v="RA Aerosil (Silica Fume) (10Kg)"/>
    <n v="3"/>
    <s v="T120"/>
    <n v="120"/>
    <d v="2022-03-03T00:00:00"/>
    <n v="3"/>
    <n v="2022"/>
    <n v="1320"/>
    <n v="-1320"/>
    <n v="0"/>
    <n v="625435.85"/>
    <s v="Term"/>
    <s v="Trsf 15/2/2022 RM16,388.00"/>
    <m/>
  </r>
  <r>
    <x v="113"/>
    <x v="6"/>
    <x v="2"/>
    <x v="153"/>
    <s v="C00000010"/>
    <x v="9"/>
    <s v="RD Paint Brush 3&quot;(12Pc/Ctr)"/>
    <n v="4"/>
    <s v="T120"/>
    <n v="120"/>
    <d v="2022-03-03T00:00:00"/>
    <n v="3"/>
    <n v="2022"/>
    <n v="220"/>
    <n v="-220"/>
    <n v="0"/>
    <n v="625655.85"/>
    <s v="Term"/>
    <s v="Trsf 15/2/2022 RM16,388.00"/>
    <m/>
  </r>
  <r>
    <x v="114"/>
    <x v="6"/>
    <x v="2"/>
    <x v="154"/>
    <s v="C00000020"/>
    <x v="19"/>
    <s v="RA Resin 3317AW (220Kg)"/>
    <n v="2"/>
    <s v="Cash"/>
    <n v="0"/>
    <d v="2021-11-06T00:00:00"/>
    <n v="11"/>
    <n v="2021"/>
    <n v="4048"/>
    <n v="-4048"/>
    <n v="0"/>
    <n v="629703.85"/>
    <s v="Cash"/>
    <s v="Trsf 29/12/21-RM12,500.00 (4,048.00partial)"/>
    <m/>
  </r>
  <r>
    <x v="114"/>
    <x v="6"/>
    <x v="2"/>
    <x v="154"/>
    <s v="C00000020"/>
    <x v="19"/>
    <s v="RA Nor 3338W (220Kg)"/>
    <n v="3"/>
    <s v="Cash"/>
    <n v="0"/>
    <d v="2021-11-06T00:00:00"/>
    <n v="11"/>
    <n v="2021"/>
    <n v="6072"/>
    <n v="-6072"/>
    <n v="0"/>
    <n v="635775.85"/>
    <s v="Cash"/>
    <s v="Trsf 29/12/21-RM12,500.00 (6,072.00patial)"/>
    <m/>
  </r>
  <r>
    <x v="114"/>
    <x v="6"/>
    <x v="2"/>
    <x v="154"/>
    <s v="C00000020"/>
    <x v="19"/>
    <s v="RA CSM 450 37kg 79m(L) X 1040mm(W)"/>
    <n v="15"/>
    <s v="Cash"/>
    <n v="0"/>
    <d v="2021-11-06T00:00:00"/>
    <n v="11"/>
    <n v="2021"/>
    <n v="5106"/>
    <n v="-5106"/>
    <n v="0"/>
    <n v="640881.85"/>
    <s v="Cash"/>
    <s v="Trsf 29/12/21-RM12,500.00 (512.30partial), Trsf 13/1/21-37,500.00 (4,593.70patial)"/>
    <m/>
  </r>
  <r>
    <x v="114"/>
    <x v="6"/>
    <x v="2"/>
    <x v="154"/>
    <s v="C00000020"/>
    <x v="19"/>
    <s v="RA Talcum Powder (25kg)"/>
    <n v="5"/>
    <s v="Cash"/>
    <n v="0"/>
    <d v="2021-11-06T00:00:00"/>
    <n v="11"/>
    <n v="2021"/>
    <n v="312.5"/>
    <n v="-312.5"/>
    <n v="0"/>
    <n v="641194.35"/>
    <s v="Cash"/>
    <s v="Trsf 13/1/21-37,500.00 "/>
    <m/>
  </r>
  <r>
    <x v="114"/>
    <x v="6"/>
    <x v="2"/>
    <x v="154"/>
    <s v="C00000020"/>
    <x v="19"/>
    <s v="RA Woven Roving E-600 (45kg) 1120mm"/>
    <n v="7"/>
    <s v="Cash"/>
    <n v="0"/>
    <d v="2021-11-06T00:00:00"/>
    <n v="11"/>
    <n v="2021"/>
    <n v="2457"/>
    <n v="-2457"/>
    <n v="0"/>
    <n v="643651.35"/>
    <s v="Cash"/>
    <s v="Trsf 13/1/21-37,500.00 "/>
    <m/>
  </r>
  <r>
    <x v="114"/>
    <x v="6"/>
    <x v="2"/>
    <x v="154"/>
    <s v="C00000020"/>
    <x v="19"/>
    <s v="RA Mepoxe M (5kg)"/>
    <n v="4"/>
    <s v="Cash"/>
    <n v="0"/>
    <d v="2021-11-06T00:00:00"/>
    <n v="11"/>
    <n v="2021"/>
    <n v="320"/>
    <n v="-320"/>
    <n v="0"/>
    <n v="643971.35"/>
    <s v="Cash"/>
    <s v="Trsf 13/1/21-37,500.00 "/>
    <m/>
  </r>
  <r>
    <x v="114"/>
    <x v="6"/>
    <x v="2"/>
    <x v="154"/>
    <s v="C00000020"/>
    <x v="19"/>
    <s v="RK Smooth Cream (25kg)"/>
    <n v="1"/>
    <s v="Cash"/>
    <n v="0"/>
    <d v="2021-11-06T00:00:00"/>
    <n v="11"/>
    <n v="2021"/>
    <n v="1000"/>
    <n v="-1000"/>
    <n v="0"/>
    <n v="644971.35"/>
    <s v="Cash"/>
    <s v="Trsf 13/1/21-37,500.00 "/>
    <m/>
  </r>
  <r>
    <x v="115"/>
    <x v="6"/>
    <x v="2"/>
    <x v="155"/>
    <s v="C00000010"/>
    <x v="9"/>
    <s v="RA Resin 3338AW (220kg)"/>
    <n v="6"/>
    <s v="T120"/>
    <n v="120"/>
    <d v="2022-03-08T00:00:00"/>
    <n v="3"/>
    <n v="2022"/>
    <n v="12144"/>
    <n v="-12144"/>
    <n v="0"/>
    <n v="657115.35"/>
    <s v="Term"/>
    <s v="Trsf 15/2/2022 RM16,388.00"/>
    <m/>
  </r>
  <r>
    <x v="115"/>
    <x v="6"/>
    <x v="2"/>
    <x v="155"/>
    <s v="C00000010"/>
    <x v="9"/>
    <s v="RA CSM 450 37kg 79m(L) X 1040mm(W)"/>
    <n v="6"/>
    <s v="T120"/>
    <n v="120"/>
    <d v="2022-03-08T00:00:00"/>
    <n v="3"/>
    <n v="2022"/>
    <n v="2109"/>
    <n v="-2109"/>
    <n v="0"/>
    <n v="659224.35"/>
    <s v="Term"/>
    <s v="Trsf 15/2/2022 RM16,388.00"/>
    <m/>
  </r>
  <r>
    <x v="116"/>
    <x v="6"/>
    <x v="2"/>
    <x v="156"/>
    <s v="CA1"/>
    <x v="20"/>
    <s v="RA Resin 3317AW (20Kg)"/>
    <n v="1"/>
    <s v="Cash"/>
    <n v="0"/>
    <d v="2021-11-09T00:00:00"/>
    <n v="11"/>
    <n v="2021"/>
    <n v="240"/>
    <n v="-240"/>
    <n v="0"/>
    <n v="659464.35"/>
    <s v="Cash"/>
    <s v="Cash in 9/11/21"/>
    <m/>
  </r>
  <r>
    <x v="117"/>
    <x v="6"/>
    <x v="2"/>
    <x v="157"/>
    <s v="C00000021"/>
    <x v="21"/>
    <s v="RA Resin 3317AW (220Kg)"/>
    <n v="1"/>
    <s v="Cash"/>
    <n v="0"/>
    <d v="2021-11-10T00:00:00"/>
    <n v="11"/>
    <n v="2021"/>
    <n v="2024"/>
    <n v="-2024"/>
    <n v="0"/>
    <n v="661488.35"/>
    <s v="Cash"/>
    <s v="Chq PBB 395353, dd 301121"/>
    <m/>
  </r>
  <r>
    <x v="118"/>
    <x v="6"/>
    <x v="2"/>
    <x v="158"/>
    <s v="C00000020"/>
    <x v="19"/>
    <s v="RA Resin 3338AW (220kg)"/>
    <n v="10"/>
    <s v="Cash"/>
    <n v="0"/>
    <d v="2021-11-11T00:00:00"/>
    <n v="11"/>
    <n v="2021"/>
    <n v="20680"/>
    <n v="-20680"/>
    <n v="0"/>
    <n v="682168.35"/>
    <s v="Cash"/>
    <s v="Trsf 13/1/21-37,500.00 "/>
    <m/>
  </r>
  <r>
    <x v="118"/>
    <x v="6"/>
    <x v="2"/>
    <x v="158"/>
    <s v="C00000020"/>
    <x v="19"/>
    <s v="RA CSM 450 37kg 79m(L) X 1040mm(W)"/>
    <n v="15"/>
    <s v="Cash"/>
    <n v="0"/>
    <d v="2021-11-11T00:00:00"/>
    <n v="11"/>
    <n v="2021"/>
    <n v="5328"/>
    <n v="-5328"/>
    <n v="0"/>
    <n v="687496.35"/>
    <s v="Cash"/>
    <s v="Trsf 13/1/21-37,500.00 "/>
    <m/>
  </r>
  <r>
    <x v="118"/>
    <x v="6"/>
    <x v="2"/>
    <x v="158"/>
    <s v="C00000020"/>
    <x v="19"/>
    <s v="RA Woven Roving E-600 (45kg) 1120mm"/>
    <n v="14"/>
    <s v="Cash"/>
    <n v="0"/>
    <d v="2021-11-11T00:00:00"/>
    <n v="11"/>
    <n v="2021"/>
    <n v="4914"/>
    <n v="-4914"/>
    <n v="0"/>
    <n v="692410.35"/>
    <s v="Cash"/>
    <s v="Trsf 13/1/21-37,500.00 (2,808.80 partial), Trsf 21/1/2021-RM5,000.00 (2,105.20 parital)"/>
    <m/>
  </r>
  <r>
    <x v="118"/>
    <x v="6"/>
    <x v="2"/>
    <x v="158"/>
    <s v="C00000020"/>
    <x v="19"/>
    <s v="RA Talcum Powder (25kg)"/>
    <n v="4"/>
    <s v="Cash"/>
    <n v="0"/>
    <d v="2021-11-11T00:00:00"/>
    <n v="11"/>
    <n v="2021"/>
    <n v="250"/>
    <n v="-250"/>
    <n v="0"/>
    <n v="692660.35"/>
    <s v="Cash"/>
    <s v="Trsf 21/1/2021-RM5,000.00"/>
    <m/>
  </r>
  <r>
    <x v="118"/>
    <x v="6"/>
    <x v="2"/>
    <x v="158"/>
    <s v="C00000020"/>
    <x v="19"/>
    <s v="RK Smooth Cream (25kg)"/>
    <n v="2"/>
    <s v="Cash"/>
    <n v="0"/>
    <d v="2021-11-11T00:00:00"/>
    <n v="11"/>
    <n v="2021"/>
    <n v="2000"/>
    <n v="-2000"/>
    <n v="0"/>
    <n v="694660.35"/>
    <s v="Cash"/>
    <s v="Trsf 21/1/2021-RM5,000.00"/>
    <m/>
  </r>
  <r>
    <x v="118"/>
    <x v="6"/>
    <x v="2"/>
    <x v="159"/>
    <s v="C00000020"/>
    <x v="19"/>
    <s v="RA Talcum Powder (25kg)"/>
    <n v="5"/>
    <s v="Cash"/>
    <n v="0"/>
    <d v="2021-11-11T00:00:00"/>
    <n v="11"/>
    <n v="2021"/>
    <n v="312.5"/>
    <n v="-312.5"/>
    <n v="0"/>
    <n v="694972.85"/>
    <s v="Cash"/>
    <s v="Trsf 21/1/2021-RM5,000.00"/>
    <m/>
  </r>
  <r>
    <x v="119"/>
    <x v="6"/>
    <x v="2"/>
    <x v="160"/>
    <s v="C00000020"/>
    <x v="12"/>
    <s v="RA Resin 3317AW (220Kg)"/>
    <n v="1"/>
    <s v="Cash"/>
    <n v="0"/>
    <d v="2021-11-13T00:00:00"/>
    <n v="11"/>
    <n v="2021"/>
    <n v="2090"/>
    <n v="-2090"/>
    <n v="0"/>
    <n v="697062.85"/>
    <s v="Cash"/>
    <s v="Trsf 11/11/21 RM2,070.00"/>
    <m/>
  </r>
  <r>
    <x v="119"/>
    <x v="6"/>
    <x v="2"/>
    <x v="160"/>
    <s v="C00000020"/>
    <x v="12"/>
    <s v="RJ TR104 Hi Temp Wax"/>
    <n v="2"/>
    <s v="Cash"/>
    <n v="0"/>
    <d v="2021-11-13T00:00:00"/>
    <n v="11"/>
    <n v="2021"/>
    <n v="120"/>
    <n v="-120"/>
    <n v="0"/>
    <n v="697182.85"/>
    <s v="Cash"/>
    <s v="Trsf 12/11/21 RM1,000.00"/>
    <m/>
  </r>
  <r>
    <x v="119"/>
    <x v="6"/>
    <x v="2"/>
    <x v="160"/>
    <s v="C00000020"/>
    <x v="12"/>
    <s v="RA Gelcoat GP-H (20Kg)"/>
    <n v="2"/>
    <s v="Cash"/>
    <n v="0"/>
    <d v="2021-11-13T00:00:00"/>
    <n v="11"/>
    <n v="2021"/>
    <n v="540"/>
    <n v="-540"/>
    <n v="0"/>
    <n v="697722.85"/>
    <s v="Cash"/>
    <s v="Trsf 12/11/21 RM1,000.00"/>
    <m/>
  </r>
  <r>
    <x v="119"/>
    <x v="6"/>
    <x v="2"/>
    <x v="160"/>
    <s v="C00000020"/>
    <x v="12"/>
    <s v="RA Pigment H 2006 Dark Grey (5Kg)"/>
    <n v="2"/>
    <s v="Cash"/>
    <n v="0"/>
    <d v="2021-11-13T00:00:00"/>
    <n v="11"/>
    <n v="2021"/>
    <n v="320"/>
    <n v="-320"/>
    <n v="0"/>
    <n v="698042.85"/>
    <s v="Cash"/>
    <s v="Trsf 12/11/21 RM1,000.00"/>
    <m/>
  </r>
  <r>
    <x v="119"/>
    <x v="6"/>
    <x v="2"/>
    <x v="161"/>
    <s v="C00000019"/>
    <x v="18"/>
    <s v="RA Resin 3338AW (220kg)"/>
    <n v="2"/>
    <s v="Cash"/>
    <n v="0"/>
    <d v="2021-11-13T00:00:00"/>
    <n v="11"/>
    <n v="2021"/>
    <n v="4048"/>
    <n v="-4048"/>
    <n v="0"/>
    <n v="702090.85"/>
    <s v="Cash"/>
    <s v="Trsf 13/11/21, RM5,366.60"/>
    <m/>
  </r>
  <r>
    <x v="119"/>
    <x v="6"/>
    <x v="2"/>
    <x v="161"/>
    <s v="C00000019"/>
    <x v="18"/>
    <s v="RG CSM 450 CQ 54kg 64m(L) X 1860mm(W)"/>
    <n v="2"/>
    <s v="Cash"/>
    <n v="0"/>
    <d v="2021-11-13T00:00:00"/>
    <n v="11"/>
    <n v="2021"/>
    <n v="993.6"/>
    <n v="-993.6"/>
    <n v="0"/>
    <n v="703084.45"/>
    <s v="Cash"/>
    <s v="Trsf 13/11/21, RM5,366.60"/>
    <m/>
  </r>
  <r>
    <x v="119"/>
    <x v="6"/>
    <x v="2"/>
    <x v="161"/>
    <s v="C00000019"/>
    <x v="18"/>
    <s v="RA Talcum Powder (25kg)"/>
    <n v="2"/>
    <s v="Cash"/>
    <n v="0"/>
    <d v="2021-11-13T00:00:00"/>
    <n v="11"/>
    <n v="2021"/>
    <n v="125"/>
    <n v="-125"/>
    <n v="0"/>
    <n v="703209.45"/>
    <s v="Cash"/>
    <s v="Trsf 13/11/21, RM5,366.60"/>
    <m/>
  </r>
  <r>
    <x v="119"/>
    <x v="6"/>
    <x v="2"/>
    <x v="161"/>
    <s v="C00000019"/>
    <x v="18"/>
    <s v="RA Butanox M50 (5kg)"/>
    <n v="2"/>
    <s v="Cash"/>
    <n v="0"/>
    <d v="2021-11-13T00:00:00"/>
    <n v="11"/>
    <n v="2021"/>
    <n v="200"/>
    <n v="-200"/>
    <n v="0"/>
    <n v="703409.45"/>
    <s v="Cash"/>
    <s v="Trsf 13/11/21, RM5,366.60"/>
    <m/>
  </r>
  <r>
    <x v="120"/>
    <x v="6"/>
    <x v="2"/>
    <x v="162"/>
    <s v="C00000003"/>
    <x v="2"/>
    <s v="RA Resin 3317AW (220Kg)"/>
    <n v="1"/>
    <s v="T45"/>
    <n v="45"/>
    <d v="2022-01-07T00:00:00"/>
    <n v="1"/>
    <n v="2022"/>
    <n v="2024"/>
    <n v="-2024"/>
    <n v="0"/>
    <n v="705433.45"/>
    <s v="Term"/>
    <s v="RHB 001457cleared29/12/21-RM2,366.50 (2,024.00partial)"/>
    <m/>
  </r>
  <r>
    <x v="120"/>
    <x v="6"/>
    <x v="2"/>
    <x v="162"/>
    <s v="C00000003"/>
    <x v="2"/>
    <s v="RA Mepoxe M (5kg)"/>
    <n v="2"/>
    <s v="T45"/>
    <n v="45"/>
    <d v="2022-01-07T00:00:00"/>
    <n v="1"/>
    <n v="2022"/>
    <n v="170"/>
    <n v="-170"/>
    <n v="0"/>
    <n v="705603.45"/>
    <s v="Term"/>
    <s v="RHB 001457cleared29/12/21-RM2,366.50 (170.00artial)"/>
    <m/>
  </r>
  <r>
    <x v="120"/>
    <x v="6"/>
    <x v="2"/>
    <x v="162"/>
    <s v="C00000003"/>
    <x v="2"/>
    <s v="RA Talcum Powder (25kg)"/>
    <n v="3"/>
    <s v="T45"/>
    <n v="45"/>
    <d v="2022-01-07T00:00:00"/>
    <n v="1"/>
    <n v="2022"/>
    <n v="172.5"/>
    <n v="-172.5"/>
    <n v="0"/>
    <n v="705775.95"/>
    <s v="Term"/>
    <s v="RHB 001457cleared29/12/21-RM2,366.50 (172.50partial)"/>
    <m/>
  </r>
  <r>
    <x v="121"/>
    <x v="6"/>
    <x v="2"/>
    <x v="163"/>
    <s v="C00000019"/>
    <x v="18"/>
    <s v="RA Resin 3338AW (220kg)"/>
    <n v="1"/>
    <s v="Cash"/>
    <n v="0"/>
    <d v="2021-11-26T00:00:00"/>
    <n v="11"/>
    <n v="2021"/>
    <n v="2024"/>
    <n v="-2024"/>
    <n v="0"/>
    <n v="707799.95"/>
    <s v="Cash"/>
    <s v="Trsf 28/11/21"/>
    <m/>
  </r>
  <r>
    <x v="121"/>
    <x v="6"/>
    <x v="2"/>
    <x v="163"/>
    <s v="C00000019"/>
    <x v="18"/>
    <s v="RA Talcum Powder (25kg)"/>
    <n v="4"/>
    <s v="Cash"/>
    <n v="0"/>
    <d v="2021-11-26T00:00:00"/>
    <n v="11"/>
    <n v="2021"/>
    <n v="250"/>
    <n v="-250"/>
    <n v="0"/>
    <n v="708049.95"/>
    <s v="Cash"/>
    <s v="Trsf 28/11/21"/>
    <m/>
  </r>
  <r>
    <x v="121"/>
    <x v="6"/>
    <x v="2"/>
    <x v="163"/>
    <s v="C00000019"/>
    <x v="18"/>
    <s v="RA Butanox M50 (5kg)"/>
    <n v="1"/>
    <s v="Cash"/>
    <n v="0"/>
    <d v="2021-11-26T00:00:00"/>
    <n v="11"/>
    <n v="2021"/>
    <n v="100"/>
    <n v="-100"/>
    <n v="0"/>
    <n v="708149.95"/>
    <s v="Cash"/>
    <s v="Trsf 28/11/21"/>
    <m/>
  </r>
  <r>
    <x v="121"/>
    <x v="6"/>
    <x v="2"/>
    <x v="164"/>
    <s v="C00000019"/>
    <x v="18"/>
    <s v="RA Resin 3338AW (220kg)"/>
    <n v="1"/>
    <s v="Cash"/>
    <n v="0"/>
    <d v="2021-11-26T00:00:00"/>
    <n v="11"/>
    <n v="2021"/>
    <n v="2024"/>
    <n v="-2024"/>
    <n v="0"/>
    <n v="710173.95"/>
    <s v="Cash"/>
    <s v="Trsf 28/11/21"/>
    <m/>
  </r>
  <r>
    <x v="122"/>
    <x v="6"/>
    <x v="2"/>
    <x v="165"/>
    <s v="C00000008"/>
    <x v="7"/>
    <s v="RA Resin 3317AW (220Kg)"/>
    <n v="1"/>
    <s v="Cash"/>
    <n v="0"/>
    <d v="2021-11-29T00:00:00"/>
    <n v="11"/>
    <n v="2021"/>
    <n v="2090"/>
    <n v="-2090"/>
    <n v="0"/>
    <n v="712263.95"/>
    <s v="Cash"/>
    <s v="Trsf 21/1/2022, RM4,006.00"/>
    <m/>
  </r>
  <r>
    <x v="122"/>
    <x v="6"/>
    <x v="2"/>
    <x v="165"/>
    <s v="C00000008"/>
    <x v="7"/>
    <s v="RA CSM 450 30kg 79m(L) X 1040mm(W)"/>
    <n v="4"/>
    <s v="Cash"/>
    <n v="0"/>
    <d v="2021-11-29T00:00:00"/>
    <n v="11"/>
    <n v="2021"/>
    <n v="1406"/>
    <n v="-1406"/>
    <n v="0"/>
    <n v="713669.95"/>
    <s v="Cash"/>
    <s v="Trsf 21/1/2022, RM4,006.00"/>
    <m/>
  </r>
  <r>
    <x v="123"/>
    <x v="0"/>
    <x v="2"/>
    <x v="166"/>
    <s v="C00000020"/>
    <x v="19"/>
    <s v="RA Resin 3317AW (220Kg)"/>
    <n v="3"/>
    <s v="Cash"/>
    <n v="0"/>
    <d v="2021-12-07T00:00:00"/>
    <n v="12"/>
    <n v="2021"/>
    <n v="6138"/>
    <n v="-6138"/>
    <n v="0"/>
    <n v="719807.95"/>
    <s v="Cash"/>
    <s v="Trsf 7/12/21"/>
    <m/>
  </r>
  <r>
    <x v="123"/>
    <x v="0"/>
    <x v="2"/>
    <x v="166"/>
    <s v="C00000020"/>
    <x v="19"/>
    <s v="RA CSM 450 37kg 79m(L) X 1040mm(W)"/>
    <n v="9"/>
    <s v="Cash"/>
    <n v="0"/>
    <d v="2021-12-07T00:00:00"/>
    <n v="12"/>
    <n v="2021"/>
    <n v="3263.4"/>
    <n v="-3263.4"/>
    <n v="0"/>
    <n v="723071.35"/>
    <s v="Cash"/>
    <s v="Trsf 7/12/21"/>
    <m/>
  </r>
  <r>
    <x v="123"/>
    <x v="0"/>
    <x v="2"/>
    <x v="166"/>
    <s v="C00000020"/>
    <x v="19"/>
    <s v="RA Woven Roving E-600 (45kg) 1120mm"/>
    <n v="6"/>
    <s v="Cash"/>
    <n v="0"/>
    <d v="2021-12-07T00:00:00"/>
    <n v="12"/>
    <n v="2021"/>
    <n v="2430"/>
    <n v="-2430"/>
    <n v="0"/>
    <n v="725501.35"/>
    <s v="Cash"/>
    <s v="Trsf 7/12/21"/>
    <m/>
  </r>
  <r>
    <x v="123"/>
    <x v="0"/>
    <x v="2"/>
    <x v="166"/>
    <s v="C00000020"/>
    <x v="19"/>
    <s v="RA Talcum Powder (25kg)"/>
    <n v="3"/>
    <s v="Cash"/>
    <n v="0"/>
    <d v="2021-12-07T00:00:00"/>
    <n v="12"/>
    <n v="2021"/>
    <n v="187.5"/>
    <n v="-187.5"/>
    <n v="0"/>
    <n v="725688.85"/>
    <s v="Cash"/>
    <s v="Trsf 7/12/21"/>
    <m/>
  </r>
  <r>
    <x v="123"/>
    <x v="0"/>
    <x v="2"/>
    <x v="166"/>
    <s v="C00000020"/>
    <x v="19"/>
    <s v="RA Mepoxe M (5kg)"/>
    <n v="2"/>
    <s v="Cash"/>
    <n v="0"/>
    <d v="2021-12-07T00:00:00"/>
    <n v="12"/>
    <n v="2021"/>
    <n v="170"/>
    <n v="-170"/>
    <n v="0"/>
    <n v="725858.85"/>
    <s v="Cash"/>
    <s v="Trsf 7/12/21"/>
    <m/>
  </r>
  <r>
    <x v="124"/>
    <x v="0"/>
    <x v="2"/>
    <x v="167"/>
    <s v="C00000013"/>
    <x v="12"/>
    <s v="RA Resin 3317AW (220Kg)"/>
    <n v="1"/>
    <s v="Cash"/>
    <n v="0"/>
    <d v="2021-12-10T00:00:00"/>
    <n v="12"/>
    <n v="2021"/>
    <n v="2112"/>
    <n v="-2112"/>
    <n v="0"/>
    <n v="727970.85"/>
    <s v="Cash"/>
    <s v="Trsf 11 &amp; 12/12/21, RM3,000.00 &amp; 2,175.40"/>
    <m/>
  </r>
  <r>
    <x v="124"/>
    <x v="0"/>
    <x v="2"/>
    <x v="167"/>
    <s v="C00000013"/>
    <x v="12"/>
    <s v="RJ TR104 Hi Temp Wax"/>
    <n v="1"/>
    <s v="Cash"/>
    <n v="0"/>
    <d v="2021-12-10T00:00:00"/>
    <n v="12"/>
    <n v="2021"/>
    <n v="60"/>
    <n v="-60"/>
    <n v="0"/>
    <n v="728030.85"/>
    <s v="Cash"/>
    <s v="Trsf 11 &amp; 12/12/21, RM3,000.00 &amp; 2,175.40"/>
    <m/>
  </r>
  <r>
    <x v="124"/>
    <x v="0"/>
    <x v="2"/>
    <x v="167"/>
    <s v="C00000013"/>
    <x v="12"/>
    <s v="RA Gelcoat GP-H (20Kg)"/>
    <n v="1"/>
    <s v="Cash"/>
    <n v="0"/>
    <d v="2021-12-10T00:00:00"/>
    <n v="12"/>
    <n v="2021"/>
    <n v="270"/>
    <n v="-270"/>
    <n v="0"/>
    <n v="728300.85"/>
    <s v="Cash"/>
    <s v="Trsf 11 &amp; 12/12/21, RM3,000.00 &amp; 2,175.40"/>
    <m/>
  </r>
  <r>
    <x v="124"/>
    <x v="0"/>
    <x v="2"/>
    <x v="167"/>
    <s v="C00000013"/>
    <x v="12"/>
    <s v="RA Pigment H 2006 Dark Grey (5Kg)"/>
    <n v="2"/>
    <s v="Cash"/>
    <n v="0"/>
    <d v="2021-12-10T00:00:00"/>
    <n v="12"/>
    <n v="2021"/>
    <n v="320"/>
    <n v="-320"/>
    <n v="0"/>
    <n v="728620.85"/>
    <s v="Cash"/>
    <s v="Trsf 11 &amp; 12/12/21, RM3,000.00 &amp; 2,175.40"/>
    <m/>
  </r>
  <r>
    <x v="124"/>
    <x v="0"/>
    <x v="2"/>
    <x v="167"/>
    <s v="C00000013"/>
    <x v="12"/>
    <s v="RE Frekote 770NC (1 Gallon)"/>
    <n v="1"/>
    <s v="Cash"/>
    <n v="0"/>
    <d v="2021-12-10T00:00:00"/>
    <n v="12"/>
    <n v="2021"/>
    <n v="390"/>
    <n v="-390"/>
    <n v="0"/>
    <n v="729010.85"/>
    <s v="Cash"/>
    <s v="Trsf 11 &amp; 12/12/21, RM3,000.00 &amp; 2,175.40"/>
    <m/>
  </r>
  <r>
    <x v="124"/>
    <x v="0"/>
    <x v="2"/>
    <x v="167"/>
    <s v="C00000013"/>
    <x v="12"/>
    <s v="RA Mepoxe M (5kg)"/>
    <n v="2"/>
    <s v="Cash"/>
    <n v="0"/>
    <d v="2021-12-10T00:00:00"/>
    <n v="12"/>
    <n v="2021"/>
    <n v="170"/>
    <n v="-170"/>
    <n v="0"/>
    <n v="729180.85"/>
    <s v="Cash"/>
    <s v="Trsf 11 &amp; 12/12/21, RM3,000.00 &amp; 2,175.40"/>
    <m/>
  </r>
  <r>
    <x v="124"/>
    <x v="0"/>
    <x v="2"/>
    <x v="167"/>
    <s v="C00000013"/>
    <x v="12"/>
    <s v="RD Paint Brush 1.1/2&quot;(12Pc/Ctr)"/>
    <n v="1"/>
    <s v="Cash"/>
    <n v="0"/>
    <d v="2021-12-10T00:00:00"/>
    <n v="12"/>
    <n v="2021"/>
    <n v="45"/>
    <n v="-45"/>
    <n v="0"/>
    <n v="729225.85"/>
    <s v="Cash"/>
    <s v="Trsf 11 &amp; 12/12/21, RM3,000.00 &amp; 2,175.40"/>
    <m/>
  </r>
  <r>
    <x v="124"/>
    <x v="0"/>
    <x v="2"/>
    <x v="167"/>
    <s v="C00000013"/>
    <x v="12"/>
    <s v="RA CSM 450 GSM 54kg 64m(L) X 1860mm(W)"/>
    <n v="1"/>
    <s v="Cash"/>
    <n v="0"/>
    <d v="2021-12-10T00:00:00"/>
    <n v="12"/>
    <n v="2021"/>
    <n v="529.20000000000005"/>
    <n v="-529.20000000000005"/>
    <n v="0"/>
    <n v="729755.04999999993"/>
    <s v="Cash"/>
    <s v="Trsf 11 &amp; 12/12/21, RM3,000.00 &amp; 2,175.40"/>
    <m/>
  </r>
  <r>
    <x v="124"/>
    <x v="0"/>
    <x v="2"/>
    <x v="167"/>
    <s v="C00000013"/>
    <x v="12"/>
    <s v="RA CSM 300 GSM 54Kg 96m(L) X 1860mm(W)"/>
    <n v="1"/>
    <s v="Cash"/>
    <n v="0"/>
    <d v="2021-12-10T00:00:00"/>
    <n v="12"/>
    <n v="2021"/>
    <n v="529.20000000000005"/>
    <n v="-529.20000000000005"/>
    <n v="0"/>
    <n v="730284.24999999988"/>
    <s v="Cash"/>
    <s v="Trsf 11 &amp; 12/12/21, RM3,000.00 &amp; 2,175.40"/>
    <m/>
  </r>
  <r>
    <x v="124"/>
    <x v="0"/>
    <x v="2"/>
    <x v="167"/>
    <s v="C00000013"/>
    <x v="12"/>
    <s v="RA Tissue Mat (300M2) 30G/M2 1Meter (9Kg) Soft"/>
    <n v="1"/>
    <s v="Cash"/>
    <n v="0"/>
    <d v="2021-12-10T00:00:00"/>
    <n v="12"/>
    <n v="2021"/>
    <n v="750"/>
    <n v="-750"/>
    <n v="0"/>
    <n v="731034.24999999988"/>
    <s v="Cash"/>
    <s v="Trsf 11 &amp; 12/12/21, RM3,000.00 &amp; 2,175.40"/>
    <m/>
  </r>
  <r>
    <x v="124"/>
    <x v="0"/>
    <x v="2"/>
    <x v="168"/>
    <s v="C00000020"/>
    <x v="19"/>
    <s v="RA Resin 9539W (225Kg)"/>
    <n v="5"/>
    <s v="Cash"/>
    <n v="0"/>
    <d v="2021-12-10T00:00:00"/>
    <n v="12"/>
    <n v="2021"/>
    <n v="10462.5"/>
    <n v="-10462.5"/>
    <n v="0"/>
    <n v="741496.74999999988"/>
    <s v="Cash"/>
    <s v="Trsf 21/1/2021-RM5,000.00 (332.30 partial), Trsf 28/1/2021(5,000.00 partial), Trsf 23/2/22(RM5,000.00), Trsf 26/2/22-RM2,900.00(130.20partial)"/>
    <m/>
  </r>
  <r>
    <x v="124"/>
    <x v="0"/>
    <x v="2"/>
    <x v="168"/>
    <s v="C00000020"/>
    <x v="19"/>
    <s v="RA CSM 450 TWL 60kg 64m(L) X 2080mm(W)"/>
    <n v="6"/>
    <s v="Cash"/>
    <n v="0"/>
    <d v="2021-12-10T00:00:00"/>
    <n v="12"/>
    <n v="2021"/>
    <n v="3420"/>
    <n v="-3420"/>
    <n v="0"/>
    <n v="744916.74999999988"/>
    <s v="Cash"/>
    <s v="Trsf 26/2/22-RM2,900.00(2,769.80partial), Trsf 15/3/22-RM16,000.00(RM650.20partial)"/>
    <m/>
  </r>
  <r>
    <x v="124"/>
    <x v="0"/>
    <x v="2"/>
    <x v="168"/>
    <s v="C00000020"/>
    <x v="19"/>
    <s v="RA Woven Roving E-600 (45kg) 1120mm"/>
    <n v="7"/>
    <s v="Cash"/>
    <n v="0"/>
    <d v="2021-12-10T00:00:00"/>
    <n v="12"/>
    <n v="2021"/>
    <n v="2835"/>
    <n v="-2835"/>
    <n v="0"/>
    <n v="747751.74999999988"/>
    <s v="Cash"/>
    <s v="Trsf 15/3/22-RM16,000.00"/>
    <m/>
  </r>
  <r>
    <x v="124"/>
    <x v="0"/>
    <x v="2"/>
    <x v="168"/>
    <s v="C00000020"/>
    <x v="19"/>
    <s v="RA Talcum Powder (25kg)"/>
    <n v="5"/>
    <s v="Cash"/>
    <n v="0"/>
    <d v="2021-12-10T00:00:00"/>
    <n v="12"/>
    <n v="2021"/>
    <n v="312.5"/>
    <n v="-312.5"/>
    <n v="0"/>
    <n v="748064.24999999988"/>
    <s v="Cash"/>
    <s v="Trsf 15/3/22-RM16,000.00"/>
    <m/>
  </r>
  <r>
    <x v="124"/>
    <x v="0"/>
    <x v="2"/>
    <x v="168"/>
    <s v="C00000020"/>
    <x v="19"/>
    <s v="RK Smooth Cream (25kg)"/>
    <n v="1"/>
    <s v="Cash"/>
    <n v="0"/>
    <d v="2021-12-10T00:00:00"/>
    <n v="12"/>
    <n v="2021"/>
    <n v="1000"/>
    <n v="-1000"/>
    <n v="0"/>
    <n v="749064.24999999988"/>
    <s v="Cash"/>
    <s v="Trsf 15/3/22-RM16,000.00"/>
    <m/>
  </r>
  <r>
    <x v="124"/>
    <x v="0"/>
    <x v="2"/>
    <x v="168"/>
    <s v="C00000020"/>
    <x v="19"/>
    <s v="RA Mepoxe M (5kg)"/>
    <n v="2"/>
    <s v="Cash"/>
    <n v="0"/>
    <d v="2021-12-10T00:00:00"/>
    <n v="12"/>
    <n v="2021"/>
    <n v="170"/>
    <n v="-170"/>
    <n v="0"/>
    <n v="749234.24999999988"/>
    <s v="Cash"/>
    <s v="Trsf 15/3/22-RM16,000.00"/>
    <m/>
  </r>
  <r>
    <x v="124"/>
    <x v="0"/>
    <x v="2"/>
    <x v="168"/>
    <s v="C00000020"/>
    <x v="19"/>
    <s v="RA CSM 450 GSM 51kg 64m(L) X 1860mm(W)"/>
    <n v="1"/>
    <s v="Cash"/>
    <n v="0"/>
    <d v="2021-12-10T00:00:00"/>
    <n v="12"/>
    <n v="2021"/>
    <n v="484.5"/>
    <n v="-484.5"/>
    <n v="0"/>
    <n v="749718.74999999988"/>
    <s v="Cash"/>
    <s v="Trsf 15/3/22-RM16,000.00"/>
    <m/>
  </r>
  <r>
    <x v="125"/>
    <x v="0"/>
    <x v="2"/>
    <x v="169"/>
    <s v="C00000010"/>
    <x v="9"/>
    <s v="RA Resin 3338AW (220kg)"/>
    <n v="6"/>
    <s v="T120"/>
    <n v="120"/>
    <d v="2022-04-14T00:00:00"/>
    <n v="4"/>
    <n v="2022"/>
    <n v="12144"/>
    <n v="-12144"/>
    <n v="0"/>
    <n v="761862.74999999988"/>
    <s v="Term"/>
    <s v="Trsf 14/3/2022 RM22,264.00"/>
    <m/>
  </r>
  <r>
    <x v="125"/>
    <x v="0"/>
    <x v="2"/>
    <x v="170"/>
    <s v="C00000004"/>
    <x v="3"/>
    <s v="RA Resin 3338AW (220kg)"/>
    <n v="5"/>
    <s v="T120"/>
    <n v="120"/>
    <d v="2022-04-14T00:00:00"/>
    <n v="4"/>
    <n v="2022"/>
    <n v="10120"/>
    <n v="-10120"/>
    <n v="0"/>
    <n v="771982.74999999988"/>
    <s v="Term"/>
    <s v="HLB010464Cleared21/4/22-RM15,895.80"/>
    <m/>
  </r>
  <r>
    <x v="125"/>
    <x v="0"/>
    <x v="2"/>
    <x v="170"/>
    <s v="C00000004"/>
    <x v="3"/>
    <s v="RF Resin 3338NW (220Kg)"/>
    <n v="1"/>
    <s v="T120"/>
    <n v="120"/>
    <d v="2022-04-14T00:00:00"/>
    <n v="4"/>
    <n v="2022"/>
    <n v="2024"/>
    <n v="-2024"/>
    <n v="0"/>
    <n v="774006.74999999988"/>
    <s v="Term"/>
    <s v="HLB010464Cleared21/4/22-RM15,895.80"/>
    <m/>
  </r>
  <r>
    <x v="125"/>
    <x v="0"/>
    <x v="2"/>
    <x v="170"/>
    <s v="C00000004"/>
    <x v="3"/>
    <s v="RA Mepoxe M (5kg)"/>
    <n v="4"/>
    <s v="T120"/>
    <n v="120"/>
    <d v="2022-04-14T00:00:00"/>
    <n v="4"/>
    <n v="2022"/>
    <n v="340"/>
    <n v="-340"/>
    <n v="0"/>
    <n v="774346.74999999988"/>
    <s v="Term"/>
    <s v="HLB010464Cleared21/4/22-RM15,895.80"/>
    <m/>
  </r>
  <r>
    <x v="126"/>
    <x v="0"/>
    <x v="2"/>
    <x v="171"/>
    <s v="C00000004"/>
    <x v="3"/>
    <s v="RA Accelerator (5kg)"/>
    <n v="1"/>
    <s v="T121"/>
    <n v="120"/>
    <d v="2022-04-15T00:00:00"/>
    <n v="4"/>
    <n v="2022"/>
    <n v="390"/>
    <n v="-390"/>
    <n v="0"/>
    <n v="774736.74999999988"/>
    <s v="Term"/>
    <s v="HLB010464Cleared21/4/22-RM15,895.80"/>
    <m/>
  </r>
  <r>
    <x v="127"/>
    <x v="0"/>
    <x v="2"/>
    <x v="172"/>
    <s v="C00000020"/>
    <x v="19"/>
    <s v="RA Resin 3317AW (220Kg)"/>
    <n v="3"/>
    <s v="Cash"/>
    <n v="0"/>
    <d v="2021-12-20T00:00:00"/>
    <n v="12"/>
    <n v="2021"/>
    <n v="6270"/>
    <n v="-6270"/>
    <n v="0"/>
    <n v="781006.74999999988"/>
    <s v="Cash"/>
    <s v="Trsf 15/3/22-RM16,000.00"/>
    <m/>
  </r>
  <r>
    <x v="127"/>
    <x v="0"/>
    <x v="2"/>
    <x v="172"/>
    <s v="C00000020"/>
    <x v="19"/>
    <s v="RK Smooth Cream (25kg)"/>
    <n v="1"/>
    <s v="Cash"/>
    <n v="0"/>
    <d v="2021-12-20T00:00:00"/>
    <n v="12"/>
    <n v="2021"/>
    <n v="1000"/>
    <n v="-1000"/>
    <n v="0"/>
    <n v="782006.74999999988"/>
    <s v="Cash"/>
    <s v="Trsf 15/3/22-RM16,000.00"/>
    <m/>
  </r>
  <r>
    <x v="127"/>
    <x v="0"/>
    <x v="2"/>
    <x v="172"/>
    <s v="C00000020"/>
    <x v="19"/>
    <s v="RA Talcum Powder (25kg)"/>
    <n v="3"/>
    <s v="Cash"/>
    <n v="0"/>
    <d v="2021-12-20T00:00:00"/>
    <n v="12"/>
    <n v="2021"/>
    <n v="187.5"/>
    <n v="-187.5"/>
    <n v="0"/>
    <n v="782194.24999999988"/>
    <s v="Cash"/>
    <s v="Trsf 15/3/22-RM16,000.00"/>
    <m/>
  </r>
  <r>
    <x v="128"/>
    <x v="0"/>
    <x v="2"/>
    <x v="173"/>
    <s v="C00000004"/>
    <x v="3"/>
    <s v="RA CSM 300 TWL 54Kg 96m(L) X 1860mm(W)"/>
    <n v="1"/>
    <s v="T120"/>
    <n v="120"/>
    <d v="2022-04-20T00:00:00"/>
    <n v="4"/>
    <n v="2022"/>
    <n v="513"/>
    <n v="-513"/>
    <n v="0"/>
    <n v="782707.24999999988"/>
    <s v="Term"/>
    <s v="HLB010464Cleared21/4/22-RM15,895.80"/>
    <m/>
  </r>
  <r>
    <x v="128"/>
    <x v="0"/>
    <x v="2"/>
    <x v="173"/>
    <s v="C00000004"/>
    <x v="3"/>
    <s v="RL CSM 450 Jushi 64kg 1800mm(W)"/>
    <n v="4"/>
    <s v="T121"/>
    <n v="120"/>
    <d v="2022-04-20T00:00:00"/>
    <n v="4"/>
    <n v="2022"/>
    <n v="2508.8000000000002"/>
    <n v="-2508.8000000000002"/>
    <n v="0"/>
    <n v="785216.04999999993"/>
    <s v="Term"/>
    <s v="HLB010464Cleared21/4/22-RM15,895.80"/>
    <m/>
  </r>
  <r>
    <x v="129"/>
    <x v="0"/>
    <x v="2"/>
    <x v="174"/>
    <s v="C00000020"/>
    <x v="19"/>
    <s v="RA Resin 3317AW (220Kg)"/>
    <n v="3"/>
    <s v="Cash"/>
    <n v="0"/>
    <d v="2021-12-22T00:00:00"/>
    <n v="12"/>
    <n v="2021"/>
    <n v="6270"/>
    <n v="-6270"/>
    <n v="0"/>
    <n v="791486.04999999993"/>
    <s v="Cash"/>
    <s v="Trsf 15/3/22-RM16,000.00(RM3,090.30), Trsf 23/3/22-RM4,800.00(RM3,179.70)"/>
    <m/>
  </r>
  <r>
    <x v="129"/>
    <x v="0"/>
    <x v="2"/>
    <x v="174"/>
    <s v="C00000020"/>
    <x v="19"/>
    <s v="RK Smooth Cream (25kg)"/>
    <n v="1"/>
    <s v="Cash"/>
    <n v="0"/>
    <d v="2021-12-22T00:00:00"/>
    <n v="12"/>
    <n v="2021"/>
    <n v="1000"/>
    <n v="-1000"/>
    <n v="0"/>
    <n v="792486.04999999993"/>
    <s v="Cash"/>
    <s v="Trsf 23/3/22-RM4,800.00"/>
    <m/>
  </r>
  <r>
    <x v="129"/>
    <x v="0"/>
    <x v="2"/>
    <x v="174"/>
    <s v="C00000020"/>
    <x v="19"/>
    <s v="RA Talcum Powder (25kg)"/>
    <n v="3"/>
    <s v="Cash"/>
    <n v="0"/>
    <d v="2021-12-22T00:00:00"/>
    <n v="12"/>
    <n v="2021"/>
    <n v="187.5"/>
    <n v="-187.5"/>
    <n v="0"/>
    <n v="792673.54999999993"/>
    <s v="Cash"/>
    <s v="Trsf 23/3/22-RM4,800.00"/>
    <m/>
  </r>
  <r>
    <x v="129"/>
    <x v="0"/>
    <x v="2"/>
    <x v="174"/>
    <s v="C00000020"/>
    <x v="19"/>
    <s v="RL CSM 450 Jushi 37kg 1040mm(W)"/>
    <n v="8"/>
    <s v="Cash"/>
    <n v="0"/>
    <d v="2021-12-22T00:00:00"/>
    <n v="12"/>
    <n v="2021"/>
    <n v="3108"/>
    <n v="-3108"/>
    <n v="0"/>
    <n v="795781.54999999993"/>
    <s v="Cash"/>
    <s v="Trsf 23/3/22-RM4,800(RM432.80), Trsf 25/3/22-RM6,000.00(RM2,675.20)"/>
    <m/>
  </r>
  <r>
    <x v="130"/>
    <x v="0"/>
    <x v="2"/>
    <x v="175"/>
    <s v="C00000020"/>
    <x v="19"/>
    <s v="RL CSM 450 Jushi 37kg 1040mm(W)"/>
    <n v="2"/>
    <s v="Cash"/>
    <n v="0"/>
    <d v="2021-12-24T00:00:00"/>
    <n v="12"/>
    <n v="2021"/>
    <n v="777"/>
    <n v="-777"/>
    <n v="0"/>
    <n v="796558.54999999993"/>
    <s v="Cash"/>
    <s v="Trsf 25/3/22-RM6,000.00"/>
    <m/>
  </r>
  <r>
    <x v="131"/>
    <x v="0"/>
    <x v="2"/>
    <x v="176"/>
    <s v="C00000020"/>
    <x v="19"/>
    <s v="RL CSM 450 Jushi 37kg 1040mm(W)"/>
    <n v="2"/>
    <s v="Cash"/>
    <n v="0"/>
    <d v="2021-12-27T00:00:00"/>
    <n v="12"/>
    <n v="2021"/>
    <n v="777"/>
    <n v="-777"/>
    <n v="0"/>
    <n v="797335.54999999993"/>
    <s v="Cash"/>
    <s v="Trsf 25/3/22-RM6,000.00"/>
    <m/>
  </r>
  <r>
    <x v="131"/>
    <x v="0"/>
    <x v="2"/>
    <x v="176"/>
    <s v="C00000020"/>
    <x v="19"/>
    <s v="RC Woven Roving E-800 1000mm (40Kg)"/>
    <n v="1"/>
    <s v="Cash"/>
    <n v="0"/>
    <d v="2021-12-27T00:00:00"/>
    <n v="12"/>
    <n v="2021"/>
    <n v="300"/>
    <n v="-300"/>
    <n v="0"/>
    <n v="797635.54999999993"/>
    <s v="Cash"/>
    <s v="Trsf 25/3/22-RM6,000.00"/>
    <m/>
  </r>
  <r>
    <x v="132"/>
    <x v="0"/>
    <x v="2"/>
    <x v="177"/>
    <s v="C00000001"/>
    <x v="0"/>
    <s v="RA Resin 3317AW (220Kg)"/>
    <n v="2"/>
    <s v="Cash"/>
    <n v="0"/>
    <d v="2021-12-28T00:00:00"/>
    <n v="12"/>
    <n v="2021"/>
    <n v="4136"/>
    <n v="-4136"/>
    <n v="0"/>
    <n v="801771.54999999993"/>
    <s v="Cash"/>
    <s v="Trsf 31/12/21, "/>
    <m/>
  </r>
  <r>
    <x v="132"/>
    <x v="0"/>
    <x v="2"/>
    <x v="177"/>
    <s v="C00000001"/>
    <x v="0"/>
    <s v="RA CSM 450 (30Kg) 64m(L) x 1040mm(W)"/>
    <n v="5"/>
    <s v="Cash"/>
    <n v="0"/>
    <d v="2021-12-28T00:00:00"/>
    <n v="12"/>
    <n v="2021"/>
    <n v="1455"/>
    <n v="-1455"/>
    <n v="0"/>
    <n v="803226.54999999993"/>
    <s v="Cash"/>
    <s v="Trsf 31/12/21, "/>
    <m/>
  </r>
  <r>
    <x v="133"/>
    <x v="0"/>
    <x v="2"/>
    <x v="178"/>
    <s v="C00000020"/>
    <x v="19"/>
    <s v="RA Resin 3317AW (220Kg)"/>
    <n v="5"/>
    <s v="Cash"/>
    <n v="0"/>
    <d v="2021-12-30T00:00:00"/>
    <n v="12"/>
    <n v="2021"/>
    <n v="10450"/>
    <n v="-10450"/>
    <n v="0"/>
    <n v="813676.54999999993"/>
    <s v="Cash"/>
    <s v="Trsf 25/3/22-RM6,000.00(RM1,470.80partial), Trsf 22/3/22-RM6,200.00, Trsf 05/04/22-RM7,000.00(2,779.20partial)"/>
    <m/>
  </r>
  <r>
    <x v="133"/>
    <x v="0"/>
    <x v="2"/>
    <x v="178"/>
    <s v="C00000020"/>
    <x v="19"/>
    <s v="RA CSM 450 (30Kg) 64m(L) x 1040mm(W)"/>
    <n v="15"/>
    <s v="Cash"/>
    <n v="0"/>
    <d v="2021-12-30T00:00:00"/>
    <n v="12"/>
    <n v="2021"/>
    <n v="4410"/>
    <n v="-4410"/>
    <n v="0"/>
    <n v="818086.54999999993"/>
    <s v="Cash"/>
    <s v="Trsf 05/04/22-RM7,000.00(4,220.80(partial), Trsf 7/4/22-RM3,000.00(189.20partial)"/>
    <m/>
  </r>
  <r>
    <x v="133"/>
    <x v="0"/>
    <x v="2"/>
    <x v="178"/>
    <s v="C00000020"/>
    <x v="19"/>
    <s v="RF Woven Roving E-600 (45kg) 1120mm"/>
    <n v="8"/>
    <s v="Cash"/>
    <n v="0"/>
    <d v="2021-12-30T00:00:00"/>
    <n v="12"/>
    <n v="2021"/>
    <n v="2808"/>
    <n v="-2808"/>
    <n v="0"/>
    <n v="820894.54999999993"/>
    <s v="Cash"/>
    <s v="Trsf 7/4/22-RM3,000.00(2,808.00partial)"/>
    <m/>
  </r>
  <r>
    <x v="133"/>
    <x v="0"/>
    <x v="2"/>
    <x v="178"/>
    <s v="C00000020"/>
    <x v="19"/>
    <s v="RA Talcum Powder (25kg)"/>
    <n v="5"/>
    <s v="Cash"/>
    <n v="0"/>
    <d v="2021-12-30T00:00:00"/>
    <n v="12"/>
    <n v="2021"/>
    <n v="312.5"/>
    <n v="-312.5"/>
    <n v="0"/>
    <n v="821207.04999999993"/>
    <s v="Cash"/>
    <s v="Trsf 7/4/22-RM3,000.00(2.80partial), Trsf 8/4/22-RM5,000.00(309.70partial)"/>
    <m/>
  </r>
  <r>
    <x v="133"/>
    <x v="0"/>
    <x v="2"/>
    <x v="178"/>
    <s v="C00000020"/>
    <x v="19"/>
    <s v="RK Smooth Cream (25kg)"/>
    <n v="1"/>
    <s v="Cash"/>
    <n v="0"/>
    <d v="2021-12-30T00:00:00"/>
    <n v="12"/>
    <n v="2021"/>
    <n v="1000"/>
    <n v="-1000"/>
    <n v="0"/>
    <n v="822207.04999999993"/>
    <s v="Cash"/>
    <s v="Trsf 8/4/22-RM5,000.00"/>
    <m/>
  </r>
  <r>
    <x v="133"/>
    <x v="0"/>
    <x v="2"/>
    <x v="178"/>
    <s v="C00000020"/>
    <x v="19"/>
    <s v="RA Mepoxe M (5kg)"/>
    <n v="4"/>
    <s v="Cash"/>
    <n v="0"/>
    <d v="2021-12-30T00:00:00"/>
    <n v="12"/>
    <n v="2021"/>
    <n v="340"/>
    <n v="-340"/>
    <n v="0"/>
    <n v="822547.04999999993"/>
    <s v="Cash"/>
    <s v="Trsf 8/4/22-RM5,000.00"/>
    <m/>
  </r>
  <r>
    <x v="134"/>
    <x v="0"/>
    <x v="2"/>
    <x v="179"/>
    <s v="C00000010"/>
    <x v="9"/>
    <s v="RA Resin 3338AW (220kg)"/>
    <n v="4"/>
    <s v="T120"/>
    <n v="120"/>
    <d v="2022-04-30T00:00:00"/>
    <n v="4"/>
    <n v="2022"/>
    <n v="8096"/>
    <n v="-8096"/>
    <n v="0"/>
    <n v="830643.04999999993"/>
    <s v="Term"/>
    <s v="Trsf 14/3/2022 RM22,264.00"/>
    <m/>
  </r>
  <r>
    <x v="134"/>
    <x v="0"/>
    <x v="2"/>
    <x v="179"/>
    <s v="C00000010"/>
    <x v="9"/>
    <s v="RA Resin 3317AW (220Kg)"/>
    <n v="1"/>
    <s v="T120"/>
    <n v="120"/>
    <d v="2022-04-30T00:00:00"/>
    <n v="4"/>
    <n v="2022"/>
    <n v="2024"/>
    <n v="-2024"/>
    <n v="0"/>
    <n v="832667.04999999993"/>
    <s v="Term"/>
    <s v="Trsf 14/3/2022 RM22,264.00"/>
    <m/>
  </r>
  <r>
    <x v="134"/>
    <x v="0"/>
    <x v="2"/>
    <x v="180"/>
    <s v="C00000019"/>
    <x v="18"/>
    <s v="RA Resin 3338AW (220kg)"/>
    <n v="2"/>
    <s v="Cash"/>
    <n v="0"/>
    <d v="2021-12-31T00:00:00"/>
    <n v="12"/>
    <n v="2021"/>
    <n v="4136"/>
    <n v="-4136"/>
    <n v="0"/>
    <n v="836803.04999999993"/>
    <s v="Cash"/>
    <s v="Trsf 1/1/2022 RM5,014.80"/>
    <m/>
  </r>
  <r>
    <x v="134"/>
    <x v="0"/>
    <x v="2"/>
    <x v="180"/>
    <s v="C00000019"/>
    <x v="18"/>
    <s v="RA Talcum Powder (25kg)"/>
    <n v="4"/>
    <s v="Cash"/>
    <n v="0"/>
    <d v="2021-12-31T00:00:00"/>
    <n v="12"/>
    <n v="2021"/>
    <n v="250"/>
    <n v="-250"/>
    <n v="0"/>
    <n v="837053.04999999993"/>
    <s v="Cash"/>
    <s v="Trsf 1/1/2022 RM5,014.80"/>
    <m/>
  </r>
  <r>
    <x v="134"/>
    <x v="0"/>
    <x v="2"/>
    <x v="180"/>
    <s v="C00000019"/>
    <x v="18"/>
    <s v="RA Butanox M50 (5kg)"/>
    <n v="1"/>
    <s v="Cash"/>
    <n v="0"/>
    <d v="2021-12-31T00:00:00"/>
    <n v="12"/>
    <n v="2021"/>
    <n v="105"/>
    <n v="-105"/>
    <n v="0"/>
    <n v="837158.04999999993"/>
    <s v="Cash"/>
    <s v="Trsf 1/1/2022 RM5,014.80"/>
    <m/>
  </r>
  <r>
    <x v="134"/>
    <x v="0"/>
    <x v="2"/>
    <x v="180"/>
    <s v="C00000019"/>
    <x v="18"/>
    <s v="RG CSM 450 CQ 54kg 64m(L) X 1860mm(W)"/>
    <n v="1"/>
    <s v="Cash"/>
    <n v="0"/>
    <d v="2021-12-31T00:00:00"/>
    <n v="12"/>
    <n v="2021"/>
    <n v="523.79999999999995"/>
    <n v="-523.79999999999995"/>
    <n v="0"/>
    <n v="837681.85"/>
    <s v="Cash"/>
    <s v="Trsf 1/1/2022 RM5,014.80"/>
    <m/>
  </r>
  <r>
    <x v="135"/>
    <x v="7"/>
    <x v="3"/>
    <x v="181"/>
    <s v="C00000020"/>
    <x v="19"/>
    <s v="RG Resin 3317AW (220Kg)"/>
    <n v="3"/>
    <s v="Cash"/>
    <n v="0"/>
    <d v="2022-01-03T00:00:00"/>
    <n v="1"/>
    <n v="2022"/>
    <n v="6270"/>
    <n v="-6270"/>
    <n v="0"/>
    <n v="843951.85"/>
    <s v="Cash"/>
    <s v="Trsf 8/4/22-RM5,000.00(3,350.30partial), Trsf 12/4/22-RM10,000.00(2,919.70partial)"/>
    <m/>
  </r>
  <r>
    <x v="135"/>
    <x v="7"/>
    <x v="3"/>
    <x v="181"/>
    <s v="C00000020"/>
    <x v="19"/>
    <s v="RA CSM 450 (30Kg) 64m(L) x 1040mm(W)"/>
    <n v="4"/>
    <s v="Cash"/>
    <n v="0"/>
    <d v="2022-01-03T00:00:00"/>
    <n v="1"/>
    <n v="2022"/>
    <n v="1176"/>
    <n v="-1176"/>
    <n v="0"/>
    <n v="845127.85"/>
    <s v="Cash"/>
    <s v="Trsf 12/4/22-RM10,000.00"/>
    <m/>
  </r>
  <r>
    <x v="135"/>
    <x v="7"/>
    <x v="3"/>
    <x v="181"/>
    <s v="C00000020"/>
    <x v="19"/>
    <s v="RF Woven Roving E-600 (45kg) 1120mm"/>
    <n v="2"/>
    <s v="Cash"/>
    <n v="0"/>
    <d v="2022-01-03T00:00:00"/>
    <n v="1"/>
    <n v="2022"/>
    <n v="702"/>
    <n v="-702"/>
    <n v="0"/>
    <n v="845829.85"/>
    <s v="Cash"/>
    <s v="Trsf 12/4/22-RM10,000.00"/>
    <m/>
  </r>
  <r>
    <x v="135"/>
    <x v="7"/>
    <x v="3"/>
    <x v="181"/>
    <s v="C00000020"/>
    <x v="19"/>
    <s v="RA Talcum Powder (25kg)"/>
    <n v="2"/>
    <s v="Cash"/>
    <n v="0"/>
    <d v="2022-01-03T00:00:00"/>
    <n v="1"/>
    <n v="2022"/>
    <n v="125"/>
    <n v="-125"/>
    <n v="0"/>
    <n v="845954.85"/>
    <s v="Cash"/>
    <s v="Trsf 12/4/22-RM10,000.00"/>
    <m/>
  </r>
  <r>
    <x v="136"/>
    <x v="7"/>
    <x v="3"/>
    <x v="182"/>
    <s v="C00000019"/>
    <x v="18"/>
    <s v="RG TR104 Hi Temp Wax"/>
    <n v="6"/>
    <s v="Cash"/>
    <n v="0"/>
    <d v="2022-01-06T00:00:00"/>
    <n v="1"/>
    <n v="2022"/>
    <n v="360"/>
    <n v="-360"/>
    <n v="0"/>
    <n v="846314.85"/>
    <s v="Cash"/>
    <s v="Trsf 6/1/2022 RM1,080.00"/>
    <m/>
  </r>
  <r>
    <x v="136"/>
    <x v="7"/>
    <x v="3"/>
    <x v="182"/>
    <s v="C00000019"/>
    <x v="18"/>
    <s v="RE Frekote 770NC (1 Gallon)"/>
    <n v="2"/>
    <s v="Cash"/>
    <n v="0"/>
    <d v="2022-01-06T00:00:00"/>
    <n v="1"/>
    <n v="2022"/>
    <n v="720"/>
    <n v="-720"/>
    <n v="0"/>
    <n v="847034.85"/>
    <s v="Cash"/>
    <s v="Trsf 6/1/2022 RM1,080.00"/>
    <m/>
  </r>
  <r>
    <x v="137"/>
    <x v="7"/>
    <x v="3"/>
    <x v="183"/>
    <s v="C00000020"/>
    <x v="19"/>
    <s v="RA CSM 450 (30Kg) 64m(L) x 1040mm(W)"/>
    <n v="3"/>
    <s v="Cash"/>
    <n v="0"/>
    <d v="2022-01-07T00:00:00"/>
    <n v="1"/>
    <n v="2022"/>
    <n v="882"/>
    <n v="-882"/>
    <n v="0"/>
    <n v="847916.85"/>
    <s v="Cash"/>
    <s v="Trsf 7/1/22 RMRM1,223.00"/>
    <m/>
  </r>
  <r>
    <x v="137"/>
    <x v="7"/>
    <x v="3"/>
    <x v="183"/>
    <s v="C00000020"/>
    <x v="19"/>
    <s v="RF Woven Roving E-600 (45kg) 1120mm"/>
    <n v="1"/>
    <s v="Cash"/>
    <n v="0"/>
    <d v="2022-01-07T00:00:00"/>
    <n v="1"/>
    <n v="2022"/>
    <n v="351"/>
    <n v="-351"/>
    <n v="0"/>
    <n v="848267.85"/>
    <s v="Cash"/>
    <s v="Trsf 7/1/22 RMRM1,223.00"/>
    <m/>
  </r>
  <r>
    <x v="138"/>
    <x v="7"/>
    <x v="3"/>
    <x v="184"/>
    <s v="C00000020"/>
    <x v="19"/>
    <s v="RG Resin 3317AW (220Kg)"/>
    <n v="2"/>
    <s v="Cash"/>
    <n v="0"/>
    <d v="2022-01-08T00:00:00"/>
    <n v="1"/>
    <n v="2022"/>
    <n v="4180"/>
    <n v="-4180"/>
    <n v="0"/>
    <n v="852447.85"/>
    <s v="Cash"/>
    <s v="Trsf 12/4/22-RM10,000.00"/>
    <m/>
  </r>
  <r>
    <x v="138"/>
    <x v="7"/>
    <x v="3"/>
    <x v="184"/>
    <s v="C00000020"/>
    <x v="19"/>
    <s v="RA CSM 450 (30Kg) 64m(L) x 1040mm(W)"/>
    <n v="7"/>
    <s v="Cash"/>
    <n v="0"/>
    <d v="2022-01-08T00:00:00"/>
    <n v="1"/>
    <n v="2022"/>
    <n v="2058"/>
    <n v="-2058"/>
    <n v="0"/>
    <n v="854505.85"/>
    <s v="Cash"/>
    <s v="Trsf 12/4/22-RM10,000.00(897.30partial), Trsf 15/4/22-RM3,500.00(1,160.70partial)"/>
    <m/>
  </r>
  <r>
    <x v="138"/>
    <x v="7"/>
    <x v="3"/>
    <x v="184"/>
    <s v="C00000020"/>
    <x v="19"/>
    <s v="RC Woven Roving E-800 1000mm (40Kg)"/>
    <n v="1"/>
    <s v="Cash"/>
    <n v="0"/>
    <d v="2022-01-08T00:00:00"/>
    <n v="1"/>
    <n v="2022"/>
    <n v="312"/>
    <n v="-312"/>
    <n v="0"/>
    <n v="854817.85"/>
    <s v="Cash"/>
    <s v="Trsf 15/4/22-RM3,500.00"/>
    <m/>
  </r>
  <r>
    <x v="138"/>
    <x v="7"/>
    <x v="3"/>
    <x v="184"/>
    <s v="C00000020"/>
    <x v="19"/>
    <s v="RF Woven Roving E-600 (45kg) 1120mm"/>
    <n v="2"/>
    <s v="Cash"/>
    <n v="0"/>
    <d v="2022-01-08T00:00:00"/>
    <n v="1"/>
    <n v="2022"/>
    <n v="702"/>
    <n v="-702"/>
    <n v="0"/>
    <n v="855519.85"/>
    <s v="Cash"/>
    <s v="Trsf 15/4/22-RM3,500.00"/>
    <m/>
  </r>
  <r>
    <x v="138"/>
    <x v="7"/>
    <x v="3"/>
    <x v="184"/>
    <s v="C00000020"/>
    <x v="19"/>
    <s v="RA Talcum Powder (25kg)"/>
    <n v="2"/>
    <s v="Cash"/>
    <n v="0"/>
    <d v="2022-01-08T00:00:00"/>
    <n v="1"/>
    <n v="2022"/>
    <n v="125"/>
    <n v="-125"/>
    <n v="0"/>
    <n v="855644.85"/>
    <s v="Cash"/>
    <s v="Trsf 15/4/22-RM3,500.00"/>
    <m/>
  </r>
  <r>
    <x v="139"/>
    <x v="7"/>
    <x v="3"/>
    <x v="185"/>
    <s v="C00000003"/>
    <x v="2"/>
    <s v="RG Resin 3317AW (220Kg)"/>
    <n v="3"/>
    <s v="T45"/>
    <n v="45"/>
    <d v="2022-02-24T00:00:00"/>
    <n v="2"/>
    <n v="2022"/>
    <n v="6336"/>
    <n v="-6336"/>
    <n v="0"/>
    <n v="861980.85"/>
    <s v="Term"/>
    <s v="RHB001529cleared14/2/22-RM1,800.00(partal), RHB001530cleared21/2/22-RM1,800.00(partial), RHB001532cleared25/2/22-RM1,935.00, RHB001531cleared28/2/22-RM1,800.00(801.00partial)"/>
    <m/>
  </r>
  <r>
    <x v="139"/>
    <x v="7"/>
    <x v="3"/>
    <x v="185"/>
    <s v="C00000003"/>
    <x v="2"/>
    <s v="RG CSM 300 (30Kg) 64m(L) x 1040mm(W)"/>
    <n v="1"/>
    <s v="T45"/>
    <n v="45"/>
    <d v="2022-02-24T00:00:00"/>
    <n v="2"/>
    <n v="2022"/>
    <n v="309"/>
    <n v="-309"/>
    <n v="0"/>
    <n v="862289.85"/>
    <s v="Term"/>
    <s v="RHB001531cleared28/2/22-RM1,800.00(309.00.00partial)"/>
    <m/>
  </r>
  <r>
    <x v="139"/>
    <x v="7"/>
    <x v="3"/>
    <x v="185"/>
    <s v="C00000003"/>
    <x v="2"/>
    <s v="RA Butanox M50 (5Kg)"/>
    <n v="6"/>
    <s v="T45"/>
    <n v="45"/>
    <d v="2022-02-24T00:00:00"/>
    <n v="2"/>
    <n v="2022"/>
    <n v="600"/>
    <n v="-600"/>
    <n v="0"/>
    <n v="862889.85"/>
    <s v="Term"/>
    <s v="RHB001531cleared28/2/22-RM1,800.00(600.00.00partial)"/>
    <m/>
  </r>
  <r>
    <x v="139"/>
    <x v="7"/>
    <x v="3"/>
    <x v="185"/>
    <s v="C00000003"/>
    <x v="2"/>
    <s v="RA Miracle Gloss Wax"/>
    <n v="2"/>
    <s v="T45"/>
    <n v="45"/>
    <d v="2022-02-24T00:00:00"/>
    <n v="2"/>
    <n v="2022"/>
    <n v="90"/>
    <n v="-90"/>
    <n v="0"/>
    <n v="862979.85"/>
    <s v="Term"/>
    <s v="RHB001531cleared28/2/22-RM1,800.00(90.00.00partial)"/>
    <m/>
  </r>
  <r>
    <x v="140"/>
    <x v="7"/>
    <x v="3"/>
    <x v="186"/>
    <s v="C00000010"/>
    <x v="9"/>
    <s v="RG Resin 3338AW (220kg)"/>
    <n v="4"/>
    <s v="T120"/>
    <n v="120"/>
    <d v="2022-05-11T00:00:00"/>
    <n v="5"/>
    <n v="2022"/>
    <n v="8096"/>
    <n v="-8096"/>
    <n v="0"/>
    <n v="871075.85"/>
    <s v="Term"/>
    <s v="Trsf 21/4/2022 RM28,820.00"/>
    <m/>
  </r>
  <r>
    <x v="140"/>
    <x v="7"/>
    <x v="3"/>
    <x v="186"/>
    <s v="C00000010"/>
    <x v="9"/>
    <s v="RG CSM 450 30kg 79m(L) X 1040mm(W)"/>
    <n v="20"/>
    <s v="T120"/>
    <n v="120"/>
    <d v="2022-05-11T00:00:00"/>
    <n v="5"/>
    <n v="2022"/>
    <n v="5700"/>
    <n v="-5700"/>
    <n v="0"/>
    <n v="876775.85"/>
    <s v="Term"/>
    <s v="Trsf 21/4/2022 RM28,820.00"/>
    <m/>
  </r>
  <r>
    <x v="140"/>
    <x v="7"/>
    <x v="3"/>
    <x v="186"/>
    <s v="C00000010"/>
    <x v="9"/>
    <s v="RA Talcum Powder (25kg)"/>
    <n v="10"/>
    <s v="T120"/>
    <n v="120"/>
    <d v="2022-05-11T00:00:00"/>
    <n v="5"/>
    <n v="2022"/>
    <n v="550"/>
    <n v="-550"/>
    <n v="0"/>
    <n v="877325.85"/>
    <s v="Term"/>
    <s v="Trsf 21/4/2022 RM28,820.00"/>
    <m/>
  </r>
  <r>
    <x v="140"/>
    <x v="7"/>
    <x v="3"/>
    <x v="186"/>
    <s v="C00000010"/>
    <x v="9"/>
    <s v="RA Mepoxe M (5kg)"/>
    <n v="4"/>
    <s v="T120"/>
    <n v="120"/>
    <d v="2022-05-11T00:00:00"/>
    <n v="5"/>
    <n v="2022"/>
    <n v="340"/>
    <n v="-340"/>
    <n v="0"/>
    <n v="877665.85"/>
    <s v="Term"/>
    <s v="Trsf 21/4/2022 RM28,820.00"/>
    <m/>
  </r>
  <r>
    <x v="140"/>
    <x v="7"/>
    <x v="3"/>
    <x v="186"/>
    <s v="C00000010"/>
    <x v="9"/>
    <s v="RA Aerosil (Silica Fume) (10Kg)"/>
    <n v="1"/>
    <s v="T120"/>
    <n v="120"/>
    <d v="2022-05-11T00:00:00"/>
    <n v="5"/>
    <n v="2022"/>
    <n v="440"/>
    <n v="-440"/>
    <n v="0"/>
    <n v="878105.85"/>
    <s v="Term"/>
    <s v="Trsf 21/4/2022 RM28,820.00"/>
    <m/>
  </r>
  <r>
    <x v="140"/>
    <x v="7"/>
    <x v="3"/>
    <x v="186"/>
    <s v="C00000010"/>
    <x v="9"/>
    <s v="RD Brush 3&quot; (12 PC)"/>
    <n v="4"/>
    <s v="T120"/>
    <n v="120"/>
    <d v="2022-05-11T00:00:00"/>
    <n v="5"/>
    <n v="2022"/>
    <n v="220"/>
    <n v="-220"/>
    <n v="0"/>
    <n v="878325.85"/>
    <s v="Term"/>
    <s v="Trsf 21/4/2022 RM28,820.00"/>
    <m/>
  </r>
  <r>
    <x v="141"/>
    <x v="7"/>
    <x v="3"/>
    <x v="187"/>
    <s v="C00000019"/>
    <x v="18"/>
    <s v="RA Resin 3338AW (220kg)"/>
    <n v="2"/>
    <s v="Cash"/>
    <n v="0"/>
    <d v="2022-01-13T00:00:00"/>
    <n v="1"/>
    <n v="2022"/>
    <n v="4136"/>
    <n v="-4136"/>
    <n v="0"/>
    <n v="882461.85"/>
    <s v="Cash"/>
    <s v="Trsf 14/1/22 RM5,183.60"/>
    <m/>
  </r>
  <r>
    <x v="141"/>
    <x v="7"/>
    <x v="3"/>
    <x v="187"/>
    <s v="C00000019"/>
    <x v="18"/>
    <s v="RG CSM 450 CQ 54kg 64m(L) X 1860mm(W)"/>
    <n v="2"/>
    <s v="Cash"/>
    <n v="0"/>
    <d v="2022-01-13T00:00:00"/>
    <n v="1"/>
    <n v="2022"/>
    <n v="1047.5999999999999"/>
    <n v="-1047.5999999999999"/>
    <n v="0"/>
    <n v="883509.45"/>
    <s v="Cash"/>
    <s v="Trsf 14/1/22 RM5,183.60"/>
    <m/>
  </r>
  <r>
    <x v="141"/>
    <x v="7"/>
    <x v="3"/>
    <x v="188"/>
    <s v="C00000020"/>
    <x v="19"/>
    <s v="RG Resin 3317AW (220Kg)"/>
    <n v="8"/>
    <s v="Cash"/>
    <n v="0"/>
    <d v="2022-01-13T00:00:00"/>
    <n v="1"/>
    <n v="2022"/>
    <n v="16720"/>
    <n v="-16720"/>
    <n v="0"/>
    <n v="900229.45"/>
    <s v="Cash"/>
    <s v="Trsf 15/4/22-RM3,500.00(1.200.30partial), Trsf 22/4/22-RM8,000.00, Trsf 27/4/22-RM8,000.00(7,519.70partial)"/>
    <m/>
  </r>
  <r>
    <x v="141"/>
    <x v="7"/>
    <x v="3"/>
    <x v="188"/>
    <s v="C00000020"/>
    <x v="19"/>
    <s v="RA CSM 450 (60Kg) 64m(L) x 2080mm(W)"/>
    <n v="11"/>
    <s v="Cash"/>
    <n v="0"/>
    <d v="2022-01-13T00:00:00"/>
    <n v="1"/>
    <n v="2022"/>
    <n v="6468"/>
    <n v="-6468"/>
    <n v="0"/>
    <n v="906697.45"/>
    <s v="Cash"/>
    <s v="Trsf 27/4/22-RM8,000.00(480.30partial), Trsf 28/4/22-RM8,000.00(5,987.70partial)"/>
    <m/>
  </r>
  <r>
    <x v="141"/>
    <x v="7"/>
    <x v="3"/>
    <x v="188"/>
    <s v="C00000020"/>
    <x v="19"/>
    <s v="RG Woven Roving E-600 (45kg) 1120mm"/>
    <n v="11"/>
    <s v="Cash"/>
    <n v="0"/>
    <d v="2022-01-13T00:00:00"/>
    <n v="1"/>
    <n v="2022"/>
    <n v="3861"/>
    <n v="-3861"/>
    <n v="0"/>
    <n v="910558.45"/>
    <s v="Cash"/>
    <s v="Trsf 28/4/22-RM8,000.00(2,012.30partial), Trsf 11/5/22 RM16,000.00(RM1,848.70partial)"/>
    <m/>
  </r>
  <r>
    <x v="141"/>
    <x v="7"/>
    <x v="3"/>
    <x v="188"/>
    <s v="C00000020"/>
    <x v="19"/>
    <s v="RK Smooth Cream (25kg)"/>
    <n v="1"/>
    <s v="Cash"/>
    <n v="0"/>
    <d v="2022-01-13T00:00:00"/>
    <n v="1"/>
    <n v="2022"/>
    <n v="1000"/>
    <n v="-1000"/>
    <n v="0"/>
    <n v="911558.45"/>
    <s v="Cash"/>
    <s v="Trsf 11/5/22 RM16,000.00"/>
    <m/>
  </r>
  <r>
    <x v="141"/>
    <x v="7"/>
    <x v="3"/>
    <x v="188"/>
    <s v="C00000020"/>
    <x v="19"/>
    <s v="RA Talcum Powder (25kg)"/>
    <n v="8"/>
    <s v="Cash"/>
    <n v="0"/>
    <d v="2022-01-13T00:00:00"/>
    <n v="1"/>
    <n v="2022"/>
    <n v="500"/>
    <n v="-500"/>
    <n v="0"/>
    <n v="912058.45"/>
    <s v="Cash"/>
    <s v="Trsf 11/5/22 RM16,000.00"/>
    <m/>
  </r>
  <r>
    <x v="142"/>
    <x v="7"/>
    <x v="3"/>
    <x v="189"/>
    <s v="C00000004"/>
    <x v="3"/>
    <s v="RG Nor 3338W (220Kg)"/>
    <n v="2"/>
    <s v="T120"/>
    <n v="120"/>
    <d v="2022-05-14T00:00:00"/>
    <n v="5"/>
    <n v="2022"/>
    <n v="4048"/>
    <n v="-4048"/>
    <n v="0"/>
    <n v="916106.45"/>
    <s v="Term"/>
    <s v="HLB010490Cleared30/5/22-RM31,599.50"/>
    <m/>
  </r>
  <r>
    <x v="142"/>
    <x v="7"/>
    <x v="3"/>
    <x v="189"/>
    <s v="C00000004"/>
    <x v="3"/>
    <s v="RA CSM 450 (60Kg) 64m(L) x 2080mm(W)"/>
    <n v="2"/>
    <s v="T120"/>
    <n v="120"/>
    <d v="2022-05-14T00:00:00"/>
    <n v="5"/>
    <n v="2022"/>
    <n v="1140"/>
    <n v="-1140"/>
    <n v="0"/>
    <n v="917246.45"/>
    <s v="Term"/>
    <s v="HLB010490Cleared30/5/22-RM31,599.50"/>
    <m/>
  </r>
  <r>
    <x v="142"/>
    <x v="7"/>
    <x v="3"/>
    <x v="189"/>
    <s v="C00000004"/>
    <x v="3"/>
    <s v="RA Aerosil (Silica Fume) (10Kg)"/>
    <n v="1"/>
    <s v="T120"/>
    <n v="120"/>
    <d v="2022-05-14T00:00:00"/>
    <n v="5"/>
    <n v="2022"/>
    <n v="450"/>
    <n v="-450"/>
    <n v="0"/>
    <n v="917696.45"/>
    <s v="Term"/>
    <s v="HLB010490Cleared30/5/22-RM31,599.50"/>
    <m/>
  </r>
  <r>
    <x v="142"/>
    <x v="7"/>
    <x v="3"/>
    <x v="189"/>
    <s v="C00000004"/>
    <x v="3"/>
    <s v="RA Mepoxe M (5kg)"/>
    <n v="4"/>
    <s v="T120"/>
    <n v="120"/>
    <d v="2022-05-14T00:00:00"/>
    <n v="5"/>
    <n v="2022"/>
    <n v="340"/>
    <n v="-340"/>
    <n v="0"/>
    <n v="918036.45"/>
    <s v="Term"/>
    <s v="HLB010490Cleared30/5/22-RM31,599.50"/>
    <m/>
  </r>
  <r>
    <x v="142"/>
    <x v="7"/>
    <x v="3"/>
    <x v="189"/>
    <s v="C00000004"/>
    <x v="3"/>
    <s v="RA Gelcoat GP-H (20kg)"/>
    <n v="2"/>
    <s v="T120"/>
    <n v="120"/>
    <d v="2022-05-14T00:00:00"/>
    <n v="5"/>
    <n v="2022"/>
    <n v="540"/>
    <n v="-540"/>
    <n v="0"/>
    <n v="918576.45"/>
    <s v="Term"/>
    <s v="HLB010490Cleared30/5/22-RM31,599.50"/>
    <m/>
  </r>
  <r>
    <x v="142"/>
    <x v="7"/>
    <x v="3"/>
    <x v="189"/>
    <s v="C00000004"/>
    <x v="3"/>
    <s v="RG CSM 300 (30Kg) 64m(L) x 1040mm(W)"/>
    <n v="1"/>
    <s v="T120"/>
    <n v="120"/>
    <d v="2022-05-14T00:00:00"/>
    <n v="5"/>
    <n v="2022"/>
    <n v="285"/>
    <n v="-285"/>
    <n v="0"/>
    <n v="918861.45"/>
    <s v="Term"/>
    <s v="HLB010490Cleared30/5/22-RM31,599.50"/>
    <m/>
  </r>
  <r>
    <x v="142"/>
    <x v="7"/>
    <x v="3"/>
    <x v="190"/>
    <s v="C00000004"/>
    <x v="3"/>
    <s v="RG CSM 300 (30Kg) 64m(L) x 1040mm(W)"/>
    <n v="4"/>
    <s v="T120"/>
    <n v="120"/>
    <d v="2022-05-14T00:00:00"/>
    <n v="5"/>
    <n v="2022"/>
    <n v="1140"/>
    <n v="-1140"/>
    <n v="0"/>
    <n v="920001.45"/>
    <s v="Term"/>
    <s v="HLB010490Cleared30/5/22-RM31,599.50"/>
    <m/>
  </r>
  <r>
    <x v="142"/>
    <x v="7"/>
    <x v="3"/>
    <x v="190"/>
    <s v="C00000004"/>
    <x v="3"/>
    <s v="RA Talcum Powder (25kg)"/>
    <n v="1"/>
    <s v="T120"/>
    <n v="120"/>
    <d v="2022-05-14T00:00:00"/>
    <n v="5"/>
    <n v="2022"/>
    <n v="62.5"/>
    <n v="-62.5"/>
    <n v="0"/>
    <n v="920063.95"/>
    <s v="Term"/>
    <s v="HLB010490Cleared30/5/22-RM31,599.50"/>
    <m/>
  </r>
  <r>
    <x v="143"/>
    <x v="7"/>
    <x v="3"/>
    <x v="191"/>
    <s v="C00000004"/>
    <x v="3"/>
    <s v="RA Nor 3338W (220Kg)"/>
    <n v="3"/>
    <s v="T120"/>
    <n v="120"/>
    <d v="2022-05-17T00:00:00"/>
    <n v="5"/>
    <n v="2022"/>
    <n v="6072"/>
    <n v="-6072"/>
    <n v="0"/>
    <n v="926135.95"/>
    <s v="Term"/>
    <s v="HLB010490Cleared30/5/22-RM31,599.50"/>
    <m/>
  </r>
  <r>
    <x v="143"/>
    <x v="7"/>
    <x v="3"/>
    <x v="191"/>
    <s v="C00000004"/>
    <x v="3"/>
    <s v="RF Nor 3338NW (220Kg)"/>
    <n v="1"/>
    <s v="T120"/>
    <n v="120"/>
    <d v="2022-05-17T00:00:00"/>
    <n v="5"/>
    <n v="2022"/>
    <n v="2024"/>
    <n v="-2024"/>
    <n v="0"/>
    <n v="928159.95"/>
    <s v="Term"/>
    <s v="HLB010490Cleared30/5/22-RM31,599.50"/>
    <m/>
  </r>
  <r>
    <x v="143"/>
    <x v="7"/>
    <x v="3"/>
    <x v="191"/>
    <s v="C00000004"/>
    <x v="3"/>
    <s v="RA Accelerator (5Kg)"/>
    <n v="1"/>
    <s v="T120"/>
    <n v="120"/>
    <d v="2022-05-17T00:00:00"/>
    <n v="5"/>
    <n v="2022"/>
    <n v="390"/>
    <n v="-390"/>
    <n v="0"/>
    <n v="928549.95"/>
    <s v="Term"/>
    <s v="HLB010490Cleared30/5/22-RM31,599.50"/>
    <m/>
  </r>
  <r>
    <x v="144"/>
    <x v="7"/>
    <x v="3"/>
    <x v="192"/>
    <s v="C00000020"/>
    <x v="19"/>
    <s v="RG Resin 3317AW (220Kg)"/>
    <n v="3"/>
    <s v="Cash"/>
    <n v="0"/>
    <d v="2022-01-18T00:00:00"/>
    <n v="1"/>
    <n v="2022"/>
    <n v="6270"/>
    <n v="-6270"/>
    <n v="0"/>
    <n v="934819.95"/>
    <s v="Cash"/>
    <s v="Trsf 11/5/22 RM16,000.00"/>
    <m/>
  </r>
  <r>
    <x v="144"/>
    <x v="7"/>
    <x v="3"/>
    <x v="192"/>
    <s v="C00000020"/>
    <x v="19"/>
    <s v="RA CSM 450 (60Kg) 64m(L) x 2080mm(W)"/>
    <n v="4"/>
    <s v="Cash"/>
    <n v="0"/>
    <d v="2022-01-18T00:00:00"/>
    <n v="1"/>
    <n v="2022"/>
    <n v="2352"/>
    <n v="-2352"/>
    <n v="0"/>
    <n v="937171.95"/>
    <s v="Cash"/>
    <s v="Trsf 11/5/22 RM16,000.00"/>
    <m/>
  </r>
  <r>
    <x v="144"/>
    <x v="7"/>
    <x v="3"/>
    <x v="192"/>
    <s v="C00000020"/>
    <x v="19"/>
    <s v="RG Woven Roving E-600 (45kg) 1120mm"/>
    <n v="5"/>
    <s v="Cash"/>
    <n v="0"/>
    <d v="2022-01-18T00:00:00"/>
    <n v="1"/>
    <n v="2022"/>
    <n v="1755"/>
    <n v="-1755"/>
    <n v="0"/>
    <n v="938926.95"/>
    <s v="Cash"/>
    <s v="Trsf 11/5/22 RM16,000.00"/>
    <m/>
  </r>
  <r>
    <x v="144"/>
    <x v="7"/>
    <x v="3"/>
    <x v="192"/>
    <s v="C00000020"/>
    <x v="19"/>
    <s v="RK Smooth Cream (25kg)"/>
    <n v="1"/>
    <s v="Cash"/>
    <n v="0"/>
    <d v="2022-01-18T00:00:00"/>
    <n v="1"/>
    <n v="2022"/>
    <n v="1000"/>
    <n v="-1000"/>
    <n v="0"/>
    <n v="939926.95"/>
    <s v="Cash"/>
    <s v="Trsf 11/5/22 RM16,000.00"/>
    <m/>
  </r>
  <r>
    <x v="144"/>
    <x v="7"/>
    <x v="3"/>
    <x v="192"/>
    <s v="C00000020"/>
    <x v="19"/>
    <s v="RA Talcum Powder (25kg)"/>
    <n v="2"/>
    <s v="Cash"/>
    <n v="0"/>
    <d v="2022-01-18T00:00:00"/>
    <n v="1"/>
    <n v="2022"/>
    <n v="125"/>
    <n v="-125"/>
    <n v="0"/>
    <n v="940051.95"/>
    <s v="Cash"/>
    <s v="Trsf 11/5/22 RM16,000.00"/>
    <m/>
  </r>
  <r>
    <x v="145"/>
    <x v="7"/>
    <x v="3"/>
    <x v="193"/>
    <s v="C00000019"/>
    <x v="18"/>
    <s v="RG Nor 3338W (220Kg)"/>
    <n v="1"/>
    <s v="Cash"/>
    <n v="0"/>
    <d v="2022-01-22T00:00:00"/>
    <n v="1"/>
    <n v="2022"/>
    <n v="2068"/>
    <n v="-2068"/>
    <n v="0"/>
    <n v="942119.95"/>
    <s v="Cash"/>
    <s v="Trsf  23/1/22 RM2,696.80"/>
    <m/>
  </r>
  <r>
    <x v="145"/>
    <x v="7"/>
    <x v="3"/>
    <x v="193"/>
    <s v="C00000019"/>
    <x v="18"/>
    <s v="RG CSM 450 CQ 54kg 64m(L) X 1860mm(W)"/>
    <n v="1"/>
    <s v="Cash"/>
    <n v="0"/>
    <d v="2022-01-22T00:00:00"/>
    <n v="1"/>
    <n v="2022"/>
    <n v="523.79999999999995"/>
    <n v="-523.79999999999995"/>
    <n v="0"/>
    <n v="942643.75"/>
    <s v="Cash"/>
    <s v="Trsf  23/1/22 RM2,696.80"/>
    <m/>
  </r>
  <r>
    <x v="145"/>
    <x v="7"/>
    <x v="3"/>
    <x v="193"/>
    <s v="C00000019"/>
    <x v="18"/>
    <s v="RA Butanox M50"/>
    <n v="1"/>
    <s v="Cash"/>
    <n v="0"/>
    <d v="2022-01-22T00:00:00"/>
    <n v="1"/>
    <n v="2022"/>
    <n v="105"/>
    <n v="-105"/>
    <n v="0"/>
    <n v="942748.75"/>
    <s v="Cash"/>
    <s v="Trsf  23/1/22 RM2,696.80"/>
    <m/>
  </r>
  <r>
    <x v="146"/>
    <x v="7"/>
    <x v="3"/>
    <x v="194"/>
    <s v="C00000010"/>
    <x v="9"/>
    <s v="RA Resin 3338AW (220kg)"/>
    <n v="6"/>
    <s v="T120"/>
    <n v="120"/>
    <d v="2022-05-24T00:00:00"/>
    <n v="5"/>
    <n v="2022"/>
    <n v="12144"/>
    <n v="-12144"/>
    <n v="0"/>
    <n v="954892.75"/>
    <s v="Term"/>
    <s v="Trsf 21/4/2022 RM28,820.00"/>
    <m/>
  </r>
  <r>
    <x v="146"/>
    <x v="7"/>
    <x v="3"/>
    <x v="194"/>
    <s v="C00000010"/>
    <x v="9"/>
    <s v="RA Talcum Powder (25kg)"/>
    <n v="10"/>
    <s v="T120"/>
    <n v="120"/>
    <d v="2022-05-24T00:00:00"/>
    <n v="5"/>
    <n v="2022"/>
    <n v="550"/>
    <n v="-550"/>
    <n v="0"/>
    <n v="955442.75"/>
    <s v="Term"/>
    <s v="Trsf 21/4/2022 RM28,820.00"/>
    <m/>
  </r>
  <r>
    <x v="146"/>
    <x v="7"/>
    <x v="3"/>
    <x v="194"/>
    <s v="C00000010"/>
    <x v="9"/>
    <s v="RA Mepoxe M (5kg)"/>
    <n v="4"/>
    <s v="T120"/>
    <n v="120"/>
    <d v="2022-05-24T00:00:00"/>
    <n v="5"/>
    <n v="2022"/>
    <n v="340"/>
    <n v="-340"/>
    <n v="0"/>
    <n v="955782.75"/>
    <s v="Term"/>
    <s v="Trsf 21/4/2022 RM28,820.00"/>
    <m/>
  </r>
  <r>
    <x v="146"/>
    <x v="7"/>
    <x v="3"/>
    <x v="194"/>
    <s v="C00000010"/>
    <x v="9"/>
    <s v="RA Aerosil (Silica Fume) (10Kg)"/>
    <n v="1"/>
    <s v="T120"/>
    <n v="120"/>
    <d v="2022-05-24T00:00:00"/>
    <n v="5"/>
    <n v="2022"/>
    <n v="440"/>
    <n v="-440"/>
    <n v="0"/>
    <n v="956222.75"/>
    <s v="Term"/>
    <s v="Trsf 21/4/2022 RM28,820.00"/>
    <m/>
  </r>
  <r>
    <x v="147"/>
    <x v="7"/>
    <x v="3"/>
    <x v="195"/>
    <s v="C00000006"/>
    <x v="5"/>
    <s v="RG Nor 3338W (220Kg)"/>
    <n v="1"/>
    <s v="Cash"/>
    <n v="0"/>
    <d v="2022-01-25T00:00:00"/>
    <n v="1"/>
    <n v="2022"/>
    <n v="2024"/>
    <n v="-2024"/>
    <n v="0"/>
    <n v="958246.75"/>
    <s v="Cash"/>
    <s v="chq 934918 21/02/2022"/>
    <m/>
  </r>
  <r>
    <x v="147"/>
    <x v="7"/>
    <x v="3"/>
    <x v="195"/>
    <s v="C00000004"/>
    <x v="5"/>
    <s v="RG CSM 300 (30Kg) 64m(L) x 1040mm(W)"/>
    <n v="1"/>
    <s v="Cash"/>
    <n v="0"/>
    <d v="2022-01-25T00:00:00"/>
    <n v="1"/>
    <n v="2022"/>
    <n v="285"/>
    <n v="-285"/>
    <n v="0"/>
    <n v="958531.75"/>
    <s v="Cash"/>
    <s v="chq 934918 21/02/2022"/>
    <m/>
  </r>
  <r>
    <x v="148"/>
    <x v="7"/>
    <x v="3"/>
    <x v="196"/>
    <s v="C00000004"/>
    <x v="3"/>
    <s v="RG Nor 3338W (220Kg)"/>
    <n v="5"/>
    <s v="T120"/>
    <n v="120"/>
    <d v="2022-05-26T00:00:00"/>
    <n v="5"/>
    <n v="2022"/>
    <n v="10120"/>
    <n v="-10120"/>
    <n v="0"/>
    <n v="968651.75"/>
    <s v="Term"/>
    <s v="HLB010490Cleared30/5/22-RM31,599.50"/>
    <m/>
  </r>
  <r>
    <x v="148"/>
    <x v="7"/>
    <x v="3"/>
    <x v="196"/>
    <s v="C00000004"/>
    <x v="3"/>
    <s v="RG Nor 3338NW (220Kg)"/>
    <n v="1"/>
    <s v="T120"/>
    <n v="120"/>
    <d v="2022-05-26T00:00:00"/>
    <n v="5"/>
    <n v="2022"/>
    <n v="2024"/>
    <n v="-2024"/>
    <n v="0"/>
    <n v="970675.75"/>
    <s v="Term"/>
    <s v="HLB010490Cleared30/5/22-RM31,599.50"/>
    <m/>
  </r>
  <r>
    <x v="148"/>
    <x v="7"/>
    <x v="3"/>
    <x v="196"/>
    <s v="C00000004"/>
    <x v="3"/>
    <s v="RG CSM 300 (30Kg) 64m(L) x 1040mm(W)"/>
    <n v="5"/>
    <s v="T120"/>
    <n v="120"/>
    <d v="2022-05-26T00:00:00"/>
    <n v="5"/>
    <n v="2022"/>
    <n v="1425"/>
    <n v="-1425"/>
    <n v="0"/>
    <n v="972100.75"/>
    <s v="Term"/>
    <s v="HLB010490Cleared30/5/22-RM31,599.50"/>
    <m/>
  </r>
  <r>
    <x v="148"/>
    <x v="7"/>
    <x v="3"/>
    <x v="196"/>
    <s v="C00000004"/>
    <x v="3"/>
    <s v="RG CSM 450 CQ 54kg 64m(L) X 1860mm(W)"/>
    <n v="3"/>
    <s v="T120"/>
    <n v="120"/>
    <d v="2022-05-26T00:00:00"/>
    <n v="5"/>
    <n v="2022"/>
    <n v="1539"/>
    <n v="-1539"/>
    <n v="0"/>
    <n v="973639.75"/>
    <s v="Term"/>
    <s v="HLB010490Cleared30/5/22-RM31,599.50"/>
    <m/>
  </r>
  <r>
    <x v="149"/>
    <x v="8"/>
    <x v="3"/>
    <x v="197"/>
    <s v="C00000019"/>
    <x v="18"/>
    <s v="RG Nor 3338W (220Kg)"/>
    <n v="2"/>
    <s v="Cash"/>
    <n v="0"/>
    <d v="2022-02-10T00:00:00"/>
    <n v="2"/>
    <n v="2022"/>
    <n v="4136"/>
    <n v="-4136"/>
    <n v="0"/>
    <n v="977775.75"/>
    <s v="Term"/>
    <s v="Trsf 12/2/22 RM6,532.40"/>
    <m/>
  </r>
  <r>
    <x v="149"/>
    <x v="8"/>
    <x v="3"/>
    <x v="197"/>
    <s v="C00000019"/>
    <x v="18"/>
    <s v="RG CSM 450 CQ 54kg 64m(L) X 1860mm(W)"/>
    <n v="3"/>
    <s v="Cash"/>
    <n v="0"/>
    <d v="2022-02-10T00:00:00"/>
    <n v="2"/>
    <n v="2022"/>
    <n v="1571.4"/>
    <n v="-1571.4"/>
    <n v="0"/>
    <n v="979347.15"/>
    <s v="Term"/>
    <s v="Trsf 12/2/22 RM6,532.40"/>
    <m/>
  </r>
  <r>
    <x v="149"/>
    <x v="8"/>
    <x v="3"/>
    <x v="197"/>
    <s v="C00000019"/>
    <x v="18"/>
    <s v="RA Butanox M50 (5Kg)"/>
    <n v="1"/>
    <s v="Cash"/>
    <n v="0"/>
    <d v="2022-02-10T00:00:00"/>
    <n v="2"/>
    <n v="2022"/>
    <n v="105"/>
    <n v="-105"/>
    <n v="0"/>
    <n v="979452.15"/>
    <s v="Term"/>
    <s v="Trsf 12/2/22 RM6,532.40"/>
    <m/>
  </r>
  <r>
    <x v="149"/>
    <x v="8"/>
    <x v="3"/>
    <x v="197"/>
    <s v="C00000019"/>
    <x v="18"/>
    <s v="RE Frekote 770NC (1 Gallon)"/>
    <n v="2"/>
    <s v="Cash"/>
    <n v="0"/>
    <d v="2022-02-10T00:00:00"/>
    <n v="2"/>
    <n v="2022"/>
    <n v="720"/>
    <n v="-720"/>
    <n v="0"/>
    <n v="980172.15"/>
    <s v="Term"/>
    <s v="Trsf 12/2/22 RM6,532.40"/>
    <m/>
  </r>
  <r>
    <x v="150"/>
    <x v="8"/>
    <x v="3"/>
    <x v="198"/>
    <s v="C00000004"/>
    <x v="3"/>
    <s v="RA Mepoxe M (5kg)"/>
    <n v="4"/>
    <s v="T120"/>
    <n v="120"/>
    <d v="2022-06-15T00:00:00"/>
    <n v="6"/>
    <n v="2022"/>
    <n v="340"/>
    <n v="-340"/>
    <n v="0"/>
    <n v="980512.15"/>
    <s v="Term"/>
    <s v="HLB011600Cleared23/6/22-RM1,480.00"/>
    <m/>
  </r>
  <r>
    <x v="150"/>
    <x v="8"/>
    <x v="3"/>
    <x v="198"/>
    <s v="C00000004"/>
    <x v="3"/>
    <s v="RG CSM 300 (30Kg) 64m(L) x 1040mm(W)"/>
    <n v="4"/>
    <s v="T120"/>
    <n v="120"/>
    <d v="2022-06-15T00:00:00"/>
    <n v="6"/>
    <n v="2022"/>
    <n v="1140"/>
    <n v="-1140"/>
    <n v="0"/>
    <n v="981652.15"/>
    <s v="Term"/>
    <s v="HLB011600Cleared23/6/22-RM1,480.00"/>
    <m/>
  </r>
  <r>
    <x v="151"/>
    <x v="8"/>
    <x v="3"/>
    <x v="199"/>
    <s v="C00000010"/>
    <x v="9"/>
    <s v="RG Resin 3338AW (220kg)"/>
    <n v="6"/>
    <s v="T120"/>
    <n v="120"/>
    <d v="2022-06-17T00:00:00"/>
    <n v="6"/>
    <n v="2022"/>
    <n v="11880"/>
    <n v="-11880"/>
    <n v="0"/>
    <n v="993532.15"/>
    <s v="Term"/>
    <s v="Trsf 23/5/22 RM14,395.00"/>
    <m/>
  </r>
  <r>
    <x v="151"/>
    <x v="8"/>
    <x v="3"/>
    <x v="199"/>
    <s v="C00000010"/>
    <x v="9"/>
    <s v="RG CSM 450 (30Kg) 64m(L) x 1040mm(W)"/>
    <n v="5"/>
    <s v="T120"/>
    <n v="120"/>
    <d v="2022-06-17T00:00:00"/>
    <n v="6"/>
    <n v="2022"/>
    <n v="1425"/>
    <n v="-1425"/>
    <n v="0"/>
    <n v="994957.15"/>
    <s v="Term"/>
    <s v="Trsf 23/5/22 RM14,395.00"/>
    <m/>
  </r>
  <r>
    <x v="151"/>
    <x v="8"/>
    <x v="3"/>
    <x v="199"/>
    <s v="C00000010"/>
    <x v="9"/>
    <s v="RA Talcum Powder (25kg)"/>
    <n v="5"/>
    <s v="T120"/>
    <n v="120"/>
    <d v="2022-06-17T00:00:00"/>
    <n v="6"/>
    <n v="2022"/>
    <n v="275"/>
    <n v="-275"/>
    <n v="0"/>
    <n v="995232.15"/>
    <s v="Term"/>
    <s v="Trsf 23/5/22 RM14,395.00"/>
    <m/>
  </r>
  <r>
    <x v="151"/>
    <x v="8"/>
    <x v="3"/>
    <x v="199"/>
    <s v="C00000010"/>
    <x v="9"/>
    <s v="RH Bosny Wax (15Kg)"/>
    <n v="1"/>
    <s v="T120"/>
    <n v="120"/>
    <d v="2022-06-17T00:00:00"/>
    <n v="6"/>
    <n v="2022"/>
    <n v="375"/>
    <n v="-375"/>
    <n v="0"/>
    <n v="995607.15"/>
    <s v="Term"/>
    <s v="Trsf 23/5/22 RM14,395.00"/>
    <m/>
  </r>
  <r>
    <x v="151"/>
    <x v="8"/>
    <x v="3"/>
    <x v="199"/>
    <s v="C00000010"/>
    <x v="9"/>
    <s v="RA Aerosil (Silica Fume) (10Kg)"/>
    <n v="1"/>
    <s v="T120"/>
    <n v="120"/>
    <d v="2022-06-17T00:00:00"/>
    <n v="6"/>
    <n v="2022"/>
    <n v="440"/>
    <n v="-440"/>
    <n v="0"/>
    <n v="996047.15"/>
    <s v="Term"/>
    <s v="Trsf 23/5/22 RM14,395.00"/>
    <m/>
  </r>
  <r>
    <x v="152"/>
    <x v="8"/>
    <x v="3"/>
    <x v="200"/>
    <s v="C00000009"/>
    <x v="8"/>
    <s v="RG Nor 3338W (220Kg)"/>
    <n v="2"/>
    <s v="T60"/>
    <n v="60"/>
    <d v="2022-04-19T00:00:00"/>
    <n v="4"/>
    <n v="2022"/>
    <n v="3960"/>
    <n v="-3960"/>
    <n v="0"/>
    <n v="1000007.15"/>
    <s v="Term"/>
    <s v="HLIB 015672dd250522 RM5,940,00"/>
    <m/>
  </r>
  <r>
    <x v="152"/>
    <x v="8"/>
    <x v="3"/>
    <x v="200"/>
    <s v="C00000009"/>
    <x v="8"/>
    <s v="RM Nor 3338NW (220Kg)"/>
    <n v="1"/>
    <s v="T60"/>
    <n v="60"/>
    <d v="2022-04-19T00:00:00"/>
    <n v="4"/>
    <n v="2022"/>
    <n v="1980"/>
    <n v="-1980"/>
    <n v="0"/>
    <n v="1001987.15"/>
    <s v="Term"/>
    <s v="HLIB 015672dd250522 RM5,940,00"/>
    <m/>
  </r>
  <r>
    <x v="153"/>
    <x v="8"/>
    <x v="3"/>
    <x v="201"/>
    <s v="C00000003"/>
    <x v="2"/>
    <s v="RG Resin 3317AW (220Kg)"/>
    <n v="3"/>
    <s v="T45"/>
    <n v="45"/>
    <d v="2022-04-05T00:00:00"/>
    <n v="4"/>
    <n v="2022"/>
    <n v="6336"/>
    <n v="-6336"/>
    <n v="0"/>
    <n v="1008323.15"/>
    <s v="Term"/>
    <s v="RHB001565cleared14/3/22-RM2,000.00(partial), RHB001566cleared21/3/22-RM2,000.00(partial), RHB001567cleared28/3/22-RM2,000.00(partial), RHB001569cleared11/4/22-RM1,586.00(336.00partial)"/>
    <m/>
  </r>
  <r>
    <x v="153"/>
    <x v="8"/>
    <x v="3"/>
    <x v="201"/>
    <s v="C00000003"/>
    <x v="2"/>
    <s v="RA Talcum Powder (25kg)"/>
    <n v="4"/>
    <s v="T45"/>
    <n v="45"/>
    <d v="2022-04-05T00:00:00"/>
    <n v="4"/>
    <n v="2022"/>
    <n v="260"/>
    <n v="-260"/>
    <n v="0"/>
    <n v="1008583.15"/>
    <s v="Term"/>
    <s v="RHB001569cleared11/4/22-RM1,586.00"/>
    <m/>
  </r>
  <r>
    <x v="153"/>
    <x v="8"/>
    <x v="3"/>
    <x v="201"/>
    <s v="C00000003"/>
    <x v="2"/>
    <s v="RA Butanox M50 (5Kg)"/>
    <n v="6"/>
    <s v="T45"/>
    <n v="45"/>
    <d v="2022-04-05T00:00:00"/>
    <n v="4"/>
    <n v="2022"/>
    <n v="630"/>
    <n v="-630"/>
    <n v="0"/>
    <n v="1009213.15"/>
    <s v="Term"/>
    <s v="RHB001569cleared11/4/22-RM1,586.00"/>
    <m/>
  </r>
  <r>
    <x v="153"/>
    <x v="8"/>
    <x v="3"/>
    <x v="201"/>
    <s v="C00000003"/>
    <x v="2"/>
    <s v="RA Miracle Gloss Wax"/>
    <n v="1"/>
    <s v="T45"/>
    <n v="45"/>
    <d v="2022-04-05T00:00:00"/>
    <n v="4"/>
    <n v="2022"/>
    <n v="45"/>
    <n v="-45"/>
    <n v="0"/>
    <n v="1009258.15"/>
    <s v="Term"/>
    <s v="RHB001569cleared11/4/22-RM1,586.00"/>
    <m/>
  </r>
  <r>
    <x v="154"/>
    <x v="8"/>
    <x v="3"/>
    <x v="202"/>
    <s v="C00000021"/>
    <x v="21"/>
    <s v="RG Resin 3317AW (220Kg)"/>
    <n v="2"/>
    <s v="Cash"/>
    <n v="0"/>
    <d v="2022-02-21T00:00:00"/>
    <n v="2"/>
    <n v="2022"/>
    <n v="3960"/>
    <n v="-3960"/>
    <n v="0"/>
    <n v="1013218.15"/>
    <s v="Cash"/>
    <s v="PBB395355cleared31/3/22 RM5,822.00"/>
    <m/>
  </r>
  <r>
    <x v="154"/>
    <x v="8"/>
    <x v="3"/>
    <x v="202"/>
    <s v="C00000021"/>
    <x v="21"/>
    <s v="RG CSM 450 (30Kg) 64m(L) x 1040mm(W)"/>
    <n v="6"/>
    <s v="Cash"/>
    <n v="0"/>
    <d v="2022-02-21T00:00:00"/>
    <n v="2"/>
    <n v="2022"/>
    <n v="1692"/>
    <n v="-1692"/>
    <n v="0"/>
    <n v="1014910.15"/>
    <s v="Cash"/>
    <s v="PBB395355cleared31/3/22 RM5,822.01"/>
    <m/>
  </r>
  <r>
    <x v="154"/>
    <x v="8"/>
    <x v="3"/>
    <x v="202"/>
    <s v="C00000021"/>
    <x v="21"/>
    <s v="RA Mepoxe M (5kg)"/>
    <n v="2"/>
    <s v="Cash"/>
    <n v="0"/>
    <d v="2022-02-21T00:00:00"/>
    <n v="2"/>
    <n v="2022"/>
    <n v="170"/>
    <n v="-170"/>
    <n v="0"/>
    <n v="1015080.15"/>
    <s v="Cash"/>
    <s v="PBB395355cleared31/3/22 RM5,822.02"/>
    <m/>
  </r>
  <r>
    <x v="154"/>
    <x v="8"/>
    <x v="3"/>
    <x v="203"/>
    <s v="C00000006"/>
    <x v="5"/>
    <s v="RA Pigment Super White (5kg)"/>
    <n v="1"/>
    <s v="Cash"/>
    <n v="0"/>
    <d v="2022-02-21T00:00:00"/>
    <n v="2"/>
    <n v="2022"/>
    <n v="175"/>
    <n v="-175"/>
    <n v="0"/>
    <n v="1015255.15"/>
    <s v="Cash"/>
    <s v="RHB 934926 cleared18/4/22-RM2,580.50"/>
    <m/>
  </r>
  <r>
    <x v="155"/>
    <x v="8"/>
    <x v="3"/>
    <x v="204"/>
    <s v="C00000019"/>
    <x v="18"/>
    <s v="RG Nor 3338W (220Kg)"/>
    <n v="2"/>
    <s v="Cash"/>
    <n v="0"/>
    <d v="2022-02-22T00:00:00"/>
    <n v="2"/>
    <n v="2022"/>
    <n v="4136"/>
    <n v="-4136"/>
    <n v="0"/>
    <n v="1019391.15"/>
    <s v="Cash"/>
    <s v="Trsf 22/2/22 RM5,877.30"/>
    <m/>
  </r>
  <r>
    <x v="155"/>
    <x v="8"/>
    <x v="3"/>
    <x v="204"/>
    <s v="C00000019"/>
    <x v="18"/>
    <s v="RG CSM 450 CQ 54kg 64m(L) X 1860mm(W)"/>
    <n v="1"/>
    <s v="Cash"/>
    <n v="0"/>
    <d v="2022-02-22T00:00:00"/>
    <n v="2"/>
    <n v="2022"/>
    <n v="523.79999999999995"/>
    <n v="-523.79999999999995"/>
    <n v="0"/>
    <n v="1019914.9500000001"/>
    <s v="Cash"/>
    <s v="Trsf 22/2/22 RM5,877.30"/>
    <m/>
  </r>
  <r>
    <x v="155"/>
    <x v="8"/>
    <x v="3"/>
    <x v="204"/>
    <s v="C00000019"/>
    <x v="18"/>
    <s v="RA Butanox M50"/>
    <n v="1"/>
    <s v="Cash"/>
    <n v="0"/>
    <d v="2022-02-22T00:00:00"/>
    <n v="2"/>
    <n v="2022"/>
    <n v="105"/>
    <n v="-105"/>
    <n v="0"/>
    <n v="1020019.9500000001"/>
    <s v="Cash"/>
    <s v="Trsf 22/2/22 RM5,877.30"/>
    <m/>
  </r>
  <r>
    <x v="155"/>
    <x v="8"/>
    <x v="3"/>
    <x v="204"/>
    <s v="C00000019"/>
    <x v="18"/>
    <s v="RE Frekote 770NC (1 Gallon)"/>
    <n v="1"/>
    <s v="Cash"/>
    <n v="0"/>
    <d v="2022-02-22T00:00:00"/>
    <n v="2"/>
    <n v="2022"/>
    <n v="360"/>
    <n v="-360"/>
    <n v="0"/>
    <n v="1020379.9500000001"/>
    <s v="Cash"/>
    <s v="Trsf 22/2/22 RM5,877.30"/>
    <m/>
  </r>
  <r>
    <x v="155"/>
    <x v="8"/>
    <x v="3"/>
    <x v="204"/>
    <s v="C00000019"/>
    <x v="18"/>
    <s v="RA Talcum Powder (25kg)"/>
    <n v="5"/>
    <s v="Cash"/>
    <n v="0"/>
    <d v="2022-02-22T00:00:00"/>
    <n v="2"/>
    <n v="2022"/>
    <n v="312.5"/>
    <n v="-312.5"/>
    <n v="0"/>
    <n v="1020692.4500000001"/>
    <s v="Cash"/>
    <s v="Trsf 22/2/22 RM5,877.30"/>
    <m/>
  </r>
  <r>
    <x v="155"/>
    <x v="8"/>
    <x v="3"/>
    <x v="204"/>
    <s v="C00000019"/>
    <x v="18"/>
    <s v="RA Aerosil (Silica Fume) (10Kg)"/>
    <n v="1"/>
    <s v="Cash"/>
    <n v="0"/>
    <d v="2022-02-22T00:00:00"/>
    <n v="2"/>
    <n v="2022"/>
    <n v="440"/>
    <n v="-440"/>
    <n v="0"/>
    <n v="1021132.4500000001"/>
    <s v="Cash"/>
    <s v="Trsf 22/2/22 RM5,877.30"/>
    <m/>
  </r>
  <r>
    <x v="156"/>
    <x v="8"/>
    <x v="3"/>
    <x v="205"/>
    <s v="C00000020"/>
    <x v="19"/>
    <s v="RG Resin 3317AW (220Kg)"/>
    <n v="2"/>
    <s v="Cash"/>
    <n v="0"/>
    <d v="2022-02-24T00:00:00"/>
    <n v="2"/>
    <n v="2022"/>
    <n v="4180"/>
    <n v="-4180"/>
    <n v="0"/>
    <n v="1025312.4500000001"/>
    <s v="Cash"/>
    <s v="Trsf 11/5/22 RM16,000.00(1,149.30partial), Trsf 17/5/22 RM10,000.00(3,030.70partial)"/>
    <m/>
  </r>
  <r>
    <x v="156"/>
    <x v="8"/>
    <x v="3"/>
    <x v="205"/>
    <s v="C00000020"/>
    <x v="19"/>
    <s v="RG Nor 3338W (220Kg)"/>
    <n v="1"/>
    <s v="Cash"/>
    <n v="0"/>
    <d v="2022-02-24T00:00:00"/>
    <n v="2"/>
    <n v="2022"/>
    <n v="2090"/>
    <n v="-2090"/>
    <n v="0"/>
    <n v="1027402.4500000001"/>
    <s v="Cash"/>
    <s v="Trsf 17/5/22 RM10,000.00"/>
    <m/>
  </r>
  <r>
    <x v="156"/>
    <x v="8"/>
    <x v="3"/>
    <x v="205"/>
    <s v="C00000020"/>
    <x v="19"/>
    <s v="RG Woven Roving E-600 (45kg) 1120mm"/>
    <n v="1"/>
    <s v="Cash"/>
    <n v="0"/>
    <d v="2022-02-24T00:00:00"/>
    <n v="2"/>
    <n v="2022"/>
    <n v="351"/>
    <n v="-351"/>
    <n v="0"/>
    <n v="1027753.4500000001"/>
    <s v="Cash"/>
    <s v="Trsf 17/5/22 RM10,000.00"/>
    <m/>
  </r>
  <r>
    <x v="156"/>
    <x v="8"/>
    <x v="3"/>
    <x v="205"/>
    <s v="C00000020"/>
    <x v="19"/>
    <s v="RK Smooth Cream (25kg)"/>
    <n v="1"/>
    <s v="Cash"/>
    <n v="0"/>
    <d v="2022-02-24T00:00:00"/>
    <n v="2"/>
    <n v="2022"/>
    <n v="1000"/>
    <n v="-1000"/>
    <n v="0"/>
    <n v="1028753.4500000001"/>
    <s v="Cash"/>
    <s v="Trsf 17/5/22 RM10,000.00"/>
    <m/>
  </r>
  <r>
    <x v="156"/>
    <x v="8"/>
    <x v="3"/>
    <x v="205"/>
    <s v="C00000020"/>
    <x v="19"/>
    <s v="RA Mepoxe M (5kg)"/>
    <n v="4"/>
    <s v="Cash"/>
    <n v="0"/>
    <d v="2022-02-24T00:00:00"/>
    <n v="2"/>
    <n v="2022"/>
    <n v="340"/>
    <n v="-340"/>
    <n v="0"/>
    <n v="1029093.4500000001"/>
    <s v="Cash"/>
    <s v="Trsf 17/5/22 RM10,000.00"/>
    <m/>
  </r>
  <r>
    <x v="157"/>
    <x v="8"/>
    <x v="3"/>
    <x v="206"/>
    <s v="C00000020"/>
    <x v="19"/>
    <s v="RG Resin 3317AW (220Kg)"/>
    <n v="1"/>
    <s v="Cash"/>
    <n v="0"/>
    <d v="2022-02-26T00:00:00"/>
    <n v="2"/>
    <n v="2022"/>
    <n v="2090"/>
    <n v="-2090"/>
    <n v="0"/>
    <n v="1031183.4500000001"/>
    <s v="Cash"/>
    <s v="Trsf 17/5/22 RM10,000.00"/>
    <m/>
  </r>
  <r>
    <x v="157"/>
    <x v="8"/>
    <x v="3"/>
    <x v="206"/>
    <s v="C00000020"/>
    <x v="19"/>
    <s v="RA CSM 450 (60Kg) 64m(L) x 2080mm(W)"/>
    <n v="1"/>
    <s v="Cash"/>
    <n v="0"/>
    <d v="2022-02-26T00:00:00"/>
    <n v="2"/>
    <n v="2022"/>
    <n v="588"/>
    <n v="-588"/>
    <n v="0"/>
    <n v="1031771.4500000001"/>
    <s v="Cash"/>
    <s v="Trsf 17/5/22 RM10,000.00"/>
    <m/>
  </r>
  <r>
    <x v="157"/>
    <x v="8"/>
    <x v="3"/>
    <x v="207"/>
    <s v="C00000003"/>
    <x v="2"/>
    <s v="RG CSM 300 (30Kg) 64m(L) x 1040mm(W)"/>
    <n v="1"/>
    <s v="T45"/>
    <n v="45"/>
    <d v="2022-04-12T00:00:00"/>
    <n v="4"/>
    <n v="2022"/>
    <n v="315"/>
    <n v="-315"/>
    <n v="0"/>
    <n v="1032086.4500000001"/>
    <s v="Cash"/>
    <s v="RHB001569cleared11/4/22-RM1,586.00"/>
    <m/>
  </r>
  <r>
    <x v="158"/>
    <x v="9"/>
    <x v="3"/>
    <x v="208"/>
    <s v="C00000021"/>
    <x v="21"/>
    <s v="RG Resin 3317AW (220Kg)"/>
    <n v="2"/>
    <s v="Cash"/>
    <n v="0"/>
    <d v="2022-03-05T00:00:00"/>
    <n v="3"/>
    <n v="2022"/>
    <n v="3960"/>
    <n v="-3960"/>
    <n v="0"/>
    <n v="1036046.4500000001"/>
    <s v="Cash"/>
    <s v="PBB395356cleared11/4/22 RM6,301.00"/>
    <m/>
  </r>
  <r>
    <x v="158"/>
    <x v="9"/>
    <x v="3"/>
    <x v="208"/>
    <s v="C00000021"/>
    <x v="21"/>
    <s v="RG CSM 450 (30Kg) 64m(L) x 1040mm(W)"/>
    <n v="8"/>
    <s v="Cash"/>
    <n v="0"/>
    <d v="2022-03-05T00:00:00"/>
    <n v="3"/>
    <n v="2022"/>
    <n v="2256"/>
    <n v="-2256"/>
    <n v="0"/>
    <n v="1038302.4500000001"/>
    <s v="Cash"/>
    <s v="PBB395356cleared11/4/22 RM6,301.00"/>
    <m/>
  </r>
  <r>
    <x v="158"/>
    <x v="9"/>
    <x v="3"/>
    <x v="208"/>
    <s v="C00000021"/>
    <x v="21"/>
    <s v="RA Mepoxe M (5kg)"/>
    <n v="1"/>
    <s v="Cash"/>
    <n v="0"/>
    <d v="2022-03-05T00:00:00"/>
    <n v="3"/>
    <n v="2022"/>
    <n v="85"/>
    <n v="-85"/>
    <n v="0"/>
    <n v="1038387.4500000001"/>
    <s v="Cash"/>
    <s v="PBB395356cleared11/4/22 RM6,301.00"/>
    <m/>
  </r>
  <r>
    <x v="159"/>
    <x v="9"/>
    <x v="3"/>
    <x v="209"/>
    <s v="C00000022"/>
    <x v="22"/>
    <s v="RM Nor 3338NW (220Kg)"/>
    <n v="1"/>
    <s v="Cash"/>
    <n v="0"/>
    <d v="2022-03-08T00:00:00"/>
    <n v="3"/>
    <n v="2022"/>
    <n v="2112"/>
    <n v="-2112"/>
    <n v="0"/>
    <n v="1040499.4500000001"/>
    <s v="Cash"/>
    <s v="Trsf 23/3/22 RM5,328.00"/>
    <m/>
  </r>
  <r>
    <x v="159"/>
    <x v="9"/>
    <x v="3"/>
    <x v="209"/>
    <s v="C00000022"/>
    <x v="22"/>
    <s v="RM Wax Solution 54-56 (10L)"/>
    <n v="1"/>
    <s v="Cash"/>
    <n v="0"/>
    <d v="2022-03-08T00:00:00"/>
    <n v="3"/>
    <n v="2022"/>
    <n v="320"/>
    <n v="-320"/>
    <n v="0"/>
    <n v="1040819.4500000001"/>
    <s v="Cash"/>
    <s v="Trsf 23/3/22 RM5,328.00"/>
    <m/>
  </r>
  <r>
    <x v="159"/>
    <x v="9"/>
    <x v="3"/>
    <x v="209"/>
    <s v="C00000022"/>
    <x v="22"/>
    <s v="RM NPG Gelcoat 9319-H (25Kg)"/>
    <n v="1"/>
    <s v="Cash"/>
    <n v="0"/>
    <d v="2022-03-08T00:00:00"/>
    <n v="3"/>
    <n v="2022"/>
    <n v="337.5"/>
    <n v="-337.5"/>
    <n v="0"/>
    <n v="1041156.9500000001"/>
    <s v="Cash"/>
    <s v="Trsf 23/3/22 RM5,328.00"/>
    <m/>
  </r>
  <r>
    <x v="159"/>
    <x v="9"/>
    <x v="3"/>
    <x v="209"/>
    <s v="C00000022"/>
    <x v="22"/>
    <s v="RM Pgment Paste Riviera Blue B5 (5Kg)"/>
    <n v="2"/>
    <s v="Cash"/>
    <n v="0"/>
    <d v="2022-03-08T00:00:00"/>
    <n v="3"/>
    <n v="2022"/>
    <n v="480"/>
    <n v="-480"/>
    <n v="0"/>
    <n v="1041636.9500000001"/>
    <s v="Cash"/>
    <s v="Trsf 23/3/22 RM5,328.00"/>
    <m/>
  </r>
  <r>
    <x v="159"/>
    <x v="9"/>
    <x v="3"/>
    <x v="209"/>
    <s v="C00000022"/>
    <x v="22"/>
    <s v="RA CSM 450 (60Kg) 64m(L) x 2080mm(W)"/>
    <n v="1"/>
    <s v="Cash"/>
    <n v="0"/>
    <d v="2022-03-08T00:00:00"/>
    <n v="3"/>
    <n v="2022"/>
    <n v="588"/>
    <n v="-588"/>
    <n v="0"/>
    <n v="1042224.9500000001"/>
    <s v="Cash"/>
    <s v="Trsf 23/3/22 RM5,328.00"/>
    <m/>
  </r>
  <r>
    <x v="159"/>
    <x v="9"/>
    <x v="3"/>
    <x v="209"/>
    <s v="C00000022"/>
    <x v="22"/>
    <s v="RG CSM 300 (30Kg) 64m(L) x 1040mm(W)"/>
    <n v="2"/>
    <s v="Cash"/>
    <n v="0"/>
    <d v="2022-03-08T00:00:00"/>
    <n v="3"/>
    <n v="2022"/>
    <n v="588"/>
    <n v="-588"/>
    <n v="0"/>
    <n v="1042812.9500000001"/>
    <s v="Cash"/>
    <s v="Trsf 23/3/22 RM5,328.00"/>
    <m/>
  </r>
  <r>
    <x v="159"/>
    <x v="9"/>
    <x v="3"/>
    <x v="209"/>
    <s v="C00000022"/>
    <x v="22"/>
    <s v="RG Woven Roving E-600 (45kg) 1120mm"/>
    <n v="1"/>
    <s v="Cash"/>
    <n v="0"/>
    <d v="2022-03-08T00:00:00"/>
    <n v="3"/>
    <n v="2022"/>
    <n v="337.5"/>
    <n v="-337.5"/>
    <n v="0"/>
    <n v="1043150.4500000001"/>
    <s v="Cash"/>
    <s v="Trsf 23/3/22 RM5,328.00"/>
    <m/>
  </r>
  <r>
    <x v="159"/>
    <x v="9"/>
    <x v="3"/>
    <x v="209"/>
    <s v="C00000022"/>
    <x v="22"/>
    <s v="RA Butanox M50 (5kg)"/>
    <n v="1"/>
    <s v="Cash"/>
    <n v="0"/>
    <d v="2022-03-08T00:00:00"/>
    <n v="3"/>
    <n v="2022"/>
    <n v="110"/>
    <n v="-110"/>
    <n v="0"/>
    <n v="1043260.4500000001"/>
    <s v="Cash"/>
    <s v="Trsf 23/3/22 RM5,328.00"/>
    <m/>
  </r>
  <r>
    <x v="159"/>
    <x v="9"/>
    <x v="3"/>
    <x v="210"/>
    <s v="C00000010"/>
    <x v="9"/>
    <s v="RG Resin 3338AW (220kg)"/>
    <n v="6"/>
    <s v="T120"/>
    <n v="120"/>
    <d v="2022-07-06T00:00:00"/>
    <n v="7"/>
    <n v="2022"/>
    <n v="11880"/>
    <n v="-11880"/>
    <n v="0"/>
    <n v="1055140.4500000002"/>
    <s v="Term"/>
    <s v="Trsf 27/6/22 RM29,465.00"/>
    <m/>
  </r>
  <r>
    <x v="159"/>
    <x v="9"/>
    <x v="3"/>
    <x v="210"/>
    <s v="C00000010"/>
    <x v="9"/>
    <s v="RG CSM 450 (30Kg) 64m(L) x 1040mm(W)"/>
    <n v="10"/>
    <s v="T120"/>
    <n v="120"/>
    <d v="2022-07-06T00:00:00"/>
    <n v="7"/>
    <n v="2022"/>
    <n v="2850"/>
    <n v="-2850"/>
    <n v="0"/>
    <n v="1057990.4500000002"/>
    <s v="Term"/>
    <s v="Trsf 27/6/22 RM29,465.00"/>
    <m/>
  </r>
  <r>
    <x v="159"/>
    <x v="9"/>
    <x v="3"/>
    <x v="210"/>
    <s v="C00000010"/>
    <x v="9"/>
    <s v="RA Talcum Powder (25kg)"/>
    <n v="10"/>
    <s v="T120"/>
    <n v="120"/>
    <d v="2022-07-06T00:00:00"/>
    <n v="7"/>
    <n v="2022"/>
    <n v="550"/>
    <n v="-550"/>
    <n v="0"/>
    <n v="1058540.4500000002"/>
    <s v="Term"/>
    <s v="Trsf 27/6/22 RM29,465.00"/>
    <m/>
  </r>
  <r>
    <x v="160"/>
    <x v="9"/>
    <x v="3"/>
    <x v="211"/>
    <s v="C00000022"/>
    <x v="22"/>
    <s v="RA Talcum Powder (25kg)"/>
    <n v="1"/>
    <s v="Cash"/>
    <n v="0"/>
    <d v="2022-03-09T00:00:00"/>
    <n v="3"/>
    <n v="2022"/>
    <n v="65"/>
    <n v="-65"/>
    <n v="0"/>
    <n v="1058605.4500000002"/>
    <s v="Cash"/>
    <s v="Trsf 23/3/22 RM5,328.00"/>
    <m/>
  </r>
  <r>
    <x v="161"/>
    <x v="9"/>
    <x v="3"/>
    <x v="212"/>
    <s v="C00000019"/>
    <x v="18"/>
    <s v="RG Nor 3338W (220Kg)"/>
    <n v="2"/>
    <s v="Cash"/>
    <n v="0"/>
    <d v="2022-03-11T00:00:00"/>
    <n v="3"/>
    <n v="2022"/>
    <n v="4136"/>
    <n v="-4136"/>
    <n v="0"/>
    <n v="1062741.4500000002"/>
    <s v="Cash"/>
    <s v="Trsf 11/3/22 RM6,379.90"/>
    <m/>
  </r>
  <r>
    <x v="161"/>
    <x v="9"/>
    <x v="3"/>
    <x v="212"/>
    <s v="C00000019"/>
    <x v="18"/>
    <s v="RG CSM 450 CQ 54kg 64m(L) X 1860mm(W)"/>
    <n v="3"/>
    <s v="Cash"/>
    <n v="0"/>
    <d v="2022-03-11T00:00:00"/>
    <n v="3"/>
    <n v="2022"/>
    <n v="1571.3999999999999"/>
    <n v="-1571.3999999999999"/>
    <n v="0"/>
    <n v="1064312.8500000001"/>
    <s v="Cash"/>
    <s v="Trsf 11/3/22 RM6,379.90"/>
    <m/>
  </r>
  <r>
    <x v="161"/>
    <x v="9"/>
    <x v="3"/>
    <x v="212"/>
    <s v="C00000019"/>
    <x v="18"/>
    <s v="RA Talcum Powder (25kg)"/>
    <n v="5"/>
    <s v="Cash"/>
    <n v="0"/>
    <d v="2022-03-11T00:00:00"/>
    <n v="3"/>
    <n v="2022"/>
    <n v="312.5"/>
    <n v="-312.5"/>
    <n v="0"/>
    <n v="1064625.3500000001"/>
    <s v="Cash"/>
    <s v="Trsf 11/3/22 RM6,379.90"/>
    <m/>
  </r>
  <r>
    <x v="161"/>
    <x v="9"/>
    <x v="3"/>
    <x v="212"/>
    <s v="C00000019"/>
    <x v="18"/>
    <s v="RE Frekote 770NC (1 Gallon)"/>
    <n v="1"/>
    <s v="Cash"/>
    <n v="0"/>
    <d v="2022-03-11T00:00:00"/>
    <n v="3"/>
    <n v="2022"/>
    <n v="360"/>
    <n v="-360"/>
    <n v="0"/>
    <n v="1064985.3500000001"/>
    <s v="Cash"/>
    <s v="Trsf 11/3/22 RM6,379.90"/>
    <m/>
  </r>
  <r>
    <x v="162"/>
    <x v="9"/>
    <x v="3"/>
    <x v="213"/>
    <s v="C00000022"/>
    <x v="22"/>
    <s v="RE Frekote 770NC (1 Gallon)"/>
    <n v="1"/>
    <s v="Cash"/>
    <n v="0"/>
    <d v="2022-03-12T00:00:00"/>
    <n v="3"/>
    <n v="2022"/>
    <n v="390"/>
    <n v="-390"/>
    <n v="0"/>
    <n v="1065375.3500000001"/>
    <s v="Cash"/>
    <s v="Trsf 23/3/22 RM5,328.00"/>
    <m/>
  </r>
  <r>
    <x v="162"/>
    <x v="9"/>
    <x v="3"/>
    <x v="214"/>
    <s v="C00000006"/>
    <x v="5"/>
    <s v="RG Resin 3338AW (220kg)"/>
    <n v="1"/>
    <s v="Cash"/>
    <n v="0"/>
    <d v="2022-03-12T00:00:00"/>
    <n v="3"/>
    <n v="2022"/>
    <n v="2068"/>
    <n v="-2068"/>
    <n v="0"/>
    <n v="1067443.3500000001"/>
    <s v="Cash"/>
    <s v="RHB 934926 cleared18/4/22-RM2,580.50"/>
    <m/>
  </r>
  <r>
    <x v="163"/>
    <x v="9"/>
    <x v="3"/>
    <x v="215"/>
    <s v="C00000020"/>
    <x v="19"/>
    <s v="RG Resin 3317AW (220Kg)"/>
    <n v="1"/>
    <s v="Cash"/>
    <n v="0"/>
    <d v="2022-03-14T00:00:00"/>
    <n v="3"/>
    <n v="2022"/>
    <n v="2090"/>
    <n v="-2090"/>
    <n v="0"/>
    <n v="1069533.3500000001"/>
    <s v="Cash"/>
    <s v="Trsf 17/5/22 RM10,000.00(510.30partial), Trsf 19/5/22 RM10,000.00(1,579.70partial)"/>
    <m/>
  </r>
  <r>
    <x v="163"/>
    <x v="9"/>
    <x v="3"/>
    <x v="215"/>
    <s v="C00000020"/>
    <x v="19"/>
    <s v="RA CSM 450 (60Kg) 64m(L) x 2080mm(W)"/>
    <n v="1"/>
    <s v="Cash"/>
    <n v="0"/>
    <d v="2022-03-14T00:00:00"/>
    <n v="3"/>
    <n v="2022"/>
    <n v="588"/>
    <n v="-588"/>
    <n v="0"/>
    <n v="1070121.3500000001"/>
    <s v="Cash"/>
    <s v="Trsf 19/5/22 RM10,000.00"/>
    <m/>
  </r>
  <r>
    <x v="163"/>
    <x v="9"/>
    <x v="3"/>
    <x v="215"/>
    <s v="C00000020"/>
    <x v="19"/>
    <s v="RG Woven Roving E-600 (45kg) 1120mm"/>
    <n v="1"/>
    <s v="Cash"/>
    <n v="0"/>
    <d v="2022-03-14T00:00:00"/>
    <n v="3"/>
    <n v="2022"/>
    <n v="351"/>
    <n v="-351"/>
    <n v="0"/>
    <n v="1070472.3500000001"/>
    <s v="Cash"/>
    <s v="Trsf 19/5/22 RM10,000.00"/>
    <m/>
  </r>
  <r>
    <x v="164"/>
    <x v="9"/>
    <x v="3"/>
    <x v="216"/>
    <s v="C00000010"/>
    <x v="9"/>
    <s v="RG Resin 3338AW (220kg)"/>
    <n v="6"/>
    <s v="T120"/>
    <n v="120"/>
    <d v="2022-07-13T00:00:00"/>
    <n v="7"/>
    <n v="2022"/>
    <n v="11880"/>
    <n v="-11880"/>
    <n v="0"/>
    <n v="1082352.3500000001"/>
    <s v="Term"/>
    <s v="Trsf 27/6/22 RM29,465.00"/>
    <m/>
  </r>
  <r>
    <x v="164"/>
    <x v="9"/>
    <x v="3"/>
    <x v="216"/>
    <s v="C00000010"/>
    <x v="9"/>
    <s v="RG CSM 450 (30Kg) 64m(L) x 1040mm(W)"/>
    <n v="5"/>
    <s v="T120"/>
    <n v="120"/>
    <d v="2022-07-13T00:00:00"/>
    <n v="7"/>
    <n v="2022"/>
    <n v="1425"/>
    <n v="-1425"/>
    <n v="0"/>
    <n v="1083777.3500000001"/>
    <s v="Term"/>
    <s v="Trsf 27/6/22 RM29,465.00"/>
    <m/>
  </r>
  <r>
    <x v="164"/>
    <x v="9"/>
    <x v="3"/>
    <x v="216"/>
    <s v="C00000010"/>
    <x v="9"/>
    <s v="RA Aerosil (Silica Fume) (10Kg)"/>
    <n v="2"/>
    <s v="T120"/>
    <n v="120"/>
    <d v="2022-07-13T00:00:00"/>
    <n v="7"/>
    <n v="2022"/>
    <n v="880"/>
    <n v="-880"/>
    <n v="0"/>
    <n v="1084657.3500000001"/>
    <s v="Term"/>
    <s v="Trsf 27/6/22 RM29,465.00"/>
    <m/>
  </r>
  <r>
    <x v="164"/>
    <x v="9"/>
    <x v="3"/>
    <x v="217"/>
    <s v="C00000020"/>
    <x v="19"/>
    <s v="RG Resin 3317AW (220Kg)"/>
    <n v="3"/>
    <s v="Cash"/>
    <n v="0"/>
    <d v="2022-03-15T00:00:00"/>
    <n v="3"/>
    <n v="2022"/>
    <n v="6270"/>
    <n v="-6270"/>
    <n v="0"/>
    <n v="1090927.3500000001"/>
    <s v="Cash"/>
    <s v="Trsf 19/5/22 RM10,000.00"/>
    <m/>
  </r>
  <r>
    <x v="164"/>
    <x v="9"/>
    <x v="3"/>
    <x v="217"/>
    <s v="C00000020"/>
    <x v="19"/>
    <s v="RA CSM 450 (60Kg) 64m(L) x 2080mm(W)"/>
    <n v="6"/>
    <s v="Cash"/>
    <n v="0"/>
    <d v="2022-03-15T00:00:00"/>
    <n v="3"/>
    <n v="2022"/>
    <n v="3528"/>
    <n v="-3528"/>
    <n v="0"/>
    <n v="1094455.3500000001"/>
    <s v="Cash"/>
    <s v="Trsf 19/5/22 RM10,000.00(1,211.30partial), Trsf 20/5/22 RM9,000.00(2,316.70partial)"/>
    <m/>
  </r>
  <r>
    <x v="164"/>
    <x v="9"/>
    <x v="3"/>
    <x v="217"/>
    <s v="C00000020"/>
    <x v="19"/>
    <s v="RG Woven Roving E-600 (45kg) 1120mm"/>
    <n v="1"/>
    <s v="Cash"/>
    <n v="0"/>
    <d v="2022-03-15T00:00:00"/>
    <n v="3"/>
    <n v="2022"/>
    <n v="351"/>
    <n v="-351"/>
    <n v="0"/>
    <n v="1094806.3500000001"/>
    <s v="Cash"/>
    <s v="Trsf 20/5/22 RM9,000.00"/>
    <m/>
  </r>
  <r>
    <x v="164"/>
    <x v="9"/>
    <x v="3"/>
    <x v="217"/>
    <s v="C00000020"/>
    <x v="19"/>
    <s v="RC Woven Roving E-800 1000mm (40Kg)"/>
    <n v="3"/>
    <s v="Cash"/>
    <n v="0"/>
    <d v="2022-03-15T00:00:00"/>
    <n v="3"/>
    <n v="2022"/>
    <n v="936"/>
    <n v="-936"/>
    <n v="0"/>
    <n v="1095742.3500000001"/>
    <s v="Cash"/>
    <s v="Trsf 20/5/22 RM9,000.00"/>
    <m/>
  </r>
  <r>
    <x v="164"/>
    <x v="9"/>
    <x v="3"/>
    <x v="217"/>
    <s v="C00000020"/>
    <x v="19"/>
    <s v="RA Mepoxe M (5kg)"/>
    <n v="4"/>
    <s v="Cash"/>
    <n v="0"/>
    <d v="2022-03-15T00:00:00"/>
    <n v="3"/>
    <n v="2022"/>
    <n v="340"/>
    <n v="-340"/>
    <n v="0"/>
    <n v="1096082.3500000001"/>
    <s v="Cash"/>
    <s v="Trsf 20/5/22 RM9,000.00"/>
    <m/>
  </r>
  <r>
    <x v="165"/>
    <x v="9"/>
    <x v="3"/>
    <x v="218"/>
    <s v="C00000019"/>
    <x v="18"/>
    <s v="RA Butanox M50"/>
    <n v="3"/>
    <s v="Cash"/>
    <n v="0"/>
    <d v="2022-03-17T00:00:00"/>
    <n v="3"/>
    <n v="2022"/>
    <n v="315"/>
    <n v="-315"/>
    <n v="0"/>
    <n v="1096397.3500000001"/>
    <s v="Cash"/>
    <s v="Trsf 17/3/22 RM315.00"/>
    <m/>
  </r>
  <r>
    <x v="166"/>
    <x v="9"/>
    <x v="3"/>
    <x v="219"/>
    <s v="C00000020"/>
    <x v="19"/>
    <s v="RA Resin 3317AW (220Kg)"/>
    <n v="3"/>
    <s v="Cash"/>
    <n v="0"/>
    <d v="2022-03-18T00:00:00"/>
    <n v="3"/>
    <n v="2022"/>
    <n v="6270"/>
    <n v="-6270"/>
    <n v="0"/>
    <n v="1102667.3500000001"/>
    <s v="Cash"/>
    <s v="Trsf 20/5/22 RM9,000.00(5,056.30partial), Trsf 1/6/22 RM27,000.00(1,213.70partial)"/>
    <m/>
  </r>
  <r>
    <x v="166"/>
    <x v="9"/>
    <x v="3"/>
    <x v="219"/>
    <s v="C00000020"/>
    <x v="19"/>
    <s v="RM CSM 450 64m(L) 1040mm(W) (30Kg)"/>
    <n v="7"/>
    <s v="Cash"/>
    <n v="0"/>
    <d v="2022-03-18T00:00:00"/>
    <n v="3"/>
    <n v="2022"/>
    <n v="2058"/>
    <n v="-2058"/>
    <n v="0"/>
    <n v="1104725.3500000001"/>
    <s v="Cash"/>
    <s v="Trsf 1/6/22 RM27,000.00"/>
    <m/>
  </r>
  <r>
    <x v="166"/>
    <x v="9"/>
    <x v="3"/>
    <x v="219"/>
    <s v="C00000020"/>
    <x v="19"/>
    <s v="RM Woven Roving E-600gm 1000mm (40Kg)"/>
    <n v="5"/>
    <s v="Cash"/>
    <n v="0"/>
    <d v="2022-03-18T00:00:00"/>
    <n v="3"/>
    <n v="2022"/>
    <n v="1560"/>
    <n v="-1560"/>
    <n v="0"/>
    <n v="1106285.3500000001"/>
    <s v="Cash"/>
    <s v="Trsf 1/6/22 RM27,000.00"/>
    <m/>
  </r>
  <r>
    <x v="167"/>
    <x v="9"/>
    <x v="3"/>
    <x v="220"/>
    <s v="C00000021"/>
    <x v="21"/>
    <s v="RA Resin 3317AW (220Kg)"/>
    <n v="2"/>
    <s v="Cash"/>
    <n v="0"/>
    <d v="2022-03-19T00:00:00"/>
    <n v="3"/>
    <n v="2022"/>
    <n v="4048"/>
    <n v="-4048"/>
    <n v="0"/>
    <n v="1110333.3500000001"/>
    <s v="Cash"/>
    <s v="PBB395357cleared27/5/22 RM8,127.50"/>
    <m/>
  </r>
  <r>
    <x v="167"/>
    <x v="9"/>
    <x v="3"/>
    <x v="220"/>
    <s v="C00000021"/>
    <x v="21"/>
    <s v="RM CSM 450 64m(L) 1040mm(W) (30Kg)"/>
    <n v="6"/>
    <s v="Cash"/>
    <n v="0"/>
    <d v="2022-03-19T00:00:00"/>
    <n v="3"/>
    <n v="2022"/>
    <n v="1710"/>
    <n v="-1710"/>
    <n v="0"/>
    <n v="1112043.3500000001"/>
    <s v="Cash"/>
    <s v="PBB395357cleared27/5/22 RM8,127.50"/>
    <m/>
  </r>
  <r>
    <x v="167"/>
    <x v="9"/>
    <x v="3"/>
    <x v="220"/>
    <s v="C00000021"/>
    <x v="21"/>
    <s v="RA Mepoxe M (5kg)"/>
    <n v="2"/>
    <s v="Cash"/>
    <n v="0"/>
    <d v="2022-03-19T00:00:00"/>
    <n v="3"/>
    <n v="2022"/>
    <n v="170"/>
    <n v="-170"/>
    <n v="0"/>
    <n v="1112213.3500000001"/>
    <s v="Cash"/>
    <s v="PBB395357cleared27/5/22 RM8,127.50"/>
    <m/>
  </r>
  <r>
    <x v="167"/>
    <x v="9"/>
    <x v="3"/>
    <x v="220"/>
    <s v="C00000021"/>
    <x v="21"/>
    <s v="RA Pigment Super Black (5kg)"/>
    <n v="1"/>
    <s v="Cash"/>
    <n v="0"/>
    <d v="2022-03-19T00:00:00"/>
    <n v="3"/>
    <n v="2022"/>
    <n v="175"/>
    <n v="-175"/>
    <n v="0"/>
    <n v="1112388.3500000001"/>
    <s v="Cash"/>
    <s v="PBB395357cleared27/5/22 RM8,127.50"/>
    <m/>
  </r>
  <r>
    <x v="167"/>
    <x v="9"/>
    <x v="3"/>
    <x v="220"/>
    <s v="C00000021"/>
    <x v="21"/>
    <s v="RM Cobalt (5kg)"/>
    <n v="1"/>
    <s v="Cash"/>
    <n v="0"/>
    <d v="2022-03-19T00:00:00"/>
    <n v="3"/>
    <n v="2022"/>
    <n v="390"/>
    <n v="-390"/>
    <n v="0"/>
    <n v="1112778.3500000001"/>
    <s v="Cash"/>
    <s v="PBB395357cleared27/5/22 RM8,127.50"/>
    <m/>
  </r>
  <r>
    <x v="167"/>
    <x v="9"/>
    <x v="3"/>
    <x v="220"/>
    <s v="C00000021"/>
    <x v="21"/>
    <s v="RA Talcum Powder (25kg)"/>
    <n v="10"/>
    <s v="Cash"/>
    <n v="0"/>
    <d v="2022-03-19T00:00:00"/>
    <n v="3"/>
    <n v="2022"/>
    <n v="575"/>
    <n v="-575"/>
    <n v="0"/>
    <n v="1113353.3500000001"/>
    <s v="Cash"/>
    <s v="PBB395357cleared27/5/22 RM8,127.50"/>
    <m/>
  </r>
  <r>
    <x v="167"/>
    <x v="9"/>
    <x v="3"/>
    <x v="220"/>
    <s v="C00000021"/>
    <x v="21"/>
    <s v="RM Acetone (163Kg)"/>
    <n v="1"/>
    <s v="Cash"/>
    <n v="0"/>
    <d v="2022-03-19T00:00:00"/>
    <n v="3"/>
    <n v="2022"/>
    <n v="1059.5"/>
    <n v="-1059.5"/>
    <n v="0"/>
    <n v="1114412.8500000001"/>
    <s v="Cash"/>
    <s v="PBB395357cleared27/5/22 RM8,127.50"/>
    <m/>
  </r>
  <r>
    <x v="168"/>
    <x v="9"/>
    <x v="3"/>
    <x v="221"/>
    <s v="C00000022"/>
    <x v="5"/>
    <s v="RM NPG Gelcoat 9319-H (25Kg)"/>
    <n v="1"/>
    <s v="Cash"/>
    <n v="0"/>
    <d v="2022-03-21T00:00:00"/>
    <n v="3"/>
    <n v="2022"/>
    <n v="337.5"/>
    <n v="-337.5"/>
    <n v="0"/>
    <n v="1114750.3500000001"/>
    <s v="Cash"/>
    <s v="RHB 934926 cleared18/4/22-RM2,580.50"/>
    <m/>
  </r>
  <r>
    <x v="169"/>
    <x v="9"/>
    <x v="3"/>
    <x v="222"/>
    <s v="C00000020"/>
    <x v="19"/>
    <s v="RA Resin 3317AW (220Kg)"/>
    <n v="3"/>
    <s v="Cash"/>
    <n v="0"/>
    <d v="2022-03-23T00:00:00"/>
    <n v="3"/>
    <n v="2022"/>
    <n v="6270"/>
    <n v="-6270"/>
    <n v="0"/>
    <n v="1121020.3500000001"/>
    <s v="Cash"/>
    <s v="Trsf 1/6/22 RM27,000.00"/>
    <m/>
  </r>
  <r>
    <x v="169"/>
    <x v="9"/>
    <x v="3"/>
    <x v="222"/>
    <s v="C00000020"/>
    <x v="19"/>
    <s v="RM CSM 450 64m(L) 1040mm(W) (30Kg)"/>
    <n v="4"/>
    <s v="Cash"/>
    <n v="0"/>
    <d v="2022-03-23T00:00:00"/>
    <n v="3"/>
    <n v="2022"/>
    <n v="1176"/>
    <n v="-1176"/>
    <n v="0"/>
    <n v="1122196.3500000001"/>
    <s v="Cash"/>
    <s v="Trsf 1/6/22 RM27,000.00"/>
    <m/>
  </r>
  <r>
    <x v="169"/>
    <x v="9"/>
    <x v="3"/>
    <x v="222"/>
    <s v="C00000020"/>
    <x v="19"/>
    <s v="RM Woven Roving E-600gm 1000mm (40Kg)"/>
    <n v="4"/>
    <s v="Cash"/>
    <n v="0"/>
    <d v="2022-03-23T00:00:00"/>
    <n v="3"/>
    <n v="2022"/>
    <n v="1248"/>
    <n v="-1248"/>
    <n v="0"/>
    <n v="1123444.3500000001"/>
    <s v="Cash"/>
    <s v="Trsf 1/6/22 RM27,000.00"/>
    <m/>
  </r>
  <r>
    <x v="169"/>
    <x v="9"/>
    <x v="3"/>
    <x v="222"/>
    <s v="C00000020"/>
    <x v="19"/>
    <s v="RA Talcum Powder (25kg)"/>
    <n v="2"/>
    <s v="Cash"/>
    <n v="0"/>
    <d v="2022-03-23T00:00:00"/>
    <n v="3"/>
    <n v="2022"/>
    <n v="125"/>
    <n v="-125"/>
    <n v="0"/>
    <n v="1123569.3500000001"/>
    <s v="Cash"/>
    <s v="Trsf 1/6/22 RM27,000.00"/>
    <m/>
  </r>
  <r>
    <x v="170"/>
    <x v="9"/>
    <x v="3"/>
    <x v="223"/>
    <s v="C00000020"/>
    <x v="19"/>
    <s v="RA Nor 3338W (220Kg)"/>
    <n v="4"/>
    <s v="Cash"/>
    <n v="0"/>
    <d v="2022-03-25T00:00:00"/>
    <n v="3"/>
    <n v="2022"/>
    <n v="8360"/>
    <n v="-8360"/>
    <n v="0"/>
    <n v="1131929.3500000001"/>
    <s v="Cash"/>
    <s v="Trsf 1/6/22 RM27,000.00"/>
    <m/>
  </r>
  <r>
    <x v="170"/>
    <x v="9"/>
    <x v="3"/>
    <x v="223"/>
    <s v="C00000020"/>
    <x v="19"/>
    <s v="RM CSM 450 64m(L) 1040mm(W) (30Kg)"/>
    <n v="10"/>
    <s v="Cash"/>
    <n v="0"/>
    <d v="2022-03-25T00:00:00"/>
    <n v="3"/>
    <n v="2022"/>
    <n v="2940"/>
    <n v="-2940"/>
    <n v="0"/>
    <n v="1134869.3500000001"/>
    <s v="Cash"/>
    <s v="Trsf 1/6/22 RM27,000.00"/>
    <m/>
  </r>
  <r>
    <x v="170"/>
    <x v="9"/>
    <x v="3"/>
    <x v="223"/>
    <s v="C00000020"/>
    <x v="19"/>
    <s v="RM Woven Roving E-600gm 1000mm (40Kg)"/>
    <n v="6"/>
    <s v="Cash"/>
    <n v="0"/>
    <d v="2022-03-25T00:00:00"/>
    <n v="3"/>
    <n v="2022"/>
    <n v="1872"/>
    <n v="-1872"/>
    <n v="0"/>
    <n v="1136741.3500000001"/>
    <s v="Cash"/>
    <s v="Trsf 1/6/22 RM27,000.00"/>
    <m/>
  </r>
  <r>
    <x v="170"/>
    <x v="9"/>
    <x v="3"/>
    <x v="223"/>
    <s v="C00000020"/>
    <x v="19"/>
    <s v="RA Talcum Powder (25kg)"/>
    <n v="4"/>
    <s v="Cash"/>
    <n v="0"/>
    <d v="2022-03-25T00:00:00"/>
    <n v="3"/>
    <n v="2022"/>
    <n v="250"/>
    <n v="-250"/>
    <n v="0"/>
    <n v="1136991.3500000001"/>
    <s v="Cash"/>
    <s v="Trsf 1/6/22 RM27,000.00(177.30partial), Trs23/6/22 RM7,000.00(72.70partial) "/>
    <m/>
  </r>
  <r>
    <x v="170"/>
    <x v="9"/>
    <x v="3"/>
    <x v="223"/>
    <s v="C00000020"/>
    <x v="19"/>
    <s v="RM Pigment Smooth Cream (25kg)"/>
    <n v="1"/>
    <s v="Cash"/>
    <n v="0"/>
    <d v="2022-03-25T00:00:00"/>
    <n v="3"/>
    <n v="2022"/>
    <n v="1000"/>
    <n v="-1000"/>
    <n v="0"/>
    <n v="1137991.3500000001"/>
    <s v="Cash"/>
    <s v="Trsf23/6/22 RM7,000.00"/>
    <m/>
  </r>
  <r>
    <x v="171"/>
    <x v="9"/>
    <x v="3"/>
    <x v="224"/>
    <s v="C00000001"/>
    <x v="0"/>
    <s v="RA Resin 3317AW (220Kg)"/>
    <n v="1"/>
    <s v="Cash"/>
    <n v="0"/>
    <d v="2022-03-29T00:00:00"/>
    <n v="3"/>
    <n v="2022"/>
    <n v="2068"/>
    <n v="-2068"/>
    <n v="0"/>
    <n v="1140059.3500000001"/>
    <s v="Cash"/>
    <s v="Trsf 30/3/22 RM3,232.00"/>
    <m/>
  </r>
  <r>
    <x v="171"/>
    <x v="9"/>
    <x v="3"/>
    <x v="224"/>
    <s v="C00000001"/>
    <x v="0"/>
    <s v="RM CSM 450 64m(L) 1040mm(W) (30Kg)"/>
    <n v="4"/>
    <s v="Cash"/>
    <n v="0"/>
    <d v="2022-03-29T00:00:00"/>
    <n v="3"/>
    <n v="2022"/>
    <n v="1164"/>
    <n v="-1164"/>
    <n v="0"/>
    <n v="1141223.3500000001"/>
    <s v="Cash"/>
    <s v="Trsf 30/3/22 RM3,232.00"/>
    <m/>
  </r>
  <r>
    <x v="171"/>
    <x v="9"/>
    <x v="3"/>
    <x v="225"/>
    <s v="C00000020"/>
    <x v="19"/>
    <s v="RA Nor 3338W (220Kg)"/>
    <n v="2"/>
    <s v="Cash"/>
    <n v="0"/>
    <d v="2022-03-29T00:00:00"/>
    <n v="3"/>
    <n v="2022"/>
    <n v="4180"/>
    <n v="-4180"/>
    <n v="0"/>
    <n v="1145403.3500000001"/>
    <s v="Cash"/>
    <s v="Trsf23/6/22 RM7,000.00"/>
    <m/>
  </r>
  <r>
    <x v="171"/>
    <x v="9"/>
    <x v="3"/>
    <x v="225"/>
    <s v="C00000020"/>
    <x v="19"/>
    <s v="RM CSM 450 64m(L) 1040mm(W) (30Kg)"/>
    <n v="8"/>
    <s v="Cash"/>
    <n v="0"/>
    <d v="2022-03-29T00:00:00"/>
    <n v="3"/>
    <n v="2022"/>
    <n v="2352"/>
    <n v="-2352"/>
    <n v="0"/>
    <n v="1147755.3500000001"/>
    <s v="Cash"/>
    <s v="Trsf23/6/22 RM7,000.00(RM1,747.30partial), Trsf20/7/22 RM10,700.00(RM604.70partial)"/>
    <m/>
  </r>
  <r>
    <x v="171"/>
    <x v="9"/>
    <x v="3"/>
    <x v="225"/>
    <s v="C00000020"/>
    <x v="19"/>
    <s v="RM Woven Roving E-600gm 1000mm (40Kg)"/>
    <n v="3"/>
    <s v="Cash"/>
    <n v="0"/>
    <d v="2022-03-29T00:00:00"/>
    <n v="3"/>
    <n v="2022"/>
    <n v="936"/>
    <n v="-936"/>
    <n v="0"/>
    <n v="1148691.3500000001"/>
    <s v="Cash"/>
    <s v="Trsf20/7/22 RM10,700.00(RM936.00)"/>
    <m/>
  </r>
  <r>
    <x v="171"/>
    <x v="9"/>
    <x v="3"/>
    <x v="225"/>
    <s v="C00000020"/>
    <x v="19"/>
    <s v="RA Talcum Powder (25kg)"/>
    <n v="2"/>
    <s v="Cash"/>
    <n v="0"/>
    <d v="2022-03-29T00:00:00"/>
    <n v="3"/>
    <n v="2022"/>
    <n v="125"/>
    <n v="-125"/>
    <n v="0"/>
    <n v="1148816.3500000001"/>
    <s v="Cash"/>
    <s v="Trsf20/7/22 RM10,700.00(RM125.00)"/>
    <m/>
  </r>
  <r>
    <x v="172"/>
    <x v="9"/>
    <x v="3"/>
    <x v="226"/>
    <s v="C00000023"/>
    <x v="23"/>
    <s v="RA Nor 3338W (220Kg)"/>
    <n v="1"/>
    <s v="Cash"/>
    <n v="0"/>
    <d v="2022-03-31T00:00:00"/>
    <n v="3"/>
    <n v="2022"/>
    <n v="2090"/>
    <n v="-2090"/>
    <n v="0"/>
    <n v="1150906.3500000001"/>
    <s v="Cash"/>
    <s v="Trsf 31/3/22 RM3,555.00"/>
    <m/>
  </r>
  <r>
    <x v="172"/>
    <x v="9"/>
    <x v="3"/>
    <x v="226"/>
    <s v="C00000023"/>
    <x v="23"/>
    <s v="RJ Mepoxe (5kg)"/>
    <n v="4"/>
    <s v="Cash"/>
    <n v="0"/>
    <d v="2022-03-31T00:00:00"/>
    <n v="3"/>
    <n v="2022"/>
    <n v="340"/>
    <n v="-340"/>
    <n v="0"/>
    <n v="1151246.3500000001"/>
    <s v="Cash"/>
    <s v="Trsf 31/3/22 RM3,555.00"/>
    <m/>
  </r>
  <r>
    <x v="172"/>
    <x v="9"/>
    <x v="3"/>
    <x v="226"/>
    <s v="C00000023"/>
    <x v="23"/>
    <s v="RM Pigment Smooth Cream (25kg)"/>
    <n v="1"/>
    <s v="Cash"/>
    <n v="0"/>
    <d v="2022-03-31T00:00:00"/>
    <n v="3"/>
    <n v="2022"/>
    <n v="1000"/>
    <n v="-1000"/>
    <n v="0"/>
    <n v="1152246.3500000001"/>
    <s v="Cash"/>
    <s v="Trsf 31/3/22 RM3,555.00"/>
    <m/>
  </r>
  <r>
    <x v="172"/>
    <x v="9"/>
    <x v="3"/>
    <x v="226"/>
    <s v="C00000023"/>
    <x v="23"/>
    <s v="RA Talcum Powder (25kg)"/>
    <n v="2"/>
    <s v="Cash"/>
    <n v="0"/>
    <d v="2022-03-31T00:00:00"/>
    <n v="3"/>
    <n v="2022"/>
    <n v="125"/>
    <n v="-125"/>
    <n v="0"/>
    <n v="1152371.3500000001"/>
    <s v="Cash"/>
    <s v="Trsf 31/3/22 RM3,555.00"/>
    <m/>
  </r>
  <r>
    <x v="173"/>
    <x v="10"/>
    <x v="3"/>
    <x v="227"/>
    <s v="C00000021"/>
    <x v="21"/>
    <s v="RA Resin 3317AW (220Kg)"/>
    <n v="2"/>
    <s v="Cash"/>
    <n v="0"/>
    <d v="2022-04-01T00:00:00"/>
    <n v="4"/>
    <n v="2022"/>
    <n v="4136"/>
    <n v="-4136"/>
    <n v="0"/>
    <n v="1156507.3500000001"/>
    <s v="Cash"/>
    <s v="PBB395362cleared28/4/22 RM6,083.50"/>
    <m/>
  </r>
  <r>
    <x v="173"/>
    <x v="10"/>
    <x v="3"/>
    <x v="227"/>
    <s v="C00000021"/>
    <x v="21"/>
    <s v="RM CSM 450 64m(L) 1040mm(W) (30Kg)"/>
    <n v="3"/>
    <s v="Cash"/>
    <n v="0"/>
    <d v="2022-04-01T00:00:00"/>
    <n v="4"/>
    <n v="2022"/>
    <n v="855"/>
    <n v="-855"/>
    <n v="0"/>
    <n v="1157362.3500000001"/>
    <s v="Cash"/>
    <s v="PBB395362cleared28/4/22 RM6,083.50"/>
    <m/>
  </r>
  <r>
    <x v="173"/>
    <x v="10"/>
    <x v="3"/>
    <x v="227"/>
    <s v="C00000021"/>
    <x v="21"/>
    <s v="RJ Mepoxe (5kg)"/>
    <n v="2"/>
    <s v="Cash"/>
    <n v="0"/>
    <d v="2022-04-01T00:00:00"/>
    <n v="4"/>
    <n v="2022"/>
    <n v="170"/>
    <n v="-170"/>
    <n v="0"/>
    <n v="1157532.3500000001"/>
    <s v="Cash"/>
    <s v="PBB395362cleared28/4/22 RM6,083.50"/>
    <m/>
  </r>
  <r>
    <x v="173"/>
    <x v="10"/>
    <x v="3"/>
    <x v="227"/>
    <s v="C00000021"/>
    <x v="21"/>
    <s v="RA Talcum Powder (25kg)"/>
    <n v="10"/>
    <s v="Cash"/>
    <n v="0"/>
    <d v="2022-04-01T00:00:00"/>
    <n v="4"/>
    <n v="2022"/>
    <n v="575"/>
    <n v="-575"/>
    <n v="0"/>
    <n v="1158107.3500000001"/>
    <s v="Cash"/>
    <s v="PBB395362cleared28/4/22 RM6,083.50"/>
    <m/>
  </r>
  <r>
    <x v="173"/>
    <x v="10"/>
    <x v="3"/>
    <x v="227"/>
    <s v="C00000021"/>
    <x v="21"/>
    <s v="RM Gelcoat GSH"/>
    <n v="1"/>
    <s v="Cash"/>
    <n v="0"/>
    <d v="2022-04-01T00:00:00"/>
    <n v="4"/>
    <n v="2022"/>
    <n v="347.5"/>
    <n v="-347.5"/>
    <n v="0"/>
    <n v="1158454.8500000001"/>
    <s v="Cash"/>
    <s v="PBB395362cleared28/4/22 RM6,083.50"/>
    <m/>
  </r>
  <r>
    <x v="173"/>
    <x v="10"/>
    <x v="3"/>
    <x v="228"/>
    <s v="C00000020"/>
    <x v="19"/>
    <s v="RA Resin 3317AW (220Kg)"/>
    <n v="1"/>
    <s v="Cash"/>
    <n v="0"/>
    <d v="2022-04-01T00:00:00"/>
    <n v="4"/>
    <n v="2022"/>
    <n v="2090"/>
    <n v="-2090"/>
    <n v="0"/>
    <n v="1160544.8500000001"/>
    <s v="Cash"/>
    <s v="Trsf20/7/22 RM10,700.00(2,090.00)"/>
    <m/>
  </r>
  <r>
    <x v="173"/>
    <x v="10"/>
    <x v="3"/>
    <x v="228"/>
    <s v="C00000020"/>
    <x v="19"/>
    <s v="RA Nor 3338W (220Kg)"/>
    <n v="2"/>
    <s v="Cash"/>
    <n v="0"/>
    <d v="2022-04-01T00:00:00"/>
    <n v="4"/>
    <n v="2022"/>
    <n v="4180"/>
    <n v="-4180"/>
    <n v="0"/>
    <n v="1164724.8500000001"/>
    <s v="Cash"/>
    <s v="Trsf20/7/22 RM10,700.00(4,180.00)"/>
    <m/>
  </r>
  <r>
    <x v="173"/>
    <x v="10"/>
    <x v="3"/>
    <x v="228"/>
    <s v="C00000020"/>
    <x v="19"/>
    <s v="RM CSM 450 (60Kg) 64m(L) x 2080mm(W)"/>
    <n v="3"/>
    <s v="Cash"/>
    <n v="0"/>
    <d v="2022-04-01T00:00:00"/>
    <n v="4"/>
    <n v="2022"/>
    <n v="1764"/>
    <n v="-1764"/>
    <n v="0"/>
    <n v="1166488.8500000001"/>
    <s v="Cash"/>
    <s v="Trsf20/7/22 RM10,700.00(RM1,764.00)"/>
    <m/>
  </r>
  <r>
    <x v="173"/>
    <x v="10"/>
    <x v="3"/>
    <x v="228"/>
    <s v="C00000020"/>
    <x v="19"/>
    <s v="RM Woven Roving E-600gm 1000mm (40Kg)"/>
    <n v="3"/>
    <s v="Cash"/>
    <n v="0"/>
    <d v="2022-04-01T00:00:00"/>
    <n v="4"/>
    <n v="2022"/>
    <n v="936"/>
    <n v="-936"/>
    <n v="0"/>
    <n v="1167424.8500000001"/>
    <s v="Cash"/>
    <s v="Trsf20/7/22 RM10,700.00(RM936.00)"/>
    <m/>
  </r>
  <r>
    <x v="173"/>
    <x v="10"/>
    <x v="3"/>
    <x v="228"/>
    <s v="C00000020"/>
    <x v="19"/>
    <s v="RA Talcum Powder (25kg)"/>
    <n v="3"/>
    <s v="Cash"/>
    <n v="0"/>
    <d v="2022-04-01T00:00:00"/>
    <n v="4"/>
    <n v="2022"/>
    <n v="187.5"/>
    <n v="-187.5"/>
    <n v="0"/>
    <n v="1167612.3500000001"/>
    <s v="Cash"/>
    <s v="Trsf20/7/22 RM10,700.00(RM64.30), Trsf 19/8/22 RM3,000.00(123.20partial)"/>
    <m/>
  </r>
  <r>
    <x v="173"/>
    <x v="10"/>
    <x v="3"/>
    <x v="229"/>
    <s v="C00000022"/>
    <x v="22"/>
    <s v="RA Nor 3338W (220Kg)"/>
    <n v="1"/>
    <s v="Cash"/>
    <n v="0"/>
    <d v="2022-04-01T00:00:00"/>
    <n v="4"/>
    <n v="2022"/>
    <n v="2112"/>
    <n v="-2112"/>
    <n v="0"/>
    <n v="1169724.3500000001"/>
    <s v="Cash"/>
    <s v="Trsf 9/5/22 RM4,070.00"/>
    <m/>
  </r>
  <r>
    <x v="173"/>
    <x v="10"/>
    <x v="3"/>
    <x v="229"/>
    <s v="C00000022"/>
    <x v="22"/>
    <s v="RG CSM 300 (30Kg) 64m(L) x 1040mm(W)"/>
    <n v="2"/>
    <s v="Cash"/>
    <n v="0"/>
    <d v="2022-04-01T00:00:00"/>
    <n v="4"/>
    <n v="2022"/>
    <n v="588"/>
    <n v="-588"/>
    <n v="0"/>
    <n v="1170312.3500000001"/>
    <s v="Cash"/>
    <s v="Trsf 9/5/22 RM4,070.00"/>
    <m/>
  </r>
  <r>
    <x v="173"/>
    <x v="10"/>
    <x v="3"/>
    <x v="229"/>
    <s v="C00000022"/>
    <x v="22"/>
    <s v="RM Woven Roving E-600gm 1000mm (40Kg)"/>
    <n v="1"/>
    <s v="Cash"/>
    <n v="0"/>
    <d v="2022-04-01T00:00:00"/>
    <n v="4"/>
    <n v="2022"/>
    <n v="300"/>
    <n v="-300"/>
    <n v="0"/>
    <n v="1170612.3500000001"/>
    <s v="Cash"/>
    <s v="Trsf 9/5/22 RM4,070.00"/>
    <m/>
  </r>
  <r>
    <x v="173"/>
    <x v="10"/>
    <x v="3"/>
    <x v="229"/>
    <s v="C00000022"/>
    <x v="22"/>
    <s v="RM Pgment Paste Riviera Blue B5 (5Kg)"/>
    <n v="2"/>
    <s v="Cash"/>
    <n v="0"/>
    <d v="2022-04-01T00:00:00"/>
    <n v="4"/>
    <n v="2022"/>
    <n v="480"/>
    <n v="-480"/>
    <n v="0"/>
    <n v="1171092.3500000001"/>
    <s v="Cash"/>
    <s v="Trsf 9/5/22 RM4,070.00"/>
    <m/>
  </r>
  <r>
    <x v="174"/>
    <x v="10"/>
    <x v="3"/>
    <x v="230"/>
    <s v="C00000020"/>
    <x v="19"/>
    <s v="RA Nor 3338W (220Kg)"/>
    <n v="3"/>
    <s v="Cash"/>
    <n v="0"/>
    <d v="2022-04-05T00:00:00"/>
    <n v="4"/>
    <n v="2022"/>
    <n v="6270"/>
    <n v="-6270"/>
    <n v="0"/>
    <n v="1177362.3500000001"/>
    <s v="Cash"/>
    <s v="Trsf 19/8/22 RM3,000.00(2,876.80partial), Trsf 2/9/22 RM10,000.00(RM3,393.20partial)"/>
    <m/>
  </r>
  <r>
    <x v="174"/>
    <x v="10"/>
    <x v="3"/>
    <x v="230"/>
    <s v="C00000020"/>
    <x v="19"/>
    <s v="RM CSM 450 64m(L) 1040mm(W) (30Kg)"/>
    <n v="6"/>
    <s v="Cash"/>
    <n v="0"/>
    <d v="2022-04-05T00:00:00"/>
    <n v="4"/>
    <n v="2022"/>
    <n v="1764"/>
    <n v="-1764"/>
    <n v="0"/>
    <n v="1179126.3500000001"/>
    <s v="Cash"/>
    <s v="Trsf 2/9/22 RM10,000.00(RM1,764.00partial)"/>
    <m/>
  </r>
  <r>
    <x v="174"/>
    <x v="10"/>
    <x v="3"/>
    <x v="230"/>
    <s v="C00000020"/>
    <x v="19"/>
    <s v="RM Woven Roving E-600gm 1000mm (40Kg)"/>
    <n v="3"/>
    <s v="Cash"/>
    <n v="0"/>
    <d v="2022-04-05T00:00:00"/>
    <n v="4"/>
    <n v="2022"/>
    <n v="936"/>
    <n v="-936"/>
    <n v="0"/>
    <n v="1180062.3500000001"/>
    <s v="Cash"/>
    <s v="Trsf 2/9/22 RM10,000.00(RM936.00partial)"/>
    <m/>
  </r>
  <r>
    <x v="174"/>
    <x v="10"/>
    <x v="3"/>
    <x v="230"/>
    <s v="C00000020"/>
    <x v="19"/>
    <s v="RA Talcum Powder (25kg)"/>
    <n v="3"/>
    <s v="Cash"/>
    <n v="0"/>
    <d v="2022-04-05T00:00:00"/>
    <n v="4"/>
    <n v="2022"/>
    <n v="187.5"/>
    <n v="-187.5"/>
    <n v="0"/>
    <n v="1180249.8500000001"/>
    <s v="Cash"/>
    <s v="Trsf 2/9/22 RM10,000.00(R187.50partial)"/>
    <m/>
  </r>
  <r>
    <x v="174"/>
    <x v="10"/>
    <x v="3"/>
    <x v="230"/>
    <s v="C00000020"/>
    <x v="19"/>
    <s v="RM Pigment Smooth Cream (25kg)"/>
    <n v="1"/>
    <s v="Cash"/>
    <n v="0"/>
    <d v="2022-04-05T00:00:00"/>
    <n v="4"/>
    <n v="2022"/>
    <n v="1000"/>
    <n v="-1000"/>
    <n v="0"/>
    <n v="1181249.8500000001"/>
    <s v="Cash"/>
    <s v="Trsf 2/9/22 RM10,000.00(RM1,000.00partial)"/>
    <m/>
  </r>
  <r>
    <x v="174"/>
    <x v="10"/>
    <x v="3"/>
    <x v="230"/>
    <s v="C00000020"/>
    <x v="19"/>
    <s v="RJ Mepoxe (5kg)"/>
    <n v="4"/>
    <s v="Cash"/>
    <n v="0"/>
    <d v="2022-04-05T00:00:00"/>
    <n v="4"/>
    <n v="2022"/>
    <n v="340"/>
    <n v="-340"/>
    <n v="0"/>
    <n v="1181589.8500000001"/>
    <s v="Cash"/>
    <s v="Trsf 2/9/22 RM10,000.00(RM340.00partial)"/>
    <m/>
  </r>
  <r>
    <x v="175"/>
    <x v="10"/>
    <x v="3"/>
    <x v="231"/>
    <s v="C00000019"/>
    <x v="18"/>
    <s v="RA Nor 3338W (220Kg)"/>
    <n v="2"/>
    <s v="Cash"/>
    <n v="0"/>
    <d v="2022-04-08T00:00:00"/>
    <n v="4"/>
    <n v="2022"/>
    <n v="4136"/>
    <n v="-4136"/>
    <n v="0"/>
    <n v="1185725.8500000001"/>
    <s v="Cash"/>
    <s v="Trsf 10/4/22 RM6,361.10"/>
    <m/>
  </r>
  <r>
    <x v="175"/>
    <x v="10"/>
    <x v="3"/>
    <x v="231"/>
    <s v="C00000019"/>
    <x v="18"/>
    <s v="RG CSM 450 CQ 54kg 64m(L) X 1860mm(W)"/>
    <n v="2"/>
    <s v="Cash"/>
    <n v="0"/>
    <d v="2022-04-08T00:00:00"/>
    <n v="4"/>
    <n v="2022"/>
    <n v="1047.5999999999999"/>
    <n v="-1047.5999999999999"/>
    <n v="0"/>
    <n v="1186773.4500000002"/>
    <s v="Cash"/>
    <s v="Trsf 10/4/22 RM6,361.10"/>
    <m/>
  </r>
  <r>
    <x v="175"/>
    <x v="10"/>
    <x v="3"/>
    <x v="231"/>
    <s v="C00000019"/>
    <x v="18"/>
    <s v="RA Talcum Powder (25kg)"/>
    <n v="3"/>
    <s v="Cash"/>
    <n v="0"/>
    <d v="2022-04-08T00:00:00"/>
    <n v="4"/>
    <n v="2022"/>
    <n v="187.5"/>
    <n v="-187.5"/>
    <n v="0"/>
    <n v="1186960.9500000002"/>
    <s v="Cash"/>
    <s v="Trsf 10/4/22 RM6,361.10"/>
    <m/>
  </r>
  <r>
    <x v="175"/>
    <x v="10"/>
    <x v="3"/>
    <x v="231"/>
    <s v="C00000019"/>
    <x v="18"/>
    <s v="RE Frekote 770NC (1 Gallon)"/>
    <n v="2"/>
    <s v="Cash"/>
    <n v="0"/>
    <d v="2022-04-08T00:00:00"/>
    <n v="4"/>
    <n v="2022"/>
    <n v="780"/>
    <n v="-780"/>
    <n v="0"/>
    <n v="1187740.9500000002"/>
    <s v="Cash"/>
    <s v="Trsf 10/4/22 RM6,361.10"/>
    <m/>
  </r>
  <r>
    <x v="175"/>
    <x v="10"/>
    <x v="3"/>
    <x v="231"/>
    <s v="C00000019"/>
    <x v="18"/>
    <s v="RA Butanox M50"/>
    <n v="2"/>
    <s v="Cash"/>
    <n v="0"/>
    <d v="2022-04-08T00:00:00"/>
    <n v="4"/>
    <n v="2022"/>
    <n v="210"/>
    <n v="-210"/>
    <n v="0"/>
    <n v="1187950.9500000002"/>
    <s v="Cash"/>
    <s v="Trsf 10/4/22 RM6,361.10"/>
    <m/>
  </r>
  <r>
    <x v="175"/>
    <x v="10"/>
    <x v="3"/>
    <x v="232"/>
    <s v="C00000003"/>
    <x v="2"/>
    <s v="RA Resin 3317AW (220Kg)"/>
    <n v="3"/>
    <s v="T45"/>
    <n v="45"/>
    <d v="2022-05-23T00:00:00"/>
    <n v="5"/>
    <n v="2022"/>
    <n v="6336"/>
    <n v="-6336"/>
    <n v="0"/>
    <n v="1194286.9500000002"/>
    <s v="Term"/>
    <s v="RHB 001601cleared17/5/22-RM1,500.00, 3cleared23/5/22-RM1,500.00, 4cleared30/5/22-RM1,500.00, 6cleared8/6/22-RM816.00, 5cleared13/6/22-RM2,000.00(1020.00partial)"/>
    <m/>
  </r>
  <r>
    <x v="175"/>
    <x v="10"/>
    <x v="3"/>
    <x v="232"/>
    <s v="C00000003"/>
    <x v="2"/>
    <s v="RA Talcum Powder (25kg)"/>
    <n v="4"/>
    <s v="T45"/>
    <n v="45"/>
    <d v="2022-05-23T00:00:00"/>
    <n v="5"/>
    <n v="2022"/>
    <n v="260"/>
    <n v="-260"/>
    <n v="0"/>
    <n v="1194546.9500000002"/>
    <s v="Term"/>
    <s v="RHB 001605cleared13/6/22-RM2,000.00"/>
    <m/>
  </r>
  <r>
    <x v="175"/>
    <x v="10"/>
    <x v="3"/>
    <x v="232"/>
    <s v="C00000003"/>
    <x v="2"/>
    <s v="RA Butanox M50 (5Kg)"/>
    <n v="6"/>
    <s v="T45"/>
    <n v="45"/>
    <d v="2022-05-23T00:00:00"/>
    <n v="5"/>
    <n v="2022"/>
    <n v="630"/>
    <n v="-630"/>
    <n v="0"/>
    <n v="1195176.9500000002"/>
    <s v="Term"/>
    <s v="RHB 001605cleared13/6/22-RM2,000.00"/>
    <m/>
  </r>
  <r>
    <x v="175"/>
    <x v="10"/>
    <x v="3"/>
    <x v="232"/>
    <s v="C00000003"/>
    <x v="2"/>
    <s v="RA Miracle Gloss Wax"/>
    <n v="2"/>
    <s v="T45"/>
    <n v="45"/>
    <d v="2022-05-23T00:00:00"/>
    <n v="5"/>
    <n v="2022"/>
    <n v="90"/>
    <n v="-90"/>
    <n v="0"/>
    <n v="1195266.9500000002"/>
    <s v="Term"/>
    <s v="RHB 001605cleared13/6/22-RM2,000.00"/>
    <m/>
  </r>
  <r>
    <x v="176"/>
    <x v="10"/>
    <x v="3"/>
    <x v="233"/>
    <s v="C00000009"/>
    <x v="8"/>
    <s v="RA Nor 3338W (220Kg)"/>
    <n v="2"/>
    <s v="T60"/>
    <n v="60"/>
    <d v="2022-06-08T00:00:00"/>
    <n v="6"/>
    <n v="2022"/>
    <n v="3960"/>
    <n v="-3960"/>
    <n v="0"/>
    <n v="1199226.9500000002"/>
    <s v="Term"/>
    <s v="Chq HL 015688 dd 24/8/22"/>
    <m/>
  </r>
  <r>
    <x v="176"/>
    <x v="10"/>
    <x v="3"/>
    <x v="233"/>
    <s v="C00000009"/>
    <x v="8"/>
    <s v="RM CSM 450 (60Kg) 64m(L) x 2080mm(W)"/>
    <n v="1"/>
    <s v="T60"/>
    <n v="60"/>
    <d v="2022-06-08T00:00:00"/>
    <n v="6"/>
    <n v="2022"/>
    <n v="570"/>
    <n v="-570"/>
    <n v="0"/>
    <n v="1199796.9500000002"/>
    <s v="Term"/>
    <s v="Chq HL 015688 dd 24/8/22"/>
    <m/>
  </r>
  <r>
    <x v="176"/>
    <x v="10"/>
    <x v="3"/>
    <x v="233"/>
    <s v="C00000009"/>
    <x v="8"/>
    <s v="RA CSM 300 (54Kg) 1860mm"/>
    <n v="1"/>
    <s v="T60"/>
    <n v="60"/>
    <d v="2022-06-08T00:00:00"/>
    <n v="6"/>
    <n v="2022"/>
    <n v="513"/>
    <n v="-513"/>
    <n v="0"/>
    <n v="1200309.9500000002"/>
    <s v="Term"/>
    <s v="Chq HL 015688 dd 24/8/22"/>
    <m/>
  </r>
  <r>
    <x v="176"/>
    <x v="10"/>
    <x v="3"/>
    <x v="234"/>
    <s v="C00000020"/>
    <x v="19"/>
    <s v="RA Resin 3317AW (220Kg)"/>
    <n v="3"/>
    <s v="Cash"/>
    <n v="0"/>
    <d v="2022-04-09T00:00:00"/>
    <n v="4"/>
    <n v="2022"/>
    <n v="6270"/>
    <n v="-6270"/>
    <n v="0"/>
    <n v="1206579.9500000002"/>
    <s v="Cash"/>
    <s v="Trsf 2/9/22 RM10,000.00(RM2,379.30partial), Trsf 8/9/22 RM3.890.70(partial)"/>
    <m/>
  </r>
  <r>
    <x v="176"/>
    <x v="10"/>
    <x v="3"/>
    <x v="234"/>
    <s v="C00000020"/>
    <x v="19"/>
    <s v="RM CSM 450 64m(L) 1040mm(W) (30Kg)"/>
    <n v="4"/>
    <s v="Cash"/>
    <n v="0"/>
    <d v="2022-04-09T00:00:00"/>
    <n v="4"/>
    <n v="2022"/>
    <n v="1176"/>
    <n v="-1176"/>
    <n v="0"/>
    <n v="1207755.9500000002"/>
    <s v="Cash"/>
    <s v="Trsf 8/9/22 RM10,000.00(RM1,176.00partial)"/>
    <m/>
  </r>
  <r>
    <x v="176"/>
    <x v="10"/>
    <x v="3"/>
    <x v="234"/>
    <s v="C00000020"/>
    <x v="19"/>
    <s v="RM Woven Roving E-600gm 1000mm (40Kg)"/>
    <n v="3"/>
    <s v="Cash"/>
    <n v="0"/>
    <d v="2022-04-09T00:00:00"/>
    <n v="4"/>
    <n v="2022"/>
    <n v="936"/>
    <n v="-936"/>
    <n v="0"/>
    <n v="1208691.9500000002"/>
    <s v="Cash"/>
    <s v="Trsf 8/9/22 RM10,000.00(RM936.00partial)"/>
    <m/>
  </r>
  <r>
    <x v="176"/>
    <x v="10"/>
    <x v="3"/>
    <x v="234"/>
    <s v="C00000020"/>
    <x v="19"/>
    <s v="RA Talcum Powder (25kg)"/>
    <n v="3"/>
    <s v="Cash"/>
    <n v="0"/>
    <d v="2022-04-09T00:00:00"/>
    <n v="4"/>
    <n v="2022"/>
    <n v="187.5"/>
    <n v="-187.5"/>
    <n v="0"/>
    <n v="1208879.4500000002"/>
    <s v="Cash"/>
    <s v="Trsf 8/9/22 RM10,000.00(RM187.50partial)"/>
    <m/>
  </r>
  <r>
    <x v="176"/>
    <x v="10"/>
    <x v="3"/>
    <x v="235"/>
    <s v="C00000024"/>
    <x v="24"/>
    <s v="RA Resin 3317AW (220Kg)"/>
    <n v="1"/>
    <s v="Cash"/>
    <n v="0"/>
    <d v="2022-04-09T00:00:00"/>
    <n v="4"/>
    <n v="2022"/>
    <n v="2090"/>
    <n v="-2090"/>
    <n v="0"/>
    <n v="1210969.4500000002"/>
    <s v="Cash"/>
    <s v="PIB 091977Cleared11/4/22-RM3,881.50"/>
    <m/>
  </r>
  <r>
    <x v="176"/>
    <x v="10"/>
    <x v="3"/>
    <x v="235"/>
    <s v="C00000024"/>
    <x v="24"/>
    <s v="RA Resin 3317AW (25Kg)"/>
    <n v="1"/>
    <s v="Cash"/>
    <n v="0"/>
    <d v="2022-04-09T00:00:00"/>
    <n v="4"/>
    <n v="2022"/>
    <n v="350"/>
    <n v="-350"/>
    <n v="0"/>
    <n v="1211319.4500000002"/>
    <s v="Cash"/>
    <s v="PIB 091977Cleared11/4/22-RM3,881.50"/>
    <m/>
  </r>
  <r>
    <x v="176"/>
    <x v="10"/>
    <x v="3"/>
    <x v="235"/>
    <s v="C00000024"/>
    <x v="24"/>
    <s v="RM CSM 450 64m(L) 1040mm(W) (30Kg)"/>
    <n v="1"/>
    <s v="Cash"/>
    <n v="0"/>
    <d v="2022-04-09T00:00:00"/>
    <n v="4"/>
    <n v="2022"/>
    <n v="294"/>
    <n v="-294"/>
    <n v="0"/>
    <n v="1211613.4500000002"/>
    <s v="Cash"/>
    <s v="PIB 091977Cleared11/4/22-RM3,881.50"/>
    <m/>
  </r>
  <r>
    <x v="176"/>
    <x v="10"/>
    <x v="3"/>
    <x v="235"/>
    <s v="C00000024"/>
    <x v="24"/>
    <s v="RA Talcum Powder (25kg)"/>
    <n v="1"/>
    <s v="Cash"/>
    <n v="0"/>
    <d v="2022-04-09T00:00:00"/>
    <n v="4"/>
    <n v="2022"/>
    <n v="62.5"/>
    <n v="-62.5"/>
    <n v="0"/>
    <n v="1211675.9500000002"/>
    <s v="Cash"/>
    <s v="PIB 091977Cleared11/4/22-RM3,881.50"/>
    <m/>
  </r>
  <r>
    <x v="176"/>
    <x v="10"/>
    <x v="3"/>
    <x v="235"/>
    <s v="C00000024"/>
    <x v="24"/>
    <s v="RM Pigment Smooth Cream (25kg)"/>
    <n v="1"/>
    <s v="Cash"/>
    <n v="0"/>
    <d v="2022-04-09T00:00:00"/>
    <n v="4"/>
    <n v="2022"/>
    <n v="1000"/>
    <n v="-1000"/>
    <n v="0"/>
    <n v="1212675.9500000002"/>
    <s v="Cash"/>
    <s v="PIB 091977Cleared11/4/22-RM3,881.50"/>
    <m/>
  </r>
  <r>
    <x v="176"/>
    <x v="10"/>
    <x v="3"/>
    <x v="235"/>
    <s v="C00000024"/>
    <x v="24"/>
    <s v="RJ Mepoxe (5kg)"/>
    <n v="1"/>
    <s v="Cash"/>
    <n v="0"/>
    <d v="2022-04-09T00:00:00"/>
    <n v="4"/>
    <n v="2022"/>
    <n v="85"/>
    <n v="-85"/>
    <n v="0"/>
    <n v="1212760.9500000002"/>
    <s v="Cash"/>
    <s v="PIB 091977Cleared11/4/22-RM3,881.50"/>
    <m/>
  </r>
  <r>
    <x v="177"/>
    <x v="10"/>
    <x v="3"/>
    <x v="236"/>
    <s v="C00000022"/>
    <x v="22"/>
    <s v="RM NPG Gelcoat 9319-H (5Kg)"/>
    <n v="2"/>
    <s v="Cash"/>
    <n v="0"/>
    <d v="2022-04-12T00:00:00"/>
    <n v="4"/>
    <n v="2022"/>
    <n v="200"/>
    <n v="-200"/>
    <n v="0"/>
    <n v="1212960.9500000002"/>
    <s v="Cash"/>
    <s v="Trsf 9/5/22 RM4,070.00"/>
    <m/>
  </r>
  <r>
    <x v="177"/>
    <x v="10"/>
    <x v="3"/>
    <x v="236"/>
    <s v="C00000022"/>
    <x v="22"/>
    <s v="RE Frekote 770NC (1 Gallon)"/>
    <n v="1"/>
    <s v="Cash"/>
    <n v="0"/>
    <d v="2022-04-12T00:00:00"/>
    <n v="4"/>
    <n v="2022"/>
    <n v="390"/>
    <n v="-390"/>
    <n v="0"/>
    <n v="1213350.9500000002"/>
    <s v="Cash"/>
    <s v="Trsf 9/5/22 RM4,070.00"/>
    <m/>
  </r>
  <r>
    <x v="178"/>
    <x v="10"/>
    <x v="3"/>
    <x v="237"/>
    <s v="C00000024"/>
    <x v="24"/>
    <s v="RM CSM 450 64m(L) 1040mm(W) (30Kg)"/>
    <n v="2"/>
    <s v="Cash"/>
    <n v="0"/>
    <d v="2022-04-13T00:00:00"/>
    <n v="4"/>
    <n v="2022"/>
    <n v="588"/>
    <n v="-588"/>
    <n v="0"/>
    <n v="1213938.9500000002"/>
    <s v="Cash"/>
    <s v="Trsf PBB Yew Kok Wah 13/4/22 RM588.00 "/>
    <m/>
  </r>
  <r>
    <x v="178"/>
    <x v="10"/>
    <x v="3"/>
    <x v="238"/>
    <s v="C00000020"/>
    <x v="19"/>
    <s v="RA Nor 3338W (220Kg)"/>
    <n v="3"/>
    <s v="Cash"/>
    <n v="0"/>
    <d v="2022-04-13T00:00:00"/>
    <n v="4"/>
    <n v="2022"/>
    <n v="6270"/>
    <n v="-6270"/>
    <n v="0"/>
    <n v="1220208.9500000002"/>
    <s v="Cash"/>
    <s v="Trsf 8/9/22 RM10,000.00(RM3,809.80partial), Trsf 12/9/22 RM4,000.00(2,460.20partial)"/>
    <m/>
  </r>
  <r>
    <x v="178"/>
    <x v="10"/>
    <x v="3"/>
    <x v="238"/>
    <s v="C00000020"/>
    <x v="19"/>
    <s v="RM CSM 450 64m(L) X 1860mm(W) (54kg)"/>
    <n v="5"/>
    <s v="Cash"/>
    <n v="0"/>
    <d v="2022-04-13T00:00:00"/>
    <n v="4"/>
    <n v="2022"/>
    <n v="2646"/>
    <n v="-2646"/>
    <n v="0"/>
    <n v="1222854.9500000002"/>
    <s v="Cash"/>
    <s v="Trsf 12/9/22 RM4,000.00(RM1,539.80partial), Trsf 28/9/22 RM13,000.00(partial RM1,106.20)"/>
    <m/>
  </r>
  <r>
    <x v="178"/>
    <x v="10"/>
    <x v="3"/>
    <x v="238"/>
    <s v="C00000020"/>
    <x v="19"/>
    <s v="RM Woven Roving E-600gm 1000mm (40Kg)"/>
    <n v="6"/>
    <s v="Cash"/>
    <n v="0"/>
    <d v="2022-04-13T00:00:00"/>
    <n v="4"/>
    <n v="2022"/>
    <n v="1872"/>
    <n v="-1872"/>
    <n v="0"/>
    <n v="1224726.9500000002"/>
    <s v="Cash"/>
    <s v="Trsf 28/9/22 RM13,000.00"/>
    <m/>
  </r>
  <r>
    <x v="178"/>
    <x v="10"/>
    <x v="3"/>
    <x v="238"/>
    <s v="C00000020"/>
    <x v="19"/>
    <s v="RA Talcum Powder (25kg)"/>
    <n v="3"/>
    <s v="Cash"/>
    <n v="0"/>
    <d v="2022-04-13T00:00:00"/>
    <n v="4"/>
    <n v="2022"/>
    <n v="187.5"/>
    <n v="-187.5"/>
    <n v="0"/>
    <n v="1224914.4500000002"/>
    <s v="Cash"/>
    <s v="Trsf 28/9/22 RM13,000.00"/>
    <m/>
  </r>
  <r>
    <x v="179"/>
    <x v="10"/>
    <x v="3"/>
    <x v="239"/>
    <s v="C00000021"/>
    <x v="21"/>
    <s v="RA Resin 3317AW (220Kg)"/>
    <n v="2"/>
    <s v="Cash"/>
    <n v="0"/>
    <d v="2022-04-14T00:00:00"/>
    <n v="4"/>
    <n v="2022"/>
    <n v="4136"/>
    <n v="-4136"/>
    <n v="0"/>
    <n v="1229050.4500000002"/>
    <s v="Cash"/>
    <s v="PBB395363cleared23/6/22 RM5,746.00"/>
    <m/>
  </r>
  <r>
    <x v="179"/>
    <x v="10"/>
    <x v="3"/>
    <x v="239"/>
    <s v="C00000021"/>
    <x v="21"/>
    <s v="RM CSM 450 64m(L) 1040mm(W) (30Kg)"/>
    <n v="5"/>
    <s v="Cash"/>
    <n v="0"/>
    <d v="2022-04-14T00:00:00"/>
    <n v="4"/>
    <n v="2022"/>
    <n v="1440"/>
    <n v="-1440"/>
    <n v="0"/>
    <n v="1230490.4500000002"/>
    <s v="Cash"/>
    <s v="PBB395363cleared23/6/22 RM5,746.00"/>
    <m/>
  </r>
  <r>
    <x v="179"/>
    <x v="10"/>
    <x v="3"/>
    <x v="239"/>
    <s v="C00000021"/>
    <x v="21"/>
    <s v="RJ Mepoxe (5kg)"/>
    <n v="2"/>
    <s v="Cash"/>
    <n v="0"/>
    <d v="2022-04-14T00:00:00"/>
    <n v="4"/>
    <n v="2022"/>
    <n v="170"/>
    <n v="-170"/>
    <n v="0"/>
    <n v="1230660.4500000002"/>
    <s v="Cash"/>
    <s v="PBB395363cleared23/6/22 RM5,746.00"/>
    <m/>
  </r>
  <r>
    <x v="180"/>
    <x v="10"/>
    <x v="3"/>
    <x v="240"/>
    <s v="C00000024"/>
    <x v="24"/>
    <s v="RA Resin 3317AW (220Kg)"/>
    <n v="1"/>
    <s v="Cash"/>
    <n v="0"/>
    <d v="2022-04-15T00:00:00"/>
    <n v="4"/>
    <n v="2022"/>
    <n v="2090"/>
    <n v="-2090"/>
    <n v="0"/>
    <n v="1232750.4500000002"/>
    <s v="Cash"/>
    <s v="PIB 091980Cleared18/4/22-RM2,175.00"/>
    <m/>
  </r>
  <r>
    <x v="180"/>
    <x v="10"/>
    <x v="3"/>
    <x v="240"/>
    <s v="C00000024"/>
    <x v="24"/>
    <s v="RJ Mepoxe (5kg)"/>
    <n v="1"/>
    <s v="Cash"/>
    <n v="0"/>
    <d v="2022-04-15T00:00:00"/>
    <n v="4"/>
    <n v="2022"/>
    <n v="85"/>
    <n v="-85"/>
    <n v="0"/>
    <n v="1232835.4500000002"/>
    <s v="Cash"/>
    <s v="PIB 091980Cleared18/4/22-RM2,175.00"/>
    <m/>
  </r>
  <r>
    <x v="181"/>
    <x v="10"/>
    <x v="3"/>
    <x v="241"/>
    <s v="C00000020"/>
    <x v="19"/>
    <s v="RA Nor 3338W (220Kg)"/>
    <n v="3"/>
    <s v="Cash"/>
    <n v="0"/>
    <d v="2022-04-16T00:00:00"/>
    <n v="4"/>
    <n v="2022"/>
    <n v="6270"/>
    <n v="-6270"/>
    <n v="0"/>
    <n v="1239105.4500000002"/>
    <s v="Cash"/>
    <s v="Trsf 28/9/22 RM13,000.00"/>
    <m/>
  </r>
  <r>
    <x v="181"/>
    <x v="10"/>
    <x v="3"/>
    <x v="241"/>
    <s v="C00000020"/>
    <x v="19"/>
    <s v="RM CSM 450 64m(L) 1040mm(W) (30Kg)"/>
    <n v="7"/>
    <s v="Cash"/>
    <n v="0"/>
    <d v="2022-04-16T00:00:00"/>
    <n v="4"/>
    <n v="2022"/>
    <n v="2058"/>
    <n v="-2058"/>
    <n v="0"/>
    <n v="1241163.4500000002"/>
    <s v="Cash"/>
    <s v="Trsf 28/9/22 RM13,000.00"/>
    <m/>
  </r>
  <r>
    <x v="181"/>
    <x v="10"/>
    <x v="3"/>
    <x v="241"/>
    <s v="C00000020"/>
    <x v="19"/>
    <s v="RM Woven Roving E-600gm 1000mm (40Kg)"/>
    <n v="4"/>
    <s v="Cash"/>
    <n v="0"/>
    <d v="2022-04-16T00:00:00"/>
    <n v="4"/>
    <n v="2022"/>
    <n v="1248"/>
    <n v="-1248"/>
    <n v="0"/>
    <n v="1242411.4500000002"/>
    <s v="Cash"/>
    <s v="Trsf 28/9/22 RM13,000.00"/>
    <m/>
  </r>
  <r>
    <x v="181"/>
    <x v="10"/>
    <x v="3"/>
    <x v="241"/>
    <s v="C00000020"/>
    <x v="19"/>
    <s v="RA Talcum Powder (25kg)"/>
    <n v="3"/>
    <s v="Cash"/>
    <n v="0"/>
    <d v="2022-04-16T00:00:00"/>
    <n v="4"/>
    <n v="2022"/>
    <n v="187.5"/>
    <n v="-187.5"/>
    <n v="0"/>
    <n v="1242598.9500000002"/>
    <s v="Cash"/>
    <s v="Trsf 28/9/22 RM13,000.00"/>
    <m/>
  </r>
  <r>
    <x v="181"/>
    <x v="10"/>
    <x v="3"/>
    <x v="241"/>
    <s v="C00000020"/>
    <x v="19"/>
    <s v="RJ Mepoxe (5kg)"/>
    <n v="4"/>
    <s v="Cash"/>
    <n v="0"/>
    <d v="2022-04-16T00:00:00"/>
    <n v="4"/>
    <n v="2022"/>
    <n v="340"/>
    <n v="-340"/>
    <n v="0"/>
    <n v="1242938.9500000002"/>
    <s v="Cash"/>
    <s v="Trsf 28/9/22 RM13,000.00, Trsf 5/10/22 RM5,000.00(RM269.20partial)"/>
    <m/>
  </r>
  <r>
    <x v="181"/>
    <x v="10"/>
    <x v="3"/>
    <x v="242"/>
    <s v="C00000023"/>
    <x v="23"/>
    <s v="RA Nor 3317W (220Kg)"/>
    <n v="5"/>
    <s v="Cash"/>
    <n v="0"/>
    <d v="2022-04-16T00:00:00"/>
    <n v="4"/>
    <n v="2022"/>
    <n v="10450"/>
    <n v="-10450"/>
    <n v="0"/>
    <n v="1253388.9500000002"/>
    <s v="Cash"/>
    <s v="Trsf 17/5/22 RM14,088.50"/>
    <m/>
  </r>
  <r>
    <x v="181"/>
    <x v="10"/>
    <x v="3"/>
    <x v="242"/>
    <s v="C00000023"/>
    <x v="23"/>
    <s v="RM CSM 450 64m(L) 1040mm(W) (30Kg)"/>
    <n v="9"/>
    <s v="Cash"/>
    <n v="0"/>
    <d v="2022-04-16T00:00:00"/>
    <n v="4"/>
    <n v="2022"/>
    <n v="2646"/>
    <n v="-2646"/>
    <n v="0"/>
    <n v="1256034.9500000002"/>
    <s v="Cash"/>
    <s v="Trsf 17/5/22 RM14,088.50"/>
    <m/>
  </r>
  <r>
    <x v="181"/>
    <x v="10"/>
    <x v="3"/>
    <x v="242"/>
    <s v="C00000023"/>
    <x v="23"/>
    <s v="RJ Mepoxe (5kg)"/>
    <n v="8"/>
    <s v="Cash"/>
    <n v="0"/>
    <d v="2022-04-16T00:00:00"/>
    <n v="4"/>
    <n v="2022"/>
    <n v="680"/>
    <n v="-680"/>
    <n v="0"/>
    <n v="1256714.9500000002"/>
    <s v="Cash"/>
    <s v="Trsf 17/5/22 RM14,088.50"/>
    <m/>
  </r>
  <r>
    <x v="181"/>
    <x v="10"/>
    <x v="3"/>
    <x v="242"/>
    <s v="C00000023"/>
    <x v="23"/>
    <s v="RA Talcum Powder (25kg)"/>
    <n v="5"/>
    <s v="Cash"/>
    <n v="0"/>
    <d v="2022-04-16T00:00:00"/>
    <n v="4"/>
    <n v="2022"/>
    <n v="312.5"/>
    <n v="-312.5"/>
    <n v="0"/>
    <n v="1257027.4500000002"/>
    <s v="Cash"/>
    <s v="Trsf 17/5/22 RM14,088.50"/>
    <m/>
  </r>
  <r>
    <x v="182"/>
    <x v="10"/>
    <x v="3"/>
    <x v="243"/>
    <s v="C00000020"/>
    <x v="19"/>
    <s v="RM Pigment Smooth Cream (25kg)"/>
    <n v="1"/>
    <s v="Cash"/>
    <n v="0"/>
    <d v="2022-04-19T00:00:00"/>
    <n v="4"/>
    <n v="2022"/>
    <n v="1000"/>
    <n v="-1000"/>
    <n v="0"/>
    <n v="1258027.4500000002"/>
    <s v="Cash"/>
    <s v="Trsf 5/10/22 RM5,000.00"/>
    <m/>
  </r>
  <r>
    <x v="182"/>
    <x v="10"/>
    <x v="3"/>
    <x v="243"/>
    <s v="C00000020"/>
    <x v="19"/>
    <s v="RM CSM 450 64m(L) 1040mm(W) (30Kg)"/>
    <n v="6"/>
    <s v="Cash"/>
    <n v="0"/>
    <d v="2022-04-19T00:00:00"/>
    <n v="4"/>
    <n v="2022"/>
    <n v="1764"/>
    <n v="-1764"/>
    <n v="0"/>
    <n v="1259791.4500000002"/>
    <s v="Cash"/>
    <s v="Trsf 5/10/22 RM5,000.00"/>
    <m/>
  </r>
  <r>
    <x v="182"/>
    <x v="10"/>
    <x v="3"/>
    <x v="243"/>
    <s v="C00000020"/>
    <x v="19"/>
    <s v="RC Woven Roving E-800 1000mm (40Kg)"/>
    <n v="1"/>
    <s v="Cash"/>
    <n v="0"/>
    <d v="2022-04-19T00:00:00"/>
    <n v="4"/>
    <n v="2022"/>
    <n v="312"/>
    <n v="-312"/>
    <n v="0"/>
    <n v="1260103.4500000002"/>
    <s v="Cash"/>
    <s v="Trsf 5/10/22 RM5,000.00"/>
    <m/>
  </r>
  <r>
    <x v="183"/>
    <x v="10"/>
    <x v="3"/>
    <x v="244"/>
    <s v="C00000025"/>
    <x v="25"/>
    <s v="Resin 3317AW (25Kg)"/>
    <n v="2"/>
    <s v="Cash"/>
    <n v="0"/>
    <d v="2022-04-20T00:00:00"/>
    <n v="4"/>
    <n v="2022"/>
    <n v="700"/>
    <n v="-700"/>
    <n v="0"/>
    <n v="1260803.4500000002"/>
    <s v="Cash"/>
    <s v="Trsf PBB 20/4/22-RM1,170.00"/>
    <m/>
  </r>
  <r>
    <x v="183"/>
    <x v="10"/>
    <x v="3"/>
    <x v="244"/>
    <s v="C00000025"/>
    <x v="25"/>
    <s v="CSM 450 64m(L) 1040mm(W) (30Kg)"/>
    <n v="1"/>
    <s v="Cash"/>
    <n v="0"/>
    <d v="2022-04-20T00:00:00"/>
    <n v="4"/>
    <n v="2022"/>
    <n v="315"/>
    <n v="-315"/>
    <n v="0"/>
    <n v="1261118.4500000002"/>
    <s v="Cash"/>
    <s v="Trsf PBB 20/4/22-RM1,170.00"/>
    <m/>
  </r>
  <r>
    <x v="183"/>
    <x v="10"/>
    <x v="3"/>
    <x v="244"/>
    <s v="C00000025"/>
    <x v="25"/>
    <s v="Mepoxe (5kg)"/>
    <n v="1"/>
    <s v="Cash"/>
    <n v="0"/>
    <d v="2022-04-20T00:00:00"/>
    <n v="4"/>
    <n v="2022"/>
    <n v="90"/>
    <n v="-90"/>
    <n v="0"/>
    <n v="1261208.4500000002"/>
    <s v="Cash"/>
    <s v="Trsf PBB 20/4/22-RM1,170.00"/>
    <m/>
  </r>
  <r>
    <x v="183"/>
    <x v="10"/>
    <x v="3"/>
    <x v="244"/>
    <s v="C00000025"/>
    <x v="25"/>
    <s v="Talcum Powder (25kg)"/>
    <n v="1"/>
    <s v="Cash"/>
    <n v="0"/>
    <d v="2022-04-20T00:00:00"/>
    <n v="4"/>
    <n v="2022"/>
    <n v="65"/>
    <n v="-65"/>
    <n v="0"/>
    <n v="1261273.4500000002"/>
    <s v="Cash"/>
    <s v="Trsf PBB 20/4/22-RM1,170.00"/>
    <m/>
  </r>
  <r>
    <x v="184"/>
    <x v="10"/>
    <x v="3"/>
    <x v="245"/>
    <s v="C00000004"/>
    <x v="3"/>
    <s v="RG Nor 3338W (220Kg)"/>
    <n v="5"/>
    <s v="T120"/>
    <n v="120"/>
    <d v="2022-08-19T00:00:00"/>
    <n v="8"/>
    <n v="2022"/>
    <n v="10120"/>
    <n v="-10120"/>
    <n v="0"/>
    <n v="1271393.4500000002"/>
    <s v="Term"/>
    <s v="HLB011650Cleared8/8/22-RM15,222.00"/>
    <m/>
  </r>
  <r>
    <x v="184"/>
    <x v="10"/>
    <x v="3"/>
    <x v="245"/>
    <s v="C00000004"/>
    <x v="3"/>
    <s v="RG Nor 3338NW (220Kg)"/>
    <n v="1"/>
    <s v="T120"/>
    <n v="120"/>
    <d v="2022-08-19T00:00:00"/>
    <n v="8"/>
    <n v="2022"/>
    <n v="2024"/>
    <n v="-2024"/>
    <n v="0"/>
    <n v="1273417.4500000002"/>
    <s v="Term"/>
    <s v="HLB011650Cleared8/8/22-RM15,222.00"/>
    <m/>
  </r>
  <r>
    <x v="184"/>
    <x v="10"/>
    <x v="3"/>
    <x v="245"/>
    <s v="C00000004"/>
    <x v="3"/>
    <s v="RM CSM 450 64m(L) X 1860mm(W) (54kg)"/>
    <n v="3"/>
    <s v="T120"/>
    <n v="120"/>
    <d v="2022-08-19T00:00:00"/>
    <n v="8"/>
    <n v="2022"/>
    <n v="1539"/>
    <n v="-1539"/>
    <n v="0"/>
    <n v="1274956.4500000002"/>
    <s v="Term"/>
    <s v="HLB011650Cleared8/8/22-RM15,222.00"/>
    <m/>
  </r>
  <r>
    <x v="184"/>
    <x v="10"/>
    <x v="3"/>
    <x v="245"/>
    <s v="C00000004"/>
    <x v="3"/>
    <s v="RA CSM 300 (54Kg) 1860mm"/>
    <n v="3"/>
    <s v="T120"/>
    <n v="120"/>
    <d v="2022-08-19T00:00:00"/>
    <n v="8"/>
    <n v="2022"/>
    <n v="1539"/>
    <n v="-1539"/>
    <n v="0"/>
    <n v="1276495.4500000002"/>
    <s v="Term"/>
    <s v="HLB011650Cleared8/8/22-RM15,222.00"/>
    <m/>
  </r>
  <r>
    <x v="184"/>
    <x v="10"/>
    <x v="3"/>
    <x v="246"/>
    <s v="C00000025"/>
    <x v="25"/>
    <s v="RD Steel Roller 4&quot;"/>
    <n v="1"/>
    <s v="Cash"/>
    <n v="0"/>
    <d v="2022-04-21T00:00:00"/>
    <n v="4"/>
    <n v="2022"/>
    <n v="68"/>
    <n v="-68"/>
    <n v="0"/>
    <n v="1276563.4500000002"/>
    <s v="Cash"/>
    <s v="Trsf PBB 21/4/22"/>
    <m/>
  </r>
  <r>
    <x v="184"/>
    <x v="10"/>
    <x v="3"/>
    <x v="247"/>
    <s v="C00000001"/>
    <x v="0"/>
    <s v="RM Resin 3317AW (220Kg)"/>
    <n v="1"/>
    <s v="Cash"/>
    <n v="0"/>
    <d v="2022-04-21T00:00:00"/>
    <n v="4"/>
    <n v="2022"/>
    <n v="2068"/>
    <n v="-2068"/>
    <n v="0"/>
    <n v="1278631.4500000002"/>
    <s v="Cash"/>
    <s v="Trsf Al Rajhi Bank 28/4/22-RM2,488.00"/>
    <m/>
  </r>
  <r>
    <x v="185"/>
    <x v="10"/>
    <x v="3"/>
    <x v="247"/>
    <s v="C00000001"/>
    <x v="0"/>
    <s v="RM Butanox M50"/>
    <n v="4"/>
    <s v="Cash"/>
    <n v="0"/>
    <d v="2022-04-22T00:00:00"/>
    <n v="4"/>
    <n v="2022"/>
    <n v="420"/>
    <n v="-420"/>
    <n v="0"/>
    <n v="1279051.4500000002"/>
    <s v="Cash"/>
    <s v="Trsf Al Rajhi Bank 28/4/22-RM2,488.00"/>
    <m/>
  </r>
  <r>
    <x v="186"/>
    <x v="10"/>
    <x v="3"/>
    <x v="248"/>
    <s v="C00000020"/>
    <x v="19"/>
    <s v="RM Nor 3338W (220Kg)"/>
    <n v="3"/>
    <s v="Cash"/>
    <n v="0"/>
    <d v="2022-04-23T00:00:00"/>
    <n v="4"/>
    <n v="2022"/>
    <n v="6270"/>
    <n v="-6270"/>
    <n v="0"/>
    <n v="1285321.4500000002"/>
    <s v="Cash"/>
    <s v="Trsf 5/10/22 RM5,000.00(RM1,654.80partial), Trsf 14/10/22 RM4,000.00, Trsf 17/10/22 RM4,000.00(RM615.20partial)"/>
    <m/>
  </r>
  <r>
    <x v="186"/>
    <x v="10"/>
    <x v="3"/>
    <x v="248"/>
    <s v="C00000020"/>
    <x v="19"/>
    <s v="RM CSM 450 64m(L) 1040mm(W) (30Kg)"/>
    <n v="8"/>
    <s v="Cash"/>
    <n v="0"/>
    <d v="2022-04-23T00:00:00"/>
    <n v="4"/>
    <n v="2022"/>
    <n v="2352"/>
    <n v="-2352"/>
    <n v="0"/>
    <n v="1287673.4500000002"/>
    <s v="Cash"/>
    <s v="Trsf 17/10/22 RM4,000.00"/>
    <m/>
  </r>
  <r>
    <x v="186"/>
    <x v="10"/>
    <x v="3"/>
    <x v="248"/>
    <s v="C00000020"/>
    <x v="19"/>
    <s v="RA Woven Roving E-600 (45kg) 1120mm"/>
    <n v="4"/>
    <s v="Cash"/>
    <n v="0"/>
    <d v="2022-04-23T00:00:00"/>
    <n v="4"/>
    <n v="2022"/>
    <n v="1404"/>
    <n v="-1404"/>
    <m/>
    <n v="1289077.4500000002"/>
    <s v="Cash"/>
    <s v="Trsf 17/10/22 RM4,000.00(RM1,032.80), Trsf 23/10/22 RM25,000.00(RM371.20partial)"/>
    <m/>
  </r>
  <r>
    <x v="186"/>
    <x v="10"/>
    <x v="3"/>
    <x v="248"/>
    <s v="C00000020"/>
    <x v="19"/>
    <s v="RA Talcum Powder (25kg)"/>
    <n v="2"/>
    <s v="Cash"/>
    <n v="0"/>
    <d v="2022-04-23T00:00:00"/>
    <n v="4"/>
    <n v="2022"/>
    <n v="125"/>
    <n v="-125"/>
    <n v="0"/>
    <n v="1289202.4500000002"/>
    <s v="Cash"/>
    <s v="Trsf 23/10/22 RM25,000.00"/>
    <m/>
  </r>
  <r>
    <x v="186"/>
    <x v="10"/>
    <x v="3"/>
    <x v="248"/>
    <s v="C00000020"/>
    <x v="19"/>
    <s v="RM Pigment Smooth Cream (25kg)"/>
    <n v="1"/>
    <s v="Cash"/>
    <n v="0"/>
    <d v="2022-04-23T00:00:00"/>
    <n v="4"/>
    <n v="2022"/>
    <n v="1000"/>
    <n v="-1000"/>
    <n v="0"/>
    <n v="1290202.4500000002"/>
    <s v="Cash"/>
    <s v="Trsf 23/10/22 RM25,000.00"/>
    <m/>
  </r>
  <r>
    <x v="187"/>
    <x v="10"/>
    <x v="3"/>
    <x v="249"/>
    <s v="C00000023"/>
    <x v="23"/>
    <s v="RM Nor 3338W (220Kg)"/>
    <n v="1"/>
    <s v="Cash"/>
    <n v="0"/>
    <d v="2022-04-26T00:00:00"/>
    <n v="4"/>
    <n v="2022"/>
    <n v="2090"/>
    <n v="-2090"/>
    <n v="0"/>
    <n v="1292292.4500000002"/>
    <s v="Cash"/>
    <s v="Trsf 26/4/22-RM3,799.00"/>
    <m/>
  </r>
  <r>
    <x v="187"/>
    <x v="10"/>
    <x v="3"/>
    <x v="249"/>
    <s v="C00000023"/>
    <x v="23"/>
    <s v="RM CSM 450 64m(L) 1040mm(W) (30Kg)"/>
    <n v="3"/>
    <s v="Cash"/>
    <n v="0"/>
    <d v="2022-04-26T00:00:00"/>
    <n v="4"/>
    <n v="2022"/>
    <n v="882"/>
    <n v="-882"/>
    <n v="0"/>
    <n v="1293174.4500000002"/>
    <s v="Cash"/>
    <s v="Trsf 26/4/22-RM3,799.00"/>
    <m/>
  </r>
  <r>
    <x v="187"/>
    <x v="10"/>
    <x v="3"/>
    <x v="249"/>
    <s v="C00000023"/>
    <x v="23"/>
    <s v="RA Woven Roving E-600 (45kg) 1120mm"/>
    <n v="2"/>
    <s v="Cash"/>
    <n v="0"/>
    <d v="2022-04-26T00:00:00"/>
    <n v="4"/>
    <n v="2022"/>
    <n v="702"/>
    <n v="-702"/>
    <n v="0"/>
    <n v="1293876.4500000002"/>
    <s v="Cash"/>
    <s v="Trsf 26/4/22-RM3,799.00"/>
    <m/>
  </r>
  <r>
    <x v="187"/>
    <x v="10"/>
    <x v="3"/>
    <x v="249"/>
    <s v="C00000023"/>
    <x v="23"/>
    <s v="RA Talcum Powder (25kg)"/>
    <n v="2"/>
    <s v="Cash"/>
    <n v="0"/>
    <d v="2022-04-26T00:00:00"/>
    <n v="4"/>
    <n v="2022"/>
    <n v="125"/>
    <n v="-125"/>
    <n v="0"/>
    <n v="1294001.4500000002"/>
    <s v="Cash"/>
    <s v="Trsf 26/4/22-RM3,799.00"/>
    <m/>
  </r>
  <r>
    <x v="188"/>
    <x v="10"/>
    <x v="3"/>
    <x v="250"/>
    <s v="C00000010"/>
    <x v="9"/>
    <s v="RM Resin 3338AW (220kg)"/>
    <n v="5"/>
    <s v="T120"/>
    <n v="120"/>
    <d v="2022-08-25T00:00:00"/>
    <n v="8"/>
    <n v="2022"/>
    <n v="9900"/>
    <n v="-9900"/>
    <n v="0"/>
    <n v="1303901.4500000002"/>
    <s v="Term"/>
    <s v="Trsf 25/7/22 RM11,160.00"/>
    <m/>
  </r>
  <r>
    <x v="188"/>
    <x v="10"/>
    <x v="3"/>
    <x v="250"/>
    <s v="C00000010"/>
    <x v="9"/>
    <s v="RA Butanox M50"/>
    <n v="12"/>
    <s v="T120"/>
    <n v="120"/>
    <d v="2022-08-25T00:00:00"/>
    <n v="8"/>
    <n v="2022"/>
    <n v="1260"/>
    <n v="-1260"/>
    <n v="0"/>
    <n v="1305161.4500000002"/>
    <s v="Term"/>
    <s v="Trsf 25/7/22 RM11,160.00"/>
    <m/>
  </r>
  <r>
    <x v="189"/>
    <x v="10"/>
    <x v="3"/>
    <x v="251"/>
    <s v="C00000021"/>
    <x v="21"/>
    <s v="RA Resin 3317AW (220Kg)"/>
    <n v="2"/>
    <s v="Cash"/>
    <n v="0"/>
    <d v="2022-04-28T00:00:00"/>
    <n v="4"/>
    <n v="2022"/>
    <n v="4136"/>
    <n v="-4136"/>
    <n v="0"/>
    <n v="1309297.4500000002"/>
    <s v="Cash"/>
    <s v="Chq PBB 395364, cleared180722 RM5,458.00"/>
    <m/>
  </r>
  <r>
    <x v="189"/>
    <x v="10"/>
    <x v="3"/>
    <x v="251"/>
    <s v="C00000021"/>
    <x v="21"/>
    <s v="RM CSM 450 64m(L) 1040mm(W) (30Kg)"/>
    <n v="4"/>
    <s v="Cash"/>
    <n v="0"/>
    <d v="2022-04-28T00:00:00"/>
    <n v="4"/>
    <n v="2022"/>
    <n v="1152"/>
    <n v="-1152"/>
    <n v="0"/>
    <n v="1310449.4500000002"/>
    <s v="Cash"/>
    <s v="Chq PBB 395364, cleared180722 RM5,458.00"/>
    <m/>
  </r>
  <r>
    <x v="189"/>
    <x v="10"/>
    <x v="3"/>
    <x v="251"/>
    <s v="C00000021"/>
    <x v="21"/>
    <s v="RJ Mepoxe (5kg)"/>
    <n v="2"/>
    <s v="Cash"/>
    <n v="0"/>
    <d v="2022-04-28T00:00:00"/>
    <n v="4"/>
    <n v="2022"/>
    <n v="170"/>
    <n v="-170"/>
    <n v="0"/>
    <n v="1310619.4500000002"/>
    <s v="Cash"/>
    <s v="Chq PBB 395364, cleared180722 RM5,458.00"/>
    <m/>
  </r>
  <r>
    <x v="189"/>
    <x v="10"/>
    <x v="3"/>
    <x v="252"/>
    <s v="C00000020"/>
    <x v="19"/>
    <s v="RM Nor 3338W (220Kg)"/>
    <n v="3"/>
    <s v="Cash"/>
    <n v="0"/>
    <d v="2022-04-28T00:00:00"/>
    <n v="4"/>
    <n v="2022"/>
    <n v="6270"/>
    <n v="-6270"/>
    <n v="0"/>
    <n v="1316889.4500000002"/>
    <s v="Cash"/>
    <s v="Trsf 23/10/22 RM25,000.00"/>
    <m/>
  </r>
  <r>
    <x v="189"/>
    <x v="10"/>
    <x v="3"/>
    <x v="252"/>
    <s v="C00000020"/>
    <x v="19"/>
    <s v="RM CSM 450 64m(L) 1040mm(W) (30Kg)"/>
    <n v="9"/>
    <s v="Cash"/>
    <n v="0"/>
    <d v="2022-04-28T00:00:00"/>
    <n v="4"/>
    <n v="2022"/>
    <n v="2646"/>
    <n v="-2646"/>
    <n v="0"/>
    <n v="1319535.4500000002"/>
    <s v="Cash"/>
    <s v="Trsf 23/10/22 RM25,000.00"/>
    <m/>
  </r>
  <r>
    <x v="189"/>
    <x v="10"/>
    <x v="3"/>
    <x v="252"/>
    <s v="C00000020"/>
    <x v="19"/>
    <s v="RA Woven Roving E-600 (45kg) 1120mm"/>
    <n v="5"/>
    <s v="Cash"/>
    <n v="0"/>
    <d v="2022-04-28T00:00:00"/>
    <n v="4"/>
    <n v="2022"/>
    <n v="1755"/>
    <n v="-1755"/>
    <n v="0"/>
    <n v="1321290.4500000002"/>
    <s v="Cash"/>
    <s v="Trsf 23/10/22 RM25,000.00"/>
    <m/>
  </r>
  <r>
    <x v="189"/>
    <x v="10"/>
    <x v="3"/>
    <x v="252"/>
    <s v="C00000020"/>
    <x v="19"/>
    <s v="RA Talcum Powder (25kg)"/>
    <n v="3"/>
    <s v="Cash"/>
    <n v="0"/>
    <d v="2022-04-28T00:00:00"/>
    <n v="4"/>
    <n v="2022"/>
    <n v="187.5"/>
    <n v="-187.5"/>
    <n v="0"/>
    <n v="1321477.9500000002"/>
    <s v="Cash"/>
    <s v="Trsf 23/10/22 RM25,000.00"/>
    <m/>
  </r>
  <r>
    <x v="189"/>
    <x v="10"/>
    <x v="3"/>
    <x v="252"/>
    <s v="C00000020"/>
    <x v="19"/>
    <s v="RM Pigment Smooth Cream (25kg)"/>
    <n v="1"/>
    <s v="Cash"/>
    <n v="0"/>
    <d v="2022-04-28T00:00:00"/>
    <n v="4"/>
    <n v="2022"/>
    <n v="1000"/>
    <n v="-1000"/>
    <n v="0"/>
    <n v="1322477.9500000002"/>
    <s v="Cash"/>
    <s v="Trsf 23/10/22 RM25,000.00"/>
    <m/>
  </r>
  <r>
    <x v="189"/>
    <x v="10"/>
    <x v="3"/>
    <x v="253"/>
    <s v="C00000019"/>
    <x v="18"/>
    <s v="RA Nor 3338W (220Kg)"/>
    <n v="2"/>
    <s v="Cash"/>
    <n v="0"/>
    <d v="2022-04-28T00:00:00"/>
    <n v="4"/>
    <n v="2022"/>
    <n v="4136"/>
    <n v="-4136"/>
    <n v="0"/>
    <n v="1326613.9500000002"/>
    <s v="Cash"/>
    <s v="Trsf 1/5/22 RM6,096.10"/>
    <m/>
  </r>
  <r>
    <x v="189"/>
    <x v="10"/>
    <x v="3"/>
    <x v="253"/>
    <s v="C00000019"/>
    <x v="18"/>
    <s v="RG CSM 450 CQ 54kg 64m(L) X 1860mm(W)"/>
    <n v="2"/>
    <s v="Cash"/>
    <n v="0"/>
    <d v="2022-04-28T00:00:00"/>
    <n v="4"/>
    <n v="2022"/>
    <n v="1047.5999999999999"/>
    <n v="-1047.5999999999999"/>
    <n v="0"/>
    <n v="1327661.5500000003"/>
    <s v="Cash"/>
    <s v="Trsf 1/5/22 RM6,096.10"/>
    <m/>
  </r>
  <r>
    <x v="189"/>
    <x v="10"/>
    <x v="3"/>
    <x v="253"/>
    <s v="C00000019"/>
    <x v="18"/>
    <s v="RA Talcum Powder (25kg)"/>
    <n v="5"/>
    <s v="Cash"/>
    <n v="0"/>
    <d v="2022-04-28T00:00:00"/>
    <n v="4"/>
    <n v="2022"/>
    <n v="312.5"/>
    <n v="-312.5"/>
    <n v="0"/>
    <n v="1327974.0500000003"/>
    <s v="Cash"/>
    <s v="Trsf 1/5/22 RM6,096.10"/>
    <m/>
  </r>
  <r>
    <x v="189"/>
    <x v="10"/>
    <x v="3"/>
    <x v="253"/>
    <s v="C00000019"/>
    <x v="18"/>
    <s v="RE Frekote 770NC (1 Gallon)"/>
    <n v="1"/>
    <s v="Cash"/>
    <n v="0"/>
    <d v="2022-04-28T00:00:00"/>
    <n v="4"/>
    <n v="2022"/>
    <n v="390"/>
    <n v="-390"/>
    <n v="0"/>
    <n v="1328364.0500000003"/>
    <s v="Cash"/>
    <s v="Trsf 1/5/22 RM6,096.10"/>
    <m/>
  </r>
  <r>
    <x v="189"/>
    <x v="10"/>
    <x v="3"/>
    <x v="253"/>
    <s v="C00000019"/>
    <x v="18"/>
    <s v="RA Butanox M50"/>
    <n v="2"/>
    <s v="Cash"/>
    <n v="0"/>
    <d v="2022-04-28T00:00:00"/>
    <n v="4"/>
    <n v="2022"/>
    <n v="210"/>
    <n v="-210"/>
    <n v="0"/>
    <n v="1328574.0500000003"/>
    <s v="Cash"/>
    <s v="Trsf 1/5/22 RM6,096.10"/>
    <m/>
  </r>
  <r>
    <x v="190"/>
    <x v="10"/>
    <x v="3"/>
    <x v="254"/>
    <s v="C00000023"/>
    <x v="23"/>
    <s v="Epoxy primer 15kg + Hardener 7.5kg "/>
    <n v="1"/>
    <s v="Cash"/>
    <n v="0"/>
    <d v="2022-04-29T00:00:00"/>
    <n v="4"/>
    <n v="2022"/>
    <n v="1350"/>
    <n v="-1350"/>
    <n v="0"/>
    <n v="1329924.0500000003"/>
    <s v="Cash"/>
    <s v="Trsf 5/5/22 RM1,350.00"/>
    <m/>
  </r>
  <r>
    <x v="191"/>
    <x v="10"/>
    <x v="3"/>
    <x v="255"/>
    <s v="C00000020"/>
    <x v="19"/>
    <s v="RM Nor 3338W (220Kg)"/>
    <n v="4"/>
    <s v="Cash"/>
    <n v="0"/>
    <d v="2022-04-30T00:00:00"/>
    <n v="4"/>
    <n v="2022"/>
    <n v="8360"/>
    <n v="-8360"/>
    <n v="0"/>
    <n v="1338284.0500000003"/>
    <s v="Cash"/>
    <s v="Trsf 23/10/22 RM25,000.00"/>
    <m/>
  </r>
  <r>
    <x v="191"/>
    <x v="10"/>
    <x v="3"/>
    <x v="255"/>
    <s v="C00000020"/>
    <x v="19"/>
    <s v="RM CSM 450 64m(L) 1040mm(W) (30Kg)"/>
    <n v="12"/>
    <s v="Cash"/>
    <n v="0"/>
    <d v="2022-04-30T00:00:00"/>
    <n v="4"/>
    <n v="2022"/>
    <n v="3528"/>
    <n v="-3528"/>
    <n v="0"/>
    <n v="1341812.0500000003"/>
    <s v="Cash"/>
    <s v="Trsf 23/10/22 RM25,000.00(RM3,285.30partial), Trsf 25/10/22 RM25,000.00(RM242.70partial)"/>
    <m/>
  </r>
  <r>
    <x v="191"/>
    <x v="10"/>
    <x v="3"/>
    <x v="255"/>
    <s v="C00000020"/>
    <x v="19"/>
    <s v="RA Woven Roving E-600 (45kg) 1120mm"/>
    <n v="6"/>
    <s v="Cash"/>
    <n v="0"/>
    <d v="2022-04-30T00:00:00"/>
    <n v="4"/>
    <n v="2022"/>
    <n v="2106"/>
    <n v="-2106"/>
    <n v="0"/>
    <n v="1343918.0500000003"/>
    <s v="Cash"/>
    <s v="Trsf 25/10/22 RM25,000.00"/>
    <m/>
  </r>
  <r>
    <x v="191"/>
    <x v="10"/>
    <x v="3"/>
    <x v="255"/>
    <s v="C00000020"/>
    <x v="19"/>
    <s v="RA Talcum Powder (25kg)"/>
    <n v="4"/>
    <s v="Cash"/>
    <n v="0"/>
    <d v="2022-04-30T00:00:00"/>
    <n v="4"/>
    <n v="2022"/>
    <n v="250"/>
    <n v="-250"/>
    <n v="0"/>
    <n v="1344168.0500000003"/>
    <s v="Cash"/>
    <s v="Trsf 23/10/22 RM25,000.00"/>
    <m/>
  </r>
  <r>
    <x v="191"/>
    <x v="10"/>
    <x v="3"/>
    <x v="255"/>
    <s v="C00000020"/>
    <x v="19"/>
    <s v="RM Pigment Smooth Cream (25kg)"/>
    <n v="1"/>
    <s v="Cash"/>
    <n v="0"/>
    <d v="2022-04-30T00:00:00"/>
    <n v="4"/>
    <n v="2022"/>
    <n v="1000"/>
    <n v="-1000"/>
    <n v="0"/>
    <n v="1345168.0500000003"/>
    <s v="Cash"/>
    <s v="Trsf 23/10/22 RM25,000.00"/>
    <m/>
  </r>
  <r>
    <x v="192"/>
    <x v="11"/>
    <x v="3"/>
    <x v="256"/>
    <s v="C00000020"/>
    <x v="19"/>
    <s v="RM Nor 3338W (220Kg)"/>
    <n v="4"/>
    <s v="Cash"/>
    <n v="0"/>
    <d v="2022-05-06T00:00:00"/>
    <n v="5"/>
    <n v="2022"/>
    <n v="8360"/>
    <n v="-8360"/>
    <n v="0"/>
    <n v="1353528.0500000003"/>
    <s v="Cash"/>
    <s v="Trsf 23/10/22 RM25,000.00"/>
    <m/>
  </r>
  <r>
    <x v="192"/>
    <x v="11"/>
    <x v="3"/>
    <x v="256"/>
    <s v="C00000020"/>
    <x v="19"/>
    <s v="RM CSM 450 64m(L) 1040mm(W) (30Kg)"/>
    <n v="4"/>
    <s v="Cash"/>
    <n v="0"/>
    <d v="2022-05-06T00:00:00"/>
    <n v="5"/>
    <n v="2022"/>
    <n v="1176"/>
    <n v="-1176"/>
    <n v="0"/>
    <n v="1354704.0500000003"/>
    <s v="Cash"/>
    <s v="Trsf 23/10/22 RM25,000.00"/>
    <m/>
  </r>
  <r>
    <x v="192"/>
    <x v="11"/>
    <x v="3"/>
    <x v="256"/>
    <s v="C00000020"/>
    <x v="19"/>
    <s v="RA Woven Roving E-600 (45kg) 1120mm"/>
    <n v="4"/>
    <s v="Cash"/>
    <n v="0"/>
    <d v="2022-05-06T00:00:00"/>
    <n v="5"/>
    <n v="2022"/>
    <n v="1404"/>
    <n v="-1404"/>
    <n v="0"/>
    <n v="1356108.0500000003"/>
    <s v="Cash"/>
    <s v="Trsf 23/10/22 RM25,000.00"/>
    <m/>
  </r>
  <r>
    <x v="192"/>
    <x v="11"/>
    <x v="3"/>
    <x v="256"/>
    <s v="C00000020"/>
    <x v="19"/>
    <s v="RA Talcum Powder (25kg)"/>
    <n v="4"/>
    <s v="Cash"/>
    <n v="0"/>
    <d v="2022-05-06T00:00:00"/>
    <n v="5"/>
    <n v="2022"/>
    <n v="250"/>
    <n v="-250"/>
    <n v="0"/>
    <n v="1356358.0500000003"/>
    <s v="Cash"/>
    <s v="Trsf 23/10/22 RM25,000.00"/>
    <m/>
  </r>
  <r>
    <x v="192"/>
    <x v="11"/>
    <x v="3"/>
    <x v="256"/>
    <s v="C00000020"/>
    <x v="19"/>
    <s v="RJ Mepoxe (5kg)"/>
    <n v="4"/>
    <s v="Cash"/>
    <n v="0"/>
    <d v="2022-05-06T00:00:00"/>
    <n v="5"/>
    <n v="2022"/>
    <n v="340"/>
    <n v="-340"/>
    <n v="0"/>
    <n v="1356698.0500000003"/>
    <s v="Cash"/>
    <s v="Trsf 23/10/22 RM25,000.00"/>
    <m/>
  </r>
  <r>
    <x v="192"/>
    <x v="11"/>
    <x v="3"/>
    <x v="257"/>
    <s v="C00000023"/>
    <x v="23"/>
    <s v="Epoxy primer 15kg + Hardener 7.5kg "/>
    <n v="1"/>
    <s v="Cash"/>
    <n v="0"/>
    <d v="2022-05-06T00:00:00"/>
    <n v="5"/>
    <n v="2022"/>
    <n v="1350"/>
    <n v="-1350"/>
    <n v="0"/>
    <n v="1358048.0500000003"/>
    <s v="Cash"/>
    <s v="Trsf 17/5/22 RM1,350.00"/>
    <m/>
  </r>
  <r>
    <x v="193"/>
    <x v="11"/>
    <x v="3"/>
    <x v="258"/>
    <s v="C00000020"/>
    <x v="19"/>
    <s v="RM Nor 3338W (220Kg)"/>
    <n v="4"/>
    <s v="Cash"/>
    <n v="0"/>
    <d v="2022-05-07T00:00:00"/>
    <n v="5"/>
    <n v="2022"/>
    <n v="8360"/>
    <n v="-8360"/>
    <n v="0"/>
    <n v="1366408.0500000003"/>
    <s v="Cash"/>
    <s v="Trsf 23/10/22 RM25,000.00"/>
    <m/>
  </r>
  <r>
    <x v="193"/>
    <x v="11"/>
    <x v="3"/>
    <x v="258"/>
    <s v="C00000020"/>
    <x v="19"/>
    <s v="RM CSM 450 64m(L) 1040mm(W) (30Kg)"/>
    <n v="20"/>
    <s v="Cash"/>
    <n v="0"/>
    <d v="2022-05-07T00:00:00"/>
    <n v="5"/>
    <n v="2022"/>
    <n v="5880"/>
    <n v="-5880"/>
    <n v="0"/>
    <n v="1372288.0500000003"/>
    <s v="Cash"/>
    <s v="Trsf 23/10/22 RM25,000.00(RM1,511.30partial), Trsf 11/11/22 RM3,000.00, Trsf 17/11/22 RM6,000.00(1,368.70partial)"/>
    <m/>
  </r>
  <r>
    <x v="193"/>
    <x v="11"/>
    <x v="3"/>
    <x v="258"/>
    <s v="C00000020"/>
    <x v="19"/>
    <s v="RA Woven Roving E-600 (45kg) 1120mm"/>
    <n v="5"/>
    <s v="Cash"/>
    <n v="0"/>
    <d v="2022-05-07T00:00:00"/>
    <n v="5"/>
    <n v="2022"/>
    <n v="1755"/>
    <n v="-1755"/>
    <n v="0"/>
    <n v="1374043.0500000003"/>
    <s v="Cash"/>
    <s v="Trsf 17/11/22 RM6,000.00(RM1,755.00partial)"/>
    <m/>
  </r>
  <r>
    <x v="193"/>
    <x v="11"/>
    <x v="3"/>
    <x v="258"/>
    <s v="C00000020"/>
    <x v="19"/>
    <s v="RA Talcum Powder (25kg)"/>
    <n v="4"/>
    <s v="Cash"/>
    <n v="0"/>
    <d v="2022-05-07T00:00:00"/>
    <n v="5"/>
    <n v="2022"/>
    <n v="250"/>
    <n v="-250"/>
    <n v="0"/>
    <n v="1374293.0500000003"/>
    <s v="Cash"/>
    <s v="Trsf 17/11/22 RM6,000.00(RM250.00partial)"/>
    <m/>
  </r>
  <r>
    <x v="194"/>
    <x v="11"/>
    <x v="3"/>
    <x v="259"/>
    <s v="C00000009"/>
    <x v="8"/>
    <s v="RM Nor 3338W (220Kg)"/>
    <n v="1"/>
    <s v="T60"/>
    <n v="60"/>
    <d v="2022-07-09T00:00:00"/>
    <n v="7"/>
    <n v="2022"/>
    <n v="1980"/>
    <n v="-1980"/>
    <n v="0"/>
    <n v="1376273.0500000003"/>
    <s v="Term"/>
    <s v="Chq HL 016785 dd 26/9/22"/>
    <m/>
  </r>
  <r>
    <x v="194"/>
    <x v="11"/>
    <x v="3"/>
    <x v="259"/>
    <s v="C00000009"/>
    <x v="8"/>
    <s v="RM Nor 3338NW (220Kg)"/>
    <n v="1"/>
    <s v="T60"/>
    <n v="60"/>
    <d v="2022-07-09T00:00:00"/>
    <n v="7"/>
    <n v="2022"/>
    <n v="1980"/>
    <n v="-1980"/>
    <n v="0"/>
    <n v="1378253.0500000003"/>
    <s v="Term"/>
    <s v="Chq HL 016785 dd 26/9/22"/>
    <m/>
  </r>
  <r>
    <x v="194"/>
    <x v="11"/>
    <x v="3"/>
    <x v="259"/>
    <s v="C00000009"/>
    <x v="8"/>
    <s v="RM CSM 450 (60Kg) 64m(L) x 2080mm(W)"/>
    <n v="2"/>
    <s v="T60"/>
    <n v="60"/>
    <d v="2022-07-09T00:00:00"/>
    <n v="7"/>
    <n v="2022"/>
    <n v="1140"/>
    <n v="-1140"/>
    <n v="0"/>
    <n v="1379393.0500000003"/>
    <s v="Term"/>
    <s v="Chq HL 016785 dd 26/9/22"/>
    <m/>
  </r>
  <r>
    <x v="195"/>
    <x v="11"/>
    <x v="3"/>
    <x v="260"/>
    <s v="C00000006"/>
    <x v="5"/>
    <s v="RA Resin 3338AW (220kg)"/>
    <n v="1"/>
    <s v="Cash"/>
    <n v="0"/>
    <d v="2022-05-11T00:00:00"/>
    <n v="5"/>
    <n v="2022"/>
    <n v="2068"/>
    <n v="-2068"/>
    <n v="0"/>
    <n v="1381461.0500000003"/>
    <s v="Cash"/>
    <s v="RHB 934936 cleared19/7/22-RM2,634.00"/>
    <m/>
  </r>
  <r>
    <x v="195"/>
    <x v="11"/>
    <x v="3"/>
    <x v="260"/>
    <s v="C00000006"/>
    <x v="5"/>
    <s v="RG CSM 300 (30Kg) 64m(L) x 1040mm(W)"/>
    <n v="1"/>
    <s v="Cash"/>
    <n v="0"/>
    <d v="2022-05-11T00:00:00"/>
    <n v="5"/>
    <n v="2022"/>
    <n v="291"/>
    <n v="-291"/>
    <n v="0"/>
    <n v="1381752.0500000003"/>
    <s v="Cash"/>
    <s v="RHB 934936 cleared19/7/22-RM2,634.00"/>
    <m/>
  </r>
  <r>
    <x v="195"/>
    <x v="11"/>
    <x v="3"/>
    <x v="260"/>
    <s v="C00000006"/>
    <x v="5"/>
    <s v="RM Pigment Super Black (5kg)"/>
    <n v="1"/>
    <s v="Cash"/>
    <n v="0"/>
    <d v="2022-05-11T00:00:00"/>
    <n v="5"/>
    <n v="2022"/>
    <n v="175"/>
    <n v="-175"/>
    <n v="0"/>
    <n v="1381927.0500000003"/>
    <s v="Cash"/>
    <s v="RHB 934936 cleared19/7/22-RM2,634.00"/>
    <m/>
  </r>
  <r>
    <x v="196"/>
    <x v="11"/>
    <x v="3"/>
    <x v="261"/>
    <s v="C00000022"/>
    <x v="22"/>
    <s v="RA Nor 3338W (220Kg)"/>
    <n v="1"/>
    <s v="Cash"/>
    <n v="0"/>
    <d v="2022-05-12T00:00:00"/>
    <n v="5"/>
    <n v="2022"/>
    <n v="2112"/>
    <n v="-2112"/>
    <n v="0"/>
    <n v="1384039.0500000003"/>
    <s v="Cash"/>
    <s v="Trsf 28/7/22 RM3,000.00"/>
    <m/>
  </r>
  <r>
    <x v="196"/>
    <x v="11"/>
    <x v="3"/>
    <x v="261"/>
    <s v="C00000022"/>
    <x v="22"/>
    <s v="RA CSM 300 (54Kg) 1860mm"/>
    <n v="2"/>
    <s v="Cash"/>
    <n v="0"/>
    <d v="2022-05-12T00:00:00"/>
    <n v="5"/>
    <n v="2022"/>
    <n v="1058.4000000000001"/>
    <n v="-1058.4000000000001"/>
    <n v="0"/>
    <n v="1385097.4500000002"/>
    <s v="Cash"/>
    <s v="Trsf 28/7/22 RM3,000.00(RM888.00partial), Trsf 25/9/22 RM3,000.00(RM170.40partial)"/>
    <m/>
  </r>
  <r>
    <x v="196"/>
    <x v="11"/>
    <x v="3"/>
    <x v="261"/>
    <s v="C00000022"/>
    <x v="22"/>
    <s v="RA Woven Roving E-600 (45kg) 1120mm"/>
    <n v="1"/>
    <s v="Cash"/>
    <n v="0"/>
    <d v="2022-05-12T00:00:00"/>
    <n v="5"/>
    <n v="2022"/>
    <n v="337.5"/>
    <n v="-337.5"/>
    <n v="0"/>
    <n v="1385434.9500000002"/>
    <s v="Cash"/>
    <s v="Trsf 25/9/22 RM3,000.00, Trsd "/>
    <m/>
  </r>
  <r>
    <x v="196"/>
    <x v="11"/>
    <x v="3"/>
    <x v="261"/>
    <s v="C00000022"/>
    <x v="22"/>
    <s v="RM Pgment Opaline (10Kg)"/>
    <n v="1"/>
    <s v="Cash"/>
    <n v="0"/>
    <d v="2022-05-12T00:00:00"/>
    <n v="5"/>
    <n v="2022"/>
    <n v="450"/>
    <n v="-450"/>
    <n v="0"/>
    <n v="1385884.9500000002"/>
    <s v="Cash"/>
    <s v="Trsf 25/9/22 RM3,000.00"/>
    <m/>
  </r>
  <r>
    <x v="196"/>
    <x v="11"/>
    <x v="3"/>
    <x v="261"/>
    <s v="C00000022"/>
    <x v="22"/>
    <s v="RM Gelcoat GPH (20Kg)"/>
    <n v="1"/>
    <s v="Cash"/>
    <n v="0"/>
    <d v="2022-05-12T00:00:00"/>
    <n v="5"/>
    <n v="2022"/>
    <n v="270"/>
    <n v="-270"/>
    <n v="0"/>
    <n v="1386154.9500000002"/>
    <s v="Cash"/>
    <s v="Trsf 25/9/22 RM3,000.00"/>
    <m/>
  </r>
  <r>
    <x v="196"/>
    <x v="11"/>
    <x v="3"/>
    <x v="261"/>
    <s v="C00000022"/>
    <x v="22"/>
    <s v="RM Catalyst Despender"/>
    <n v="2"/>
    <s v="Cash"/>
    <n v="0"/>
    <d v="2022-05-12T00:00:00"/>
    <n v="5"/>
    <n v="2022"/>
    <n v="90"/>
    <n v="-90"/>
    <n v="0"/>
    <n v="1386244.9500000002"/>
    <s v="Cash"/>
    <s v="Trsf 25/9/22 RM3,000.00"/>
    <m/>
  </r>
  <r>
    <x v="196"/>
    <x v="11"/>
    <x v="3"/>
    <x v="262"/>
    <s v="C00000024"/>
    <x v="24"/>
    <s v="RM Resin Nor 3317AW (220Kg)"/>
    <n v="2"/>
    <s v="Cash"/>
    <n v="0"/>
    <d v="2022-05-12T00:00:00"/>
    <n v="5"/>
    <n v="2022"/>
    <n v="4180"/>
    <n v="-4180"/>
    <n v="0"/>
    <n v="1390424.9500000002"/>
    <s v="Cash"/>
    <s v="PIB 091987Cleared13/5/22-RM8,524.50"/>
    <m/>
  </r>
  <r>
    <x v="196"/>
    <x v="11"/>
    <x v="3"/>
    <x v="262"/>
    <s v="C00000024"/>
    <x v="24"/>
    <s v="RM CSM 450 (60Kg) 64m(L) x 2080mm(W)"/>
    <n v="3"/>
    <s v="Cash"/>
    <n v="0"/>
    <d v="2022-05-12T00:00:00"/>
    <n v="5"/>
    <n v="2022"/>
    <n v="1764"/>
    <n v="-1764"/>
    <n v="0"/>
    <n v="1392188.9500000002"/>
    <s v="Cash"/>
    <s v="PIB 091987Cleared13/5/22-RM8,524.50"/>
    <m/>
  </r>
  <r>
    <x v="196"/>
    <x v="11"/>
    <x v="3"/>
    <x v="262"/>
    <s v="C00000024"/>
    <x v="24"/>
    <s v="RA Woven Roving E-600 (45kg) 1120mm"/>
    <n v="3"/>
    <s v="Cash"/>
    <n v="0"/>
    <d v="2022-05-12T00:00:00"/>
    <n v="5"/>
    <n v="2022"/>
    <n v="1053"/>
    <n v="-1053"/>
    <n v="0"/>
    <n v="1393241.9500000002"/>
    <s v="Cash"/>
    <s v="PIB 091987Cleared13/5/22-RM8,524.50"/>
    <m/>
  </r>
  <r>
    <x v="196"/>
    <x v="11"/>
    <x v="3"/>
    <x v="262"/>
    <s v="C00000024"/>
    <x v="24"/>
    <s v="RA Talcum Powder (25kg)"/>
    <n v="3"/>
    <s v="Cash"/>
    <n v="0"/>
    <d v="2022-05-12T00:00:00"/>
    <n v="5"/>
    <n v="2022"/>
    <n v="187.5"/>
    <n v="-187.5"/>
    <n v="0"/>
    <n v="1393429.4500000002"/>
    <s v="Cash"/>
    <s v="PIB 091987Cleared13/5/22-RM8,524.50"/>
    <m/>
  </r>
  <r>
    <x v="196"/>
    <x v="11"/>
    <x v="3"/>
    <x v="262"/>
    <s v="C00000024"/>
    <x v="24"/>
    <s v="RJ Mepoxe (5kg)"/>
    <n v="4"/>
    <s v="Cash"/>
    <n v="0"/>
    <d v="2022-05-12T00:00:00"/>
    <n v="5"/>
    <n v="2022"/>
    <n v="340"/>
    <n v="-340"/>
    <n v="0"/>
    <n v="1393769.4500000002"/>
    <s v="Cash"/>
    <s v="PIB 091987Cleared13/5/22-RM8,524.50"/>
    <m/>
  </r>
  <r>
    <x v="196"/>
    <x v="11"/>
    <x v="3"/>
    <x v="262"/>
    <s v="C00000024"/>
    <x v="24"/>
    <s v="RM Pigment Smooth Cream (25kg)"/>
    <n v="1"/>
    <s v="Cash"/>
    <n v="0"/>
    <d v="2022-05-12T00:00:00"/>
    <n v="5"/>
    <n v="2022"/>
    <n v="1000"/>
    <n v="-1000"/>
    <n v="0"/>
    <n v="1394769.4500000002"/>
    <s v="Cash"/>
    <s v="PIB 091987Cleared13/5/22-RM8,524.50"/>
    <m/>
  </r>
  <r>
    <x v="197"/>
    <x v="11"/>
    <x v="3"/>
    <x v="263"/>
    <s v="C00000006"/>
    <x v="5"/>
    <s v="RG TR104 Hi Temp Wax"/>
    <n v="2"/>
    <s v="Cash"/>
    <n v="0"/>
    <d v="2022-05-14T00:00:00"/>
    <n v="5"/>
    <n v="2022"/>
    <n v="100"/>
    <n v="-100"/>
    <n v="0"/>
    <n v="1394869.4500000002"/>
    <s v="Cash"/>
    <s v="RHB 934936 cleared19/7/22-RM2,634.00"/>
    <m/>
  </r>
  <r>
    <x v="197"/>
    <x v="11"/>
    <x v="3"/>
    <x v="264"/>
    <s v="C00000020"/>
    <x v="19"/>
    <s v="RM Resin Nor 3317AW (220Kg)"/>
    <n v="3"/>
    <s v="Cash"/>
    <n v="0"/>
    <d v="2022-05-14T00:00:00"/>
    <n v="5"/>
    <n v="2022"/>
    <n v="6270"/>
    <n v="-6270"/>
    <n v="0"/>
    <n v="1401139.4500000002"/>
    <s v="Cash"/>
    <s v="Trsf 17/11/22 RM6,000.00(RM2,626.30partial), Trsf 28/11/22 RM2,500.00, Trsf 29/11/22 RM1,000.00, Trsf 1/12/22 RM11,000.00(RM143.70partial)"/>
    <m/>
  </r>
  <r>
    <x v="197"/>
    <x v="11"/>
    <x v="3"/>
    <x v="264"/>
    <s v="C00000020"/>
    <x v="19"/>
    <s v="RM CSM 450 (60Kg) 64m(L) x 2080mm(W)"/>
    <n v="4"/>
    <s v="Cash"/>
    <n v="0"/>
    <d v="2022-05-14T00:00:00"/>
    <n v="5"/>
    <n v="2022"/>
    <n v="2352"/>
    <n v="-2352"/>
    <n v="0"/>
    <n v="1403491.4500000002"/>
    <s v="Cash"/>
    <s v="Trsf 1/12/22 RM11,000.00"/>
    <m/>
  </r>
  <r>
    <x v="197"/>
    <x v="11"/>
    <x v="3"/>
    <x v="264"/>
    <s v="C00000020"/>
    <x v="19"/>
    <s v="RJ Woven Roving E-600gm 1000mm (40Kg)"/>
    <n v="5"/>
    <s v="Cash"/>
    <n v="0"/>
    <d v="2022-05-14T00:00:00"/>
    <n v="5"/>
    <n v="2022"/>
    <n v="1560"/>
    <n v="-1560"/>
    <n v="0"/>
    <n v="1405051.4500000002"/>
    <s v="Cash"/>
    <s v="Trsf 1/12/22 RM11,000.00"/>
    <m/>
  </r>
  <r>
    <x v="197"/>
    <x v="11"/>
    <x v="3"/>
    <x v="264"/>
    <s v="C00000020"/>
    <x v="19"/>
    <s v="RA Talcum Powder (25kg)"/>
    <n v="3"/>
    <s v="Cash"/>
    <n v="0"/>
    <d v="2022-05-14T00:00:00"/>
    <n v="5"/>
    <n v="2022"/>
    <n v="187.5"/>
    <n v="-187.5"/>
    <n v="0"/>
    <n v="1405238.9500000002"/>
    <s v="Cash"/>
    <s v="Trsf 1/12/22 RM11,000.00"/>
    <m/>
  </r>
  <r>
    <x v="198"/>
    <x v="11"/>
    <x v="3"/>
    <x v="265"/>
    <s v="C00000003"/>
    <x v="2"/>
    <s v="RA Resin 3317AW (220Kg)"/>
    <n v="3"/>
    <s v="T45"/>
    <n v="45"/>
    <d v="2022-06-30T00:00:00"/>
    <n v="6"/>
    <n v="2022"/>
    <n v="6336"/>
    <n v="-6336"/>
    <n v="0"/>
    <n v="1411574.9500000002"/>
    <s v="Term"/>
    <s v="RHB 000388cleared20/6/22-RM2,000.00(partial), 9cleared27/6/22-RM2,000.00(partial), RHB 00391 4/7/22cleared-RM1,336.00, RHB 00390 12/7/22cleared-RM2,000.00(partial)"/>
    <m/>
  </r>
  <r>
    <x v="198"/>
    <x v="11"/>
    <x v="3"/>
    <x v="265"/>
    <s v="C00000003"/>
    <x v="2"/>
    <s v="RA Talcum Powder (25kg)"/>
    <n v="5"/>
    <s v="T45"/>
    <n v="45"/>
    <d v="2022-06-30T00:00:00"/>
    <n v="6"/>
    <n v="2022"/>
    <n v="325"/>
    <n v="-325"/>
    <n v="0"/>
    <n v="1411899.9500000002"/>
    <s v="Term"/>
    <s v="4/7/22cleared-RM1,336.00, RHB 00390 12/7/22cleared-RM2,000.00(partial)"/>
    <m/>
  </r>
  <r>
    <x v="198"/>
    <x v="11"/>
    <x v="3"/>
    <x v="265"/>
    <s v="C00000003"/>
    <x v="2"/>
    <s v="RA Butanox M50 (5Kg)"/>
    <n v="6"/>
    <s v="T45"/>
    <n v="45"/>
    <d v="2022-06-30T00:00:00"/>
    <n v="6"/>
    <n v="2022"/>
    <n v="630"/>
    <n v="-630"/>
    <n v="0"/>
    <n v="1412529.9500000002"/>
    <s v="Term"/>
    <s v="RHB 00390 12/7/22cleared-RM2,000.00(partial)"/>
    <m/>
  </r>
  <r>
    <x v="198"/>
    <x v="11"/>
    <x v="3"/>
    <x v="265"/>
    <s v="C00000003"/>
    <x v="2"/>
    <s v="RA Miracle Gloss Wax"/>
    <n v="1"/>
    <s v="T45"/>
    <n v="45"/>
    <d v="2022-06-30T00:00:00"/>
    <n v="6"/>
    <n v="2022"/>
    <n v="45"/>
    <n v="-45"/>
    <n v="0"/>
    <n v="1412574.9500000002"/>
    <s v="Term"/>
    <s v="RHB 00390 12/7/22cleared-RM2,000.00(partial)"/>
    <m/>
  </r>
  <r>
    <x v="199"/>
    <x v="11"/>
    <x v="3"/>
    <x v="266"/>
    <s v="C00000020"/>
    <x v="19"/>
    <s v="RM Resin Nor 3317AW (220Kg)"/>
    <n v="2"/>
    <s v="Cash"/>
    <n v="0"/>
    <d v="2022-05-18T00:00:00"/>
    <n v="5"/>
    <n v="2022"/>
    <n v="4180"/>
    <n v="-4180"/>
    <n v="0"/>
    <n v="1416754.9500000002"/>
    <s v="Cash"/>
    <s v="Trsf 1/12/22 RM11,000.00"/>
    <m/>
  </r>
  <r>
    <x v="199"/>
    <x v="11"/>
    <x v="3"/>
    <x v="266"/>
    <s v="C00000020"/>
    <x v="19"/>
    <s v="RM CSM 450 (60Kg) 64m(L) x 2080mm(W)"/>
    <n v="2"/>
    <s v="Cash"/>
    <n v="0"/>
    <d v="2022-05-18T00:00:00"/>
    <n v="5"/>
    <n v="2022"/>
    <n v="1176"/>
    <n v="-1176"/>
    <n v="0"/>
    <n v="1417930.9500000002"/>
    <s v="Cash"/>
    <s v="Trsf 1/12/22 RM11,000.00"/>
    <m/>
  </r>
  <r>
    <x v="199"/>
    <x v="11"/>
    <x v="3"/>
    <x v="266"/>
    <s v="C00000020"/>
    <x v="19"/>
    <s v="RJ Woven Roving E-600gm 1000mm (40Kg)"/>
    <n v="3"/>
    <s v="Cash"/>
    <n v="0"/>
    <d v="2022-05-18T00:00:00"/>
    <n v="5"/>
    <n v="2022"/>
    <n v="936"/>
    <n v="-936"/>
    <n v="0"/>
    <n v="1418866.9500000002"/>
    <s v="Cash"/>
    <s v="Trsf 1/12/22 RM11,000.00"/>
    <m/>
  </r>
  <r>
    <x v="199"/>
    <x v="11"/>
    <x v="3"/>
    <x v="266"/>
    <s v="C00000020"/>
    <x v="19"/>
    <s v="RA Talcum Powder (25kg)"/>
    <n v="2"/>
    <s v="Cash"/>
    <n v="0"/>
    <d v="2022-05-18T00:00:00"/>
    <n v="5"/>
    <n v="2022"/>
    <n v="125"/>
    <n v="-125"/>
    <n v="0"/>
    <n v="1418991.9500000002"/>
    <s v="Cash"/>
    <s v="Trsf 1/12/22 RM11,000.00"/>
    <m/>
  </r>
  <r>
    <x v="199"/>
    <x v="11"/>
    <x v="3"/>
    <x v="266"/>
    <s v="C00000020"/>
    <x v="19"/>
    <s v="RM Pigment Smooth Cream (25kg)"/>
    <n v="2"/>
    <s v="Cash"/>
    <n v="0"/>
    <d v="2022-05-18T00:00:00"/>
    <n v="5"/>
    <n v="2022"/>
    <n v="2000"/>
    <n v="-2000"/>
    <n v="0"/>
    <n v="1420991.9500000002"/>
    <s v="Cash"/>
    <s v="Trsf 1/12/22 RM11,000.00(RM339.800partial), Trsf 5/12/22 RM50,000.00(RM1,660.20partial), "/>
    <m/>
  </r>
  <r>
    <x v="200"/>
    <x v="11"/>
    <x v="3"/>
    <x v="267"/>
    <s v="C00000021"/>
    <x v="21"/>
    <s v="RM Resin 3317AW (220Kg)"/>
    <n v="1"/>
    <s v="Cash"/>
    <n v="0"/>
    <d v="2022-05-19T00:00:00"/>
    <n v="5"/>
    <n v="2022"/>
    <n v="2068"/>
    <n v="-2068"/>
    <n v="0"/>
    <n v="1423059.9500000002"/>
    <s v="Cash"/>
    <s v="Chq PBB 395365, cleared170822 RM3,484.00"/>
    <m/>
  </r>
  <r>
    <x v="200"/>
    <x v="11"/>
    <x v="3"/>
    <x v="267"/>
    <s v="C00000021"/>
    <x v="21"/>
    <s v="RM CSM 450 64m(L) 1040mm(W) (30Kg)"/>
    <n v="3"/>
    <s v="Cash"/>
    <n v="0"/>
    <d v="2022-05-19T00:00:00"/>
    <n v="5"/>
    <n v="2022"/>
    <n v="864"/>
    <n v="-864"/>
    <n v="0"/>
    <n v="1423923.9500000002"/>
    <s v="Cash"/>
    <s v="Chq PBB 395365, cleared170822 RM3,484.00"/>
    <m/>
  </r>
  <r>
    <x v="200"/>
    <x v="11"/>
    <x v="3"/>
    <x v="267"/>
    <s v="C00000021"/>
    <x v="21"/>
    <s v="RA Miracle Gloss Wax No. 8 (311g/Can)"/>
    <n v="12"/>
    <s v="Cash"/>
    <n v="0"/>
    <d v="2022-05-19T00:00:00"/>
    <n v="5"/>
    <n v="2022"/>
    <n v="552"/>
    <n v="-552"/>
    <n v="0"/>
    <n v="1424475.9500000002"/>
    <s v="Cash"/>
    <s v="Chq PBB 395365, cleared170822 RM3,484.00"/>
    <m/>
  </r>
  <r>
    <x v="201"/>
    <x v="11"/>
    <x v="3"/>
    <x v="268"/>
    <s v="C00000020"/>
    <x v="19"/>
    <s v="RM Resin Nor 3317AW (220Kg)"/>
    <n v="4"/>
    <s v="Cash"/>
    <n v="0"/>
    <d v="2022-05-20T00:00:00"/>
    <n v="5"/>
    <n v="2022"/>
    <n v="8360"/>
    <n v="-8360"/>
    <n v="0"/>
    <n v="1432835.9500000002"/>
    <s v="Cash"/>
    <s v="Trsf 5/12/22 RM50,000.00"/>
    <m/>
  </r>
  <r>
    <x v="201"/>
    <x v="11"/>
    <x v="3"/>
    <x v="268"/>
    <s v="C00000020"/>
    <x v="19"/>
    <s v="RM CSM 450 (60Kg) 64m(L) x 2080mm(W)"/>
    <n v="5"/>
    <s v="Cash"/>
    <n v="0"/>
    <d v="2022-05-20T00:00:00"/>
    <n v="5"/>
    <n v="2022"/>
    <n v="2940"/>
    <n v="-2940"/>
    <n v="0"/>
    <n v="1435775.9500000002"/>
    <s v="Cash"/>
    <s v="Trsf 5/12/22 RM50,000.00"/>
    <m/>
  </r>
  <r>
    <x v="201"/>
    <x v="11"/>
    <x v="3"/>
    <x v="268"/>
    <s v="C00000020"/>
    <x v="19"/>
    <s v="RJ Woven Roving E-600gm 1000mm (40Kg)"/>
    <n v="5"/>
    <s v="Cash"/>
    <n v="0"/>
    <d v="2022-05-20T00:00:00"/>
    <n v="5"/>
    <n v="2022"/>
    <n v="1560"/>
    <n v="-1560"/>
    <n v="0"/>
    <n v="1437335.9500000002"/>
    <s v="Cash"/>
    <s v="Trsf 5/12/22 RM50,000.00"/>
    <m/>
  </r>
  <r>
    <x v="201"/>
    <x v="11"/>
    <x v="3"/>
    <x v="268"/>
    <s v="C00000020"/>
    <x v="19"/>
    <s v="RA Talcum Powder (25kg)"/>
    <n v="4"/>
    <s v="Cash"/>
    <n v="0"/>
    <d v="2022-05-20T00:00:00"/>
    <n v="5"/>
    <n v="2022"/>
    <n v="250"/>
    <n v="-250"/>
    <n v="0"/>
    <n v="1437585.9500000002"/>
    <s v="Cash"/>
    <s v="Trsf 5/12/22 RM50,000.00"/>
    <m/>
  </r>
  <r>
    <x v="202"/>
    <x v="11"/>
    <x v="3"/>
    <x v="269"/>
    <s v="C00000026"/>
    <x v="26"/>
    <s v="RM CSM 450 64m(L) X 1860mm(W) (54kg)"/>
    <n v="1"/>
    <s v="Cash"/>
    <n v="0"/>
    <d v="2022-05-21T00:00:00"/>
    <n v="5"/>
    <n v="2022"/>
    <n v="534.6"/>
    <n v="-534.6"/>
    <n v="0"/>
    <n v="1438120.5500000003"/>
    <s v="Cash"/>
    <s v="Trsf 24/5/22 RM1,239.60"/>
    <m/>
  </r>
  <r>
    <x v="202"/>
    <x v="11"/>
    <x v="3"/>
    <x v="269"/>
    <s v="C00000026"/>
    <x v="26"/>
    <s v="RM Dark Gray (5Kg)"/>
    <n v="1"/>
    <s v="Cash"/>
    <n v="0"/>
    <d v="2022-05-21T00:00:00"/>
    <n v="5"/>
    <n v="2022"/>
    <n v="165"/>
    <n v="-165"/>
    <n v="0"/>
    <n v="1438285.5500000003"/>
    <s v="Cash"/>
    <s v="Trsf 24/5/22 RM1,239.60"/>
    <m/>
  </r>
  <r>
    <x v="202"/>
    <x v="11"/>
    <x v="3"/>
    <x v="269"/>
    <s v="C00000026"/>
    <x v="26"/>
    <s v="RJ Mepoxe (5kg)"/>
    <n v="1"/>
    <s v="Cash"/>
    <n v="0"/>
    <d v="2022-05-21T00:00:00"/>
    <n v="5"/>
    <n v="2022"/>
    <n v="90"/>
    <n v="-90"/>
    <n v="0"/>
    <n v="1438375.5500000003"/>
    <s v="Cash"/>
    <s v="Trsf 24/5/22 RM1,239.60"/>
    <m/>
  </r>
  <r>
    <x v="202"/>
    <x v="11"/>
    <x v="3"/>
    <x v="269"/>
    <s v="C00000026"/>
    <x v="26"/>
    <s v="RM Fume silica HJSIL 200(10Kg)"/>
    <n v="1"/>
    <s v="Cash"/>
    <n v="0"/>
    <d v="2022-05-21T00:00:00"/>
    <n v="5"/>
    <n v="2022"/>
    <n v="450"/>
    <n v="-450"/>
    <n v="0"/>
    <n v="1438825.5500000003"/>
    <s v="Cash"/>
    <s v="Trsf 24/5/22 RM1,239.60"/>
    <m/>
  </r>
  <r>
    <x v="202"/>
    <x v="11"/>
    <x v="3"/>
    <x v="270"/>
    <s v="C00000020"/>
    <x v="19"/>
    <s v="RM Resin Nor 3317AW (220Kg)"/>
    <n v="4"/>
    <s v="Cash"/>
    <n v="0"/>
    <d v="2022-05-21T00:00:00"/>
    <n v="5"/>
    <n v="2022"/>
    <n v="8360"/>
    <n v="-8360"/>
    <n v="0"/>
    <n v="1447185.5500000003"/>
    <s v="Cash"/>
    <s v="Trsf 5/12/22 RM50,000.00"/>
    <m/>
  </r>
  <r>
    <x v="202"/>
    <x v="11"/>
    <x v="3"/>
    <x v="270"/>
    <s v="C00000020"/>
    <x v="19"/>
    <s v="RM CSM 450 64m(L) 1040mm(W) (30Kg)"/>
    <n v="10"/>
    <s v="Cash"/>
    <n v="0"/>
    <d v="2022-05-21T00:00:00"/>
    <n v="5"/>
    <n v="2022"/>
    <n v="2940"/>
    <n v="-2940"/>
    <n v="0"/>
    <n v="1450125.5500000003"/>
    <s v="Cash"/>
    <s v="Trsf 5/12/22 RM50,000.00"/>
    <m/>
  </r>
  <r>
    <x v="202"/>
    <x v="11"/>
    <x v="3"/>
    <x v="270"/>
    <s v="C00000020"/>
    <x v="19"/>
    <s v="RJ Woven Roving E-600gm 1000mm (40Kg)"/>
    <n v="5"/>
    <s v="Cash"/>
    <n v="0"/>
    <d v="2022-05-21T00:00:00"/>
    <n v="5"/>
    <n v="2022"/>
    <n v="1560"/>
    <n v="-1560"/>
    <n v="0"/>
    <n v="1451685.5500000003"/>
    <s v="Cash"/>
    <s v="Trsf 5/12/22 RM50,000.00"/>
    <m/>
  </r>
  <r>
    <x v="202"/>
    <x v="11"/>
    <x v="3"/>
    <x v="270"/>
    <s v="C00000020"/>
    <x v="19"/>
    <s v="RA Talcum Powder (25kg)"/>
    <n v="4"/>
    <s v="Cash"/>
    <n v="0"/>
    <d v="2022-05-21T00:00:00"/>
    <n v="5"/>
    <n v="2022"/>
    <n v="250"/>
    <n v="-250"/>
    <n v="0"/>
    <n v="1451935.5500000003"/>
    <s v="Cash"/>
    <s v="Trsf 5/12/22 RM50,000.00"/>
    <m/>
  </r>
  <r>
    <x v="203"/>
    <x v="11"/>
    <x v="3"/>
    <x v="271"/>
    <s v="C00000010"/>
    <x v="9"/>
    <s v="RM Resin 3338AW (220kg)"/>
    <n v="6"/>
    <s v="T120"/>
    <n v="120"/>
    <d v="2022-09-20T00:00:00"/>
    <n v="9"/>
    <n v="2022"/>
    <n v="11880"/>
    <n v="-11880"/>
    <n v="0"/>
    <n v="1463815.5500000003"/>
    <s v="Term"/>
    <s v="Trsf 23/8/22 RM14,715.00"/>
    <m/>
  </r>
  <r>
    <x v="203"/>
    <x v="11"/>
    <x v="3"/>
    <x v="271"/>
    <s v="C00000010"/>
    <x v="9"/>
    <s v="RM CSM 450 64m(L) 1040mm(W) (30Kg)"/>
    <n v="5"/>
    <s v="T120"/>
    <n v="120"/>
    <d v="2022-09-20T00:00:00"/>
    <n v="9"/>
    <n v="2022"/>
    <n v="1425"/>
    <n v="-1425"/>
    <n v="0"/>
    <n v="1465240.5500000003"/>
    <s v="Term"/>
    <s v="Trsf 23/8/22 RM14,715.00"/>
    <m/>
  </r>
  <r>
    <x v="203"/>
    <x v="11"/>
    <x v="3"/>
    <x v="271"/>
    <s v="C00000010"/>
    <x v="9"/>
    <s v="RM Talcum Powder (25kg)"/>
    <n v="10"/>
    <s v="T120"/>
    <n v="120"/>
    <d v="2022-09-20T00:00:00"/>
    <n v="9"/>
    <n v="2022"/>
    <n v="550"/>
    <n v="-550"/>
    <n v="0"/>
    <n v="1465790.5500000003"/>
    <s v="Term"/>
    <s v="Trsf 23/8/22 RM14,715.00"/>
    <m/>
  </r>
  <r>
    <x v="203"/>
    <x v="11"/>
    <x v="3"/>
    <x v="271"/>
    <s v="C00000010"/>
    <x v="9"/>
    <s v="RA Butanox M50"/>
    <n v="4"/>
    <s v="T120"/>
    <n v="120"/>
    <d v="2022-09-20T00:00:00"/>
    <n v="9"/>
    <n v="2022"/>
    <n v="420"/>
    <n v="-420"/>
    <n v="0"/>
    <n v="1466210.5500000003"/>
    <s v="Term"/>
    <s v="Trsf 23/8/22 RM14,715.00"/>
    <m/>
  </r>
  <r>
    <x v="203"/>
    <x v="11"/>
    <x v="3"/>
    <x v="271"/>
    <s v="C00000010"/>
    <x v="9"/>
    <s v="RM Fume silica HJSIL 200(10Kg)"/>
    <n v="1"/>
    <s v="T120"/>
    <n v="120"/>
    <d v="2022-09-20T00:00:00"/>
    <n v="9"/>
    <n v="2022"/>
    <n v="440"/>
    <n v="-440"/>
    <n v="0"/>
    <n v="1466650.5500000003"/>
    <s v="Term"/>
    <s v="Trsf 23/8/22 RM14,715.00"/>
    <m/>
  </r>
  <r>
    <x v="203"/>
    <x v="11"/>
    <x v="3"/>
    <x v="272"/>
    <s v="C00000020"/>
    <x v="19"/>
    <s v="RM Resin Nor 3317AW (220Kg)"/>
    <n v="2"/>
    <s v="Cash"/>
    <n v="0"/>
    <d v="2022-05-23T00:00:00"/>
    <n v="5"/>
    <n v="2022"/>
    <n v="4180"/>
    <n v="-4180"/>
    <n v="0"/>
    <n v="1470830.5500000003"/>
    <s v="Cash"/>
    <s v="Trsf 5/12/22 RM50,000.00"/>
    <m/>
  </r>
  <r>
    <x v="203"/>
    <x v="11"/>
    <x v="3"/>
    <x v="272"/>
    <s v="C00000020"/>
    <x v="19"/>
    <s v="RM CSM 450 64m(L) 1040mm(W) (30Kg)"/>
    <n v="5"/>
    <s v="Cash"/>
    <n v="0"/>
    <d v="2022-05-23T00:00:00"/>
    <n v="5"/>
    <n v="2022"/>
    <n v="1470"/>
    <n v="-1470"/>
    <n v="0"/>
    <n v="1472300.5500000003"/>
    <s v="Cash"/>
    <s v="Trsf 5/12/22 RM50,000.00"/>
    <m/>
  </r>
  <r>
    <x v="203"/>
    <x v="11"/>
    <x v="3"/>
    <x v="272"/>
    <s v="C00000020"/>
    <x v="19"/>
    <s v="RJ Woven Roving E-600gm 1000mm (40Kg)"/>
    <n v="2"/>
    <s v="Cash"/>
    <n v="0"/>
    <d v="2022-05-23T00:00:00"/>
    <n v="5"/>
    <n v="2022"/>
    <n v="624"/>
    <n v="-624"/>
    <n v="0"/>
    <n v="1472924.5500000003"/>
    <s v="Cash"/>
    <s v="Trsf 5/12/22 RM50,000.00"/>
    <m/>
  </r>
  <r>
    <x v="203"/>
    <x v="11"/>
    <x v="3"/>
    <x v="272"/>
    <s v="C00000020"/>
    <x v="19"/>
    <s v="RA  Woven Roing 600 1120mm (45kg)"/>
    <n v="1"/>
    <s v="Cash"/>
    <n v="0"/>
    <d v="2022-05-23T00:00:00"/>
    <n v="5"/>
    <n v="2022"/>
    <n v="351"/>
    <n v="-351"/>
    <n v="0"/>
    <n v="1473275.5500000003"/>
    <s v="Cash"/>
    <s v="Trsf 5/12/22 RM50,000.00"/>
    <m/>
  </r>
  <r>
    <x v="203"/>
    <x v="11"/>
    <x v="3"/>
    <x v="272"/>
    <s v="C00000020"/>
    <x v="19"/>
    <s v="RM Talcum Powder (25kg)"/>
    <n v="2"/>
    <s v="Cash"/>
    <n v="0"/>
    <d v="2022-05-23T00:00:00"/>
    <n v="5"/>
    <n v="2022"/>
    <n v="125"/>
    <n v="-125"/>
    <n v="0"/>
    <n v="1473400.5500000003"/>
    <s v="Cash"/>
    <s v="Trsf 5/12/22 RM50,000.00"/>
    <m/>
  </r>
  <r>
    <x v="203"/>
    <x v="11"/>
    <x v="3"/>
    <x v="273"/>
    <s v="C00000019"/>
    <x v="18"/>
    <s v="RM Nor 3338W (220Kg)"/>
    <n v="2"/>
    <s v="Cash"/>
    <n v="0"/>
    <d v="2022-05-23T00:00:00"/>
    <n v="5"/>
    <n v="2022"/>
    <n v="4136"/>
    <n v="-4136"/>
    <n v="0"/>
    <n v="1477536.5500000003"/>
    <s v="Cash"/>
    <s v="Trsf 24/5/22, RM6,201.10"/>
    <m/>
  </r>
  <r>
    <x v="203"/>
    <x v="11"/>
    <x v="3"/>
    <x v="273"/>
    <s v="C00000019"/>
    <x v="18"/>
    <s v="RM CSM 450 64m(L) X 1860mm(W) (54kg)"/>
    <n v="2"/>
    <s v="Cash"/>
    <n v="0"/>
    <d v="2022-05-23T00:00:00"/>
    <n v="5"/>
    <n v="2022"/>
    <n v="1047.5999999999999"/>
    <n v="-1047.5999999999999"/>
    <n v="0"/>
    <n v="1478584.1500000004"/>
    <s v="Cash"/>
    <s v="Trsf 24/5/22, RM6,201.10"/>
    <m/>
  </r>
  <r>
    <x v="203"/>
    <x v="11"/>
    <x v="3"/>
    <x v="273"/>
    <s v="C00000019"/>
    <x v="18"/>
    <s v="RM Talcum Powder (25kg)"/>
    <n v="3"/>
    <s v="Cash"/>
    <n v="0"/>
    <d v="2022-05-23T00:00:00"/>
    <n v="5"/>
    <n v="2022"/>
    <n v="187.5"/>
    <n v="-187.5"/>
    <n v="0"/>
    <n v="1478771.6500000004"/>
    <s v="Cash"/>
    <s v="Trsf 24/5/22, RM6,201.10"/>
    <m/>
  </r>
  <r>
    <x v="203"/>
    <x v="11"/>
    <x v="3"/>
    <x v="273"/>
    <s v="C00000019"/>
    <x v="18"/>
    <s v="RE Frekote 770NC (1 Gallon)"/>
    <n v="1"/>
    <s v="Cash"/>
    <n v="0"/>
    <d v="2022-05-23T00:00:00"/>
    <n v="5"/>
    <n v="2022"/>
    <n v="390"/>
    <n v="-390"/>
    <n v="0"/>
    <n v="1479161.6500000004"/>
    <s v="Cash"/>
    <s v="Trsf 24/5/22, RM6,201.10"/>
    <m/>
  </r>
  <r>
    <x v="203"/>
    <x v="11"/>
    <x v="3"/>
    <x v="273"/>
    <s v="C00000019"/>
    <x v="18"/>
    <s v="RM Fume silica HJSIL 200(10Kg)"/>
    <n v="1"/>
    <s v="Cash"/>
    <n v="0"/>
    <d v="2022-05-23T00:00:00"/>
    <n v="5"/>
    <n v="2022"/>
    <n v="440"/>
    <n v="-440"/>
    <n v="0"/>
    <n v="1479601.6500000004"/>
    <s v="Cash"/>
    <s v="Trsf 24/5/22, RM6,201.10"/>
    <m/>
  </r>
  <r>
    <x v="204"/>
    <x v="11"/>
    <x v="3"/>
    <x v="274"/>
    <s v="C00000004"/>
    <x v="3"/>
    <s v="RM Nor 3338W (220Kg)"/>
    <n v="5"/>
    <s v="T120"/>
    <n v="120"/>
    <d v="2022-09-21T00:00:00"/>
    <n v="9"/>
    <n v="2022"/>
    <n v="10120"/>
    <n v="-10120"/>
    <n v="0"/>
    <n v="1489721.6500000004"/>
    <s v="Term"/>
    <s v="HLB012769Cleared20/09/22-RM10,120.00"/>
    <m/>
  </r>
  <r>
    <x v="205"/>
    <x v="11"/>
    <x v="3"/>
    <x v="275"/>
    <s v="C00000020"/>
    <x v="19"/>
    <s v="RM Nor 3338W (220Kg)"/>
    <n v="4"/>
    <s v="Cash"/>
    <n v="0"/>
    <d v="2022-05-25T00:00:00"/>
    <n v="5"/>
    <n v="2022"/>
    <n v="8360"/>
    <n v="-8360"/>
    <n v="0"/>
    <n v="1498081.6500000004"/>
    <s v="Cash"/>
    <s v="Trsf 5/12/22 RM50,000.00"/>
    <m/>
  </r>
  <r>
    <x v="205"/>
    <x v="11"/>
    <x v="3"/>
    <x v="275"/>
    <s v="C00000020"/>
    <x v="19"/>
    <s v="RM CSM 450 64m(L) 1040mm(W) (30Kg)"/>
    <n v="8"/>
    <s v="Cash"/>
    <n v="0"/>
    <d v="2022-05-25T00:00:00"/>
    <n v="5"/>
    <n v="2022"/>
    <n v="2352"/>
    <n v="-2352"/>
    <n v="0"/>
    <n v="1500433.6500000004"/>
    <s v="Cash"/>
    <s v="Trsf 5/12/22 RM50,000.00"/>
    <m/>
  </r>
  <r>
    <x v="205"/>
    <x v="11"/>
    <x v="3"/>
    <x v="275"/>
    <s v="C00000020"/>
    <x v="19"/>
    <s v="RA  Woven Roing 600 1120mm (45kg)"/>
    <n v="6"/>
    <s v="Cash"/>
    <n v="0"/>
    <d v="2022-05-25T00:00:00"/>
    <n v="5"/>
    <n v="2022"/>
    <n v="2106"/>
    <n v="-2106"/>
    <n v="0"/>
    <n v="1502539.6500000004"/>
    <s v="Cash"/>
    <s v="Trsf 5/12/22 RM50,000.00"/>
    <m/>
  </r>
  <r>
    <x v="205"/>
    <x v="11"/>
    <x v="3"/>
    <x v="275"/>
    <s v="C00000020"/>
    <x v="19"/>
    <s v="RM Talcum Powder (25kg)"/>
    <n v="4"/>
    <s v="Cash"/>
    <n v="0"/>
    <d v="2022-05-25T00:00:00"/>
    <n v="5"/>
    <n v="2022"/>
    <n v="250"/>
    <n v="-250"/>
    <n v="0"/>
    <n v="1502789.6500000004"/>
    <s v="Cash"/>
    <s v="Trsf 5/12/22 RM50,000.00"/>
    <m/>
  </r>
  <r>
    <x v="205"/>
    <x v="11"/>
    <x v="3"/>
    <x v="275"/>
    <s v="C00000020"/>
    <x v="19"/>
    <s v="RM Pigment Smooth Cream (25kg)"/>
    <n v="1"/>
    <s v="Cash"/>
    <n v="0"/>
    <d v="2022-05-25T00:00:00"/>
    <n v="5"/>
    <n v="2022"/>
    <n v="1000"/>
    <n v="-1000"/>
    <n v="0"/>
    <n v="1503789.6500000004"/>
    <s v="Cash"/>
    <s v="Trsf 5/12/22 RM50,000.00"/>
    <m/>
  </r>
  <r>
    <x v="206"/>
    <x v="11"/>
    <x v="3"/>
    <x v="276"/>
    <s v="C00000021"/>
    <x v="21"/>
    <s v="RM Resin 3317AW (220Kg)"/>
    <n v="1"/>
    <s v="Cash"/>
    <n v="0"/>
    <d v="2022-05-28T00:00:00"/>
    <n v="5"/>
    <n v="2022"/>
    <n v="2068"/>
    <n v="-2068"/>
    <n v="0"/>
    <n v="1505857.6500000004"/>
    <s v="Cash"/>
    <s v="Chq PBB 395366, cleared090922 RM3,241.00"/>
    <m/>
  </r>
  <r>
    <x v="206"/>
    <x v="11"/>
    <x v="3"/>
    <x v="276"/>
    <s v="C00000021"/>
    <x v="21"/>
    <s v="RM CSM 450 64m(L) 1040mm(W) (30Kg)"/>
    <n v="3"/>
    <s v="Cash"/>
    <n v="0"/>
    <d v="2022-05-28T00:00:00"/>
    <n v="5"/>
    <n v="2022"/>
    <n v="864"/>
    <n v="-864"/>
    <n v="0"/>
    <n v="1506721.6500000004"/>
    <s v="Cash"/>
    <s v="Chq PBB 395366, cleared090922 RM3,241.00"/>
    <m/>
  </r>
  <r>
    <x v="206"/>
    <x v="11"/>
    <x v="3"/>
    <x v="276"/>
    <s v="C00000021"/>
    <x v="21"/>
    <s v="RJ Mepoxe (5kg)"/>
    <n v="1"/>
    <s v="Cash"/>
    <n v="0"/>
    <d v="2022-05-28T00:00:00"/>
    <n v="5"/>
    <n v="2022"/>
    <n v="90"/>
    <n v="-90"/>
    <n v="0"/>
    <n v="1506811.6500000004"/>
    <s v="Cash"/>
    <s v="Chq PBB 395366, cleared090922 RM3,241.00"/>
    <m/>
  </r>
  <r>
    <x v="206"/>
    <x v="11"/>
    <x v="3"/>
    <x v="276"/>
    <s v="C00000021"/>
    <x v="21"/>
    <s v="RA Sand Wheel 105 X 2 X 16 (30PC)"/>
    <n v="1"/>
    <s v="Cash"/>
    <n v="0"/>
    <d v="2022-05-28T00:00:00"/>
    <n v="5"/>
    <n v="2022"/>
    <n v="219"/>
    <n v="-219"/>
    <n v="0"/>
    <n v="1507030.6500000004"/>
    <s v="Cash"/>
    <s v="Chq PBB 395366, cleared090922 RM3,241.00"/>
    <m/>
  </r>
  <r>
    <x v="207"/>
    <x v="1"/>
    <x v="3"/>
    <x v="277"/>
    <s v="C00000020"/>
    <x v="19"/>
    <s v="RM Resin 3317AW (220Kg)"/>
    <n v="4"/>
    <s v="Cash"/>
    <n v="0"/>
    <d v="2022-06-02T00:00:00"/>
    <n v="6"/>
    <n v="2022"/>
    <n v="8360"/>
    <n v="-8360"/>
    <n v="0"/>
    <n v="1515390.6500000004"/>
    <s v="Cash"/>
    <s v="Trsf 5/12/22 RM50,000.00(RM1,301.80partial), Trsf 22/12/22 RM10,000.00(RM7,058.20partial)"/>
    <m/>
  </r>
  <r>
    <x v="207"/>
    <x v="1"/>
    <x v="3"/>
    <x v="277"/>
    <s v="C00000020"/>
    <x v="19"/>
    <s v="RM CSM 450 64m(L) 1040mm(W) (30Kg)"/>
    <n v="6"/>
    <s v="Cash"/>
    <n v="0"/>
    <d v="2022-06-02T00:00:00"/>
    <n v="6"/>
    <n v="2022"/>
    <n v="1764"/>
    <n v="-1764"/>
    <n v="0"/>
    <n v="1517154.6500000004"/>
    <s v="Cash"/>
    <s v="Trsf 22/12/22 RM10,000.00"/>
    <m/>
  </r>
  <r>
    <x v="207"/>
    <x v="1"/>
    <x v="3"/>
    <x v="277"/>
    <s v="C00000020"/>
    <x v="19"/>
    <s v="RA  Woven Roing 600 1120mm (45kg)"/>
    <n v="3"/>
    <s v="Cash"/>
    <n v="0"/>
    <d v="2022-06-02T00:00:00"/>
    <n v="6"/>
    <n v="2022"/>
    <n v="1053"/>
    <n v="-1053"/>
    <n v="0"/>
    <n v="1518207.6500000004"/>
    <s v="Cash"/>
    <s v="Trsf 22/12/22 RM10,000.00"/>
    <m/>
  </r>
  <r>
    <x v="207"/>
    <x v="1"/>
    <x v="3"/>
    <x v="277"/>
    <s v="C00000020"/>
    <x v="19"/>
    <s v="RM Talcum Powder (25kg)"/>
    <n v="4"/>
    <s v="Cash"/>
    <n v="0"/>
    <d v="2022-06-02T00:00:00"/>
    <n v="6"/>
    <n v="2022"/>
    <n v="250"/>
    <n v="-250"/>
    <n v="0"/>
    <n v="1518457.6500000004"/>
    <s v="Cash"/>
    <s v="Trsf 22/12/22 RM10,000.00(RM124,80), Trsf 23/12/22 RM10,000.00(RM125.20)"/>
    <m/>
  </r>
  <r>
    <x v="207"/>
    <x v="1"/>
    <x v="3"/>
    <x v="277"/>
    <s v="C00000020"/>
    <x v="19"/>
    <s v="RM Pigment Smooth Cream (25kg)"/>
    <n v="1"/>
    <s v="Cash"/>
    <n v="0"/>
    <d v="2022-06-02T00:00:00"/>
    <n v="6"/>
    <n v="2022"/>
    <n v="1000"/>
    <n v="-1000"/>
    <n v="0"/>
    <n v="1519457.6500000004"/>
    <s v="Cash"/>
    <s v="Trsf 23/12/22 RM10,000.00"/>
    <m/>
  </r>
  <r>
    <x v="208"/>
    <x v="1"/>
    <x v="3"/>
    <x v="278"/>
    <s v="C00000022"/>
    <x v="22"/>
    <s v="RA Nor 3338W (220Kg)"/>
    <n v="1"/>
    <s v="Cash"/>
    <n v="0"/>
    <d v="2022-06-03T00:00:00"/>
    <n v="6"/>
    <n v="2022"/>
    <n v="2112"/>
    <n v="-2112"/>
    <n v="0"/>
    <n v="1521569.6500000004"/>
    <s v="Cash"/>
    <s v="Trsf 25/9/22 RM3,000.00 RM1,682.10, Trsf 25/9/22 RM1,000.00 RM429.90"/>
    <m/>
  </r>
  <r>
    <x v="209"/>
    <x v="1"/>
    <x v="3"/>
    <x v="279"/>
    <s v="C00000020"/>
    <x v="19"/>
    <s v="RM Resin 3317AW (220Kg)"/>
    <n v="2"/>
    <s v="Cash"/>
    <n v="0"/>
    <d v="2022-06-04T00:00:00"/>
    <n v="6"/>
    <n v="2022"/>
    <n v="4180"/>
    <n v="-4180"/>
    <n v="0"/>
    <n v="1525749.6500000004"/>
    <s v="Cash"/>
    <s v="Trsf 23/12/22 RM10,000.00"/>
    <m/>
  </r>
  <r>
    <x v="209"/>
    <x v="1"/>
    <x v="3"/>
    <x v="279"/>
    <s v="C00000020"/>
    <x v="19"/>
    <s v="RM CSM 450 64m(L) 1040mm(W) (30Kg)"/>
    <n v="10"/>
    <s v="Cash"/>
    <n v="0"/>
    <d v="2022-06-04T00:00:00"/>
    <n v="6"/>
    <n v="2022"/>
    <n v="2940"/>
    <n v="-2940"/>
    <n v="0"/>
    <n v="1528689.6500000004"/>
    <s v="Cash"/>
    <s v="Trsf 23/12/22 RM10,000.00"/>
    <m/>
  </r>
  <r>
    <x v="209"/>
    <x v="1"/>
    <x v="3"/>
    <x v="279"/>
    <s v="C00000020"/>
    <x v="19"/>
    <s v="RA  Woven Roing 600 1120mm (45kg)"/>
    <n v="5"/>
    <s v="Cash"/>
    <n v="0"/>
    <d v="2022-06-04T00:00:00"/>
    <n v="6"/>
    <n v="2022"/>
    <n v="1755"/>
    <n v="-1755"/>
    <n v="0"/>
    <n v="1530444.6500000004"/>
    <s v="Cash"/>
    <s v="Trsf 23/12/22 RM10,000.00(RM1,754.80partial), Trsf 27/12/22 RM5,000.00(RM0.20partial),"/>
    <m/>
  </r>
  <r>
    <x v="209"/>
    <x v="1"/>
    <x v="3"/>
    <x v="279"/>
    <s v="C00000020"/>
    <x v="19"/>
    <s v="RM Talcum Powder (25kg)"/>
    <n v="2"/>
    <s v="Cash"/>
    <n v="0"/>
    <d v="2022-06-04T00:00:00"/>
    <n v="6"/>
    <n v="2022"/>
    <n v="125"/>
    <n v="-125"/>
    <n v="0"/>
    <n v="1530569.6500000004"/>
    <s v="Cash"/>
    <s v="Trsf 27/12/22 RM5,000.00"/>
    <m/>
  </r>
  <r>
    <x v="210"/>
    <x v="1"/>
    <x v="3"/>
    <x v="280"/>
    <s v="C00000001"/>
    <x v="0"/>
    <s v="RM Resin 3317AW (220Kg)"/>
    <n v="1"/>
    <s v="Cash"/>
    <n v="0"/>
    <d v="2022-06-07T00:00:00"/>
    <n v="6"/>
    <n v="2022"/>
    <n v="2068"/>
    <n v="-2068"/>
    <n v="0"/>
    <n v="1532637.6500000004"/>
    <s v="Cash"/>
    <s v="Trsf 10/6/22 RM2,356.00"/>
    <m/>
  </r>
  <r>
    <x v="210"/>
    <x v="1"/>
    <x v="3"/>
    <x v="280"/>
    <s v="C00000001"/>
    <x v="0"/>
    <s v="RM Woven Roving E-800 1000mm (40Kg)"/>
    <n v="1"/>
    <s v="Cash"/>
    <n v="0"/>
    <d v="2022-06-07T00:00:00"/>
    <n v="6"/>
    <n v="2022"/>
    <n v="288"/>
    <n v="-288"/>
    <n v="0"/>
    <n v="1532925.6500000004"/>
    <s v="Cash"/>
    <s v="Trsf 10/6/22 RM2,356.00"/>
    <m/>
  </r>
  <r>
    <x v="211"/>
    <x v="1"/>
    <x v="3"/>
    <x v="281"/>
    <s v="C00000010"/>
    <x v="9"/>
    <s v="RM Resin 3338AW (220kg)"/>
    <n v="5"/>
    <s v="T120"/>
    <n v="120"/>
    <d v="2022-10-07T00:00:00"/>
    <n v="10"/>
    <n v="2022"/>
    <n v="9900"/>
    <n v="-9900"/>
    <n v="0"/>
    <n v="1542825.6500000004"/>
    <s v="Term"/>
    <s v="Trsf 23/9/22 RM31,205.00"/>
    <m/>
  </r>
  <r>
    <x v="211"/>
    <x v="1"/>
    <x v="3"/>
    <x v="281"/>
    <s v="C00000010"/>
    <x v="9"/>
    <s v="RM CSM 450 64m(L) 1040mm(W) (30Kg)"/>
    <n v="5"/>
    <s v="T120"/>
    <n v="120"/>
    <d v="2022-10-07T00:00:00"/>
    <n v="10"/>
    <n v="2022"/>
    <n v="1425"/>
    <n v="-1425"/>
    <n v="0"/>
    <n v="1544250.6500000004"/>
    <s v="Term"/>
    <s v="Trsf 23/9/22 RM31,205.00"/>
    <m/>
  </r>
  <r>
    <x v="211"/>
    <x v="1"/>
    <x v="3"/>
    <x v="281"/>
    <s v="C00000010"/>
    <x v="9"/>
    <s v="RM Talcum Powder (25kg)"/>
    <n v="10"/>
    <s v="T120"/>
    <n v="120"/>
    <d v="2022-10-07T00:00:00"/>
    <n v="10"/>
    <n v="2022"/>
    <n v="550"/>
    <n v="-550"/>
    <n v="0"/>
    <n v="1544800.6500000004"/>
    <s v="Term"/>
    <s v="Trsf 23/9/22 RM31,205.00"/>
    <m/>
  </r>
  <r>
    <x v="211"/>
    <x v="1"/>
    <x v="3"/>
    <x v="281"/>
    <s v="C00000010"/>
    <x v="9"/>
    <s v="RA Butanox M50"/>
    <n v="4"/>
    <s v="T120"/>
    <n v="120"/>
    <d v="2022-10-07T00:00:00"/>
    <n v="10"/>
    <n v="2022"/>
    <n v="420"/>
    <n v="-420"/>
    <n v="0"/>
    <n v="1545220.6500000004"/>
    <s v="Term"/>
    <s v="Trsf 23/9/22 RM31,205.00"/>
    <m/>
  </r>
  <r>
    <x v="211"/>
    <x v="1"/>
    <x v="3"/>
    <x v="281"/>
    <s v="C00000010"/>
    <x v="9"/>
    <s v="RH Bosny Wax (15Kg)"/>
    <n v="1"/>
    <s v="T120"/>
    <n v="120"/>
    <d v="2022-10-07T00:00:00"/>
    <n v="10"/>
    <n v="2022"/>
    <n v="395"/>
    <n v="-395"/>
    <n v="0"/>
    <n v="1545615.6500000004"/>
    <s v="Term"/>
    <s v="Trsf 23/9/22 RM31,205.00"/>
    <m/>
  </r>
  <r>
    <x v="211"/>
    <x v="1"/>
    <x v="3"/>
    <x v="282"/>
    <s v="C00000022"/>
    <x v="22"/>
    <s v="RA Nor 3338W (220Kg)"/>
    <n v="1"/>
    <s v="Cash"/>
    <n v="0"/>
    <d v="2022-06-09T00:00:00"/>
    <n v="6"/>
    <n v="2022"/>
    <n v="2112"/>
    <n v="-2112"/>
    <n v="0"/>
    <n v="1547727.6500000004"/>
    <s v="Cash"/>
    <s v="Trsf 25/9/22 RM1,000.00(RM570.10),  Trsf 29/9/22 RM5,350.70(RM1,541.90)"/>
    <m/>
  </r>
  <r>
    <x v="212"/>
    <x v="1"/>
    <x v="3"/>
    <x v="283"/>
    <s v="C00000021"/>
    <x v="21"/>
    <s v="RM Resin 3317AW (220Kg)"/>
    <n v="1"/>
    <s v="Cash"/>
    <n v="0"/>
    <d v="2022-06-10T00:00:00"/>
    <n v="6"/>
    <n v="2022"/>
    <n v="2068"/>
    <n v="-2068"/>
    <n v="0"/>
    <n v="1549795.6500000004"/>
    <s v="Cash"/>
    <s v="Chq PBB 395367, cleared230922 RM2,746.00"/>
    <m/>
  </r>
  <r>
    <x v="212"/>
    <x v="1"/>
    <x v="3"/>
    <x v="283"/>
    <s v="C00000021"/>
    <x v="21"/>
    <s v="RM CSM 450 64m(L) 1040mm(W) (30Kg)"/>
    <n v="2"/>
    <s v="Cash"/>
    <n v="0"/>
    <d v="2022-06-10T00:00:00"/>
    <n v="6"/>
    <n v="2022"/>
    <n v="588"/>
    <n v="-588"/>
    <n v="0"/>
    <n v="1550383.6500000004"/>
    <s v="Cash"/>
    <s v="Chq PBB 395367, cleared230922 RM2,746.00"/>
    <m/>
  </r>
  <r>
    <x v="212"/>
    <x v="1"/>
    <x v="3"/>
    <x v="283"/>
    <s v="C00000021"/>
    <x v="21"/>
    <s v="RJ Mepoxe (5kg)"/>
    <n v="1"/>
    <s v="Cash"/>
    <n v="0"/>
    <d v="2022-06-10T00:00:00"/>
    <n v="6"/>
    <n v="2022"/>
    <n v="90"/>
    <n v="-90"/>
    <n v="0"/>
    <n v="1550473.6500000004"/>
    <s v="Cash"/>
    <s v="Chq PBB 395367, cleared230922 RM2,746.00"/>
    <m/>
  </r>
  <r>
    <x v="213"/>
    <x v="1"/>
    <x v="3"/>
    <x v="284"/>
    <s v="C00000020"/>
    <x v="19"/>
    <s v="RM Resin 3317AW (220Kg)"/>
    <n v="2"/>
    <s v="Cash"/>
    <n v="0"/>
    <d v="2022-06-11T00:00:00"/>
    <n v="6"/>
    <n v="2022"/>
    <n v="4180"/>
    <n v="-4180"/>
    <n v="0"/>
    <n v="1554653.6500000004"/>
    <s v="Cash"/>
    <s v="Trsf 27/12/22 RM5,000.00"/>
    <m/>
  </r>
  <r>
    <x v="213"/>
    <x v="1"/>
    <x v="3"/>
    <x v="284"/>
    <s v="C00000020"/>
    <x v="19"/>
    <s v="RM CSM 450 64m(L) 1040mm(W) (30Kg)"/>
    <n v="1"/>
    <s v="Cash"/>
    <n v="0"/>
    <d v="2022-06-11T00:00:00"/>
    <n v="6"/>
    <n v="2022"/>
    <n v="294"/>
    <n v="-294"/>
    <n v="0"/>
    <n v="1554947.6500000004"/>
    <s v="Cash"/>
    <s v="Trsf 27/12/22 RM5,000.00"/>
    <m/>
  </r>
  <r>
    <x v="213"/>
    <x v="1"/>
    <x v="3"/>
    <x v="284"/>
    <s v="C00000020"/>
    <x v="19"/>
    <s v="RA  Woven Roing 600 1120mm (45kg)"/>
    <n v="1"/>
    <s v="Cash"/>
    <n v="0"/>
    <d v="2022-06-11T00:00:00"/>
    <n v="6"/>
    <n v="2022"/>
    <n v="351"/>
    <n v="-351"/>
    <n v="0"/>
    <n v="1555298.6500000004"/>
    <s v="Cash"/>
    <s v="Trsf 27/12/22 RM5,000.00"/>
    <m/>
  </r>
  <r>
    <x v="213"/>
    <x v="1"/>
    <x v="3"/>
    <x v="284"/>
    <s v="C00000020"/>
    <x v="19"/>
    <s v="RM Talcum Powder (25kg)"/>
    <n v="2"/>
    <s v="Cash"/>
    <n v="0"/>
    <d v="2022-06-11T00:00:00"/>
    <n v="6"/>
    <n v="2022"/>
    <n v="125"/>
    <n v="-125"/>
    <n v="0"/>
    <n v="1555423.6500000004"/>
    <s v="Cash"/>
    <s v="Trsf 28/12/22 RM30,000.00(RM75.20partial), "/>
    <m/>
  </r>
  <r>
    <x v="214"/>
    <x v="1"/>
    <x v="3"/>
    <x v="285"/>
    <s v="C00000023"/>
    <x v="23"/>
    <s v="RA Resin 3317AW (25Kg)"/>
    <n v="4"/>
    <s v="Cash"/>
    <n v="0"/>
    <d v="2022-06-13T00:00:00"/>
    <n v="6"/>
    <n v="2022"/>
    <n v="1400"/>
    <n v="-1400"/>
    <n v="0"/>
    <n v="1556823.6500000004"/>
    <s v="Cash"/>
    <s v="Trsf 14/6/22 RM2,158.00"/>
    <m/>
  </r>
  <r>
    <x v="214"/>
    <x v="1"/>
    <x v="3"/>
    <x v="285"/>
    <s v="C00000023"/>
    <x v="23"/>
    <s v="RM CSM 450 64m(L) 1040mm(W) (30Kg)"/>
    <n v="2"/>
    <s v="Cash"/>
    <n v="0"/>
    <d v="2022-06-13T00:00:00"/>
    <n v="6"/>
    <n v="2022"/>
    <n v="588"/>
    <n v="-588"/>
    <n v="0"/>
    <n v="1557411.6500000004"/>
    <s v="Cash"/>
    <s v="Trsf 14/6/22 RM2,158.00"/>
    <m/>
  </r>
  <r>
    <x v="214"/>
    <x v="1"/>
    <x v="3"/>
    <x v="285"/>
    <s v="C00000023"/>
    <x v="23"/>
    <s v="RJ Mepoxe (5kg)"/>
    <n v="2"/>
    <s v="Cash"/>
    <n v="0"/>
    <d v="2022-06-13T00:00:00"/>
    <n v="6"/>
    <n v="2022"/>
    <n v="170"/>
    <n v="-170"/>
    <n v="0"/>
    <n v="1557581.6500000004"/>
    <s v="Cash"/>
    <s v="Trsf 14/6/22 RM2,158.00"/>
    <m/>
  </r>
  <r>
    <x v="215"/>
    <x v="1"/>
    <x v="3"/>
    <x v="286"/>
    <s v="C00000009"/>
    <x v="8"/>
    <s v="RM Nor 3338W (220Kg)"/>
    <n v="2"/>
    <s v="T60"/>
    <n v="60"/>
    <d v="2022-08-13T00:00:00"/>
    <n v="8"/>
    <n v="2022"/>
    <n v="3960"/>
    <n v="-3960"/>
    <n v="0"/>
    <n v="1561541.6500000004"/>
    <s v="Term"/>
    <s v="Chq HL 016786 dd 27/12/22"/>
    <m/>
  </r>
  <r>
    <x v="215"/>
    <x v="1"/>
    <x v="3"/>
    <x v="287"/>
    <s v="C00000001"/>
    <x v="0"/>
    <s v="RM Resin 3317AW (220Kg)"/>
    <n v="1"/>
    <s v="Cash"/>
    <n v="0"/>
    <d v="2022-06-14T00:00:00"/>
    <n v="6"/>
    <n v="2022"/>
    <n v="2068"/>
    <n v="-2068"/>
    <n v="0"/>
    <n v="1563609.6500000004"/>
    <s v="Cash"/>
    <s v="Trsf 23/6/22 RM3,232.00"/>
    <m/>
  </r>
  <r>
    <x v="215"/>
    <x v="1"/>
    <x v="3"/>
    <x v="287"/>
    <s v="C00000001"/>
    <x v="0"/>
    <s v="RM CSM 450 64m(L) 1040mm(W) (30Kg)"/>
    <n v="4"/>
    <s v="Cash"/>
    <n v="0"/>
    <d v="2022-06-14T00:00:00"/>
    <n v="6"/>
    <n v="2022"/>
    <n v="1164"/>
    <n v="-1164"/>
    <n v="0"/>
    <n v="1564773.6500000004"/>
    <s v="Cash"/>
    <s v="Trsf 23/6/22 RM3,232.00"/>
    <m/>
  </r>
  <r>
    <x v="216"/>
    <x v="1"/>
    <x v="3"/>
    <x v="288"/>
    <s v="C00000020"/>
    <x v="19"/>
    <s v="RA Nor 3338W (220Kg)"/>
    <n v="1"/>
    <s v="Cash"/>
    <n v="0"/>
    <d v="2022-06-18T00:00:00"/>
    <n v="6"/>
    <n v="2022"/>
    <n v="2090"/>
    <n v="-2090"/>
    <n v="0"/>
    <n v="1566863.6500000004"/>
    <s v="Cash"/>
    <s v="Trsf 28/12/22 RM30,000.00"/>
    <m/>
  </r>
  <r>
    <x v="216"/>
    <x v="1"/>
    <x v="3"/>
    <x v="288"/>
    <s v="C00000020"/>
    <x v="19"/>
    <s v="RM CSM 450 64m(L) 1040mm(W) (30Kg)"/>
    <n v="2"/>
    <s v="Cash"/>
    <n v="0"/>
    <d v="2022-06-18T00:00:00"/>
    <n v="6"/>
    <n v="2022"/>
    <n v="588"/>
    <n v="-588"/>
    <n v="0"/>
    <n v="1567451.6500000004"/>
    <s v="Cash"/>
    <s v="Trsf 28/12/22 RM30,000.00"/>
    <m/>
  </r>
  <r>
    <x v="216"/>
    <x v="1"/>
    <x v="3"/>
    <x v="288"/>
    <s v="C00000020"/>
    <x v="19"/>
    <s v="RA  Woven Roing 600 1120mm (45kg)"/>
    <n v="1"/>
    <s v="Cash"/>
    <n v="0"/>
    <d v="2022-06-18T00:00:00"/>
    <n v="6"/>
    <n v="2022"/>
    <n v="351"/>
    <n v="-351"/>
    <n v="0"/>
    <n v="1567802.6500000004"/>
    <s v="Cash"/>
    <s v="Trsf 28/12/22 RM30,000.00"/>
    <m/>
  </r>
  <r>
    <x v="216"/>
    <x v="1"/>
    <x v="3"/>
    <x v="288"/>
    <s v="C00000020"/>
    <x v="19"/>
    <s v="RM Talcum Powder (25kg)"/>
    <n v="1"/>
    <s v="Cash"/>
    <n v="0"/>
    <d v="2022-06-18T00:00:00"/>
    <n v="6"/>
    <n v="2022"/>
    <n v="62.5"/>
    <n v="-62.5"/>
    <n v="0"/>
    <n v="1567865.1500000004"/>
    <s v="Cash"/>
    <s v="Trsf 28/12/22 RM30,000.00"/>
    <m/>
  </r>
  <r>
    <x v="216"/>
    <x v="1"/>
    <x v="3"/>
    <x v="288"/>
    <s v="C00000020"/>
    <x v="19"/>
    <s v="RM Pigment Smooth Cream (25kg)"/>
    <n v="1"/>
    <s v="Cash"/>
    <n v="0"/>
    <d v="2022-06-18T00:00:00"/>
    <n v="6"/>
    <n v="2022"/>
    <n v="1000"/>
    <n v="-1000"/>
    <n v="0"/>
    <n v="1568865.1500000004"/>
    <s v="Cash"/>
    <s v="Trsf 28/12/22 RM30,000.00"/>
    <m/>
  </r>
  <r>
    <x v="216"/>
    <x v="1"/>
    <x v="3"/>
    <x v="288"/>
    <s v="C00000020"/>
    <x v="19"/>
    <s v="RJ Mepoxe (5kg)"/>
    <n v="4"/>
    <s v="Cash"/>
    <n v="0"/>
    <d v="2022-06-18T00:00:00"/>
    <n v="6"/>
    <n v="2022"/>
    <n v="340"/>
    <n v="-340"/>
    <n v="0"/>
    <n v="1569205.1500000004"/>
    <s v="Cash"/>
    <s v="Trsf 28/12/22 RM30,000.00"/>
    <m/>
  </r>
  <r>
    <x v="217"/>
    <x v="1"/>
    <x v="3"/>
    <x v="289"/>
    <s v="C00000006"/>
    <x v="5"/>
    <s v="RM Nor 3338W (220Kg)"/>
    <n v="1"/>
    <s v="Cash"/>
    <n v="0"/>
    <d v="2022-06-20T00:00:00"/>
    <n v="6"/>
    <n v="2022"/>
    <n v="2068"/>
    <n v="-2068"/>
    <n v="0"/>
    <n v="1571273.1500000004"/>
    <s v="Cash"/>
    <s v="RHB 934938 cleared18/8/22-RM2,068.00"/>
    <m/>
  </r>
  <r>
    <x v="218"/>
    <x v="1"/>
    <x v="3"/>
    <x v="290"/>
    <s v="C00000021"/>
    <x v="21"/>
    <s v="RM Resin 3317AW (220Kg)"/>
    <n v="1"/>
    <s v="Cash"/>
    <n v="0"/>
    <d v="2022-06-24T00:00:00"/>
    <n v="6"/>
    <n v="2022"/>
    <n v="2090"/>
    <n v="-2090"/>
    <n v="0"/>
    <n v="1573363.1500000004"/>
    <s v="Cash"/>
    <s v="Chq PBB 395368, cleared061022 RM3,374.50"/>
    <m/>
  </r>
  <r>
    <x v="218"/>
    <x v="1"/>
    <x v="3"/>
    <x v="290"/>
    <s v="C00000021"/>
    <x v="21"/>
    <s v="RM CSM 450 64m(L) 1040mm(W) (30Kg)"/>
    <n v="3"/>
    <s v="Cash"/>
    <n v="0"/>
    <d v="2022-06-24T00:00:00"/>
    <n v="6"/>
    <n v="2022"/>
    <n v="882"/>
    <n v="-882"/>
    <n v="0"/>
    <n v="1574245.1500000004"/>
    <s v="Cash"/>
    <s v="Chq PBB 395368, cleared061022 RM3,374.50"/>
    <m/>
  </r>
  <r>
    <x v="218"/>
    <x v="1"/>
    <x v="3"/>
    <x v="290"/>
    <s v="C00000021"/>
    <x v="21"/>
    <s v="RJ Mepoxe (5kg)"/>
    <n v="1"/>
    <s v="Cash"/>
    <n v="0"/>
    <d v="2022-06-24T00:00:00"/>
    <n v="6"/>
    <n v="2022"/>
    <n v="90"/>
    <n v="-90"/>
    <n v="0"/>
    <n v="1574335.1500000004"/>
    <s v="Cash"/>
    <s v="Chq PBB 395368, cleared061022 RM3,374.50"/>
    <m/>
  </r>
  <r>
    <x v="218"/>
    <x v="1"/>
    <x v="3"/>
    <x v="290"/>
    <s v="C00000021"/>
    <x v="21"/>
    <s v="RM Talcum Powder (25kg)"/>
    <n v="5"/>
    <s v="Cash"/>
    <n v="0"/>
    <d v="2022-06-24T00:00:00"/>
    <n v="6"/>
    <n v="2022"/>
    <n v="312.5"/>
    <n v="-312.5"/>
    <n v="0"/>
    <n v="1574647.6500000004"/>
    <s v="Cash"/>
    <s v="Chq PBB 395368, cleared061022 RM3,374.50"/>
    <m/>
  </r>
  <r>
    <x v="218"/>
    <x v="1"/>
    <x v="3"/>
    <x v="291"/>
    <s v="C00000020"/>
    <x v="19"/>
    <s v="RA Nor 3338W (220Kg)"/>
    <n v="2"/>
    <s v="Cash"/>
    <n v="0"/>
    <d v="2022-06-24T00:00:00"/>
    <n v="6"/>
    <n v="2022"/>
    <n v="4180"/>
    <n v="-4180"/>
    <n v="0"/>
    <n v="1578827.6500000004"/>
    <s v="Cash"/>
    <s v="Trsf 28/12/22 RM30,000.00"/>
    <m/>
  </r>
  <r>
    <x v="218"/>
    <x v="1"/>
    <x v="3"/>
    <x v="291"/>
    <s v="C00000020"/>
    <x v="19"/>
    <s v="RM CSM 450 64m(L) 1040mm(W) (30Kg)"/>
    <n v="3"/>
    <s v="Cash"/>
    <n v="0"/>
    <d v="2022-06-24T00:00:00"/>
    <n v="6"/>
    <n v="2022"/>
    <n v="882"/>
    <n v="-882"/>
    <n v="0"/>
    <n v="1579709.6500000004"/>
    <s v="Cash"/>
    <s v="Trsf 28/12/22 RM30,000.00"/>
    <m/>
  </r>
  <r>
    <x v="218"/>
    <x v="1"/>
    <x v="3"/>
    <x v="291"/>
    <s v="C00000020"/>
    <x v="19"/>
    <s v="RA  Woven Roing 600 1120mm (45kg)"/>
    <n v="2"/>
    <s v="Cash"/>
    <n v="0"/>
    <d v="2022-06-24T00:00:00"/>
    <n v="6"/>
    <n v="2022"/>
    <n v="702"/>
    <n v="-702"/>
    <n v="0"/>
    <n v="1580411.6500000004"/>
    <s v="Cash"/>
    <s v="Trsf 28/12/22 RM30,000.00"/>
    <m/>
  </r>
  <r>
    <x v="218"/>
    <x v="1"/>
    <x v="3"/>
    <x v="291"/>
    <s v="C00000020"/>
    <x v="19"/>
    <s v="RM Talcum Powder (25kg)"/>
    <n v="2"/>
    <s v="Cash"/>
    <n v="0"/>
    <d v="2022-06-24T00:00:00"/>
    <n v="6"/>
    <n v="2022"/>
    <n v="125"/>
    <n v="-125"/>
    <n v="0"/>
    <n v="1580536.6500000004"/>
    <s v="Cash"/>
    <s v="Trsf 28/12/22 RM30,000.00"/>
    <m/>
  </r>
  <r>
    <x v="219"/>
    <x v="1"/>
    <x v="3"/>
    <x v="292"/>
    <s v="C00000019"/>
    <x v="18"/>
    <s v="RM Nor 3338W (220Kg)"/>
    <n v="2"/>
    <s v="Cash"/>
    <n v="0"/>
    <d v="2022-06-28T00:00:00"/>
    <n v="6"/>
    <n v="2022"/>
    <n v="4136"/>
    <n v="-4136"/>
    <n v="0"/>
    <n v="1584672.6500000004"/>
    <s v="Cash"/>
    <s v="Trsf 29/6/22, RM3,000.00, Trsf 30/6/22, RM3,223.60"/>
    <m/>
  </r>
  <r>
    <x v="219"/>
    <x v="1"/>
    <x v="3"/>
    <x v="292"/>
    <s v="C00000019"/>
    <x v="18"/>
    <s v="RM CSM 450 64m(L) X 1860mm(W) (54kg)"/>
    <n v="2"/>
    <s v="Cash"/>
    <n v="0"/>
    <d v="2022-06-28T00:00:00"/>
    <n v="6"/>
    <n v="2022"/>
    <n v="1047.5999999999999"/>
    <n v="-1047.5999999999999"/>
    <n v="0"/>
    <n v="1585720.2500000005"/>
    <s v="Cash"/>
    <s v="Trsf 29/6/22, RM3,000.00, Trsf 30/6/22, RM3,223.60"/>
    <m/>
  </r>
  <r>
    <x v="219"/>
    <x v="1"/>
    <x v="3"/>
    <x v="292"/>
    <s v="C00000019"/>
    <x v="18"/>
    <s v="RA Butanox M50 (5kg)"/>
    <n v="2"/>
    <s v="Cash"/>
    <n v="0"/>
    <d v="2022-06-28T00:00:00"/>
    <n v="6"/>
    <n v="2022"/>
    <n v="210"/>
    <n v="-210"/>
    <n v="0"/>
    <n v="1585930.2500000005"/>
    <s v="Cash"/>
    <s v="Trsf 29/6/22, RM3,000.00, Trsf 30/6/22, RM3,223.60"/>
    <m/>
  </r>
  <r>
    <x v="219"/>
    <x v="1"/>
    <x v="3"/>
    <x v="292"/>
    <s v="C00000019"/>
    <x v="18"/>
    <s v="RE Frekote 770NC (1 Gallon)"/>
    <n v="1"/>
    <s v="Cash"/>
    <n v="0"/>
    <d v="2022-06-28T00:00:00"/>
    <n v="6"/>
    <n v="2022"/>
    <n v="390"/>
    <n v="-390"/>
    <n v="0"/>
    <n v="1586320.2500000005"/>
    <s v="Cash"/>
    <s v="Trsf 29/6/22, RM3,000.00, Trsf 30/6/22, RM3,223.60"/>
    <m/>
  </r>
  <r>
    <x v="219"/>
    <x v="1"/>
    <x v="3"/>
    <x v="292"/>
    <s v="C00000019"/>
    <x v="18"/>
    <s v="RM Fume silica HJSIL 200(10Kg)"/>
    <n v="1"/>
    <s v="Cash"/>
    <n v="0"/>
    <d v="2022-06-28T00:00:00"/>
    <n v="6"/>
    <n v="2022"/>
    <n v="440"/>
    <n v="-440"/>
    <n v="0"/>
    <n v="1586760.2500000005"/>
    <s v="Cash"/>
    <s v="Trsf 29/6/22, RM3,000.00, Trsf 30/6/22, RM3,223.60"/>
    <m/>
  </r>
  <r>
    <x v="220"/>
    <x v="1"/>
    <x v="3"/>
    <x v="293"/>
    <s v="C00000010"/>
    <x v="9"/>
    <s v="RM Resin 3338AW (220kg)"/>
    <n v="7"/>
    <s v="T120"/>
    <n v="120"/>
    <d v="2022-10-27T00:00:00"/>
    <n v="10"/>
    <n v="2022"/>
    <n v="13860"/>
    <n v="-13860"/>
    <n v="0"/>
    <n v="1600620.2500000005"/>
    <s v="Term"/>
    <s v="Trsf 23/9/22 RM31,205.00"/>
    <m/>
  </r>
  <r>
    <x v="220"/>
    <x v="1"/>
    <x v="3"/>
    <x v="293"/>
    <s v="C00000010"/>
    <x v="9"/>
    <s v="RM CSM 450 64m(L) 1040mm(W) (30Kg)"/>
    <n v="10"/>
    <s v="T120"/>
    <n v="120"/>
    <d v="2022-10-27T00:00:00"/>
    <n v="10"/>
    <n v="2022"/>
    <n v="2850"/>
    <n v="-2850"/>
    <n v="0"/>
    <n v="1603470.2500000005"/>
    <s v="Term"/>
    <s v="Trsf 23/9/22 RM31,205.00"/>
    <m/>
  </r>
  <r>
    <x v="220"/>
    <x v="1"/>
    <x v="3"/>
    <x v="293"/>
    <s v="C00000010"/>
    <x v="9"/>
    <s v="RM Talcum Powder (25kg)"/>
    <n v="10"/>
    <s v="T120"/>
    <n v="120"/>
    <d v="2022-10-27T00:00:00"/>
    <n v="10"/>
    <n v="2022"/>
    <n v="550"/>
    <n v="-550"/>
    <n v="0"/>
    <n v="1604020.2500000005"/>
    <s v="Term"/>
    <s v="Trsf 23/9/22 RM31,205.00"/>
    <m/>
  </r>
  <r>
    <x v="220"/>
    <x v="1"/>
    <x v="3"/>
    <x v="293"/>
    <s v="C00000010"/>
    <x v="9"/>
    <s v="RA Butanox M50 (5kg)"/>
    <n v="4"/>
    <s v="T120"/>
    <n v="120"/>
    <d v="2022-10-27T00:00:00"/>
    <n v="10"/>
    <n v="2022"/>
    <n v="420"/>
    <n v="-420"/>
    <n v="0"/>
    <n v="1604440.2500000005"/>
    <s v="Term"/>
    <s v="Trsf 23/9/22 RM31,205.00"/>
    <m/>
  </r>
  <r>
    <x v="220"/>
    <x v="1"/>
    <x v="3"/>
    <x v="293"/>
    <s v="C00000010"/>
    <x v="9"/>
    <s v="RH Bosny Wax (15Kg)"/>
    <n v="1"/>
    <s v="T120"/>
    <n v="120"/>
    <d v="2022-10-27T00:00:00"/>
    <n v="10"/>
    <n v="2022"/>
    <n v="395"/>
    <n v="-395"/>
    <n v="0"/>
    <n v="1604835.2500000005"/>
    <s v="Term"/>
    <s v="Trsf 23/9/22 RM31,205.00"/>
    <m/>
  </r>
  <r>
    <x v="220"/>
    <x v="1"/>
    <x v="3"/>
    <x v="293"/>
    <s v="C00000010"/>
    <x v="9"/>
    <s v="RM Fume silica HJSIL 200(10Kg)"/>
    <n v="1"/>
    <s v="T120"/>
    <n v="120"/>
    <d v="2022-10-27T00:00:00"/>
    <n v="10"/>
    <n v="2022"/>
    <n v="440"/>
    <n v="-440"/>
    <n v="0"/>
    <n v="1605275.2500000005"/>
    <s v="Term"/>
    <s v="Trsf 23/9/22 RM31,205.00"/>
    <m/>
  </r>
  <r>
    <x v="221"/>
    <x v="2"/>
    <x v="3"/>
    <x v="294"/>
    <s v="C00000009"/>
    <x v="8"/>
    <s v="RM CSM 450 64m(L) X 1860mm(W) (54kg)"/>
    <n v="3"/>
    <s v="T60"/>
    <n v="60"/>
    <d v="2022-08-30T00:00:00"/>
    <n v="8"/>
    <n v="2022"/>
    <n v="1539"/>
    <n v="-1539"/>
    <n v="0"/>
    <n v="1606814.2500000005"/>
    <s v="Term"/>
    <s v="Chq HL 016715 dd 16/11/22"/>
    <m/>
  </r>
  <r>
    <x v="222"/>
    <x v="2"/>
    <x v="3"/>
    <x v="295"/>
    <s v="C00000019"/>
    <x v="18"/>
    <s v="RM Nor 3338W (220Kg)"/>
    <n v="2"/>
    <s v="Cash"/>
    <n v="0"/>
    <d v="2022-07-12T00:00:00"/>
    <n v="7"/>
    <n v="2022"/>
    <n v="4136"/>
    <n v="-4136"/>
    <n v="0"/>
    <n v="1610950.2500000005"/>
    <s v="Cash"/>
    <s v="Trsf 15/7/22, RM5,183.60"/>
    <m/>
  </r>
  <r>
    <x v="222"/>
    <x v="2"/>
    <x v="3"/>
    <x v="295"/>
    <s v="C00000019"/>
    <x v="18"/>
    <s v="RM CSM 450 64m(L) X 1860mm(W) (54kg)"/>
    <n v="2"/>
    <s v="Cash"/>
    <n v="0"/>
    <d v="2022-07-12T00:00:00"/>
    <n v="7"/>
    <n v="2022"/>
    <n v="1047.5999999999999"/>
    <n v="-1047.5999999999999"/>
    <n v="0"/>
    <n v="1611997.8500000006"/>
    <s v="Cash"/>
    <s v="Trsf 15/7/22, RM5,183.60"/>
    <m/>
  </r>
  <r>
    <x v="223"/>
    <x v="2"/>
    <x v="3"/>
    <x v="296"/>
    <s v="C00000020"/>
    <x v="19"/>
    <s v="RM Resin 3317AW (220Kg)"/>
    <n v="4"/>
    <s v="Cash"/>
    <n v="0"/>
    <d v="2022-07-14T00:00:00"/>
    <n v="7"/>
    <n v="2022"/>
    <n v="8272"/>
    <n v="-8272"/>
    <n v="0"/>
    <n v="1620269.8500000006"/>
    <s v="Cash"/>
    <s v="Trsf 28/12/22 RM30,000.00"/>
    <m/>
  </r>
  <r>
    <x v="223"/>
    <x v="2"/>
    <x v="3"/>
    <x v="296"/>
    <s v="C00000020"/>
    <x v="19"/>
    <s v="RM CSM 450 64m(L) 1040mm(W) (30Kg)"/>
    <n v="9"/>
    <s v="Cash"/>
    <n v="0"/>
    <d v="2022-07-14T00:00:00"/>
    <n v="7"/>
    <n v="2022"/>
    <n v="2646"/>
    <n v="-2646"/>
    <n v="0"/>
    <n v="1622915.8500000006"/>
    <s v="Cash"/>
    <s v="Trsf 28/12/22 RM30,000.00"/>
    <m/>
  </r>
  <r>
    <x v="223"/>
    <x v="2"/>
    <x v="3"/>
    <x v="296"/>
    <s v="C00000020"/>
    <x v="19"/>
    <s v="RA  Woven Roing 600 1120mm (45kg)"/>
    <n v="5"/>
    <s v="Cash"/>
    <n v="0"/>
    <d v="2022-07-14T00:00:00"/>
    <n v="7"/>
    <n v="2022"/>
    <n v="1687.5"/>
    <n v="-1687.5"/>
    <n v="0"/>
    <n v="1624603.3500000006"/>
    <s v="Cash"/>
    <s v="Trsf 28/12/22 RM30,000.00"/>
    <m/>
  </r>
  <r>
    <x v="223"/>
    <x v="2"/>
    <x v="3"/>
    <x v="296"/>
    <s v="C00000020"/>
    <x v="19"/>
    <s v="RM Talcum Powder (25kg)"/>
    <n v="4"/>
    <s v="Cash"/>
    <n v="0"/>
    <d v="2022-07-14T00:00:00"/>
    <n v="7"/>
    <n v="2022"/>
    <n v="250"/>
    <n v="-250"/>
    <n v="0"/>
    <n v="1624853.3500000006"/>
    <s v="Cash"/>
    <s v="Trsf 28/12/22 RM30,000.00"/>
    <m/>
  </r>
  <r>
    <x v="223"/>
    <x v="2"/>
    <x v="3"/>
    <x v="297"/>
    <s v="C00000027"/>
    <x v="27"/>
    <s v="RM Resin 3317AW (220Kg)"/>
    <n v="2"/>
    <s v="Cash"/>
    <n v="0"/>
    <d v="2022-07-14T00:00:00"/>
    <n v="7"/>
    <n v="2022"/>
    <n v="4004"/>
    <n v="-4004"/>
    <n v="0"/>
    <n v="1628857.3500000006"/>
    <s v="Cash"/>
    <s v="Bank Islam 159011 Cleared22/8/22, RM8,568.20"/>
    <m/>
  </r>
  <r>
    <x v="223"/>
    <x v="2"/>
    <x v="3"/>
    <x v="297"/>
    <s v="C00000027"/>
    <x v="27"/>
    <s v="RM CSM 450 64m(L) X 1860mm(W) (54kg)"/>
    <n v="2"/>
    <s v="Cash"/>
    <n v="0"/>
    <d v="2022-07-14T00:00:00"/>
    <n v="7"/>
    <n v="2022"/>
    <n v="1015.2"/>
    <n v="-1015.2"/>
    <n v="0"/>
    <n v="1629872.5500000005"/>
    <s v="Cash"/>
    <s v="Bank Islam 159011 Cleared22/8/22, RM8,568.20"/>
    <m/>
  </r>
  <r>
    <x v="223"/>
    <x v="2"/>
    <x v="3"/>
    <x v="297"/>
    <s v="C00000027"/>
    <x v="27"/>
    <s v="RA  Woven Roing 600 1120mm (45kg)"/>
    <n v="3"/>
    <s v="Cash"/>
    <n v="0"/>
    <d v="2022-07-14T00:00:00"/>
    <n v="7"/>
    <n v="2022"/>
    <n v="945"/>
    <n v="-945"/>
    <n v="0"/>
    <n v="1630817.5500000005"/>
    <s v="Cash"/>
    <s v="Bank Islam 159011 Cleared22/8/22, RM8,568.20"/>
    <m/>
  </r>
  <r>
    <x v="223"/>
    <x v="2"/>
    <x v="3"/>
    <x v="297"/>
    <s v="C00000027"/>
    <x v="27"/>
    <s v="RA/RM Pigment Super White (5Kg)"/>
    <n v="2"/>
    <s v="Cash"/>
    <n v="0"/>
    <d v="2022-07-14T00:00:00"/>
    <n v="7"/>
    <n v="2022"/>
    <n v="320"/>
    <n v="-320"/>
    <n v="0"/>
    <n v="1631137.5500000005"/>
    <s v="Cash"/>
    <s v="Bank Islam 159011 Cleared22/8/22, RM8,568.20"/>
    <m/>
  </r>
  <r>
    <x v="223"/>
    <x v="2"/>
    <x v="3"/>
    <x v="297"/>
    <s v="C00000027"/>
    <x v="27"/>
    <s v="RJ Mepoxe (5kg)"/>
    <n v="1"/>
    <s v="Cash"/>
    <n v="0"/>
    <d v="2022-07-14T00:00:00"/>
    <n v="7"/>
    <n v="2022"/>
    <n v="90"/>
    <n v="-90"/>
    <n v="0"/>
    <n v="1631227.5500000005"/>
    <s v="Cash"/>
    <s v="Bank Islam 159011 Cleared22/8/22, RM8,568.20"/>
    <m/>
  </r>
  <r>
    <x v="223"/>
    <x v="2"/>
    <x v="3"/>
    <x v="297"/>
    <s v="C00000027"/>
    <x v="27"/>
    <s v="RM TR104 Hi Temp Wax (12Can)"/>
    <n v="1"/>
    <s v="Cash"/>
    <n v="0"/>
    <d v="2022-07-14T00:00:00"/>
    <n v="7"/>
    <n v="2022"/>
    <n v="500"/>
    <n v="-500"/>
    <n v="0"/>
    <n v="1631727.5500000005"/>
    <s v="Cash"/>
    <s v="Bank Islam 159011 Cleared22/8/22, RM8,568.20"/>
    <m/>
  </r>
  <r>
    <x v="223"/>
    <x v="2"/>
    <x v="3"/>
    <x v="297"/>
    <s v="C00000027"/>
    <x v="27"/>
    <s v="RM PVA (5Kg)"/>
    <n v="1"/>
    <s v="Cash"/>
    <n v="0"/>
    <d v="2022-07-14T00:00:00"/>
    <n v="7"/>
    <n v="2022"/>
    <n v="170"/>
    <n v="-170"/>
    <n v="0"/>
    <n v="1631897.5500000005"/>
    <s v="Cash"/>
    <s v="Bank Islam 159011 Cleared22/8/22, RM8,568.20"/>
    <m/>
  </r>
  <r>
    <x v="223"/>
    <x v="2"/>
    <x v="3"/>
    <x v="297"/>
    <s v="C00000027"/>
    <x v="27"/>
    <s v="RM Gelcoat GPH (20kg)"/>
    <n v="6"/>
    <s v="Cash"/>
    <n v="0"/>
    <d v="2022-07-14T00:00:00"/>
    <n v="7"/>
    <n v="2022"/>
    <n v="1524"/>
    <n v="-1524"/>
    <n v="0"/>
    <n v="1633421.5500000005"/>
    <s v="Cash"/>
    <s v="Bank Islam 159011 Cleared22/8/22, RM8,568.20"/>
    <m/>
  </r>
  <r>
    <x v="224"/>
    <x v="2"/>
    <x v="3"/>
    <x v="298"/>
    <s v="C00000020"/>
    <x v="19"/>
    <s v="RM Resin 3317AW (220Kg)"/>
    <n v="2"/>
    <s v="Cash"/>
    <n v="0"/>
    <d v="2022-07-18T00:00:00"/>
    <n v="7"/>
    <n v="2022"/>
    <n v="4136"/>
    <n v="-4136"/>
    <n v="0"/>
    <n v="1637557.5500000005"/>
    <s v="Cash"/>
    <s v="Trsf 28/12/22 RM30,000.00"/>
    <m/>
  </r>
  <r>
    <x v="224"/>
    <x v="2"/>
    <x v="3"/>
    <x v="298"/>
    <s v="C00000020"/>
    <x v="19"/>
    <s v="RM CSM 450 64m(L) 1040mm(W) (30Kg)"/>
    <n v="8"/>
    <s v="Cash"/>
    <n v="0"/>
    <d v="2022-07-18T00:00:00"/>
    <n v="7"/>
    <n v="2022"/>
    <n v="2352"/>
    <n v="-2352"/>
    <n v="0"/>
    <n v="1639909.5500000005"/>
    <s v="Cash"/>
    <s v="Trsf 28/12/22 RM30,000.00"/>
    <m/>
  </r>
  <r>
    <x v="224"/>
    <x v="2"/>
    <x v="3"/>
    <x v="298"/>
    <s v="C00000020"/>
    <x v="19"/>
    <s v="RJ Woven Roving E-600gm 1000mm (40Kg)"/>
    <n v="4"/>
    <s v="Cash"/>
    <n v="0"/>
    <d v="2022-07-18T00:00:00"/>
    <n v="7"/>
    <n v="2022"/>
    <n v="1200"/>
    <n v="-1200"/>
    <n v="0"/>
    <n v="1641109.5500000005"/>
    <s v="Cash"/>
    <s v="Trsf 28/12/22 RM30,000.00(RM260.80), Trsf 29/12/22 RM5,000.00(RM939.20)"/>
    <m/>
  </r>
  <r>
    <x v="224"/>
    <x v="2"/>
    <x v="3"/>
    <x v="298"/>
    <s v="C00000020"/>
    <x v="19"/>
    <s v="RM Talcum Powder (25kg)"/>
    <n v="2"/>
    <s v="Cash"/>
    <n v="0"/>
    <d v="2022-07-18T00:00:00"/>
    <n v="7"/>
    <n v="2022"/>
    <n v="125"/>
    <n v="-125"/>
    <n v="0"/>
    <n v="1641234.5500000005"/>
    <s v="Cash"/>
    <s v="Trsf 29/12/22 RM5,000.00"/>
    <m/>
  </r>
  <r>
    <x v="224"/>
    <x v="2"/>
    <x v="3"/>
    <x v="298"/>
    <s v="C00000020"/>
    <x v="19"/>
    <s v="RM Pigment Smooth Cream (25kg)"/>
    <n v="1"/>
    <s v="Cash"/>
    <n v="0"/>
    <d v="2022-07-18T00:00:00"/>
    <n v="7"/>
    <n v="2022"/>
    <n v="1000"/>
    <n v="-1000"/>
    <n v="0"/>
    <n v="1642234.5500000005"/>
    <s v="Cash"/>
    <s v="Trsf 29/12/22 RM5,000.00"/>
    <m/>
  </r>
  <r>
    <x v="224"/>
    <x v="2"/>
    <x v="3"/>
    <x v="298"/>
    <s v="C00000020"/>
    <x v="19"/>
    <s v="RJ Mepoxe (5kg)"/>
    <n v="4"/>
    <s v="Cash"/>
    <n v="0"/>
    <d v="2022-07-18T00:00:00"/>
    <n v="7"/>
    <n v="2022"/>
    <n v="340"/>
    <n v="-340"/>
    <n v="0"/>
    <n v="1642574.5500000005"/>
    <s v="Cash"/>
    <s v="Trsf 29/12/22 RM5,000.00"/>
    <m/>
  </r>
  <r>
    <x v="225"/>
    <x v="2"/>
    <x v="3"/>
    <x v="299"/>
    <s v="C00000020"/>
    <x v="19"/>
    <s v="RM CSM 450 64m(L) 1040mm(W) (30Kg)"/>
    <n v="2"/>
    <s v="Cash"/>
    <n v="0"/>
    <d v="2022-07-20T00:00:00"/>
    <n v="7"/>
    <n v="2022"/>
    <n v="588"/>
    <n v="-588"/>
    <n v="0"/>
    <n v="1643162.5500000005"/>
    <s v="Cash"/>
    <s v="Trsf 29/12/22 RM5,000.00"/>
    <m/>
  </r>
  <r>
    <x v="225"/>
    <x v="2"/>
    <x v="3"/>
    <x v="299"/>
    <s v="C00000020"/>
    <x v="19"/>
    <s v="RA  Woven Roing 600 1120mm (45kg)"/>
    <n v="1"/>
    <s v="Cash"/>
    <n v="0"/>
    <d v="2022-07-20T00:00:00"/>
    <n v="7"/>
    <n v="2022"/>
    <n v="337.5"/>
    <n v="-337.5"/>
    <n v="0"/>
    <n v="1643500.0500000005"/>
    <s v="Cash"/>
    <s v="Trsf 29/12/22 RM5,000.00"/>
    <m/>
  </r>
  <r>
    <x v="226"/>
    <x v="2"/>
    <x v="3"/>
    <x v="300"/>
    <s v="C00000020"/>
    <x v="19"/>
    <s v="RM Nor 3338W (220Kg)"/>
    <n v="2"/>
    <s v="Cash"/>
    <n v="0"/>
    <d v="2022-07-23T00:00:00"/>
    <n v="7"/>
    <n v="2022"/>
    <n v="4136"/>
    <n v="-4136"/>
    <n v="0"/>
    <n v="1647636.0500000005"/>
    <s v="Cash"/>
    <s v="Trsf 29/12/22 RM5,000.00(RM1,670.30), Trsf 4/1/23 RM30,000.00(RM2,465.70partial)"/>
    <m/>
  </r>
  <r>
    <x v="226"/>
    <x v="2"/>
    <x v="3"/>
    <x v="300"/>
    <s v="C00000020"/>
    <x v="19"/>
    <s v="RM CSM 450 64m(L) 1040mm(W) (30Kg)"/>
    <n v="6"/>
    <s v="Cash"/>
    <n v="0"/>
    <d v="2022-07-23T00:00:00"/>
    <n v="7"/>
    <n v="2022"/>
    <n v="1764"/>
    <n v="-1764"/>
    <n v="0"/>
    <n v="1649400.0500000005"/>
    <s v="Cash"/>
    <s v="Trsf 4/1/23 RM30,000.00"/>
    <m/>
  </r>
  <r>
    <x v="226"/>
    <x v="2"/>
    <x v="3"/>
    <x v="300"/>
    <s v="C00000020"/>
    <x v="19"/>
    <s v="RJ Woven Roving E-600gm 1000mm (40Kg)"/>
    <n v="2"/>
    <s v="Cash"/>
    <n v="0"/>
    <d v="2022-07-23T00:00:00"/>
    <n v="7"/>
    <n v="2022"/>
    <n v="600"/>
    <n v="-600"/>
    <n v="0"/>
    <n v="1650000.0500000005"/>
    <s v="Cash"/>
    <s v="Trsf 4/1/23 RM30,000.00"/>
    <m/>
  </r>
  <r>
    <x v="226"/>
    <x v="2"/>
    <x v="3"/>
    <x v="300"/>
    <s v="C00000020"/>
    <x v="19"/>
    <s v="RM Talcum Powder (25kg)"/>
    <n v="2"/>
    <s v="Cash"/>
    <n v="0"/>
    <d v="2022-07-23T00:00:00"/>
    <n v="7"/>
    <n v="2022"/>
    <n v="125"/>
    <n v="-125"/>
    <n v="0"/>
    <n v="1650125.0500000005"/>
    <s v="Cash"/>
    <s v="Trsf 4/1/23 RM30,000.00"/>
    <m/>
  </r>
  <r>
    <x v="226"/>
    <x v="2"/>
    <x v="3"/>
    <x v="301"/>
    <s v="C00000001"/>
    <x v="0"/>
    <s v="RM Resin 3317AW (220Kg)"/>
    <n v="2"/>
    <s v="Cash"/>
    <n v="0"/>
    <d v="2022-07-23T00:00:00"/>
    <n v="7"/>
    <n v="2022"/>
    <n v="4092"/>
    <n v="-4092"/>
    <n v="0"/>
    <n v="1654217.0500000005"/>
    <s v="Cash"/>
    <s v="Trsf 29/7/22 RM4,092.00"/>
    <m/>
  </r>
  <r>
    <x v="227"/>
    <x v="2"/>
    <x v="3"/>
    <x v="302"/>
    <s v="C00000010"/>
    <x v="9"/>
    <s v="RM Resin 3338AW (220kg)"/>
    <n v="5"/>
    <s v="T120"/>
    <n v="120"/>
    <d v="2022-11-23T00:00:00"/>
    <n v="11"/>
    <n v="2022"/>
    <n v="9900"/>
    <n v="-9900"/>
    <n v="0"/>
    <n v="1664117.0500000005"/>
    <s v="Term"/>
    <s v="Trsf 18/10/22 RM13,445.00"/>
    <m/>
  </r>
  <r>
    <x v="227"/>
    <x v="2"/>
    <x v="3"/>
    <x v="302"/>
    <s v="C00000010"/>
    <x v="9"/>
    <s v="RM CSM 450 64m(L) 1040mm(W) (30Kg)"/>
    <n v="10"/>
    <s v="T120"/>
    <n v="120"/>
    <d v="2022-11-23T00:00:00"/>
    <n v="11"/>
    <n v="2022"/>
    <n v="2850"/>
    <n v="-2850"/>
    <n v="0"/>
    <n v="1666967.0500000005"/>
    <s v="Term"/>
    <s v="Trsf 18/10/22 RM13,445.00"/>
    <m/>
  </r>
  <r>
    <x v="227"/>
    <x v="2"/>
    <x v="3"/>
    <x v="302"/>
    <s v="C00000010"/>
    <x v="9"/>
    <s v="RM Talcum Powder (25kg)"/>
    <n v="5"/>
    <s v="T120"/>
    <n v="120"/>
    <d v="2022-11-23T00:00:00"/>
    <n v="11"/>
    <n v="2022"/>
    <n v="275"/>
    <n v="-275"/>
    <n v="0"/>
    <n v="1667242.0500000005"/>
    <s v="Term"/>
    <s v="Trsf 18/10/22 RM13,445.00"/>
    <m/>
  </r>
  <r>
    <x v="227"/>
    <x v="2"/>
    <x v="3"/>
    <x v="302"/>
    <s v="C00000010"/>
    <x v="9"/>
    <s v="RA Butanox M50 (5kg)"/>
    <n v="4"/>
    <s v="T120"/>
    <n v="120"/>
    <d v="2022-11-23T00:00:00"/>
    <n v="11"/>
    <n v="2022"/>
    <n v="420"/>
    <n v="-420"/>
    <n v="0"/>
    <n v="1667662.0500000005"/>
    <s v="Term"/>
    <s v="Trsf 18/10/22 RM13,445.00"/>
    <m/>
  </r>
  <r>
    <x v="228"/>
    <x v="2"/>
    <x v="3"/>
    <x v="303"/>
    <s v="C00000021"/>
    <x v="21"/>
    <s v="RM Resin 3317AW (220Kg)"/>
    <n v="1"/>
    <s v="Cash"/>
    <n v="0"/>
    <d v="2022-07-29T00:00:00"/>
    <n v="7"/>
    <n v="2022"/>
    <n v="2090"/>
    <n v="-2090"/>
    <n v="0"/>
    <n v="1669752.0500000005"/>
    <s v="Cash"/>
    <s v="Chq PBB 395369, cleared201022 RM2,180.00"/>
    <m/>
  </r>
  <r>
    <x v="228"/>
    <x v="2"/>
    <x v="3"/>
    <x v="303"/>
    <s v="C00000021"/>
    <x v="21"/>
    <s v="RJ Mepoxe (5kg)"/>
    <n v="1"/>
    <s v="Cash"/>
    <n v="0"/>
    <d v="2022-07-29T00:00:00"/>
    <n v="7"/>
    <n v="2022"/>
    <n v="90"/>
    <n v="-90"/>
    <n v="0"/>
    <n v="1669842.0500000005"/>
    <s v="Cash"/>
    <s v="Chq PBB 395369, cleared201022 RM2,180.00"/>
    <m/>
  </r>
  <r>
    <x v="228"/>
    <x v="2"/>
    <x v="3"/>
    <x v="304"/>
    <s v="C00000009"/>
    <x v="8"/>
    <s v="RM Nor 3338W (220Kg)"/>
    <n v="2"/>
    <s v="T60"/>
    <n v="60"/>
    <d v="2022-09-27T00:00:00"/>
    <n v="9"/>
    <n v="2022"/>
    <n v="3960"/>
    <n v="-3960"/>
    <n v="0"/>
    <n v="1673802.0500000005"/>
    <s v="Term"/>
    <s v="Chq HL 016715 dd 16/11/22"/>
    <m/>
  </r>
  <r>
    <x v="228"/>
    <x v="2"/>
    <x v="3"/>
    <x v="304"/>
    <s v="C00000009"/>
    <x v="8"/>
    <s v="RM CSM 450 Jushi 64m(L) X 1860mm(W) (67Kg)"/>
    <n v="1"/>
    <s v="T60"/>
    <n v="60"/>
    <d v="2022-09-27T00:00:00"/>
    <n v="9"/>
    <n v="2022"/>
    <n v="636.5"/>
    <n v="-636.5"/>
    <n v="0"/>
    <n v="1674438.5500000005"/>
    <s v="Term"/>
    <s v="Chq HL 016715 dd 16/11/22"/>
    <m/>
  </r>
  <r>
    <x v="229"/>
    <x v="3"/>
    <x v="3"/>
    <x v="305"/>
    <s v="C00000027"/>
    <x v="27"/>
    <s v="RM Resin 3317AW (220Kg)"/>
    <n v="3"/>
    <s v="Cash"/>
    <n v="0"/>
    <d v="2022-08-04T00:00:00"/>
    <n v="8"/>
    <n v="2022"/>
    <n v="6006"/>
    <n v="-6006"/>
    <n v="0"/>
    <n v="1680444.5500000005"/>
    <s v="Cash"/>
    <s v="Bank Islam 0159032 Cleared28/9/22, RM12,643.00"/>
    <m/>
  </r>
  <r>
    <x v="229"/>
    <x v="3"/>
    <x v="3"/>
    <x v="305"/>
    <s v="C00000027"/>
    <x v="27"/>
    <s v="RM CSM 450 Jushi 64m(L) X 1860mm(W) (67kg)"/>
    <n v="2"/>
    <s v="Cash"/>
    <n v="0"/>
    <d v="2022-08-04T00:00:00"/>
    <n v="8"/>
    <n v="2022"/>
    <n v="1259.5999999999999"/>
    <n v="-1259.5999999999999"/>
    <n v="0"/>
    <n v="1681704.1500000006"/>
    <s v="Cash"/>
    <s v="Bank Islamn0159032 Cleared28/9/22, RM12,643.00"/>
    <m/>
  </r>
  <r>
    <x v="229"/>
    <x v="3"/>
    <x v="3"/>
    <x v="305"/>
    <s v="C00000027"/>
    <x v="27"/>
    <s v="RA CSM 300 96m(L) X 1860mm(W) (54Kg)"/>
    <n v="2"/>
    <s v="Cash"/>
    <n v="0"/>
    <d v="2022-08-04T00:00:00"/>
    <n v="8"/>
    <n v="2022"/>
    <n v="1015.2"/>
    <n v="-1015.2"/>
    <n v="0"/>
    <n v="1682719.3500000006"/>
    <s v="Cash"/>
    <s v="Bank Islam 0159032 Cleared28/9/22, RM12,643.00"/>
    <m/>
  </r>
  <r>
    <x v="229"/>
    <x v="3"/>
    <x v="3"/>
    <x v="305"/>
    <s v="C00000027"/>
    <x v="27"/>
    <s v="RJ Woven Roving E-600gm 1000mm (40Kg)"/>
    <n v="2"/>
    <s v="Cash"/>
    <n v="0"/>
    <d v="2022-08-04T00:00:00"/>
    <n v="8"/>
    <n v="2022"/>
    <n v="560"/>
    <n v="-560"/>
    <n v="0"/>
    <n v="1683279.3500000006"/>
    <s v="Cash"/>
    <s v="Bank Islam 0159032 Cleared28/9/22, RM12,643.00"/>
    <m/>
  </r>
  <r>
    <x v="229"/>
    <x v="3"/>
    <x v="3"/>
    <x v="305"/>
    <s v="C00000027"/>
    <x v="27"/>
    <s v="RM Pigment Super White (5Kg)"/>
    <n v="4"/>
    <s v="Cash"/>
    <n v="0"/>
    <d v="2022-08-04T00:00:00"/>
    <n v="8"/>
    <n v="2022"/>
    <n v="640"/>
    <n v="-640"/>
    <n v="0"/>
    <n v="1683919.3500000006"/>
    <s v="Cash"/>
    <s v="Bank Islam 0159032 Cleared28/9/22, RM12,643.00"/>
    <m/>
  </r>
  <r>
    <x v="229"/>
    <x v="3"/>
    <x v="3"/>
    <x v="305"/>
    <s v="C00000027"/>
    <x v="27"/>
    <s v="RJ Mepoxe (5kg)"/>
    <n v="1"/>
    <s v="Cash"/>
    <n v="0"/>
    <d v="2022-08-04T00:00:00"/>
    <n v="8"/>
    <n v="2022"/>
    <n v="90"/>
    <n v="-90"/>
    <n v="0"/>
    <n v="1684009.3500000006"/>
    <s v="Cash"/>
    <s v="Bank Islam 0159032 Cleared28/9/22, RM12,643.00"/>
    <m/>
  </r>
  <r>
    <x v="229"/>
    <x v="3"/>
    <x v="3"/>
    <x v="305"/>
    <s v="C00000027"/>
    <x v="27"/>
    <s v="RM Acetone (163Kg)"/>
    <n v="1"/>
    <s v="Cash"/>
    <n v="0"/>
    <d v="2022-08-04T00:00:00"/>
    <n v="8"/>
    <n v="2022"/>
    <n v="1108.4000000000001"/>
    <n v="-1108.4000000000001"/>
    <n v="0"/>
    <n v="1685117.7500000005"/>
    <s v="Cash"/>
    <s v="Bank Islam 0159032 Cleared28/9/22, RM12,643.00"/>
    <m/>
  </r>
  <r>
    <x v="229"/>
    <x v="3"/>
    <x v="3"/>
    <x v="305"/>
    <s v="C00000027"/>
    <x v="27"/>
    <s v="RM Fume silica HJSIL 200(10Kg)"/>
    <n v="1"/>
    <s v="Cash"/>
    <n v="0"/>
    <d v="2022-08-04T00:00:00"/>
    <n v="8"/>
    <n v="2022"/>
    <n v="440"/>
    <n v="-440"/>
    <n v="0"/>
    <n v="1685557.7500000005"/>
    <s v="Cash"/>
    <s v="Bank Islam 0159032 Cleared28/9/22, RM12,643.00"/>
    <m/>
  </r>
  <r>
    <x v="229"/>
    <x v="3"/>
    <x v="3"/>
    <x v="305"/>
    <s v="C00000027"/>
    <x v="27"/>
    <s v="RM Gelcoat GPH (20kg)"/>
    <n v="6"/>
    <s v="Cash"/>
    <n v="0"/>
    <d v="2022-08-04T00:00:00"/>
    <n v="8"/>
    <n v="2022"/>
    <n v="1524"/>
    <n v="-1523.8"/>
    <n v="0.20000000000004547"/>
    <n v="1687081.7500000005"/>
    <s v="Cash"/>
    <s v="Bank Islam 0159032 Cleared28/9/22, RM12,643.00"/>
    <m/>
  </r>
  <r>
    <x v="230"/>
    <x v="3"/>
    <x v="3"/>
    <x v="306"/>
    <s v="C00000020"/>
    <x v="19"/>
    <s v="RM Resin 3317AW (220Kg)"/>
    <n v="1"/>
    <s v="Cash"/>
    <n v="0"/>
    <d v="2022-08-06T00:00:00"/>
    <n v="8"/>
    <n v="2022"/>
    <n v="2068"/>
    <n v="-2068"/>
    <n v="0"/>
    <n v="1689149.7500000005"/>
    <s v="Cash"/>
    <s v="Trsf 4/1/23 RM30,000.00"/>
    <m/>
  </r>
  <r>
    <x v="230"/>
    <x v="3"/>
    <x v="3"/>
    <x v="306"/>
    <s v="C00000020"/>
    <x v="19"/>
    <s v="RA CSM 450 GSM JUSHI 79m(L) X 1040mm(W) (37kg)"/>
    <n v="6"/>
    <s v="Cash"/>
    <n v="0"/>
    <d v="2022-08-06T00:00:00"/>
    <n v="8"/>
    <n v="2022"/>
    <n v="2175.6000000000004"/>
    <n v="-2175.6000000000004"/>
    <n v="0"/>
    <n v="1691325.3500000006"/>
    <s v="Cash"/>
    <s v="Trsf 4/1/23 RM30,000.00"/>
    <m/>
  </r>
  <r>
    <x v="230"/>
    <x v="3"/>
    <x v="3"/>
    <x v="306"/>
    <s v="C00000020"/>
    <x v="19"/>
    <s v="RJ Woven Roving E-600gm 1000mm (40Kg)"/>
    <n v="3"/>
    <s v="Cash"/>
    <n v="0"/>
    <d v="2022-08-06T00:00:00"/>
    <n v="8"/>
    <n v="2022"/>
    <n v="900"/>
    <n v="-900"/>
    <n v="0"/>
    <n v="1692225.3500000006"/>
    <s v="Cash"/>
    <s v="Trsf 4/1/23 RM30,000.00"/>
    <m/>
  </r>
  <r>
    <x v="230"/>
    <x v="3"/>
    <x v="3"/>
    <x v="306"/>
    <s v="C00000020"/>
    <x v="19"/>
    <s v="RM Talcum Powder (25kg)"/>
    <n v="2"/>
    <s v="Cash"/>
    <n v="0"/>
    <d v="2022-08-06T00:00:00"/>
    <n v="8"/>
    <n v="2022"/>
    <n v="125"/>
    <n v="-125"/>
    <n v="0"/>
    <n v="1692350.3500000006"/>
    <s v="Cash"/>
    <s v="Trsf 4/1/23 RM30,000.00"/>
    <m/>
  </r>
  <r>
    <x v="230"/>
    <x v="3"/>
    <x v="3"/>
    <x v="307"/>
    <s v="C00000001"/>
    <x v="0"/>
    <s v="RM Woven Roving E-800 1000mm (40Kg)"/>
    <n v="3"/>
    <s v="Cash"/>
    <n v="0"/>
    <d v="2022-08-06T00:00:00"/>
    <n v="8"/>
    <n v="2022"/>
    <n v="864"/>
    <n v="-864"/>
    <n v="0"/>
    <n v="1693214.3500000006"/>
    <s v="Cash"/>
    <s v="Trsf 13/8/22 RM864.00"/>
    <m/>
  </r>
  <r>
    <x v="231"/>
    <x v="3"/>
    <x v="3"/>
    <x v="308"/>
    <s v="C00000026"/>
    <x v="26"/>
    <s v="RM Resin 3317AW (220Kg)"/>
    <n v="1"/>
    <s v="Cash"/>
    <n v="0"/>
    <d v="2022-08-09T00:00:00"/>
    <n v="8"/>
    <n v="2022"/>
    <n v="2068"/>
    <n v="-2068"/>
    <n v="0"/>
    <n v="1695282.3500000006"/>
    <s v="Cash"/>
    <s v="Trsf 9/8/22 RM2,068.00"/>
    <m/>
  </r>
  <r>
    <x v="232"/>
    <x v="3"/>
    <x v="3"/>
    <x v="309"/>
    <s v="C00000020"/>
    <x v="19"/>
    <s v="RM Nor 3338W (220Kg)"/>
    <n v="1"/>
    <s v="Cash"/>
    <n v="0"/>
    <d v="2022-08-12T00:00:00"/>
    <n v="8"/>
    <n v="2022"/>
    <n v="2068"/>
    <n v="-2068"/>
    <n v="0"/>
    <n v="1697350.3500000006"/>
    <s v="Cash"/>
    <s v="Trsf 4/1/23 RM30,000.00"/>
    <m/>
  </r>
  <r>
    <x v="232"/>
    <x v="3"/>
    <x v="3"/>
    <x v="309"/>
    <s v="C00000020"/>
    <x v="19"/>
    <s v="RM CSM 450 64m(L) 1040mm(W) (30Kg)"/>
    <n v="3"/>
    <s v="Cash"/>
    <n v="0"/>
    <d v="2022-08-12T00:00:00"/>
    <n v="8"/>
    <n v="2022"/>
    <n v="882"/>
    <n v="-882"/>
    <n v="0"/>
    <n v="1698232.3500000006"/>
    <s v="Cash"/>
    <s v="Trsf 4/1/23 RM30,000.00"/>
    <m/>
  </r>
  <r>
    <x v="232"/>
    <x v="3"/>
    <x v="3"/>
    <x v="309"/>
    <s v="C00000020"/>
    <x v="19"/>
    <s v="RJ Woven Roving E-600gm 1000mm (40Kg)"/>
    <n v="1"/>
    <s v="Cash"/>
    <n v="0"/>
    <d v="2022-08-12T00:00:00"/>
    <n v="8"/>
    <n v="2022"/>
    <n v="300"/>
    <n v="-300"/>
    <n v="0"/>
    <n v="1698532.3500000006"/>
    <s v="Cash"/>
    <s v="Trsf 4/1/23 RM30,000.00"/>
    <m/>
  </r>
  <r>
    <x v="232"/>
    <x v="3"/>
    <x v="3"/>
    <x v="309"/>
    <s v="C00000020"/>
    <x v="19"/>
    <s v="RM Talcum Powder (25kg)"/>
    <n v="1"/>
    <s v="Cash"/>
    <n v="0"/>
    <d v="2022-08-12T00:00:00"/>
    <n v="8"/>
    <n v="2022"/>
    <n v="62.5"/>
    <n v="-62.5"/>
    <n v="0"/>
    <n v="1698594.8500000006"/>
    <s v="Cash"/>
    <s v="Trsf 4/1/23 RM30,000.00"/>
    <m/>
  </r>
  <r>
    <x v="232"/>
    <x v="3"/>
    <x v="3"/>
    <x v="309"/>
    <s v="C00000020"/>
    <x v="19"/>
    <s v="RM Pigment Smooth Cream (25kg)"/>
    <n v="1"/>
    <s v="Cash"/>
    <n v="0"/>
    <d v="2022-08-12T00:00:00"/>
    <n v="8"/>
    <n v="2022"/>
    <n v="1000"/>
    <n v="-1000"/>
    <n v="0"/>
    <n v="1699594.8500000006"/>
    <s v="Cash"/>
    <s v="Trsf 4/1/23 RM30,000.00"/>
    <m/>
  </r>
  <r>
    <x v="233"/>
    <x v="3"/>
    <x v="3"/>
    <x v="310"/>
    <s v="CANCELLED INVOICE"/>
    <x v="28"/>
    <s v="-"/>
    <n v="0"/>
    <s v="-"/>
    <n v="0"/>
    <d v="2022-08-15T00:00:00"/>
    <n v="8"/>
    <n v="2022"/>
    <n v="0"/>
    <m/>
    <n v="0"/>
    <n v="1699594.8500000006"/>
    <s v="-"/>
    <m/>
    <m/>
  </r>
  <r>
    <x v="233"/>
    <x v="3"/>
    <x v="3"/>
    <x v="311"/>
    <s v="C00000004"/>
    <x v="3"/>
    <s v="RM Resin Nor 3338W (220Kg)"/>
    <n v="5"/>
    <s v="T120"/>
    <n v="120"/>
    <d v="2022-12-13T00:00:00"/>
    <n v="12"/>
    <n v="2022"/>
    <n v="9570"/>
    <n v="-9570"/>
    <n v="0"/>
    <n v="1709164.8500000006"/>
    <s v="Term"/>
    <s v="HLB014947Cleared21/11/22-RM16,536.70"/>
    <m/>
  </r>
  <r>
    <x v="233"/>
    <x v="3"/>
    <x v="3"/>
    <x v="311"/>
    <s v="C00000004"/>
    <x v="3"/>
    <s v="RM Resin 268BQTN (225Kg)"/>
    <n v="1"/>
    <s v="T120"/>
    <n v="120"/>
    <d v="2022-12-13T00:00:00"/>
    <n v="12"/>
    <n v="2022"/>
    <n v="1957.5"/>
    <n v="-1957.5"/>
    <n v="0"/>
    <n v="1711122.3500000006"/>
    <s v="Term"/>
    <s v="HLB014947Cleared21/11/22-RM16,536.70"/>
    <m/>
  </r>
  <r>
    <x v="233"/>
    <x v="3"/>
    <x v="3"/>
    <x v="311"/>
    <s v="C00000004"/>
    <x v="3"/>
    <s v="RM CSM 450 Jushi 64m(L) X 1860mm(W) (67kg)"/>
    <n v="4"/>
    <s v="T120"/>
    <n v="120"/>
    <d v="2022-12-13T00:00:00"/>
    <n v="12"/>
    <n v="2022"/>
    <n v="2358.4"/>
    <n v="-2358.4"/>
    <n v="0"/>
    <n v="1713480.7500000005"/>
    <s v="Term"/>
    <s v="HLB014947Cleared21/11/22-RM16,536.70"/>
    <m/>
  </r>
  <r>
    <x v="233"/>
    <x v="3"/>
    <x v="3"/>
    <x v="311"/>
    <s v="C00000004"/>
    <x v="3"/>
    <s v="RA CSM 300 TWL 54Kg 96m(L) X 1860mm(W)"/>
    <n v="4"/>
    <s v="T120"/>
    <n v="120"/>
    <d v="2022-12-13T00:00:00"/>
    <n v="12"/>
    <n v="2022"/>
    <n v="1900.8"/>
    <n v="-1900.8"/>
    <n v="0"/>
    <n v="1715381.5500000005"/>
    <s v="Term"/>
    <s v="HLB014947Cleared21/11/22-RM16,536.70"/>
    <m/>
  </r>
  <r>
    <x v="233"/>
    <x v="3"/>
    <x v="3"/>
    <x v="311"/>
    <s v="C00000004"/>
    <x v="3"/>
    <s v="RJ Mepoxe (5kg)"/>
    <n v="4"/>
    <s v="T120"/>
    <n v="120"/>
    <d v="2022-12-13T00:00:00"/>
    <n v="12"/>
    <n v="2022"/>
    <n v="360"/>
    <n v="-360"/>
    <n v="0"/>
    <n v="1715741.5500000005"/>
    <s v="Term"/>
    <s v="HLB014947Cleared21/11/22-RM16,536.70"/>
    <m/>
  </r>
  <r>
    <x v="233"/>
    <x v="3"/>
    <x v="3"/>
    <x v="311"/>
    <s v="C00000004"/>
    <x v="3"/>
    <s v="RM Cobalt 10% (5Kg)"/>
    <n v="1"/>
    <s v="T120"/>
    <n v="120"/>
    <d v="2022-12-13T00:00:00"/>
    <n v="12"/>
    <n v="2022"/>
    <n v="390"/>
    <n v="-390"/>
    <n v="0"/>
    <n v="1716131.5500000005"/>
    <s v="Term"/>
    <s v="HLB014947Cleared21/11/22-RM16,536.70"/>
    <m/>
  </r>
  <r>
    <x v="233"/>
    <x v="3"/>
    <x v="3"/>
    <x v="312"/>
    <s v="C00000003"/>
    <x v="2"/>
    <s v="RA Resin 3317AW (220Kg)"/>
    <n v="3"/>
    <s v="T45"/>
    <n v="45"/>
    <d v="2022-09-29T00:00:00"/>
    <n v="9"/>
    <n v="2022"/>
    <n v="6336"/>
    <n v="-6336"/>
    <n v="0"/>
    <n v="1722467.5500000005"/>
    <s v="Term"/>
    <s v="RHB 00458 12/9/22cleared-RM2,000.00(partial), RHB 00459 19/9/22cleared-RM2,000.00(partial), RHB 00460 26/9/22cleared-RM2,000.00(partial), RHB 00461 11/10/22cleared-RM1,521.00(RM336.00partial)"/>
    <m/>
  </r>
  <r>
    <x v="233"/>
    <x v="3"/>
    <x v="3"/>
    <x v="312"/>
    <s v="C00000003"/>
    <x v="2"/>
    <s v="RA Talcum Powder (25kg)"/>
    <n v="3"/>
    <s v="T45"/>
    <n v="45"/>
    <d v="2022-09-29T00:00:00"/>
    <n v="9"/>
    <n v="2022"/>
    <n v="195"/>
    <n v="-195"/>
    <n v="0"/>
    <n v="1722662.5500000005"/>
    <s v="Term"/>
    <s v="RHB 00461 11/10/22cleared-RM1,521.00(partial)"/>
    <m/>
  </r>
  <r>
    <x v="233"/>
    <x v="3"/>
    <x v="3"/>
    <x v="312"/>
    <s v="C00000003"/>
    <x v="2"/>
    <s v="RA Butanox M50 (5Kg)"/>
    <n v="6"/>
    <s v="T45"/>
    <n v="45"/>
    <d v="2022-09-29T00:00:00"/>
    <n v="9"/>
    <n v="2022"/>
    <n v="630"/>
    <n v="-630"/>
    <n v="0"/>
    <n v="1723292.5500000005"/>
    <s v="Term"/>
    <s v="RHB 00461 11/10/22cleared-RM1,521.00(partial)"/>
    <m/>
  </r>
  <r>
    <x v="233"/>
    <x v="3"/>
    <x v="3"/>
    <x v="312"/>
    <s v="C00000003"/>
    <x v="2"/>
    <s v="RA Miracle Gloss Wax"/>
    <n v="1"/>
    <s v="T45"/>
    <n v="45"/>
    <d v="2022-09-29T00:00:00"/>
    <n v="9"/>
    <n v="2022"/>
    <n v="45"/>
    <n v="-45"/>
    <n v="0"/>
    <n v="1723337.5500000005"/>
    <s v="Term"/>
    <s v="RHB 00461 11/10/22cleared-RM1,521.00(partial)"/>
    <m/>
  </r>
  <r>
    <x v="233"/>
    <x v="3"/>
    <x v="3"/>
    <x v="312"/>
    <s v="C00000003"/>
    <x v="2"/>
    <s v="RA CSM 300 TWL 54Kg 96m(L) X 1860mm(W)"/>
    <n v="1"/>
    <s v="T45"/>
    <n v="45"/>
    <d v="2022-09-29T00:00:00"/>
    <n v="9"/>
    <n v="2022"/>
    <n v="315"/>
    <n v="-315"/>
    <n v="0"/>
    <n v="1723652.5500000005"/>
    <s v="Term"/>
    <s v="RHB 00461 11/10/22cleared-RM1,521.00(partial)"/>
    <m/>
  </r>
  <r>
    <x v="234"/>
    <x v="3"/>
    <x v="3"/>
    <x v="313"/>
    <s v="C00000021"/>
    <x v="21"/>
    <s v="RM Resin 3317AW (220Kg)"/>
    <n v="1"/>
    <s v="Cash"/>
    <n v="0"/>
    <d v="2022-08-16T00:00:00"/>
    <n v="8"/>
    <n v="2022"/>
    <n v="2002"/>
    <n v="-2002"/>
    <n v="0"/>
    <n v="1725654.5500000005"/>
    <s v="Cash"/>
    <s v="Chq PBB 395370, cleared311022 RM3,459.00"/>
    <m/>
  </r>
  <r>
    <x v="234"/>
    <x v="3"/>
    <x v="3"/>
    <x v="313"/>
    <s v="C00000021"/>
    <x v="21"/>
    <s v="RA CSM 450 Jushi 64m(L) x 1040mm(W) (37Kg)"/>
    <n v="3"/>
    <s v="Cash"/>
    <n v="0"/>
    <d v="2022-08-16T00:00:00"/>
    <n v="8"/>
    <n v="2022"/>
    <n v="1054.5"/>
    <n v="-1054.5"/>
    <n v="0"/>
    <n v="1726709.0500000005"/>
    <s v="Cash"/>
    <s v="Chq PBB 395370, cleared311022 RM3,459.00"/>
    <m/>
  </r>
  <r>
    <x v="234"/>
    <x v="3"/>
    <x v="3"/>
    <x v="313"/>
    <s v="C00000021"/>
    <x v="21"/>
    <s v="RJ Mepoxe (5kg)"/>
    <n v="1"/>
    <s v="Cash"/>
    <n v="0"/>
    <d v="2022-08-16T00:00:00"/>
    <n v="8"/>
    <n v="2022"/>
    <n v="90"/>
    <n v="-90"/>
    <n v="0"/>
    <n v="1726799.0500000005"/>
    <s v="Cash"/>
    <s v="Chq PBB 395370, cleared311022 RM3,459.00"/>
    <m/>
  </r>
  <r>
    <x v="234"/>
    <x v="3"/>
    <x v="3"/>
    <x v="313"/>
    <s v="C00000021"/>
    <x v="21"/>
    <s v="RA Talcum Powder (25kg)"/>
    <n v="5"/>
    <s v="Cash"/>
    <n v="0"/>
    <d v="2022-08-16T00:00:00"/>
    <n v="8"/>
    <n v="2022"/>
    <n v="312.5"/>
    <n v="-312.5"/>
    <n v="0"/>
    <n v="1727111.5500000005"/>
    <s v="Cash"/>
    <s v="Chq PBB 395370, cleared311022 RM3,459.00"/>
    <m/>
  </r>
  <r>
    <x v="235"/>
    <x v="3"/>
    <x v="3"/>
    <x v="314"/>
    <s v="C00000027"/>
    <x v="27"/>
    <s v="RM Resin 3317AW (220Kg)"/>
    <n v="2"/>
    <s v="Cash"/>
    <n v="0"/>
    <d v="2022-08-23T00:00:00"/>
    <n v="8"/>
    <n v="2022"/>
    <n v="4004"/>
    <n v="-4004"/>
    <n v="0"/>
    <n v="1731115.5500000005"/>
    <s v="Cash"/>
    <s v="Bank Islam 0159046 Cleared27/10/22, RM11,846.00"/>
    <m/>
  </r>
  <r>
    <x v="235"/>
    <x v="3"/>
    <x v="3"/>
    <x v="314"/>
    <s v="C00000027"/>
    <x v="27"/>
    <s v="RM Pigment Super White (5Kg)"/>
    <n v="4"/>
    <s v="Cash"/>
    <n v="0"/>
    <d v="2022-08-23T00:00:00"/>
    <n v="8"/>
    <n v="2022"/>
    <n v="640"/>
    <n v="-640"/>
    <n v="0"/>
    <n v="1731755.5500000005"/>
    <s v="Cash"/>
    <s v="Bank Islam 0159046 Cleared27/10/22, RM11,846.00"/>
    <m/>
  </r>
  <r>
    <x v="235"/>
    <x v="3"/>
    <x v="3"/>
    <x v="314"/>
    <s v="C00000027"/>
    <x v="27"/>
    <s v="RJ Mepoxe (5kg)"/>
    <n v="2"/>
    <s v="Cash"/>
    <n v="0"/>
    <d v="2022-08-23T00:00:00"/>
    <n v="8"/>
    <n v="2022"/>
    <n v="180"/>
    <n v="-180"/>
    <n v="0"/>
    <n v="1731935.5500000005"/>
    <s v="Cash"/>
    <s v="Bank Islam 0159046 Cleared27/10/22, RM11,846.00"/>
    <m/>
  </r>
  <r>
    <x v="235"/>
    <x v="3"/>
    <x v="3"/>
    <x v="314"/>
    <s v="C00000027"/>
    <x v="27"/>
    <s v="RM Gelcoat GPH (20kg)"/>
    <n v="4"/>
    <s v="Cash"/>
    <n v="0"/>
    <d v="2022-08-23T00:00:00"/>
    <n v="8"/>
    <n v="2022"/>
    <n v="1016"/>
    <n v="-1016"/>
    <n v="0"/>
    <n v="1732951.5500000005"/>
    <s v="Cash"/>
    <s v="Bank Islam 0159046 Cleared27/10/22, RM11,846.00"/>
    <m/>
  </r>
  <r>
    <x v="235"/>
    <x v="3"/>
    <x v="3"/>
    <x v="315"/>
    <s v="C00000020"/>
    <x v="19"/>
    <s v="RM Nor 3338W (220Kg)"/>
    <n v="2"/>
    <s v="Cash"/>
    <n v="0"/>
    <d v="2022-08-23T00:00:00"/>
    <n v="8"/>
    <n v="2022"/>
    <n v="4092"/>
    <n v="-4092"/>
    <n v="0"/>
    <n v="1737043.5500000005"/>
    <s v="Cash"/>
    <s v="Trsf 4/1/23 RM30,000.00"/>
    <m/>
  </r>
  <r>
    <x v="235"/>
    <x v="3"/>
    <x v="3"/>
    <x v="315"/>
    <s v="C00000020"/>
    <x v="19"/>
    <s v="RA CSM 450 Jushi 64m(L) x 1040mm(W) (37Kg)"/>
    <n v="5"/>
    <s v="Cash"/>
    <n v="0"/>
    <d v="2022-08-23T00:00:00"/>
    <n v="8"/>
    <n v="2022"/>
    <n v="1757.5"/>
    <n v="-1757.5"/>
    <n v="0"/>
    <n v="1738801.0500000005"/>
    <s v="Cash"/>
    <s v="Trsf 4/1/23 RM30,000.00"/>
    <m/>
  </r>
  <r>
    <x v="235"/>
    <x v="3"/>
    <x v="3"/>
    <x v="315"/>
    <s v="C00000020"/>
    <x v="19"/>
    <s v="RJ Woven Roving E-600gm 1000mm (40Kg)"/>
    <n v="3"/>
    <s v="Cash"/>
    <n v="0"/>
    <d v="2022-08-23T00:00:00"/>
    <n v="8"/>
    <n v="2022"/>
    <n v="864"/>
    <n v="-864"/>
    <n v="0"/>
    <n v="1739665.0500000005"/>
    <s v="Cash"/>
    <s v="Trsf 4/1/23 RM30,000.00"/>
    <m/>
  </r>
  <r>
    <x v="235"/>
    <x v="3"/>
    <x v="3"/>
    <x v="315"/>
    <s v="C00000020"/>
    <x v="19"/>
    <s v="RM Talcum Powder (25kg)"/>
    <n v="2"/>
    <s v="Cash"/>
    <n v="0"/>
    <d v="2022-08-23T00:00:00"/>
    <n v="8"/>
    <n v="2022"/>
    <n v="125"/>
    <n v="-125"/>
    <n v="0"/>
    <n v="1739790.0500000005"/>
    <s v="Cash"/>
    <s v="Trsf 4/1/23 RM30,000.00"/>
    <m/>
  </r>
  <r>
    <x v="235"/>
    <x v="3"/>
    <x v="3"/>
    <x v="316"/>
    <s v="C00000009"/>
    <x v="8"/>
    <s v="RM Gelcoat GPH (20kg)"/>
    <n v="3"/>
    <s v="T60"/>
    <n v="60"/>
    <d v="2022-10-22T00:00:00"/>
    <n v="10"/>
    <n v="2022"/>
    <n v="762"/>
    <n v="-762"/>
    <n v="0"/>
    <n v="1740552.0500000005"/>
    <s v="Term"/>
    <s v="Chq HL 017917 dd 17/1/23"/>
    <m/>
  </r>
  <r>
    <x v="236"/>
    <x v="3"/>
    <x v="3"/>
    <x v="317"/>
    <s v="C00000010"/>
    <x v="9"/>
    <s v="RM Resin 3338AW (220kg)"/>
    <n v="6"/>
    <s v="T120"/>
    <n v="120"/>
    <d v="2022-12-23T00:00:00"/>
    <n v="12"/>
    <n v="2022"/>
    <n v="11616"/>
    <n v="-11616"/>
    <n v="0"/>
    <n v="1752168.0500000005"/>
    <s v="Term"/>
    <s v="Trsf 25/11/22 RM15,671.00"/>
    <m/>
  </r>
  <r>
    <x v="236"/>
    <x v="3"/>
    <x v="3"/>
    <x v="317"/>
    <s v="C00000010"/>
    <x v="9"/>
    <s v="RA CSM 450 64m(L) 1040mm(W) (30Kg)"/>
    <n v="10"/>
    <s v="T120"/>
    <n v="120"/>
    <d v="2022-12-23T00:00:00"/>
    <n v="12"/>
    <n v="2022"/>
    <n v="2670"/>
    <n v="-2670"/>
    <n v="0"/>
    <n v="1754838.0500000005"/>
    <s v="Term"/>
    <s v="Trsf 25/11/22 RM15,671.00"/>
    <m/>
  </r>
  <r>
    <x v="236"/>
    <x v="3"/>
    <x v="3"/>
    <x v="317"/>
    <s v="C00000010"/>
    <x v="9"/>
    <s v="RM Talcum Powder (25kg)"/>
    <n v="10"/>
    <s v="T120"/>
    <n v="120"/>
    <d v="2022-12-23T00:00:00"/>
    <n v="12"/>
    <n v="2022"/>
    <n v="550"/>
    <n v="-550"/>
    <n v="0"/>
    <n v="1755388.0500000005"/>
    <s v="Term"/>
    <s v="Trsf 25/11/22 RM15,671.00"/>
    <m/>
  </r>
  <r>
    <x v="236"/>
    <x v="3"/>
    <x v="3"/>
    <x v="317"/>
    <s v="C00000010"/>
    <x v="9"/>
    <s v="RM Fume silica HJSIL 200(10Kg)"/>
    <n v="1"/>
    <s v="T120"/>
    <n v="120"/>
    <d v="2022-12-23T00:00:00"/>
    <n v="12"/>
    <n v="2022"/>
    <n v="440"/>
    <n v="-440"/>
    <n v="0"/>
    <n v="1755828.0500000005"/>
    <s v="Term"/>
    <s v="Trsf 25/11/22 RM15,671.00"/>
    <m/>
  </r>
  <r>
    <x v="236"/>
    <x v="3"/>
    <x v="3"/>
    <x v="317"/>
    <s v="C00000010"/>
    <x v="9"/>
    <s v="RH Bosny Wax (15Kg)"/>
    <n v="1"/>
    <s v="T120"/>
    <n v="120"/>
    <d v="2022-12-23T00:00:00"/>
    <n v="12"/>
    <n v="2022"/>
    <n v="395"/>
    <n v="-395"/>
    <n v="0"/>
    <n v="1756223.0500000005"/>
    <s v="Term"/>
    <s v="Trsf 25/11/22 RM15,671.00"/>
    <m/>
  </r>
  <r>
    <x v="236"/>
    <x v="3"/>
    <x v="3"/>
    <x v="318"/>
    <s v="C00000027"/>
    <x v="27"/>
    <s v="RM Resin 3317AW (220Kg)"/>
    <n v="3"/>
    <s v="Cash"/>
    <n v="0"/>
    <d v="2022-08-25T00:00:00"/>
    <n v="8"/>
    <n v="2022"/>
    <n v="6006"/>
    <n v="-6006"/>
    <n v="0"/>
    <n v="1762229.0500000005"/>
    <s v="Cash"/>
    <s v="Bank Islam 0159046 Cleared27/10/22, RM11,846.00"/>
    <m/>
  </r>
  <r>
    <x v="236"/>
    <x v="3"/>
    <x v="3"/>
    <x v="319"/>
    <s v="C00000019"/>
    <x v="18"/>
    <s v="RM Nor 3338W (220Kg)"/>
    <n v="2"/>
    <s v="Cash"/>
    <n v="0"/>
    <d v="2022-08-25T00:00:00"/>
    <n v="8"/>
    <n v="2022"/>
    <n v="4092"/>
    <n v="-4092"/>
    <n v="0"/>
    <n v="1766321.0500000005"/>
    <s v="Cash"/>
    <s v="Trsf 09/09/22 RM3,000.00, Trsf 23/09/22 RM1,000.00, Trsf 4/10/22 RM1,000.00(RM92.00partial)"/>
    <m/>
  </r>
  <r>
    <x v="236"/>
    <x v="3"/>
    <x v="3"/>
    <x v="319"/>
    <s v="C00000019"/>
    <x v="18"/>
    <s v="RM CSM 450 Jushi 64m(L) X 1860mm(W) (67kg)"/>
    <n v="2"/>
    <s v="Cash"/>
    <n v="0"/>
    <d v="2022-08-25T00:00:00"/>
    <n v="8"/>
    <n v="2022"/>
    <n v="1299.8"/>
    <n v="-1299.8"/>
    <n v="0"/>
    <n v="1767620.8500000006"/>
    <s v="Cash"/>
    <s v="Trsf 4/10/22 RM1,000.00(RM908.00(partial), Trsf 7/10/22 RM1,136.80(RM391.80)"/>
    <m/>
  </r>
  <r>
    <x v="236"/>
    <x v="3"/>
    <x v="3"/>
    <x v="319"/>
    <s v="C00000019"/>
    <x v="18"/>
    <s v="RA Butanox M50 (5kg)"/>
    <n v="1"/>
    <s v="Cash"/>
    <n v="0"/>
    <d v="2022-08-25T00:00:00"/>
    <n v="8"/>
    <n v="2022"/>
    <n v="105"/>
    <n v="-105"/>
    <n v="0"/>
    <n v="1767725.8500000006"/>
    <s v="Cash"/>
    <s v="Trsf 7/10/22 RM1,136.80(RM105.00)"/>
    <m/>
  </r>
  <r>
    <x v="236"/>
    <x v="3"/>
    <x v="3"/>
    <x v="319"/>
    <s v="C00000019"/>
    <x v="18"/>
    <s v="RE Frekote 770NC (1 Gallon)"/>
    <n v="1"/>
    <s v="Cash"/>
    <n v="0"/>
    <d v="2022-08-25T00:00:00"/>
    <n v="8"/>
    <n v="2022"/>
    <n v="390"/>
    <n v="-390"/>
    <n v="0"/>
    <n v="1768115.8500000006"/>
    <s v="Cash"/>
    <s v="Trsf 7/10/22 RM1,136.80(RM390.00)"/>
    <m/>
  </r>
  <r>
    <x v="237"/>
    <x v="3"/>
    <x v="3"/>
    <x v="319"/>
    <s v="C00000019"/>
    <x v="18"/>
    <s v="RA Talcum Powder (25kg)"/>
    <n v="4"/>
    <s v="Cash"/>
    <n v="0"/>
    <d v="2022-08-26T00:00:00"/>
    <n v="8"/>
    <n v="2022"/>
    <n v="250"/>
    <n v="-250"/>
    <n v="0"/>
    <n v="1768365.8500000006"/>
    <s v="Cash"/>
    <s v="Trsf 7/10/22 RM1,136.80(RM250.00)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81">
  <r>
    <d v="2019-12-23T00:00:00"/>
    <n v="12"/>
    <x v="0"/>
    <s v="INV2019/00000001"/>
    <s v="C00000001"/>
    <x v="0"/>
    <s v="RA Resin SHCP 268W (225kg)"/>
    <n v="1"/>
    <s v="Cash"/>
    <x v="0"/>
    <d v="2019-12-23T00:00:00"/>
    <n v="12"/>
    <n v="2019"/>
    <n v="1530"/>
    <n v="-1530"/>
    <n v="0"/>
    <n v="1530"/>
    <s v="Trsf"/>
    <s v="Trsf 29/5"/>
    <m/>
  </r>
  <r>
    <d v="2019-12-23T00:00:00"/>
    <n v="12"/>
    <x v="0"/>
    <s v="INV2019/00000001"/>
    <s v="C00000001"/>
    <x v="0"/>
    <s v="RA CSM 450 GSM JUSHI 37kg 79m(L) X 1040mm(W)"/>
    <n v="6"/>
    <s v="Cash"/>
    <x v="0"/>
    <d v="2019-12-23T00:00:00"/>
    <n v="12"/>
    <n v="2019"/>
    <n v="1443"/>
    <n v="-1443"/>
    <n v="0"/>
    <n v="2973"/>
    <s v="Trsf"/>
    <s v="Trsf 29/5"/>
    <m/>
  </r>
  <r>
    <d v="2020-06-02T00:00:00"/>
    <n v="6"/>
    <x v="1"/>
    <s v="INV2020/00000002"/>
    <s v="C00000001"/>
    <x v="0"/>
    <s v="RA Gelcoat GS-S ISO (20kg)"/>
    <n v="2"/>
    <s v="Cash"/>
    <x v="0"/>
    <d v="2020-06-02T00:00:00"/>
    <n v="6"/>
    <n v="2020"/>
    <n v="480"/>
    <n v="-480"/>
    <n v="0"/>
    <n v="3453"/>
    <s v="Trsf"/>
    <s v="Trsf 24/6"/>
    <m/>
  </r>
  <r>
    <d v="2020-06-11T00:00:00"/>
    <n v="6"/>
    <x v="1"/>
    <s v="INV2020/00000003"/>
    <s v="C00000002"/>
    <x v="1"/>
    <s v="RA Resin SHCP 268W (225kg)"/>
    <n v="1"/>
    <s v="Cash"/>
    <x v="0"/>
    <d v="2020-06-11T00:00:00"/>
    <n v="6"/>
    <n v="2020"/>
    <n v="1395"/>
    <n v="-1395"/>
    <n v="0"/>
    <n v="4848"/>
    <s v="Chq"/>
    <s v="Chq 13/6"/>
    <m/>
  </r>
  <r>
    <d v="2020-06-11T00:00:00"/>
    <n v="6"/>
    <x v="1"/>
    <s v="INV2020/00000003"/>
    <s v="C00000002"/>
    <x v="1"/>
    <s v="RB Acetone (160Kg)"/>
    <n v="1"/>
    <s v="Cash"/>
    <x v="0"/>
    <d v="2020-06-11T00:00:00"/>
    <n v="6"/>
    <n v="2020"/>
    <n v="672"/>
    <n v="-672"/>
    <n v="0"/>
    <n v="5520"/>
    <s v="Chq"/>
    <s v="Chq 13/6"/>
    <m/>
  </r>
  <r>
    <d v="2020-06-17T00:00:00"/>
    <n v="6"/>
    <x v="1"/>
    <s v="INV2020/00000004"/>
    <s v="C00000001"/>
    <x v="0"/>
    <s v="RA Resin SHCP 268W (225kg)"/>
    <n v="1"/>
    <s v="Cash"/>
    <x v="0"/>
    <d v="2020-06-17T00:00:00"/>
    <n v="6"/>
    <n v="2020"/>
    <n v="1530"/>
    <n v="-1530"/>
    <n v="0"/>
    <n v="7050"/>
    <s v="Trsf"/>
    <s v="Trsf 24/6"/>
    <m/>
  </r>
  <r>
    <d v="2020-06-17T00:00:00"/>
    <n v="6"/>
    <x v="1"/>
    <s v="INV2020/00000004"/>
    <s v="C00000001"/>
    <x v="0"/>
    <s v="RA CSM 450 GSM JUSHI 37kg 79m(L) X 1040mm(W)"/>
    <n v="3"/>
    <s v="Cash"/>
    <x v="0"/>
    <d v="2020-06-17T00:00:00"/>
    <n v="6"/>
    <n v="2020"/>
    <n v="720"/>
    <n v="-720"/>
    <n v="0"/>
    <n v="7770"/>
    <s v="Trsf"/>
    <s v="Trsf 24/6"/>
    <m/>
  </r>
  <r>
    <d v="2020-06-17T00:00:00"/>
    <n v="6"/>
    <x v="1"/>
    <s v="INV2020/00000004"/>
    <s v="C00000001"/>
    <x v="0"/>
    <s v="RA Butanox M50 (5Kg)"/>
    <n v="2"/>
    <s v="Cash"/>
    <x v="0"/>
    <d v="2020-06-17T00:00:00"/>
    <n v="6"/>
    <n v="2020"/>
    <n v="185"/>
    <n v="-185"/>
    <n v="0"/>
    <n v="7955"/>
    <s v="Trsf"/>
    <s v="Trsf 24/6"/>
    <m/>
  </r>
  <r>
    <d v="2020-06-22T00:00:00"/>
    <n v="6"/>
    <x v="1"/>
    <s v="INV2020/00000005"/>
    <s v="C00000003"/>
    <x v="2"/>
    <s v="RA Resin SHCP 268W (225kg)"/>
    <n v="1"/>
    <s v="T45"/>
    <x v="1"/>
    <d v="2020-08-06T00:00:00"/>
    <n v="8"/>
    <n v="2020"/>
    <n v="1642.5"/>
    <n v="-1642.5"/>
    <n v="0"/>
    <n v="9597.5"/>
    <s v="PD Chq"/>
    <s v="PD chq 8/8, RM1,827.00 &amp; Cash RM0.50"/>
    <m/>
  </r>
  <r>
    <d v="2020-06-22T00:00:00"/>
    <n v="6"/>
    <x v="1"/>
    <s v="INV2020/00000005"/>
    <s v="C00000003"/>
    <x v="2"/>
    <s v="RA Butanox M50 (5Kg)"/>
    <n v="2"/>
    <s v="T45"/>
    <x v="1"/>
    <d v="2020-08-06T00:00:00"/>
    <n v="8"/>
    <n v="2020"/>
    <n v="185"/>
    <n v="-185"/>
    <n v="0"/>
    <n v="9782.5"/>
    <s v="PD Chq"/>
    <s v="PD chq 8/8, RM1,827.00 &amp; Cash RM0.50"/>
    <m/>
  </r>
  <r>
    <d v="2020-07-01T00:00:00"/>
    <n v="7"/>
    <x v="1"/>
    <s v="INV2020/00000006"/>
    <s v="C00000004"/>
    <x v="3"/>
    <s v="RA Gelcoat GP-H (20Kg)"/>
    <n v="9"/>
    <s v="T120"/>
    <x v="2"/>
    <d v="2020-10-29T00:00:00"/>
    <n v="10"/>
    <n v="2020"/>
    <n v="1836"/>
    <n v="-1836"/>
    <n v="0"/>
    <n v="11618.5"/>
    <s v="Term"/>
    <s v="Chq 16/11/2020"/>
    <m/>
  </r>
  <r>
    <d v="2020-07-14T00:00:00"/>
    <n v="7"/>
    <x v="1"/>
    <s v="INV2020/00000007"/>
    <s v="C00000003"/>
    <x v="2"/>
    <s v="RA Silicone Rubber (25Kg)"/>
    <n v="1"/>
    <s v="T45"/>
    <x v="1"/>
    <d v="2020-08-28T00:00:00"/>
    <n v="8"/>
    <n v="2020"/>
    <n v="1200"/>
    <n v="-1200"/>
    <n v="0"/>
    <n v="12818.5"/>
    <s v="PD Chq"/>
    <s v="PD chq 16/8"/>
    <m/>
  </r>
  <r>
    <d v="2020-07-15T00:00:00"/>
    <n v="7"/>
    <x v="1"/>
    <s v="INV2020/00000008"/>
    <s v="C00000001"/>
    <x v="0"/>
    <s v="RA Nor 3338W (220Kg)"/>
    <n v="1"/>
    <s v="Cash"/>
    <x v="0"/>
    <d v="2020-07-15T00:00:00"/>
    <n v="7"/>
    <n v="2020"/>
    <n v="1496"/>
    <n v="-1496"/>
    <n v="0"/>
    <n v="14314.5"/>
    <s v="Trsf"/>
    <s v="Trsf 28/7"/>
    <m/>
  </r>
  <r>
    <d v="2020-07-15T00:00:00"/>
    <n v="7"/>
    <x v="1"/>
    <s v="INV2020/00000008"/>
    <s v="C00000001"/>
    <x v="0"/>
    <s v="RA Butanox M50 (5Kg)"/>
    <n v="4"/>
    <s v="Cash"/>
    <x v="0"/>
    <d v="2020-07-15T00:00:00"/>
    <n v="7"/>
    <n v="2020"/>
    <n v="370"/>
    <n v="-370"/>
    <n v="0"/>
    <n v="14684.5"/>
    <s v="Trsf"/>
    <s v="Trsf 28/7"/>
    <m/>
  </r>
  <r>
    <d v="2020-07-15T00:00:00"/>
    <n v="7"/>
    <x v="1"/>
    <s v="INV2020/00000008"/>
    <s v="C00000001"/>
    <x v="0"/>
    <s v="RC Woven Roving E-800 40Kg 1000mm"/>
    <n v="1"/>
    <s v="Cash"/>
    <x v="0"/>
    <d v="2020-07-15T00:00:00"/>
    <n v="7"/>
    <n v="2020"/>
    <n v="232"/>
    <n v="-232"/>
    <n v="0"/>
    <n v="14916.5"/>
    <s v="Trsf"/>
    <s v="Trsf 28/7"/>
    <s v="Delivered 22/7/20"/>
  </r>
  <r>
    <d v="2020-08-01T00:00:00"/>
    <n v="8"/>
    <x v="1"/>
    <s v="INV2020/00000009"/>
    <s v="C00000004"/>
    <x v="3"/>
    <s v="RA Nor 3338W (220Kg)"/>
    <n v="2"/>
    <s v="T120"/>
    <x v="2"/>
    <d v="2020-11-29T00:00:00"/>
    <n v="11"/>
    <n v="2020"/>
    <n v="2508"/>
    <n v="-2508"/>
    <n v="0"/>
    <n v="17424.5"/>
    <s v="Term"/>
    <s v="Chq 1/12/2020"/>
    <m/>
  </r>
  <r>
    <d v="2020-08-08T00:00:00"/>
    <n v="8"/>
    <x v="1"/>
    <s v="INV2020/00000010"/>
    <s v="C00000004"/>
    <x v="3"/>
    <s v="RA Nor 3338W (220Kg)"/>
    <n v="2"/>
    <s v="T120"/>
    <x v="2"/>
    <d v="2020-12-06T00:00:00"/>
    <n v="12"/>
    <n v="2020"/>
    <n v="2508"/>
    <n v="-2508"/>
    <n v="0"/>
    <n v="19932.5"/>
    <s v="Term"/>
    <s v="Chq 1/12/2020"/>
    <m/>
  </r>
  <r>
    <d v="2020-08-08T00:00:00"/>
    <n v="8"/>
    <x v="1"/>
    <s v="INV2020/00000011"/>
    <s v="C00000004"/>
    <x v="3"/>
    <s v="RA CSM 300 GSM TWL 30kg 64m(L) x 1040mm(W)"/>
    <n v="2"/>
    <s v="T120"/>
    <x v="2"/>
    <d v="2020-12-06T00:00:00"/>
    <n v="12"/>
    <n v="2020"/>
    <n v="324"/>
    <n v="-324"/>
    <n v="0"/>
    <n v="20256.5"/>
    <s v="Term"/>
    <s v="Chq 1/12/2020"/>
    <m/>
  </r>
  <r>
    <d v="2020-08-10T00:00:00"/>
    <n v="8"/>
    <x v="1"/>
    <s v="INV2020/00000012"/>
    <s v="C00000005"/>
    <x v="4"/>
    <s v="RA Nor 3338W (220Kg)"/>
    <n v="1"/>
    <s v="Cash"/>
    <x v="0"/>
    <d v="2020-08-10T00:00:00"/>
    <n v="8"/>
    <n v="2020"/>
    <n v="1496"/>
    <n v="-1496"/>
    <n v="0"/>
    <n v="21752.5"/>
    <s v="Chq"/>
    <s v="Chq 10/8"/>
    <m/>
  </r>
  <r>
    <d v="2020-08-10T00:00:00"/>
    <n v="8"/>
    <x v="1"/>
    <s v="INV2020/00000012"/>
    <s v="C00000005"/>
    <x v="4"/>
    <s v="RA Butanox M50 (5Kg)"/>
    <n v="1"/>
    <s v="Cash"/>
    <x v="0"/>
    <d v="2020-08-10T00:00:00"/>
    <n v="8"/>
    <n v="2020"/>
    <n v="90"/>
    <n v="-90"/>
    <n v="0"/>
    <n v="21842.5"/>
    <s v="Chq"/>
    <s v="Chq 10/8"/>
    <m/>
  </r>
  <r>
    <d v="2020-08-10T00:00:00"/>
    <n v="8"/>
    <x v="1"/>
    <s v="INV2020/00000013"/>
    <s v="C00000003"/>
    <x v="2"/>
    <s v="RA Nor 3338W (220Kg)"/>
    <n v="2"/>
    <s v="T45"/>
    <x v="1"/>
    <d v="2020-09-24T00:00:00"/>
    <n v="9"/>
    <n v="2020"/>
    <n v="3036"/>
    <n v="-3036"/>
    <n v="0"/>
    <n v="24878.5"/>
    <s v="PD Chq"/>
    <s v="PD chq 13/9, RM1,700/- &amp; 20/9, RM1,706/-"/>
    <m/>
  </r>
  <r>
    <d v="2020-08-10T00:00:00"/>
    <n v="8"/>
    <x v="1"/>
    <s v="INV2020/00000013"/>
    <s v="C00000003"/>
    <x v="2"/>
    <s v="RA Butanox M50 (5Kg)"/>
    <n v="4"/>
    <s v="T45"/>
    <x v="1"/>
    <d v="2020-09-24T00:00:00"/>
    <n v="9"/>
    <n v="2020"/>
    <n v="370"/>
    <n v="-370"/>
    <n v="0"/>
    <n v="25248.5"/>
    <s v="PD Chq"/>
    <s v="PD chq 13/9, RM1,700/- &amp; 20/9, RM1,706/-"/>
    <m/>
  </r>
  <r>
    <d v="2020-08-12T00:00:00"/>
    <n v="8"/>
    <x v="1"/>
    <s v="INV2020/00000014"/>
    <s v="C00000001"/>
    <x v="0"/>
    <s v="RA Nor 3338W (220Kg)"/>
    <n v="1"/>
    <s v="Cash"/>
    <x v="0"/>
    <d v="2020-08-12T00:00:00"/>
    <n v="8"/>
    <n v="2020"/>
    <n v="1496"/>
    <n v="-1496"/>
    <n v="0"/>
    <n v="26744.5"/>
    <s v="Trsf"/>
    <s v="Trsf 23/8"/>
    <m/>
  </r>
  <r>
    <d v="2020-08-12T00:00:00"/>
    <n v="8"/>
    <x v="1"/>
    <s v="INV2020/00000014"/>
    <s v="C00000001"/>
    <x v="0"/>
    <s v="RA CSM 450 GSM JUSHI 37kg 79m(L) X 1040mm(W)"/>
    <n v="4"/>
    <s v="Cash"/>
    <x v="0"/>
    <d v="2020-08-12T00:00:00"/>
    <n v="8"/>
    <n v="2020"/>
    <n v="962"/>
    <n v="-962"/>
    <n v="0"/>
    <n v="27706.5"/>
    <s v="Trsf"/>
    <s v="Trsf 23/8"/>
    <m/>
  </r>
  <r>
    <d v="2020-08-12T00:00:00"/>
    <n v="8"/>
    <x v="1"/>
    <s v="INV2020/00000014"/>
    <s v="C00000001"/>
    <x v="0"/>
    <s v="RC Woven Roving E-800 40Kg 1000mm"/>
    <n v="2"/>
    <s v="Cash"/>
    <x v="0"/>
    <d v="2020-08-12T00:00:00"/>
    <n v="8"/>
    <n v="2020"/>
    <n v="464"/>
    <n v="-464"/>
    <n v="0"/>
    <n v="28170.5"/>
    <s v="Trsf"/>
    <s v="Trsf 23/8"/>
    <m/>
  </r>
  <r>
    <d v="2020-08-13T00:00:00"/>
    <n v="8"/>
    <x v="1"/>
    <s v="INV2020/00000015"/>
    <s v="C00000001"/>
    <x v="0"/>
    <s v="RA Gelcoat GS-S ISO (20kg)"/>
    <n v="4"/>
    <s v="Cash"/>
    <x v="0"/>
    <d v="2020-08-13T00:00:00"/>
    <n v="8"/>
    <n v="2020"/>
    <n v="960"/>
    <n v="-960"/>
    <n v="0"/>
    <n v="29130.5"/>
    <s v="Trsf"/>
    <s v="Trsf 23/8"/>
    <m/>
  </r>
  <r>
    <d v="2020-08-19T00:00:00"/>
    <n v="8"/>
    <x v="1"/>
    <s v="INV2020/00000016"/>
    <s v="C00000003"/>
    <x v="2"/>
    <s v="RA CSM 450 GSM 54kg 64m(L) X 1860mm(W)"/>
    <n v="1"/>
    <s v="T45"/>
    <x v="1"/>
    <d v="2020-10-03T00:00:00"/>
    <n v="10"/>
    <n v="2020"/>
    <n v="367.2"/>
    <n v="-367.2"/>
    <n v="0"/>
    <n v="29497.7"/>
    <s v="PD Chq"/>
    <s v="PD Chq 27/9, RM1,270.20"/>
    <m/>
  </r>
  <r>
    <d v="2020-08-19T00:00:00"/>
    <n v="8"/>
    <x v="1"/>
    <s v="INV2020/00000017"/>
    <s v="C00000006"/>
    <x v="5"/>
    <s v="RA Nor 3338W (220Kg)"/>
    <n v="1"/>
    <s v="Cash"/>
    <x v="0"/>
    <d v="2020-08-19T00:00:00"/>
    <n v="8"/>
    <n v="2020"/>
    <n v="1496"/>
    <n v="-1496"/>
    <n v="0"/>
    <n v="30993.7"/>
    <s v="Chq"/>
    <s v="Chq 19/8"/>
    <m/>
  </r>
  <r>
    <d v="2020-08-19T00:00:00"/>
    <n v="8"/>
    <x v="1"/>
    <s v="INV2020/00000017"/>
    <s v="C00000006"/>
    <x v="5"/>
    <s v="RA Gelcoat GP-H (20Kg)"/>
    <n v="1"/>
    <s v="Cash"/>
    <x v="0"/>
    <d v="2020-08-19T00:00:00"/>
    <n v="8"/>
    <n v="2020"/>
    <n v="210"/>
    <n v="-210"/>
    <n v="0"/>
    <n v="31203.7"/>
    <s v="Chq"/>
    <s v="Chq 19/8"/>
    <m/>
  </r>
  <r>
    <d v="2020-08-22T00:00:00"/>
    <n v="8"/>
    <x v="1"/>
    <s v="INV2020/00000018"/>
    <s v="C00000007"/>
    <x v="6"/>
    <s v="RA CSM 450 GSM 54kg 64m(L) X 1860mm(W)"/>
    <n v="4"/>
    <s v="T60"/>
    <x v="3"/>
    <d v="2020-10-21T00:00:00"/>
    <n v="10"/>
    <n v="2020"/>
    <n v="1296"/>
    <n v="-1296"/>
    <n v="0"/>
    <n v="32499.7"/>
    <s v="Term"/>
    <s v="Due 30/9/2020, Trsf IBG 1/10/2020"/>
    <m/>
  </r>
  <r>
    <d v="2020-08-22T00:00:00"/>
    <n v="8"/>
    <x v="1"/>
    <s v="INV2020/00000018"/>
    <s v="C00000007"/>
    <x v="6"/>
    <s v="RA Gelcoat GP-H (20Kg)"/>
    <n v="4"/>
    <s v="T60"/>
    <x v="3"/>
    <d v="2020-10-21T00:00:00"/>
    <n v="10"/>
    <n v="2020"/>
    <n v="840"/>
    <n v="-840"/>
    <n v="0"/>
    <n v="33339.699999999997"/>
    <s v="Term"/>
    <s v="Due 30/9/2020, Trsf IBG 1/10/2020"/>
    <m/>
  </r>
  <r>
    <d v="2020-08-22T00:00:00"/>
    <n v="8"/>
    <x v="1"/>
    <s v="INV2020/00000018"/>
    <s v="C00000007"/>
    <x v="6"/>
    <s v="RA Gelcoat GS-H (20kg)"/>
    <n v="2"/>
    <s v="T60"/>
    <x v="3"/>
    <d v="2020-10-21T00:00:00"/>
    <n v="10"/>
    <n v="2020"/>
    <n v="460"/>
    <n v="-460"/>
    <n v="0"/>
    <n v="33799.699999999997"/>
    <s v="Term"/>
    <s v="Due 30/9/2020, Trsf IBG 1/10/2020"/>
    <m/>
  </r>
  <r>
    <d v="2020-08-22T00:00:00"/>
    <n v="8"/>
    <x v="1"/>
    <s v="INV2020/00000018"/>
    <s v="C00000007"/>
    <x v="6"/>
    <s v="RA Butanox M50 (5Kg)"/>
    <n v="4"/>
    <s v="T60"/>
    <x v="3"/>
    <d v="2020-10-21T00:00:00"/>
    <n v="10"/>
    <n v="2020"/>
    <n v="360"/>
    <n v="-360"/>
    <n v="0"/>
    <n v="34159.699999999997"/>
    <s v="Term"/>
    <s v="Due 30/9/2020, Trsf IBG 1/10/2020"/>
    <m/>
  </r>
  <r>
    <d v="2020-08-22T00:00:00"/>
    <n v="8"/>
    <x v="1"/>
    <s v="INV2020/00000019"/>
    <s v="C00000008"/>
    <x v="7"/>
    <s v="RA Nor 3338W (220Kg)"/>
    <n v="1"/>
    <s v="Cash"/>
    <x v="0"/>
    <d v="2020-08-22T00:00:00"/>
    <n v="8"/>
    <n v="2020"/>
    <n v="1452"/>
    <n v="-1452"/>
    <n v="0"/>
    <n v="35611.699999999997"/>
    <s v="Trsf"/>
    <s v="Trsf 24/8"/>
    <m/>
  </r>
  <r>
    <d v="2020-08-24T00:00:00"/>
    <n v="8"/>
    <x v="1"/>
    <s v="INV2020/00000020"/>
    <s v="C00000003"/>
    <x v="2"/>
    <s v="RA Nor 3338W (220Kg)"/>
    <n v="1"/>
    <s v="T45"/>
    <x v="1"/>
    <d v="2020-10-08T00:00:00"/>
    <n v="10"/>
    <n v="2020"/>
    <n v="1518"/>
    <n v="-1518"/>
    <n v="0"/>
    <n v="37129.699999999997"/>
    <s v="PD Chq"/>
    <s v="PD Chq 27/9, RM1,270.20 &amp; 11/10, RM1,000.00"/>
    <m/>
  </r>
  <r>
    <d v="2020-08-24T00:00:00"/>
    <n v="8"/>
    <x v="1"/>
    <s v="INV2020/00000020"/>
    <s v="C00000003"/>
    <x v="2"/>
    <s v="RA Talcum Powder (25Kg)"/>
    <n v="4"/>
    <s v="T45"/>
    <x v="1"/>
    <d v="2020-10-08T00:00:00"/>
    <n v="10"/>
    <n v="2020"/>
    <n v="200"/>
    <n v="-200"/>
    <n v="0"/>
    <n v="37329.699999999997"/>
    <s v="PD Chq"/>
    <s v="PD Chq 11/10, RM1,000/-"/>
    <m/>
  </r>
  <r>
    <d v="2020-08-24T00:00:00"/>
    <n v="8"/>
    <x v="1"/>
    <s v="INV2020/00000020"/>
    <s v="C00000003"/>
    <x v="2"/>
    <s v="RA Butanox M50 (5Kg)"/>
    <n v="2"/>
    <s v="T45"/>
    <x v="1"/>
    <d v="2020-10-08T00:00:00"/>
    <n v="10"/>
    <n v="2020"/>
    <n v="185"/>
    <n v="-185"/>
    <n v="0"/>
    <n v="37514.699999999997"/>
    <s v="PD Chq"/>
    <s v="PD Chq 11/10, RM1,000/-"/>
    <m/>
  </r>
  <r>
    <d v="2020-08-25T00:00:00"/>
    <n v="8"/>
    <x v="1"/>
    <s v="INV2020/00000021"/>
    <s v="C00000009"/>
    <x v="8"/>
    <s v="RA Nor 3338W (220Kg)"/>
    <n v="1"/>
    <s v="T60"/>
    <x v="3"/>
    <d v="2020-10-24T00:00:00"/>
    <n v="10"/>
    <n v="2020"/>
    <n v="1276"/>
    <n v="-1276"/>
    <n v="0"/>
    <n v="38790.699999999997"/>
    <s v="Term"/>
    <s v="HLIB Chq No 008781, 28/11/20"/>
    <m/>
  </r>
  <r>
    <d v="2020-08-25T00:00:00"/>
    <n v="8"/>
    <x v="1"/>
    <s v="INV2020/00000021"/>
    <s v="C00000009"/>
    <x v="8"/>
    <s v="RA Norsodyne 3338NW (220Kg)"/>
    <n v="1"/>
    <s v="T60"/>
    <x v="3"/>
    <d v="2020-10-24T00:00:00"/>
    <n v="10"/>
    <n v="2020"/>
    <n v="1276"/>
    <n v="-1276"/>
    <n v="0"/>
    <n v="40066.699999999997"/>
    <s v="Term"/>
    <s v="HLIB Chq No 008781, 28/11/20"/>
    <m/>
  </r>
  <r>
    <d v="2020-08-25T00:00:00"/>
    <n v="8"/>
    <x v="1"/>
    <s v="INV2020/00000022"/>
    <s v="C00000001"/>
    <x v="0"/>
    <s v="RA Nor 3338W (220Kg)"/>
    <n v="1"/>
    <s v="Cash"/>
    <x v="0"/>
    <d v="2020-08-25T00:00:00"/>
    <n v="8"/>
    <n v="2020"/>
    <n v="1496"/>
    <n v="-1496"/>
    <n v="0"/>
    <n v="41562.699999999997"/>
    <s v="Trsf"/>
    <s v="Trsf 1/9/2020"/>
    <m/>
  </r>
  <r>
    <d v="2020-08-27T00:00:00"/>
    <n v="8"/>
    <x v="1"/>
    <s v="INV2020/00000023"/>
    <s v="C00000010"/>
    <x v="9"/>
    <s v="RA Nor 3338W (220Kg)"/>
    <n v="4"/>
    <s v="T120"/>
    <x v="2"/>
    <d v="2020-12-25T00:00:00"/>
    <n v="12"/>
    <n v="2020"/>
    <n v="5280"/>
    <n v="-5280"/>
    <n v="0"/>
    <n v="46842.7"/>
    <s v="Term"/>
    <s v="Trsf 23/12/2020"/>
    <m/>
  </r>
  <r>
    <d v="2020-08-27T00:00:00"/>
    <n v="8"/>
    <x v="1"/>
    <s v="INV2020/00000023"/>
    <s v="C00000010"/>
    <x v="9"/>
    <s v="RA CSM 450 GSM JUSHI 37kg 79m(L) X 1040mm(W)"/>
    <n v="2"/>
    <s v="T120"/>
    <x v="2"/>
    <d v="2020-12-25T00:00:00"/>
    <n v="12"/>
    <n v="2020"/>
    <n v="444"/>
    <n v="-444"/>
    <n v="0"/>
    <n v="47286.7"/>
    <s v="Term"/>
    <s v="Trsf 23/12/2020"/>
    <m/>
  </r>
  <r>
    <d v="2020-08-27T00:00:00"/>
    <n v="8"/>
    <x v="1"/>
    <s v="INV2020/00000023"/>
    <s v="C00000010"/>
    <x v="9"/>
    <s v="RA Talcum Powder (25Kg)"/>
    <n v="5"/>
    <s v="T120"/>
    <x v="2"/>
    <d v="2020-12-25T00:00:00"/>
    <n v="12"/>
    <n v="2020"/>
    <n v="275"/>
    <n v="-275"/>
    <n v="0"/>
    <n v="47561.7"/>
    <s v="Term"/>
    <s v="Trsf 23/12/2020"/>
    <m/>
  </r>
  <r>
    <d v="2020-08-27T00:00:00"/>
    <n v="8"/>
    <x v="1"/>
    <s v="INV2020/00000023"/>
    <s v="C00000010"/>
    <x v="9"/>
    <s v="RA Butanox M50 (5Kg)"/>
    <n v="4"/>
    <s v="T120"/>
    <x v="2"/>
    <d v="2020-12-25T00:00:00"/>
    <n v="12"/>
    <n v="2020"/>
    <n v="360"/>
    <n v="-360"/>
    <n v="0"/>
    <n v="47921.7"/>
    <s v="Term"/>
    <s v="Trsf 23/12/2020"/>
    <m/>
  </r>
  <r>
    <d v="2020-08-27T00:00:00"/>
    <n v="8"/>
    <x v="1"/>
    <s v="INV2020/00000023"/>
    <s v="C00000010"/>
    <x v="9"/>
    <s v="RA Bosny Wax (15kg)"/>
    <n v="1"/>
    <s v="T120"/>
    <x v="2"/>
    <d v="2020-12-25T00:00:00"/>
    <n v="12"/>
    <n v="2020"/>
    <n v="375"/>
    <n v="-375"/>
    <n v="0"/>
    <n v="48296.7"/>
    <s v="Term"/>
    <s v="Trsf 23/12/2020"/>
    <m/>
  </r>
  <r>
    <d v="2020-09-01T00:00:00"/>
    <n v="9"/>
    <x v="1"/>
    <s v="INV2020/00000024"/>
    <s v="C00000008"/>
    <x v="7"/>
    <s v="RA Resin 3317AW (220Kg)"/>
    <n v="2"/>
    <s v="Cash"/>
    <x v="0"/>
    <d v="2020-09-01T00:00:00"/>
    <n v="9"/>
    <n v="2020"/>
    <n v="2948"/>
    <n v="-2948"/>
    <n v="0"/>
    <n v="51244.7"/>
    <s v="Trsf"/>
    <s v="Trsf 7/9/2020"/>
    <m/>
  </r>
  <r>
    <d v="2020-09-01T00:00:00"/>
    <n v="9"/>
    <x v="1"/>
    <s v="INV2020/00000024"/>
    <s v="C00000008"/>
    <x v="7"/>
    <s v="RA Gelcoat GP-H (20Kg)"/>
    <n v="4"/>
    <s v="Cash"/>
    <x v="0"/>
    <d v="2020-09-01T00:00:00"/>
    <n v="9"/>
    <n v="2020"/>
    <n v="840"/>
    <n v="-840"/>
    <n v="0"/>
    <n v="52084.7"/>
    <s v="Trsf"/>
    <s v="Trsf 7/9/2020"/>
    <m/>
  </r>
  <r>
    <d v="2020-09-01T00:00:00"/>
    <n v="9"/>
    <x v="1"/>
    <s v="INV2020/00000024"/>
    <s v="C00000008"/>
    <x v="7"/>
    <s v="RA Butanox M50 (5Kg)"/>
    <n v="2"/>
    <s v="Cash"/>
    <x v="0"/>
    <d v="2020-09-01T00:00:00"/>
    <n v="9"/>
    <n v="2020"/>
    <n v="180"/>
    <n v="-180"/>
    <n v="0"/>
    <n v="52264.7"/>
    <s v="Trsf"/>
    <s v="Trsf 7/9/2020"/>
    <m/>
  </r>
  <r>
    <d v="2020-09-02T00:00:00"/>
    <n v="9"/>
    <x v="1"/>
    <s v="INV2020/00000025"/>
    <s v="C00000001"/>
    <x v="0"/>
    <s v="RA Silicone Rubber (25Kg)"/>
    <n v="1"/>
    <s v="Cash"/>
    <x v="0"/>
    <d v="2020-09-02T00:00:00"/>
    <n v="9"/>
    <n v="2020"/>
    <n v="1250"/>
    <n v="-1250"/>
    <n v="0"/>
    <n v="53514.7"/>
    <s v="Trsf"/>
    <s v="Trsf 5/9/2020"/>
    <s v="Delived on 3/9/2020"/>
  </r>
  <r>
    <d v="2020-09-05T00:00:00"/>
    <n v="9"/>
    <x v="1"/>
    <s v="INV2020/00000026"/>
    <s v="C00000001"/>
    <x v="0"/>
    <s v="RA Resin 3317AW (220Kg)"/>
    <n v="1"/>
    <s v="Cash"/>
    <x v="0"/>
    <d v="2020-09-05T00:00:00"/>
    <n v="9"/>
    <n v="2020"/>
    <n v="1496"/>
    <n v="-1496"/>
    <n v="0"/>
    <n v="55010.7"/>
    <s v="Trsf"/>
    <s v="Trsf 5/9/2020"/>
    <m/>
  </r>
  <r>
    <d v="2020-09-05T00:00:00"/>
    <n v="9"/>
    <x v="1"/>
    <s v="INV2020/00000026"/>
    <s v="C00000001"/>
    <x v="0"/>
    <s v="RA CSM 450 GSM JUSHI 37kg 79m(L) X 1040mm(W)"/>
    <n v="4"/>
    <s v="Cash"/>
    <x v="0"/>
    <d v="2020-09-05T00:00:00"/>
    <n v="9"/>
    <n v="2020"/>
    <n v="962"/>
    <n v="-962"/>
    <n v="0"/>
    <n v="55972.7"/>
    <s v="Trsf"/>
    <s v="Trsf 5/9/2020"/>
    <m/>
  </r>
  <r>
    <d v="2020-09-17T00:00:00"/>
    <n v="9"/>
    <x v="1"/>
    <s v="INV2020/00000027"/>
    <s v="C00000004"/>
    <x v="3"/>
    <s v="RA Nor 3338W (220Kg)"/>
    <n v="5"/>
    <s v="T120"/>
    <x v="2"/>
    <d v="2021-01-15T00:00:00"/>
    <n v="1"/>
    <n v="2021"/>
    <n v="6270"/>
    <n v="-6270"/>
    <n v="0"/>
    <n v="62242.7"/>
    <s v="Term"/>
    <s v="PD HLB 004649, 25/1/2021"/>
    <m/>
  </r>
  <r>
    <d v="2020-09-17T00:00:00"/>
    <n v="9"/>
    <x v="1"/>
    <s v="INV2020/00000027"/>
    <s v="C00000004"/>
    <x v="3"/>
    <s v="RA Norsodyne 3338NW (220Kg)"/>
    <n v="1"/>
    <s v="T120"/>
    <x v="2"/>
    <d v="2021-01-15T00:00:00"/>
    <n v="1"/>
    <n v="2021"/>
    <n v="1254"/>
    <n v="-1254"/>
    <n v="0"/>
    <n v="63496.7"/>
    <s v="Term"/>
    <s v="PD HLB 004649, 25/1/2021"/>
    <m/>
  </r>
  <r>
    <d v="2020-09-17T00:00:00"/>
    <n v="9"/>
    <x v="1"/>
    <s v="INV2020/00000027"/>
    <s v="C00000004"/>
    <x v="3"/>
    <s v="RA CSM 450 GSM 54kg 64m(L) X 1860mm(W)"/>
    <n v="3"/>
    <s v="T120"/>
    <x v="2"/>
    <d v="2021-01-15T00:00:00"/>
    <n v="1"/>
    <n v="2021"/>
    <n v="874.80000000000007"/>
    <n v="-874.80000000000007"/>
    <n v="0"/>
    <n v="64371.5"/>
    <s v="Term"/>
    <s v="PD HLB 004649, 25/1/2021"/>
    <m/>
  </r>
  <r>
    <d v="2020-09-17T00:00:00"/>
    <n v="9"/>
    <x v="1"/>
    <s v="INV2020/00000027"/>
    <s v="C00000004"/>
    <x v="3"/>
    <s v="RA CSM 300 GSM 54Kg 96m(L) X 1860mm(W)"/>
    <n v="3"/>
    <s v="T120"/>
    <x v="2"/>
    <d v="2021-01-15T00:00:00"/>
    <n v="1"/>
    <n v="2021"/>
    <n v="874.80000000000007"/>
    <n v="-874.80000000000007"/>
    <n v="0"/>
    <n v="65246.3"/>
    <s v="Term"/>
    <s v="PD HLB 004649, 25/1/2021"/>
    <m/>
  </r>
  <r>
    <d v="2020-09-17T00:00:00"/>
    <n v="9"/>
    <x v="1"/>
    <s v="INV2020/00000027"/>
    <s v="C00000004"/>
    <x v="3"/>
    <s v="RA Gelcoat GP-H (20Kg)"/>
    <n v="6"/>
    <s v="T120"/>
    <x v="2"/>
    <d v="2021-01-15T00:00:00"/>
    <n v="1"/>
    <n v="2021"/>
    <n v="1224"/>
    <n v="-1224"/>
    <n v="0"/>
    <n v="66470.3"/>
    <s v="Term"/>
    <s v="PD HLB 004649, 25/1/2021"/>
    <m/>
  </r>
  <r>
    <d v="2020-09-17T00:00:00"/>
    <n v="9"/>
    <x v="1"/>
    <s v="INV2020/00000027"/>
    <s v="C00000004"/>
    <x v="3"/>
    <s v="RA Butanox M50 (5Kg)"/>
    <n v="4"/>
    <s v="T120"/>
    <x v="2"/>
    <d v="2021-01-15T00:00:00"/>
    <n v="1"/>
    <n v="2021"/>
    <n v="360"/>
    <n v="-360"/>
    <n v="0"/>
    <n v="66830.3"/>
    <s v="Term"/>
    <s v="PD HLB 004649, 25/1/2021"/>
    <m/>
  </r>
  <r>
    <d v="2020-09-17T00:00:00"/>
    <n v="9"/>
    <x v="1"/>
    <s v="INV2020/00000027"/>
    <s v="C00000004"/>
    <x v="3"/>
    <s v="RA Accelerator (5kg)"/>
    <n v="1"/>
    <s v="T120"/>
    <x v="2"/>
    <d v="2021-01-15T00:00:00"/>
    <n v="1"/>
    <n v="2021"/>
    <n v="390"/>
    <n v="-390"/>
    <n v="0"/>
    <n v="67220.3"/>
    <s v="Term"/>
    <s v="PD HLB 004649, 25/1/2021"/>
    <m/>
  </r>
  <r>
    <d v="2020-09-17T00:00:00"/>
    <n v="9"/>
    <x v="1"/>
    <s v="INV2020/00000028"/>
    <s v="C00000001"/>
    <x v="0"/>
    <s v="RA Resin 3317AW (220Kg)"/>
    <n v="1"/>
    <s v="Cash"/>
    <x v="0"/>
    <d v="2020-09-17T00:00:00"/>
    <n v="9"/>
    <n v="2020"/>
    <n v="1496"/>
    <n v="-1496"/>
    <n v="0"/>
    <n v="68716.3"/>
    <s v="Trsf"/>
    <s v="Trst 22/9/2020"/>
    <m/>
  </r>
  <r>
    <d v="2020-09-17T00:00:00"/>
    <n v="9"/>
    <x v="1"/>
    <s v="INV2020/00000028"/>
    <s v="C00000001"/>
    <x v="0"/>
    <s v="RA CSM 450 GSM JUSHI 37kg 79m(L) X 1040mm(W)"/>
    <n v="2"/>
    <s v="Cash"/>
    <x v="0"/>
    <d v="2020-09-17T00:00:00"/>
    <n v="9"/>
    <n v="2020"/>
    <n v="481"/>
    <n v="-481"/>
    <n v="0"/>
    <n v="69197.3"/>
    <s v="Trsf"/>
    <s v="Trst 22/9/2020"/>
    <m/>
  </r>
  <r>
    <d v="2020-09-22T00:00:00"/>
    <n v="9"/>
    <x v="1"/>
    <s v="INV2020/00000029"/>
    <s v="C00000004"/>
    <x v="3"/>
    <s v="RA Nor 3338W (220Kg)"/>
    <n v="5"/>
    <s v="T120"/>
    <x v="2"/>
    <d v="2021-01-20T00:00:00"/>
    <n v="1"/>
    <n v="2021"/>
    <n v="6270"/>
    <n v="-6270"/>
    <n v="0"/>
    <n v="75467.3"/>
    <s v="Term"/>
    <s v="PD HLB 004649, 25/1/2021"/>
    <m/>
  </r>
  <r>
    <d v="2020-09-22T00:00:00"/>
    <n v="9"/>
    <x v="1"/>
    <s v="INV2020/00000029"/>
    <s v="C00000004"/>
    <x v="3"/>
    <s v="RA Norsodyne 3338NW (220Kg)"/>
    <n v="1"/>
    <s v="T120"/>
    <x v="2"/>
    <d v="2021-01-20T00:00:00"/>
    <n v="1"/>
    <n v="2021"/>
    <n v="1254"/>
    <n v="-1254"/>
    <n v="0"/>
    <n v="76721.3"/>
    <s v="Term"/>
    <s v="PD HLB 004649, 25/1/2021"/>
    <m/>
  </r>
  <r>
    <d v="2020-09-22T00:00:00"/>
    <n v="9"/>
    <x v="1"/>
    <s v="INV2020/00000029"/>
    <s v="C00000004"/>
    <x v="3"/>
    <s v="RA CSM 450 GSM 54kg 64m(L) X 1860mm(W)"/>
    <n v="5"/>
    <s v="T120"/>
    <x v="2"/>
    <d v="2021-01-20T00:00:00"/>
    <n v="1"/>
    <n v="2021"/>
    <n v="1458"/>
    <n v="-1458"/>
    <n v="0"/>
    <n v="78179.3"/>
    <s v="Term"/>
    <s v="PD HLB 004649, 25/1/2021"/>
    <m/>
  </r>
  <r>
    <d v="2020-09-22T00:00:00"/>
    <n v="9"/>
    <x v="1"/>
    <s v="INV2020/00000029"/>
    <s v="C00000004"/>
    <x v="3"/>
    <s v="RA CSM 300 GSM 54Kg 96m(L) X 1860mm(W)"/>
    <n v="2"/>
    <s v="T120"/>
    <x v="2"/>
    <d v="2021-01-20T00:00:00"/>
    <n v="1"/>
    <n v="2021"/>
    <n v="583.20000000000005"/>
    <n v="-583.20000000000005"/>
    <n v="0"/>
    <n v="78762.5"/>
    <s v="Term"/>
    <s v="PD HLB 004649, 25/1/2021"/>
    <m/>
  </r>
  <r>
    <d v="2020-09-22T00:00:00"/>
    <n v="9"/>
    <x v="1"/>
    <s v="INV2020/00000029"/>
    <s v="C00000004"/>
    <x v="3"/>
    <s v="RA Gelcoat GP-H (20Kg)"/>
    <n v="10"/>
    <s v="T120"/>
    <x v="2"/>
    <d v="2021-01-20T00:00:00"/>
    <n v="1"/>
    <n v="2021"/>
    <n v="2040"/>
    <n v="-2040"/>
    <n v="0"/>
    <n v="80802.5"/>
    <s v="Term"/>
    <s v="PD HLB 004649, 25/1/2021"/>
    <m/>
  </r>
  <r>
    <d v="2020-09-23T00:00:00"/>
    <n v="9"/>
    <x v="1"/>
    <s v="INV2020/00000030"/>
    <s v="C00000010"/>
    <x v="9"/>
    <s v="RA Nor 3338W (220Kg)"/>
    <n v="5"/>
    <s v="T120"/>
    <x v="2"/>
    <d v="2021-01-21T00:00:00"/>
    <n v="1"/>
    <n v="2021"/>
    <n v="6600"/>
    <n v="-6600"/>
    <n v="0"/>
    <n v="87402.5"/>
    <s v="Term"/>
    <s v="Trsf 20/1/2021"/>
    <m/>
  </r>
  <r>
    <d v="2020-09-23T00:00:00"/>
    <n v="9"/>
    <x v="1"/>
    <s v="INV2020/00000030"/>
    <s v="C00000010"/>
    <x v="9"/>
    <s v="RA CSM 450 GSM JUSHI 37kg 79m(L) X 1040mm(W)"/>
    <n v="4"/>
    <s v="T120"/>
    <x v="2"/>
    <d v="2021-01-21T00:00:00"/>
    <n v="1"/>
    <n v="2021"/>
    <n v="888"/>
    <n v="-888"/>
    <n v="0"/>
    <n v="88290.5"/>
    <s v="Term"/>
    <s v="Trsf 20/1/2021"/>
    <m/>
  </r>
  <r>
    <d v="2020-09-23T00:00:00"/>
    <n v="9"/>
    <x v="1"/>
    <s v="INV2020/00000030"/>
    <s v="C00000010"/>
    <x v="9"/>
    <s v="RA Talcum Powder (25Kg)"/>
    <n v="5"/>
    <s v="T120"/>
    <x v="2"/>
    <d v="2021-01-21T00:00:00"/>
    <n v="1"/>
    <n v="2021"/>
    <n v="275"/>
    <n v="-275"/>
    <n v="0"/>
    <n v="88565.5"/>
    <s v="Term"/>
    <s v="Trsf 20/1/2021"/>
    <m/>
  </r>
  <r>
    <d v="2020-09-23T00:00:00"/>
    <n v="9"/>
    <x v="1"/>
    <s v="INV2020/00000030"/>
    <s v="C00000010"/>
    <x v="9"/>
    <s v="RA Butanox M50 (5Kg)"/>
    <n v="4"/>
    <s v="T120"/>
    <x v="2"/>
    <d v="2021-01-21T00:00:00"/>
    <n v="1"/>
    <n v="2021"/>
    <n v="360"/>
    <n v="-360"/>
    <n v="0"/>
    <n v="88925.5"/>
    <s v="Term"/>
    <s v="Trsf 20/1/2021"/>
    <m/>
  </r>
  <r>
    <d v="2020-09-23T00:00:00"/>
    <n v="9"/>
    <x v="1"/>
    <s v="INV2020/00000031"/>
    <s v="C00000001"/>
    <x v="0"/>
    <s v="RC Woven Roving E-800 40Kg 1000mm"/>
    <n v="6"/>
    <s v="Cash"/>
    <x v="0"/>
    <d v="2020-09-23T00:00:00"/>
    <n v="9"/>
    <n v="2020"/>
    <n v="1392"/>
    <n v="-1392"/>
    <n v="0"/>
    <n v="90317.5"/>
    <s v="Term"/>
    <s v="Trst 01/10/2020"/>
    <m/>
  </r>
  <r>
    <d v="2020-09-26T00:00:00"/>
    <n v="9"/>
    <x v="1"/>
    <s v="INV2020/00000032"/>
    <s v="C00000001"/>
    <x v="0"/>
    <s v="RA Nor 3338W (220Kg)"/>
    <n v="1"/>
    <s v="Cash"/>
    <x v="0"/>
    <d v="2020-09-26T00:00:00"/>
    <n v="9"/>
    <n v="2020"/>
    <n v="1496"/>
    <n v="-1496"/>
    <n v="0"/>
    <n v="91813.5"/>
    <s v="Term"/>
    <s v="Trst 01/10/2020"/>
    <m/>
  </r>
  <r>
    <d v="2020-10-05T00:00:00"/>
    <n v="10"/>
    <x v="1"/>
    <s v="INV2020/00000033"/>
    <s v="C00000005"/>
    <x v="4"/>
    <s v="RA Resin 3317AW (220Kg)"/>
    <n v="1"/>
    <s v="Cash"/>
    <x v="0"/>
    <d v="2020-10-05T00:00:00"/>
    <n v="10"/>
    <n v="2020"/>
    <n v="1496"/>
    <n v="-1496"/>
    <n v="0"/>
    <n v="93309.5"/>
    <s v="Term"/>
    <s v="Chq 5/10 (Bank in 19/10/2020)"/>
    <m/>
  </r>
  <r>
    <d v="2020-10-05T00:00:00"/>
    <n v="10"/>
    <x v="1"/>
    <s v="INV2020/00000034"/>
    <s v="C00000003"/>
    <x v="2"/>
    <s v="RA Resin 3317AW (220Kg)"/>
    <n v="3"/>
    <s v="T45"/>
    <x v="1"/>
    <d v="2020-11-19T00:00:00"/>
    <n v="11"/>
    <n v="2020"/>
    <n v="4554"/>
    <n v="-4554"/>
    <n v="0"/>
    <n v="97863.5"/>
    <s v="Term"/>
    <s v="PD Chq 14/11, RM2,713/-"/>
    <m/>
  </r>
  <r>
    <d v="2020-10-05T00:00:00"/>
    <n v="10"/>
    <x v="1"/>
    <s v="INV2020/00000034"/>
    <s v="C00000003"/>
    <x v="2"/>
    <s v="RA Talcum Powder (25Kg)"/>
    <n v="8"/>
    <s v="T45"/>
    <x v="1"/>
    <d v="2020-11-19T00:00:00"/>
    <n v="11"/>
    <n v="2020"/>
    <n v="400"/>
    <n v="-400"/>
    <n v="0"/>
    <n v="98263.5"/>
    <s v="Term"/>
    <s v="PD Chq 21/11, RM1,500/-"/>
    <m/>
  </r>
  <r>
    <d v="2020-10-05T00:00:00"/>
    <n v="10"/>
    <x v="1"/>
    <s v="INV2020/00000034"/>
    <s v="C00000003"/>
    <x v="2"/>
    <s v="RA Butanox M50 (5Kg)"/>
    <n v="6"/>
    <s v="T45"/>
    <x v="1"/>
    <d v="2020-11-19T00:00:00"/>
    <n v="11"/>
    <n v="2020"/>
    <n v="555"/>
    <n v="-555"/>
    <n v="0"/>
    <n v="98818.5"/>
    <s v="Term"/>
    <s v="PD Chq 29/11, RM1,500/-"/>
    <m/>
  </r>
  <r>
    <d v="2020-10-05T00:00:00"/>
    <n v="10"/>
    <x v="1"/>
    <s v="INV2020/00000034"/>
    <s v="C00000003"/>
    <x v="2"/>
    <s v="RA CSM 300 GSM TWL 30kg 64m(L) x 1040mm(W)"/>
    <n v="1"/>
    <s v="T45"/>
    <x v="1"/>
    <d v="2020-11-19T00:00:00"/>
    <n v="11"/>
    <n v="2020"/>
    <n v="204"/>
    <n v="-204"/>
    <n v="0"/>
    <n v="99022.5"/>
    <s v="Term"/>
    <s v="PD Chq 29/11, RM1,500/-"/>
    <m/>
  </r>
  <r>
    <d v="2020-10-08T00:00:00"/>
    <n v="10"/>
    <x v="1"/>
    <s v="INV2020/00000035"/>
    <s v="C00000004"/>
    <x v="3"/>
    <s v="RA Nor 3338W (220Kg)"/>
    <n v="5"/>
    <s v="T120"/>
    <x v="2"/>
    <d v="2021-02-05T00:00:00"/>
    <n v="2"/>
    <n v="2021"/>
    <n v="6270"/>
    <n v="-6270"/>
    <n v="0"/>
    <n v="105292.5"/>
    <s v="Term"/>
    <s v="PD HLB 5704, 22/2/2021"/>
    <m/>
  </r>
  <r>
    <d v="2020-10-08T00:00:00"/>
    <n v="10"/>
    <x v="1"/>
    <s v="INV2020/00000035"/>
    <s v="C00000004"/>
    <x v="3"/>
    <s v="RA Norsodyne 3338NW (220Kg)"/>
    <n v="1"/>
    <s v="T120"/>
    <x v="2"/>
    <d v="2021-02-05T00:00:00"/>
    <n v="2"/>
    <n v="2021"/>
    <n v="1254"/>
    <n v="-1254"/>
    <n v="0"/>
    <n v="106546.5"/>
    <s v="Term"/>
    <s v="PD HLB 5704, 22/2/2021"/>
    <m/>
  </r>
  <r>
    <d v="2020-10-08T00:00:00"/>
    <n v="10"/>
    <x v="1"/>
    <s v="INV2020/00000035"/>
    <s v="C00000004"/>
    <x v="3"/>
    <s v="RA CSM 300 GSM 54Kg 96m(L) X 1860mm(W)"/>
    <n v="3"/>
    <s v="T120"/>
    <x v="2"/>
    <d v="2021-02-05T00:00:00"/>
    <n v="2"/>
    <n v="2021"/>
    <n v="874.80000000000007"/>
    <n v="-874.80000000000007"/>
    <n v="0"/>
    <n v="107421.3"/>
    <s v="Term"/>
    <s v="PD HLB 5704, 22/2/2021"/>
    <m/>
  </r>
  <r>
    <d v="2020-10-08T00:00:00"/>
    <n v="10"/>
    <x v="1"/>
    <s v="INV2020/00000035"/>
    <s v="C00000004"/>
    <x v="3"/>
    <s v="RA Gelcoat GP-H (20Kg)"/>
    <n v="10"/>
    <s v="T120"/>
    <x v="2"/>
    <d v="2021-02-05T00:00:00"/>
    <n v="2"/>
    <n v="2021"/>
    <n v="2040"/>
    <n v="-2040"/>
    <n v="0"/>
    <n v="109461.3"/>
    <s v="Term"/>
    <s v="PD HLB 5704, 22/2/2021"/>
    <m/>
  </r>
  <r>
    <d v="2020-10-08T00:00:00"/>
    <n v="10"/>
    <x v="1"/>
    <s v="INV2020/00000035"/>
    <s v="C00000004"/>
    <x v="3"/>
    <s v="RA Butanox M50 (5Kg)"/>
    <n v="2"/>
    <s v="T120"/>
    <x v="2"/>
    <d v="2021-02-05T00:00:00"/>
    <n v="2"/>
    <n v="2021"/>
    <n v="180"/>
    <n v="-180"/>
    <n v="0"/>
    <n v="109641.3"/>
    <s v="Term"/>
    <s v="PD HLB 5704, 22/2/2021"/>
    <m/>
  </r>
  <r>
    <d v="2020-10-12T00:00:00"/>
    <n v="10"/>
    <x v="1"/>
    <s v="INV2020/00000036"/>
    <s v="C00000004"/>
    <x v="3"/>
    <s v="RA Nor 3338W (220Kg)"/>
    <n v="6"/>
    <s v="T120"/>
    <x v="2"/>
    <d v="2021-02-09T00:00:00"/>
    <n v="2"/>
    <n v="2021"/>
    <n v="7524"/>
    <n v="-7524"/>
    <n v="0"/>
    <n v="117165.3"/>
    <s v="Term"/>
    <s v="PD HLB 5704, 22/2/2021"/>
    <m/>
  </r>
  <r>
    <d v="2020-10-12T00:00:00"/>
    <n v="10"/>
    <x v="1"/>
    <s v="INV2020/00000036"/>
    <s v="C00000004"/>
    <x v="3"/>
    <s v="RA Norsodyne 3338NW (220Kg)"/>
    <n v="1"/>
    <s v="T120"/>
    <x v="2"/>
    <d v="2021-02-09T00:00:00"/>
    <n v="2"/>
    <n v="2021"/>
    <n v="1254"/>
    <n v="-1254"/>
    <n v="0"/>
    <n v="118419.3"/>
    <s v="Term"/>
    <s v="PD HLB 5704, 22/2/2021"/>
    <m/>
  </r>
  <r>
    <d v="2020-10-12T00:00:00"/>
    <n v="10"/>
    <x v="1"/>
    <s v="INV2020/00000037"/>
    <s v="C00000001"/>
    <x v="0"/>
    <s v="RA Resin 3317AW (220Kg)"/>
    <n v="1"/>
    <s v="Cash"/>
    <x v="0"/>
    <d v="2020-10-12T00:00:00"/>
    <n v="10"/>
    <n v="2020"/>
    <n v="1496"/>
    <n v="-1496"/>
    <n v="0"/>
    <n v="119915.3"/>
    <s v="Trsf"/>
    <s v="Trsf 19/10/2020"/>
    <m/>
  </r>
  <r>
    <d v="2020-10-12T00:00:00"/>
    <n v="10"/>
    <x v="1"/>
    <s v="INV2020/00000037"/>
    <s v="C00000001"/>
    <x v="0"/>
    <s v="RA CSM 450 GSM JUSHI 37kg 79m(L) X 1040mm(W)"/>
    <n v="4"/>
    <s v="Cash"/>
    <x v="0"/>
    <d v="2020-10-12T00:00:00"/>
    <n v="10"/>
    <n v="2020"/>
    <n v="962"/>
    <n v="-962"/>
    <n v="0"/>
    <n v="120877.3"/>
    <s v="Trsf"/>
    <s v="Trsf 19/10/2020"/>
    <m/>
  </r>
  <r>
    <d v="2020-10-14T00:00:00"/>
    <n v="10"/>
    <x v="1"/>
    <s v="INV2020/00000038"/>
    <s v="C00000007"/>
    <x v="6"/>
    <s v="RA Gelcoat GP-H (20Kg)"/>
    <n v="7"/>
    <s v="T60"/>
    <x v="3"/>
    <d v="2020-12-13T00:00:00"/>
    <n v="12"/>
    <n v="2020"/>
    <n v="1470"/>
    <n v="-1470"/>
    <n v="0"/>
    <n v="122347.3"/>
    <s v="Term"/>
    <s v="Due 30/11/2020"/>
    <m/>
  </r>
  <r>
    <d v="2020-10-14T00:00:00"/>
    <n v="10"/>
    <x v="1"/>
    <s v="INV2020/00000038"/>
    <s v="C00000007"/>
    <x v="6"/>
    <s v="RA Butanox M50 (5Kg)"/>
    <n v="8"/>
    <s v="T60"/>
    <x v="3"/>
    <d v="2020-12-13T00:00:00"/>
    <n v="12"/>
    <n v="2020"/>
    <n v="720"/>
    <n v="-720"/>
    <n v="0"/>
    <n v="123067.3"/>
    <s v="Term"/>
    <s v="Due 30/11/2020"/>
    <m/>
  </r>
  <r>
    <d v="2020-10-19T00:00:00"/>
    <n v="10"/>
    <x v="1"/>
    <s v="INV2020/00000038"/>
    <s v="C00000007"/>
    <x v="6"/>
    <s v="RA Gelcoat GS-H (20kg)"/>
    <n v="2"/>
    <s v="T60"/>
    <x v="3"/>
    <d v="2020-12-18T00:00:00"/>
    <n v="12"/>
    <n v="2020"/>
    <n v="460"/>
    <n v="-460"/>
    <n v="0"/>
    <n v="123527.3"/>
    <s v="Term"/>
    <s v="Due 30/11/2020"/>
    <m/>
  </r>
  <r>
    <d v="2020-10-17T00:00:00"/>
    <n v="10"/>
    <x v="1"/>
    <s v="INV2020/00000039"/>
    <s v="C00000003"/>
    <x v="2"/>
    <s v="RA Mirror Glaze"/>
    <n v="4"/>
    <s v="T45"/>
    <x v="1"/>
    <d v="2020-12-01T00:00:00"/>
    <n v="12"/>
    <n v="2020"/>
    <n v="180"/>
    <n v="-180"/>
    <n v="0"/>
    <n v="123707.3"/>
    <s v="Term"/>
    <s v="PD Chq 22/10, RM384/-"/>
    <m/>
  </r>
  <r>
    <d v="2020-10-17T00:00:00"/>
    <n v="10"/>
    <x v="1"/>
    <s v="INV2020/00000040"/>
    <s v="C00000003"/>
    <x v="2"/>
    <s v="RA CSM 300 GSM TWL 30kg 64m(L) x 1040mm(W)"/>
    <n v="1"/>
    <s v="T45"/>
    <x v="1"/>
    <d v="2020-12-01T00:00:00"/>
    <n v="12"/>
    <n v="2020"/>
    <n v="204"/>
    <n v="-204"/>
    <n v="0"/>
    <n v="123911.3"/>
    <s v="Term"/>
    <s v="PD Chq 22/10, RM384/-"/>
    <m/>
  </r>
  <r>
    <d v="2020-10-19T00:00:00"/>
    <n v="10"/>
    <x v="1"/>
    <s v="INV2020/00000041"/>
    <s v="C00000001"/>
    <x v="0"/>
    <s v="RA Gelcoat GS-S ISO (20kg)"/>
    <n v="4"/>
    <s v="Cash"/>
    <x v="0"/>
    <d v="2020-10-19T00:00:00"/>
    <n v="10"/>
    <n v="2020"/>
    <n v="960"/>
    <n v="-960"/>
    <n v="0"/>
    <n v="124871.3"/>
    <s v="Trsf"/>
    <s v="Trsf 9/11/2020"/>
    <m/>
  </r>
  <r>
    <d v="2020-10-19T00:00:00"/>
    <n v="10"/>
    <x v="1"/>
    <s v="INV2020/00000041"/>
    <s v="C00000001"/>
    <x v="0"/>
    <s v="RA Pigment Super White (25Kg)"/>
    <n v="1"/>
    <s v="Cash"/>
    <x v="0"/>
    <d v="2020-10-19T00:00:00"/>
    <n v="10"/>
    <n v="2020"/>
    <n v="625"/>
    <n v="-625"/>
    <n v="0"/>
    <n v="125496.3"/>
    <s v="Trsf"/>
    <s v="Trsf 9/11/2020"/>
    <m/>
  </r>
  <r>
    <d v="2020-10-19T00:00:00"/>
    <n v="10"/>
    <x v="1"/>
    <s v="INV2020/00000041"/>
    <s v="C00000001"/>
    <x v="0"/>
    <s v="Brush 2 1/2&quot; (12 pc)"/>
    <n v="1"/>
    <s v="Cash"/>
    <x v="0"/>
    <d v="2020-10-19T00:00:00"/>
    <n v="10"/>
    <n v="2020"/>
    <n v="60"/>
    <n v="-60"/>
    <n v="0"/>
    <n v="125556.3"/>
    <s v="Trsf"/>
    <s v="Trsf 9/11/2020"/>
    <m/>
  </r>
  <r>
    <d v="2020-10-19T00:00:00"/>
    <n v="10"/>
    <x v="1"/>
    <s v="INV2020/00000042"/>
    <s v="C00000005"/>
    <x v="4"/>
    <s v="RA Butanox M50 (5Kg)"/>
    <n v="1"/>
    <s v="Cash"/>
    <x v="0"/>
    <d v="2020-10-19T00:00:00"/>
    <n v="10"/>
    <n v="2020"/>
    <n v="90"/>
    <n v="-90"/>
    <n v="0"/>
    <n v="125646.3"/>
    <s v="Chq"/>
    <s v="Chq CIMB 000054 28/10/2019"/>
    <m/>
  </r>
  <r>
    <d v="2020-10-21T00:00:00"/>
    <n v="10"/>
    <x v="1"/>
    <s v="INV2020/00000043"/>
    <s v="C00000005"/>
    <x v="4"/>
    <s v="RA Resin 3317AW (220Kg)"/>
    <n v="1"/>
    <s v="Cash"/>
    <x v="0"/>
    <d v="2020-10-21T00:00:00"/>
    <n v="10"/>
    <n v="2020"/>
    <n v="1496"/>
    <n v="-1496"/>
    <n v="0"/>
    <n v="127142.3"/>
    <s v="Chq"/>
    <s v="Chq CIMB 000050 21/10/2020"/>
    <m/>
  </r>
  <r>
    <d v="2020-10-21T00:00:00"/>
    <n v="10"/>
    <x v="1"/>
    <s v="INV2020/00000044"/>
    <s v="C00000010"/>
    <x v="9"/>
    <s v="RA Nor 3338W (220Kg)"/>
    <n v="5"/>
    <s v="T120"/>
    <x v="2"/>
    <d v="2021-02-18T00:00:00"/>
    <n v="2"/>
    <n v="2021"/>
    <n v="6600"/>
    <n v="-6600"/>
    <n v="0"/>
    <n v="133742.29999999999"/>
    <s v="Term"/>
    <s v="Trsf 19/3/2021"/>
    <m/>
  </r>
  <r>
    <d v="2020-10-21T00:00:00"/>
    <n v="10"/>
    <x v="1"/>
    <s v="INV2020/00000044"/>
    <s v="C00000010"/>
    <x v="9"/>
    <s v="RA CSM 450 GSM JUSHI 37kg 79m(L) X 1040mm(W)"/>
    <n v="4"/>
    <s v="T120"/>
    <x v="2"/>
    <d v="2021-02-18T00:00:00"/>
    <n v="2"/>
    <n v="2021"/>
    <n v="888"/>
    <n v="-888"/>
    <n v="0"/>
    <n v="134630.29999999999"/>
    <s v="Term"/>
    <s v="Trsf 19/3/2021"/>
    <m/>
  </r>
  <r>
    <d v="2020-10-21T00:00:00"/>
    <n v="10"/>
    <x v="1"/>
    <s v="INV2020/00000044"/>
    <s v="C00000010"/>
    <x v="9"/>
    <s v="RA Talcum Powder (25Kg)"/>
    <n v="5"/>
    <s v="T120"/>
    <x v="2"/>
    <d v="2021-02-18T00:00:00"/>
    <n v="2"/>
    <n v="2021"/>
    <n v="275"/>
    <n v="-275"/>
    <n v="0"/>
    <n v="134905.29999999999"/>
    <s v="Term"/>
    <s v="Trsf 19/3/2021"/>
    <m/>
  </r>
  <r>
    <d v="2020-10-21T00:00:00"/>
    <n v="10"/>
    <x v="1"/>
    <s v="INV2020/00000044"/>
    <s v="C00000010"/>
    <x v="9"/>
    <s v="RA Butanox M50 (5Kg)"/>
    <n v="4"/>
    <s v="T120"/>
    <x v="2"/>
    <d v="2021-02-18T00:00:00"/>
    <n v="2"/>
    <n v="2021"/>
    <n v="360"/>
    <n v="-360"/>
    <n v="0"/>
    <n v="135265.29999999999"/>
    <s v="Term"/>
    <s v="Trsf 19/3/2021"/>
    <m/>
  </r>
  <r>
    <d v="2020-10-26T00:00:00"/>
    <n v="10"/>
    <x v="1"/>
    <s v="INV2020/00000045"/>
    <s v="C00000003"/>
    <x v="2"/>
    <s v="RA Resin 3317AW (220Kg)"/>
    <n v="3"/>
    <s v="T45"/>
    <x v="1"/>
    <d v="2020-12-10T00:00:00"/>
    <n v="12"/>
    <n v="2020"/>
    <n v="4554"/>
    <n v="-4554"/>
    <n v="0"/>
    <n v="139819.29999999999"/>
    <s v="Term"/>
    <s v="PD Chq 12/10, 19/10 &amp; 26/10 "/>
    <m/>
  </r>
  <r>
    <d v="2020-10-26T00:00:00"/>
    <n v="10"/>
    <x v="1"/>
    <s v="INV2020/00000045"/>
    <s v="C00000003"/>
    <x v="2"/>
    <s v="RA Butanox M50 (5Kg)"/>
    <n v="6"/>
    <s v="T45"/>
    <x v="1"/>
    <d v="2020-12-10T00:00:00"/>
    <n v="12"/>
    <n v="2020"/>
    <n v="555"/>
    <n v="-555"/>
    <n v="0"/>
    <n v="140374.29999999999"/>
    <s v="Term"/>
    <s v="RM1,700/-, RM1,700/- &amp; RM1,709/-"/>
    <m/>
  </r>
  <r>
    <d v="2020-10-31T00:00:00"/>
    <n v="10"/>
    <x v="1"/>
    <s v="INV2020/00000046"/>
    <s v="C00000001"/>
    <x v="0"/>
    <s v="RA Resin 3317AW (220Kg)"/>
    <n v="1"/>
    <s v="Cash"/>
    <x v="0"/>
    <d v="2020-10-31T00:00:00"/>
    <n v="10"/>
    <n v="2020"/>
    <n v="1496"/>
    <n v="-1496"/>
    <n v="0"/>
    <n v="141870.29999999999"/>
    <s v="Trsf"/>
    <s v="Trsf 9/11/2020"/>
    <m/>
  </r>
  <r>
    <d v="2020-10-31T00:00:00"/>
    <n v="10"/>
    <x v="1"/>
    <s v="INV2020/00000046"/>
    <s v="C00000001"/>
    <x v="0"/>
    <s v="RA CSM 450 GSM JUSHI 37kg 79m(L) X 1040mm(W)"/>
    <n v="4"/>
    <s v="Cash"/>
    <x v="0"/>
    <d v="2020-10-31T00:00:00"/>
    <n v="10"/>
    <n v="2020"/>
    <n v="962"/>
    <n v="-962"/>
    <n v="0"/>
    <n v="142832.29999999999"/>
    <s v="Trsf"/>
    <s v="Trsf 9/11/2020"/>
    <m/>
  </r>
  <r>
    <d v="2020-10-31T00:00:00"/>
    <n v="10"/>
    <x v="1"/>
    <s v="INV2020/00000047"/>
    <s v="C00000005"/>
    <x v="4"/>
    <s v="RA Resin 3317AW (220Kg)"/>
    <n v="1"/>
    <s v="Cash"/>
    <x v="0"/>
    <d v="2020-10-31T00:00:00"/>
    <n v="10"/>
    <n v="2020"/>
    <n v="1496"/>
    <n v="-1496"/>
    <n v="0"/>
    <n v="144328.29999999999"/>
    <s v="Chq"/>
    <s v="Chq CIMB 000056, 31/10/2020"/>
    <m/>
  </r>
  <r>
    <d v="2020-11-09T00:00:00"/>
    <n v="11"/>
    <x v="1"/>
    <s v="INV2020/00000048"/>
    <s v="C00000006"/>
    <x v="5"/>
    <s v="RA Nor 3338W (220Kg)"/>
    <n v="1"/>
    <s v="Cash"/>
    <x v="0"/>
    <d v="2020-11-09T00:00:00"/>
    <n v="11"/>
    <n v="2020"/>
    <n v="1584"/>
    <n v="-1584"/>
    <n v="0"/>
    <n v="145912.29999999999"/>
    <s v="Chq"/>
    <s v="Bank in 16/12/2020"/>
    <m/>
  </r>
  <r>
    <d v="2020-11-09T00:00:00"/>
    <n v="11"/>
    <x v="1"/>
    <s v="INV2020/00000048"/>
    <s v="C00000006"/>
    <x v="5"/>
    <s v="RA Gelcoat GP-H (20Kg)"/>
    <n v="1"/>
    <s v="Cash"/>
    <x v="0"/>
    <d v="2020-11-09T00:00:00"/>
    <n v="11"/>
    <n v="2020"/>
    <n v="210"/>
    <n v="-210"/>
    <n v="0"/>
    <n v="146122.29999999999"/>
    <s v="Chq"/>
    <s v="Bank in 16/12/2020"/>
    <m/>
  </r>
  <r>
    <d v="2020-11-09T00:00:00"/>
    <n v="11"/>
    <x v="1"/>
    <s v="INV2020/00000048"/>
    <s v="C00000006"/>
    <x v="5"/>
    <s v="RA CSM 300 GSM 54Kg 96m(L) X 1860mm(W)"/>
    <n v="1"/>
    <s v="Cash"/>
    <x v="0"/>
    <d v="2020-11-09T00:00:00"/>
    <n v="11"/>
    <n v="2020"/>
    <n v="378"/>
    <n v="-378"/>
    <n v="0"/>
    <n v="146500.29999999999"/>
    <s v="Chq"/>
    <s v="Bank in 16/12/2020"/>
    <m/>
  </r>
  <r>
    <d v="2020-11-09T00:00:00"/>
    <n v="11"/>
    <x v="1"/>
    <s v="INV2020/00000048"/>
    <s v="C00000006"/>
    <x v="5"/>
    <s v="RA Pigment Black (5Kg)"/>
    <n v="1"/>
    <s v="Cash"/>
    <x v="0"/>
    <d v="2020-11-09T00:00:00"/>
    <n v="11"/>
    <n v="2020"/>
    <n v="130"/>
    <n v="-130"/>
    <n v="0"/>
    <n v="146630.29999999999"/>
    <s v="Chq"/>
    <s v="Bank in 16/12/2020"/>
    <m/>
  </r>
  <r>
    <d v="2020-11-10T00:00:00"/>
    <n v="11"/>
    <x v="1"/>
    <s v="INV2020/00000049"/>
    <s v="C00000001"/>
    <x v="0"/>
    <s v="RA Resin 3317AW (220Kg)"/>
    <n v="1"/>
    <s v="Cash"/>
    <x v="0"/>
    <d v="2020-11-10T00:00:00"/>
    <n v="11"/>
    <n v="2020"/>
    <n v="1584"/>
    <n v="-1584"/>
    <n v="0"/>
    <n v="148214.29999999999"/>
    <s v="Chq"/>
    <s v="Trsf 20/11/2020"/>
    <m/>
  </r>
  <r>
    <d v="2020-11-10T00:00:00"/>
    <n v="11"/>
    <x v="1"/>
    <s v="INV2020/00000049"/>
    <s v="C00000001"/>
    <x v="0"/>
    <s v="RA Butanox M50 (5Kg)"/>
    <n v="4"/>
    <s v="Cash"/>
    <x v="0"/>
    <d v="2020-11-10T00:00:00"/>
    <n v="11"/>
    <n v="2020"/>
    <n v="370"/>
    <n v="-370"/>
    <n v="0"/>
    <n v="148584.29999999999"/>
    <s v="Chq"/>
    <s v="Trsf 20/11/2020"/>
    <m/>
  </r>
  <r>
    <d v="2020-11-10T00:00:00"/>
    <n v="11"/>
    <x v="1"/>
    <s v="INV2020/00000050"/>
    <s v="C00000005"/>
    <x v="4"/>
    <s v="RA Resin 3317AW (220Kg)"/>
    <n v="1"/>
    <s v="Cash"/>
    <x v="0"/>
    <d v="2020-11-10T00:00:00"/>
    <n v="11"/>
    <n v="2020"/>
    <n v="1540"/>
    <n v="-1540"/>
    <n v="0"/>
    <n v="150124.29999999999"/>
    <s v="Chq"/>
    <s v="Chq CIMB 000058 10/11/20, Banked in 22/11/20"/>
    <m/>
  </r>
  <r>
    <d v="2020-11-10T00:00:00"/>
    <n v="11"/>
    <x v="1"/>
    <s v="INV2020/00000050"/>
    <s v="C00000005"/>
    <x v="4"/>
    <s v="RA Butanox M50 (5Kg)"/>
    <n v="1"/>
    <s v="Cash"/>
    <x v="0"/>
    <d v="2020-11-10T00:00:00"/>
    <n v="11"/>
    <n v="2020"/>
    <n v="90"/>
    <n v="-90"/>
    <n v="0"/>
    <n v="150214.29999999999"/>
    <s v="Chq"/>
    <s v="Chq CIMB 000058 10/11/20, Banked in 22/11/20"/>
    <m/>
  </r>
  <r>
    <d v="2020-11-11T00:00:00"/>
    <n v="11"/>
    <x v="1"/>
    <s v="INV2020/00000051"/>
    <s v="C00000009"/>
    <x v="8"/>
    <s v="RA CSM 450 GSM 54kg 64m(L) X 1860mm(W)"/>
    <n v="3"/>
    <s v="T60"/>
    <x v="3"/>
    <d v="2021-01-10T00:00:00"/>
    <n v="1"/>
    <n v="2021"/>
    <n v="923.4"/>
    <n v="-923.4"/>
    <n v="0"/>
    <n v="151137.69999999998"/>
    <s v="Term"/>
    <s v="Chq HL 009828, dd 6/2/21, Banked in 7/2/21"/>
    <m/>
  </r>
  <r>
    <d v="2020-11-11T00:00:00"/>
    <n v="11"/>
    <x v="1"/>
    <s v="INV2020/00000051"/>
    <s v="C00000009"/>
    <x v="8"/>
    <s v="RA CSM 300 GSM 54Kg 96m(L) X 1860mm(W)"/>
    <n v="1"/>
    <s v="T60"/>
    <x v="3"/>
    <d v="2021-01-10T00:00:00"/>
    <n v="1"/>
    <n v="2021"/>
    <n v="307.8"/>
    <n v="-307.8"/>
    <n v="0"/>
    <n v="151445.49999999997"/>
    <s v="Term"/>
    <s v="Chq HL 009828, dd 6/2/21, Banked in 7/2/21"/>
    <m/>
  </r>
  <r>
    <d v="2020-11-18T00:00:00"/>
    <n v="11"/>
    <x v="1"/>
    <s v="INV2020/00000052"/>
    <s v="C00000001"/>
    <x v="0"/>
    <s v="RA Resin 3317AW (220Kg)"/>
    <n v="1"/>
    <s v="Cash"/>
    <x v="0"/>
    <d v="2020-11-18T00:00:00"/>
    <n v="11"/>
    <n v="2020"/>
    <n v="1584"/>
    <n v="-1584"/>
    <n v="0"/>
    <n v="153029.49999999997"/>
    <s v="Term"/>
    <s v="Trsf 20/11/2020"/>
    <m/>
  </r>
  <r>
    <d v="2020-11-24T00:00:00"/>
    <n v="11"/>
    <x v="1"/>
    <s v="INV2020/00000053"/>
    <s v="C00000001"/>
    <x v="0"/>
    <s v="RC Woven Roving E-800 40Kg 1000mm"/>
    <n v="2"/>
    <s v="Cash"/>
    <x v="0"/>
    <d v="2020-11-24T00:00:00"/>
    <n v="11"/>
    <n v="2020"/>
    <n v="520"/>
    <n v="-520"/>
    <n v="0"/>
    <n v="153549.49999999997"/>
    <s v="Term"/>
    <s v="Trsf 5/12/2020"/>
    <m/>
  </r>
  <r>
    <d v="2020-11-20T00:00:00"/>
    <n v="11"/>
    <x v="1"/>
    <s v="INV2020/00000054"/>
    <s v="C00000010"/>
    <x v="9"/>
    <s v="RA GP Resin (225Kg)"/>
    <n v="3"/>
    <s v="T120"/>
    <x v="2"/>
    <d v="2021-03-20T00:00:00"/>
    <n v="3"/>
    <n v="2021"/>
    <n v="4050"/>
    <n v="-4050"/>
    <n v="0"/>
    <n v="157599.49999999997"/>
    <s v="Term"/>
    <s v="Due 28/2/2020"/>
    <m/>
  </r>
  <r>
    <d v="2020-11-20T00:00:00"/>
    <n v="11"/>
    <x v="1"/>
    <s v="INV2020/00000054"/>
    <s v="C00000010"/>
    <x v="9"/>
    <s v="RA Nor 3338W (220Kg)"/>
    <n v="2"/>
    <s v="T120"/>
    <x v="2"/>
    <d v="2021-03-20T00:00:00"/>
    <n v="3"/>
    <n v="2021"/>
    <n v="2640"/>
    <n v="-2640"/>
    <n v="0"/>
    <n v="160239.49999999997"/>
    <s v="Term"/>
    <s v="Due 28/2/2020"/>
    <m/>
  </r>
  <r>
    <d v="2020-11-20T00:00:00"/>
    <n v="11"/>
    <x v="1"/>
    <s v="INV2020/00000054"/>
    <s v="C00000010"/>
    <x v="9"/>
    <s v="RA CSM 450 GSM JUSHI 37kg 79m(L) X 1040mm(W)"/>
    <n v="8"/>
    <s v="T120"/>
    <x v="2"/>
    <d v="2021-03-20T00:00:00"/>
    <n v="3"/>
    <n v="2021"/>
    <n v="1776"/>
    <n v="-1776"/>
    <n v="0"/>
    <n v="162015.49999999997"/>
    <s v="Term"/>
    <s v="Due 28/2/2020"/>
    <m/>
  </r>
  <r>
    <d v="2020-11-20T00:00:00"/>
    <n v="11"/>
    <x v="1"/>
    <s v="INV2020/00000054"/>
    <s v="C00000010"/>
    <x v="9"/>
    <s v="RA Talcum Powder (25Kg)"/>
    <n v="5"/>
    <s v="T120"/>
    <x v="2"/>
    <d v="2021-03-20T00:00:00"/>
    <n v="3"/>
    <n v="2021"/>
    <n v="275"/>
    <n v="-275"/>
    <n v="0"/>
    <n v="162290.49999999997"/>
    <s v="Term"/>
    <s v="Due 28/2/2020"/>
    <m/>
  </r>
  <r>
    <d v="2020-11-20T00:00:00"/>
    <n v="11"/>
    <x v="1"/>
    <s v="INV2020/00000054"/>
    <s v="C00000010"/>
    <x v="9"/>
    <s v="RA Butanox M50 (5Kg)"/>
    <n v="2"/>
    <s v="T120"/>
    <x v="2"/>
    <d v="2021-03-20T00:00:00"/>
    <n v="3"/>
    <n v="2021"/>
    <n v="180"/>
    <n v="-180"/>
    <n v="0"/>
    <n v="162470.49999999997"/>
    <s v="Term"/>
    <s v="Due 28/2/2020"/>
    <m/>
  </r>
  <r>
    <d v="2020-11-20T00:00:00"/>
    <n v="11"/>
    <x v="1"/>
    <s v="INV2020/00000054"/>
    <s v="C00000010"/>
    <x v="9"/>
    <s v="RA Bosny Wax (15kg)"/>
    <n v="1"/>
    <s v="T120"/>
    <x v="2"/>
    <d v="2021-03-20T00:00:00"/>
    <n v="3"/>
    <n v="2021"/>
    <n v="375"/>
    <n v="-375"/>
    <n v="0"/>
    <n v="162845.49999999997"/>
    <s v="Term"/>
    <s v="Due 28/2/2020"/>
    <m/>
  </r>
  <r>
    <d v="2020-11-21T00:00:00"/>
    <n v="11"/>
    <x v="1"/>
    <s v="INV2020/00000055"/>
    <s v="C00000008"/>
    <x v="7"/>
    <s v="RA Nor 3338W (220Kg)"/>
    <n v="1"/>
    <s v="Cash"/>
    <x v="0"/>
    <d v="2020-11-21T00:00:00"/>
    <n v="11"/>
    <n v="2020"/>
    <n v="1584"/>
    <n v="-1584"/>
    <n v="0"/>
    <n v="164429.49999999997"/>
    <s v="Trsf"/>
    <m/>
    <m/>
  </r>
  <r>
    <d v="2020-11-21T00:00:00"/>
    <n v="11"/>
    <x v="1"/>
    <s v="INV2020/00000055"/>
    <s v="C00000008"/>
    <x v="7"/>
    <s v="RA Gelcoat GP-H (20Kg)"/>
    <n v="2"/>
    <s v="Cash"/>
    <x v="0"/>
    <d v="2020-11-21T00:00:00"/>
    <n v="11"/>
    <n v="2020"/>
    <n v="420"/>
    <n v="-420"/>
    <n v="0"/>
    <n v="164849.49999999997"/>
    <s v="Trsf"/>
    <m/>
    <m/>
  </r>
  <r>
    <d v="2020-11-21T00:00:00"/>
    <n v="11"/>
    <x v="1"/>
    <s v="INV2020/00000055"/>
    <s v="C00000008"/>
    <x v="7"/>
    <s v="RA Butanox M50 (5Kg)"/>
    <n v="1"/>
    <s v="Cash"/>
    <x v="0"/>
    <d v="2020-11-21T00:00:00"/>
    <n v="11"/>
    <n v="2020"/>
    <n v="90"/>
    <n v="-90"/>
    <n v="0"/>
    <n v="164939.49999999997"/>
    <s v="Trsf"/>
    <m/>
    <m/>
  </r>
  <r>
    <d v="2020-11-21T00:00:00"/>
    <n v="11"/>
    <x v="1"/>
    <s v="INV2020/00000055"/>
    <s v="C00000008"/>
    <x v="7"/>
    <s v="RA CSM 450 GSM JUSHI 37kg 79m(L) X 1040mm(W)"/>
    <n v="2"/>
    <s v="Cash"/>
    <x v="0"/>
    <d v="2020-11-21T00:00:00"/>
    <n v="11"/>
    <n v="2020"/>
    <n v="518"/>
    <n v="-518"/>
    <n v="0"/>
    <n v="165457.49999999997"/>
    <s v="Trsf"/>
    <m/>
    <m/>
  </r>
  <r>
    <d v="2020-11-23T00:00:00"/>
    <n v="11"/>
    <x v="1"/>
    <s v="INV2020/00000056"/>
    <s v="C00000005"/>
    <x v="4"/>
    <s v="RA Resin 3317AW (220Kg)"/>
    <n v="1"/>
    <s v="Cash"/>
    <x v="0"/>
    <d v="2020-11-23T00:00:00"/>
    <n v="11"/>
    <n v="2020"/>
    <n v="1540"/>
    <n v="-1540"/>
    <n v="0"/>
    <n v="166997.49999999997"/>
    <s v="Chq"/>
    <s v="Chq CIMB 000060 24/11/20, Banked in 30/11/20"/>
    <m/>
  </r>
  <r>
    <d v="2020-11-24T00:00:00"/>
    <n v="11"/>
    <x v="1"/>
    <s v="INV2020/00000057"/>
    <s v="C00000011"/>
    <x v="10"/>
    <s v="Alkaline resistance Chopped Strand 24MM (18Kgs)"/>
    <n v="3"/>
    <s v="Cash"/>
    <x v="0"/>
    <d v="2020-11-24T00:00:00"/>
    <n v="11"/>
    <n v="2020"/>
    <n v="982.80000000000007"/>
    <n v="-982.80000000000007"/>
    <n v="0"/>
    <n v="167980.29999999996"/>
    <s v="Trsf"/>
    <s v="Trsf 23/11/2020"/>
    <m/>
  </r>
  <r>
    <d v="2020-11-24T00:00:00"/>
    <n v="11"/>
    <x v="1"/>
    <s v="INV2020/00000057"/>
    <s v="C00000011"/>
    <x v="10"/>
    <s v="Transport charge"/>
    <n v="1"/>
    <s v="Cash"/>
    <x v="0"/>
    <d v="2020-11-24T00:00:00"/>
    <n v="11"/>
    <n v="2020"/>
    <n v="100"/>
    <n v="-100"/>
    <n v="0"/>
    <n v="168080.29999999996"/>
    <s v="Trsf"/>
    <s v="Trsf 23/11/2020"/>
    <m/>
  </r>
  <r>
    <d v="2020-11-24T00:00:00"/>
    <n v="11"/>
    <x v="1"/>
    <s v="INV2020/00000058"/>
    <s v="C00000003"/>
    <x v="2"/>
    <s v="RA Resin 3317AW (220Kg)"/>
    <n v="1"/>
    <s v="T45"/>
    <x v="1"/>
    <d v="2021-01-08T00:00:00"/>
    <n v="1"/>
    <n v="2021"/>
    <n v="1628"/>
    <n v="-1628"/>
    <n v="0"/>
    <n v="169708.29999999996"/>
    <s v="Term"/>
    <s v="PD Chq 10/1/21, RM2,008/-"/>
    <m/>
  </r>
  <r>
    <d v="2020-11-24T00:00:00"/>
    <n v="11"/>
    <x v="1"/>
    <s v="INV2020/00000058"/>
    <s v="C00000003"/>
    <x v="2"/>
    <s v="RA Talcum Powder (25Kg)"/>
    <n v="3"/>
    <s v="T45"/>
    <x v="1"/>
    <d v="2021-01-08T00:00:00"/>
    <n v="1"/>
    <n v="2021"/>
    <n v="150"/>
    <n v="-150"/>
    <n v="0"/>
    <n v="169858.29999999996"/>
    <s v="Term"/>
    <s v="PD Chq 10/1/21, RM2,008/-"/>
    <m/>
  </r>
  <r>
    <d v="2020-11-24T00:00:00"/>
    <n v="11"/>
    <x v="1"/>
    <s v="INV2020/00000058"/>
    <s v="C00000003"/>
    <x v="2"/>
    <s v="RA Butanox M50 (5Kg)"/>
    <n v="2"/>
    <s v="T45"/>
    <x v="1"/>
    <d v="2021-01-08T00:00:00"/>
    <n v="1"/>
    <n v="2021"/>
    <n v="185"/>
    <n v="-185"/>
    <n v="0"/>
    <n v="170043.29999999996"/>
    <s v="Term"/>
    <s v="PD Chq 10/1/21, RM2,008/-"/>
    <m/>
  </r>
  <r>
    <d v="2020-11-24T00:00:00"/>
    <n v="11"/>
    <x v="1"/>
    <s v="INV2020/00000058"/>
    <s v="C00000003"/>
    <x v="2"/>
    <s v="RA Miracle Gloss Wax"/>
    <n v="1"/>
    <s v="T45"/>
    <x v="1"/>
    <d v="2021-01-08T00:00:00"/>
    <n v="1"/>
    <n v="2021"/>
    <n v="45"/>
    <n v="-45"/>
    <n v="0"/>
    <n v="170088.29999999996"/>
    <s v="Term"/>
    <s v="PD Chq 10/1/21, RM2,008/-"/>
    <m/>
  </r>
  <r>
    <d v="2020-11-27T00:00:00"/>
    <n v="11"/>
    <x v="1"/>
    <s v="INV2020/00000059"/>
    <s v="C00000001"/>
    <x v="0"/>
    <s v="RA Nor 3338W (220Kg)"/>
    <n v="1"/>
    <s v="Cash"/>
    <x v="0"/>
    <d v="2020-11-27T00:00:00"/>
    <n v="11"/>
    <n v="2020"/>
    <n v="1584"/>
    <n v="-1584"/>
    <n v="0"/>
    <n v="171672.29999999996"/>
    <s v="Trsf"/>
    <s v="Trsf 5/12/2020"/>
    <m/>
  </r>
  <r>
    <d v="2020-11-27T00:00:00"/>
    <n v="11"/>
    <x v="1"/>
    <s v="INV2020/00000059"/>
    <s v="C00000001"/>
    <x v="0"/>
    <s v="RA CSM 450 GSM TWL 30kg 64m(L) X 1040mm(W)"/>
    <n v="4"/>
    <s v="Cash"/>
    <x v="0"/>
    <d v="2020-11-27T00:00:00"/>
    <n v="11"/>
    <n v="2020"/>
    <n v="840"/>
    <n v="-840"/>
    <n v="0"/>
    <n v="172512.29999999996"/>
    <s v="Trsf"/>
    <s v="Trsf 5/12/2020"/>
    <m/>
  </r>
  <r>
    <d v="2020-11-28T00:00:00"/>
    <n v="11"/>
    <x v="1"/>
    <s v="INV2020/00000060"/>
    <s v="C00000009"/>
    <x v="8"/>
    <s v="RA Gelcoat GP-H (20Kg)"/>
    <n v="2"/>
    <s v="T60"/>
    <x v="3"/>
    <d v="2021-01-27T00:00:00"/>
    <n v="1"/>
    <n v="2021"/>
    <n v="408"/>
    <n v="-408"/>
    <n v="0"/>
    <n v="172920.29999999996"/>
    <s v="Term"/>
    <s v="Chq HL 009828, dd 6/2/21, Banked in 7/2/21"/>
    <m/>
  </r>
  <r>
    <d v="2020-11-30T00:00:00"/>
    <n v="11"/>
    <x v="1"/>
    <s v="INV2020/00000061"/>
    <s v="C00000008"/>
    <x v="7"/>
    <s v="RA Gelcoat GP-H (20Kg)"/>
    <n v="5"/>
    <s v="Cash"/>
    <x v="0"/>
    <d v="2020-11-30T00:00:00"/>
    <n v="11"/>
    <n v="2020"/>
    <n v="1050"/>
    <n v="-1050"/>
    <n v="0"/>
    <n v="173970.29999999996"/>
    <s v="Trsf"/>
    <m/>
    <m/>
  </r>
  <r>
    <d v="2020-11-30T00:00:00"/>
    <n v="11"/>
    <x v="1"/>
    <s v="INV2020/00000062"/>
    <s v="C00000010"/>
    <x v="9"/>
    <s v="RA Nor 3338W (220Kg)"/>
    <n v="5"/>
    <s v="T120"/>
    <x v="2"/>
    <d v="2021-03-30T00:00:00"/>
    <n v="3"/>
    <n v="2021"/>
    <n v="6600"/>
    <n v="-6600"/>
    <n v="0"/>
    <n v="180570.29999999996"/>
    <s v="Term"/>
    <s v="Due 28/2/2020"/>
    <m/>
  </r>
  <r>
    <d v="2020-11-30T00:00:00"/>
    <n v="11"/>
    <x v="1"/>
    <s v="INV2020/00000062"/>
    <s v="C00000010"/>
    <x v="9"/>
    <s v="RA CSM 450 GSM TWL 30kg 64m(L) X 1040mm(W)"/>
    <n v="4"/>
    <s v="T120"/>
    <x v="2"/>
    <d v="2021-03-30T00:00:00"/>
    <n v="3"/>
    <n v="2021"/>
    <n v="720"/>
    <n v="-720"/>
    <n v="0"/>
    <n v="181290.29999999996"/>
    <s v="Term"/>
    <s v="Due 28/2/2020"/>
    <m/>
  </r>
  <r>
    <d v="2020-11-30T00:00:00"/>
    <n v="11"/>
    <x v="1"/>
    <s v="INV2020/00000062"/>
    <s v="C00000010"/>
    <x v="9"/>
    <s v="RA Talcum Powder (25Kg)"/>
    <n v="5"/>
    <s v="T120"/>
    <x v="2"/>
    <d v="2021-03-30T00:00:00"/>
    <n v="3"/>
    <n v="2021"/>
    <n v="275"/>
    <n v="-275"/>
    <n v="0"/>
    <n v="181565.29999999996"/>
    <s v="Term"/>
    <s v="Due 28/2/2020"/>
    <m/>
  </r>
  <r>
    <d v="2020-11-30T00:00:00"/>
    <n v="11"/>
    <x v="1"/>
    <s v="INV2020/00000062"/>
    <s v="C00000010"/>
    <x v="9"/>
    <s v="RA Butanox M50 (5Kg)"/>
    <n v="2"/>
    <s v="T120"/>
    <x v="2"/>
    <d v="2021-03-30T00:00:00"/>
    <n v="3"/>
    <n v="2021"/>
    <n v="180"/>
    <n v="-180"/>
    <n v="0"/>
    <n v="181745.29999999996"/>
    <s v="Term"/>
    <s v="Due 28/2/2020"/>
    <m/>
  </r>
  <r>
    <d v="2020-11-30T00:00:00"/>
    <n v="11"/>
    <x v="1"/>
    <s v="INV2020/00000063"/>
    <s v="C00000010"/>
    <x v="9"/>
    <s v="RA Talcum Powder (25Kg)"/>
    <n v="5"/>
    <s v="T120"/>
    <x v="2"/>
    <d v="2021-03-30T00:00:00"/>
    <n v="3"/>
    <n v="2021"/>
    <n v="275"/>
    <n v="-275"/>
    <n v="0"/>
    <n v="182020.29999999996"/>
    <s v="Term"/>
    <s v="Due 28/2/2020"/>
    <m/>
  </r>
  <r>
    <d v="2020-12-05T00:00:00"/>
    <n v="12"/>
    <x v="1"/>
    <s v="INV2020/00000064"/>
    <s v="C00000011"/>
    <x v="11"/>
    <s v="RA CSM 450 GSM 54kg 64m(L) X 1860mm(W)"/>
    <n v="2"/>
    <s v="Cash"/>
    <x v="0"/>
    <d v="2020-12-05T00:00:00"/>
    <n v="12"/>
    <n v="2020"/>
    <n v="799.2"/>
    <n v="-799.2"/>
    <n v="0"/>
    <n v="182819.49999999997"/>
    <s v="Term"/>
    <s v="Trsf 5/12/2020"/>
    <m/>
  </r>
  <r>
    <d v="2020-12-15T00:00:00"/>
    <n v="12"/>
    <x v="1"/>
    <s v="INV2020/00000065"/>
    <s v="C00000001"/>
    <x v="0"/>
    <s v="RA Resin 3317AW (220Kg)"/>
    <n v="1"/>
    <s v="Cash"/>
    <x v="0"/>
    <d v="2020-12-15T00:00:00"/>
    <n v="12"/>
    <n v="2020"/>
    <n v="1716"/>
    <n v="-1716"/>
    <n v="0"/>
    <n v="184535.49999999997"/>
    <s v="Trsf"/>
    <s v="Trsf 18/12/2020"/>
    <m/>
  </r>
  <r>
    <d v="2020-12-15T00:00:00"/>
    <n v="12"/>
    <x v="1"/>
    <s v="INV2020/00000065"/>
    <s v="C00000001"/>
    <x v="0"/>
    <s v="RA Gelcoat GS-S ISO (20kg)"/>
    <n v="2"/>
    <s v="Cash"/>
    <x v="0"/>
    <d v="2020-12-15T00:00:00"/>
    <n v="12"/>
    <n v="2020"/>
    <n v="512"/>
    <n v="-512"/>
    <n v="0"/>
    <n v="185047.49999999997"/>
    <s v="Trsf"/>
    <s v="Trsf 18/12/2020"/>
    <m/>
  </r>
  <r>
    <d v="2020-12-26T00:00:00"/>
    <n v="12"/>
    <x v="1"/>
    <s v="INV2020/00000066"/>
    <s v="C00000004"/>
    <x v="3"/>
    <s v="RA Norsodyne 3338NW (220Kg)"/>
    <n v="2"/>
    <s v="T120"/>
    <x v="4"/>
    <d v="2021-04-25T00:00:00"/>
    <n v="4"/>
    <n v="2021"/>
    <n v="2860"/>
    <n v="-2860"/>
    <n v="0"/>
    <n v="187907.49999999997"/>
    <s v="Term"/>
    <s v="HL005820, 200321 (clear on 30/3/2021)"/>
    <m/>
  </r>
  <r>
    <d v="2020-12-30T00:00:00"/>
    <n v="12"/>
    <x v="1"/>
    <s v="INV2020/00000067"/>
    <s v="C00000003"/>
    <x v="2"/>
    <s v="RA Resin 3317AW (220Kg)"/>
    <n v="3"/>
    <s v="T45"/>
    <x v="1"/>
    <d v="2021-02-13T00:00:00"/>
    <n v="2"/>
    <n v="2021"/>
    <n v="5148"/>
    <n v="-5148"/>
    <m/>
    <n v="193055.49999999997"/>
    <s v="Term"/>
    <s v="PD Chq 13/2, 16/2, 20/2, 27/2 (RM1,500.00, RM1,608.00, RM1,500.00 &amp; RM1,500.00)"/>
    <m/>
  </r>
  <r>
    <d v="2020-12-30T00:00:00"/>
    <n v="12"/>
    <x v="1"/>
    <s v="INV2020/00000067"/>
    <s v="C00000003"/>
    <x v="2"/>
    <s v="RA CSM 450 GSM 54kg 64m(L) X 1860mm(W)"/>
    <n v="1"/>
    <s v="T45"/>
    <x v="1"/>
    <d v="2021-02-13T00:00:00"/>
    <n v="2"/>
    <n v="2021"/>
    <n v="405"/>
    <n v="-405"/>
    <n v="0"/>
    <n v="193460.49999999997"/>
    <s v="Term"/>
    <s v="PD Chq 13/2, 16/2, 20/2, 27/2 (RM1,500.00, RM1,608.00, RM1,500.00 &amp; RM1,500.00)"/>
    <m/>
  </r>
  <r>
    <d v="2020-12-30T00:00:00"/>
    <n v="12"/>
    <x v="1"/>
    <s v="INV2020/00000067"/>
    <s v="C00000003"/>
    <x v="2"/>
    <s v="RA Butanox M50 (5Kg)"/>
    <n v="6"/>
    <s v="T45"/>
    <x v="1"/>
    <d v="2021-02-13T00:00:00"/>
    <n v="2"/>
    <n v="2021"/>
    <n v="555"/>
    <n v="-555"/>
    <n v="0"/>
    <n v="194015.49999999997"/>
    <s v="Term"/>
    <s v="PD Chq 13/2, 16/2, 20/2, 27/2 (RM1,500.00, RM1,608.00, RM1,500.00 &amp; RM1,500.00)"/>
    <m/>
  </r>
  <r>
    <d v="2020-12-31T00:00:00"/>
    <n v="12"/>
    <x v="1"/>
    <s v="INV2020/00000068"/>
    <s v="C00000010"/>
    <x v="9"/>
    <s v="RA Norsodyne 3338W (220Kg)"/>
    <n v="5"/>
    <s v="T120"/>
    <x v="2"/>
    <d v="2021-04-30T00:00:00"/>
    <n v="4"/>
    <n v="2021"/>
    <n v="7700"/>
    <n v="-7700"/>
    <n v="0"/>
    <n v="201715.49999999997"/>
    <s v="Term"/>
    <s v="Trsf 20/04/21"/>
    <m/>
  </r>
  <r>
    <d v="2020-12-31T00:00:00"/>
    <n v="12"/>
    <x v="1"/>
    <s v="INV2020/00000068"/>
    <s v="C00000010"/>
    <x v="9"/>
    <s v="RA CSM 450 30kg 79m(L) X 1040mm(W)"/>
    <n v="8"/>
    <s v="T120"/>
    <x v="2"/>
    <d v="2021-04-30T00:00:00"/>
    <n v="4"/>
    <n v="2021"/>
    <n v="1680"/>
    <n v="-1680"/>
    <n v="0"/>
    <n v="203395.49999999997"/>
    <s v="Term"/>
    <s v="Trsf 20/04/21"/>
    <m/>
  </r>
  <r>
    <d v="2020-12-31T00:00:00"/>
    <n v="12"/>
    <x v="1"/>
    <s v="INV2020/00000068"/>
    <s v="C00000010"/>
    <x v="9"/>
    <s v="RA Talcum Powder (25Kg)"/>
    <n v="10"/>
    <s v="T120"/>
    <x v="2"/>
    <d v="2021-04-30T00:00:00"/>
    <n v="4"/>
    <n v="2021"/>
    <n v="550"/>
    <n v="-550"/>
    <n v="0"/>
    <n v="203945.49999999997"/>
    <s v="Term"/>
    <s v="Trsf 20/04/21"/>
    <m/>
  </r>
  <r>
    <d v="2020-12-31T00:00:00"/>
    <n v="12"/>
    <x v="1"/>
    <s v="INV2020/00000068"/>
    <s v="C00000010"/>
    <x v="9"/>
    <s v="RA Butanox M50 (5Kg)"/>
    <n v="2"/>
    <s v="T120"/>
    <x v="2"/>
    <d v="2021-04-30T00:00:00"/>
    <n v="4"/>
    <n v="2021"/>
    <n v="190"/>
    <n v="-190"/>
    <n v="0"/>
    <n v="204135.49999999997"/>
    <s v="Term"/>
    <s v="Trsf 20/04/21"/>
    <m/>
  </r>
  <r>
    <d v="2021-01-04T00:00:00"/>
    <n v="1"/>
    <x v="2"/>
    <s v="INV2020/00000069"/>
    <s v="C00000013"/>
    <x v="12"/>
    <s v="RA Tooling Gelcoat RP92 (22Kg)"/>
    <n v="2"/>
    <s v="Cash"/>
    <x v="0"/>
    <d v="2021-01-04T00:00:00"/>
    <n v="1"/>
    <n v="2021"/>
    <n v="1540"/>
    <n v="-1540"/>
    <n v="0"/>
    <n v="205675.49999999997"/>
    <s v="Cash"/>
    <s v="Bank in 2-5/1/2021"/>
    <m/>
  </r>
  <r>
    <d v="2021-01-04T00:00:00"/>
    <n v="1"/>
    <x v="2"/>
    <s v="INV2020/00000069"/>
    <s v="C00000013"/>
    <x v="12"/>
    <s v="RA CSM 450 54kg 64m(L) X 1860mm(W)"/>
    <n v="2"/>
    <s v="Cash"/>
    <x v="0"/>
    <d v="2021-01-04T00:00:00"/>
    <n v="1"/>
    <n v="2021"/>
    <n v="810"/>
    <n v="-810"/>
    <n v="0"/>
    <n v="206485.49999999997"/>
    <s v="Cash"/>
    <s v="Bank in 2-5/1/2021"/>
    <m/>
  </r>
  <r>
    <d v="2021-01-04T00:00:00"/>
    <n v="1"/>
    <x v="2"/>
    <s v="INV2020/00000069"/>
    <s v="C00000013"/>
    <x v="12"/>
    <s v="RA CSM 300 GSM 54Kg 96m(L) X 1860mm(W)"/>
    <n v="1"/>
    <s v="Cash"/>
    <x v="0"/>
    <d v="2021-01-04T00:00:00"/>
    <n v="1"/>
    <n v="2021"/>
    <n v="405"/>
    <n v="-405"/>
    <n v="0"/>
    <n v="206890.49999999997"/>
    <s v="Cash"/>
    <s v="Bank in 2-5/1/2021"/>
    <m/>
  </r>
  <r>
    <d v="2021-01-04T00:00:00"/>
    <n v="1"/>
    <x v="2"/>
    <s v="INV2020/00000069"/>
    <s v="C00000013"/>
    <x v="12"/>
    <s v="RA Vinlyeter Resin (200Kg)"/>
    <n v="2"/>
    <s v="Cash"/>
    <x v="0"/>
    <d v="2021-01-04T00:00:00"/>
    <n v="1"/>
    <n v="2021"/>
    <n v="5920"/>
    <n v="-5920"/>
    <n v="0"/>
    <n v="212810.49999999997"/>
    <s v="Cash"/>
    <s v="Bank in 2-5/1/2021"/>
    <m/>
  </r>
  <r>
    <d v="2021-01-04T00:00:00"/>
    <n v="1"/>
    <x v="2"/>
    <s v="INV2020/00000069"/>
    <s v="C00000013"/>
    <x v="12"/>
    <s v="RA Mirror Glaze Mold Release "/>
    <n v="3"/>
    <s v="Cash"/>
    <x v="0"/>
    <d v="2021-01-04T00:00:00"/>
    <n v="1"/>
    <n v="2021"/>
    <n v="135"/>
    <n v="-135"/>
    <n v="0"/>
    <n v="212945.49999999997"/>
    <s v="Cash"/>
    <s v="Bank in 2-5/1/2021"/>
    <m/>
  </r>
  <r>
    <d v="2021-01-04T00:00:00"/>
    <n v="1"/>
    <x v="2"/>
    <s v="INV2020/00000069"/>
    <s v="C00000013"/>
    <x v="12"/>
    <s v="RA Pigment H 2006 Dark Grey (5Kg)"/>
    <n v="1"/>
    <s v="Cash"/>
    <x v="0"/>
    <d v="2021-01-04T00:00:00"/>
    <n v="1"/>
    <n v="2021"/>
    <n v="130"/>
    <n v="-130"/>
    <n v="0"/>
    <n v="213075.49999999997"/>
    <s v="Cash"/>
    <s v="Bank in 2-5/1/2021"/>
    <m/>
  </r>
  <r>
    <d v="2021-01-04T00:00:00"/>
    <n v="1"/>
    <x v="2"/>
    <s v="INV2020/00000069"/>
    <s v="C00000013"/>
    <x v="12"/>
    <s v="RA Deawa DW-5213"/>
    <n v="1"/>
    <s v="Cash"/>
    <x v="0"/>
    <d v="2021-01-04T00:00:00"/>
    <n v="1"/>
    <n v="2021"/>
    <n v="380"/>
    <n v="-380"/>
    <n v="0"/>
    <n v="213455.49999999997"/>
    <s v="Cash"/>
    <s v="Bank in 2-5/1/2021"/>
    <m/>
  </r>
  <r>
    <d v="2021-01-04T00:00:00"/>
    <n v="1"/>
    <x v="2"/>
    <s v="INV2020/00000069"/>
    <s v="C00000013"/>
    <x v="12"/>
    <s v="RA Pigment H 7001 Bright Orange (5Kg)"/>
    <n v="1"/>
    <s v="Cash"/>
    <x v="0"/>
    <d v="2021-01-04T00:00:00"/>
    <n v="1"/>
    <n v="2021"/>
    <n v="180"/>
    <n v="-180"/>
    <n v="0"/>
    <n v="213635.49999999997"/>
    <s v="Cash"/>
    <s v="Bank in 2-5/1/2021"/>
    <m/>
  </r>
  <r>
    <d v="2021-01-04T00:00:00"/>
    <n v="1"/>
    <x v="2"/>
    <s v="INV2020/00000069"/>
    <s v="C00000013"/>
    <x v="12"/>
    <s v="RA Steel Roller 3&quot;"/>
    <n v="3"/>
    <s v="Cash"/>
    <x v="0"/>
    <d v="2021-01-04T00:00:00"/>
    <n v="1"/>
    <n v="2021"/>
    <n v="144"/>
    <n v="-144"/>
    <n v="0"/>
    <n v="213779.49999999997"/>
    <s v="Cash"/>
    <s v="Bank in 2-5/1/2021"/>
    <m/>
  </r>
  <r>
    <d v="2021-01-04T00:00:00"/>
    <n v="1"/>
    <x v="2"/>
    <s v="INV2020/00000069"/>
    <s v="C00000013"/>
    <x v="12"/>
    <s v="RA Aerosil (Silica Fume) (10Kg)"/>
    <n v="1"/>
    <s v="Cash"/>
    <x v="0"/>
    <d v="2021-01-04T00:00:00"/>
    <n v="1"/>
    <n v="2021"/>
    <n v="360"/>
    <n v="-360"/>
    <n v="0"/>
    <n v="214139.49999999997"/>
    <s v="Cash"/>
    <s v="Bank in 2-5/1/2021"/>
    <m/>
  </r>
  <r>
    <d v="2021-01-04T00:00:00"/>
    <n v="1"/>
    <x v="2"/>
    <s v="INV2020/00000069"/>
    <s v="C00000013"/>
    <x v="12"/>
    <s v="RA Butanox M50 (5Kg)"/>
    <n v="1"/>
    <s v="Cash"/>
    <x v="0"/>
    <d v="2021-01-04T00:00:00"/>
    <n v="1"/>
    <n v="2021"/>
    <n v="95"/>
    <n v="-95"/>
    <n v="0"/>
    <n v="214234.49999999997"/>
    <s v="Cash"/>
    <s v="Bank in 2-5/1/2021"/>
    <m/>
  </r>
  <r>
    <d v="2021-01-04T00:00:00"/>
    <n v="1"/>
    <x v="2"/>
    <s v="INV2020/00000069"/>
    <s v="C00000013"/>
    <x v="12"/>
    <s v="RA Accelerator (4Kg)"/>
    <n v="1"/>
    <s v="Cash"/>
    <x v="0"/>
    <d v="2021-01-04T00:00:00"/>
    <n v="1"/>
    <n v="2021"/>
    <n v="300"/>
    <n v="-300"/>
    <n v="0"/>
    <n v="214534.49999999997"/>
    <s v="Cash"/>
    <s v="Bank in 2-5/1/2021"/>
    <m/>
  </r>
  <r>
    <d v="2021-01-11T00:00:00"/>
    <n v="1"/>
    <x v="2"/>
    <s v="INV2020/00000070"/>
    <s v="C00000010"/>
    <x v="9"/>
    <s v="RA Styrene Monomer (6Kg)"/>
    <n v="1"/>
    <s v="FOC"/>
    <x v="0"/>
    <d v="2021-01-11T00:00:00"/>
    <n v="1"/>
    <n v="2021"/>
    <n v="0"/>
    <n v="0"/>
    <n v="0"/>
    <n v="214534.49999999997"/>
    <s v="FOC"/>
    <s v="FOC"/>
    <m/>
  </r>
  <r>
    <d v="2021-01-08T00:00:00"/>
    <n v="1"/>
    <x v="2"/>
    <s v="INV2020/00000071"/>
    <s v="C00000013"/>
    <x v="12"/>
    <s v="RA Steel Roller 4&quot;"/>
    <n v="3"/>
    <s v="Cash"/>
    <x v="0"/>
    <d v="2021-01-08T00:00:00"/>
    <n v="1"/>
    <n v="2021"/>
    <n v="49"/>
    <n v="-49"/>
    <n v="0"/>
    <n v="214583.49999999997"/>
    <s v="Bank in"/>
    <m/>
    <m/>
  </r>
  <r>
    <d v="2021-01-09T00:00:00"/>
    <n v="1"/>
    <x v="2"/>
    <s v="INV2020/00000072"/>
    <s v="C00000003"/>
    <x v="2"/>
    <s v="RA Talcum Powder (25Kg)"/>
    <n v="5"/>
    <s v="T45"/>
    <x v="1"/>
    <d v="2021-02-23T00:00:00"/>
    <n v="2"/>
    <n v="2021"/>
    <n v="250"/>
    <n v="-250"/>
    <n v="0"/>
    <n v="214833.49999999997"/>
    <s v="Cash"/>
    <s v="Cash 9/1/2021"/>
    <m/>
  </r>
  <r>
    <d v="2021-01-09T00:00:00"/>
    <n v="1"/>
    <x v="2"/>
    <s v="INV2020/00000072"/>
    <s v="C00000003"/>
    <x v="2"/>
    <s v="RA Miracle Gloss Wax"/>
    <n v="2"/>
    <s v="T45"/>
    <x v="1"/>
    <d v="2021-02-23T00:00:00"/>
    <n v="2"/>
    <n v="2021"/>
    <n v="90"/>
    <n v="-90"/>
    <n v="0"/>
    <n v="214923.49999999997"/>
    <s v="Cash"/>
    <s v="Cash 9/1/2021"/>
    <m/>
  </r>
  <r>
    <d v="2021-01-18T00:00:00"/>
    <n v="1"/>
    <x v="2"/>
    <s v="INV2020/00000073"/>
    <s v="C00000013"/>
    <x v="12"/>
    <s v="RA Gelcoat GP-H (20Kg)"/>
    <n v="2"/>
    <s v="Cash"/>
    <x v="0"/>
    <d v="2021-01-18T00:00:00"/>
    <n v="1"/>
    <n v="2021"/>
    <n v="472"/>
    <n v="-472"/>
    <n v="0"/>
    <n v="215395.49999999997"/>
    <s v="Cash"/>
    <s v="Bank in 18-19/1/2021"/>
    <m/>
  </r>
  <r>
    <d v="2021-01-18T00:00:00"/>
    <n v="1"/>
    <x v="2"/>
    <s v="INV2020/00000073"/>
    <s v="C00000013"/>
    <x v="12"/>
    <s v="RA CSM 450 54kg 64m(L) X 1860mm(W)"/>
    <n v="1"/>
    <s v="Cash"/>
    <x v="0"/>
    <d v="2021-01-18T00:00:00"/>
    <n v="1"/>
    <n v="2021"/>
    <n v="405"/>
    <n v="-405"/>
    <n v="0"/>
    <n v="215800.49999999997"/>
    <s v="Cash"/>
    <s v="Bank in 18-19/1/2021"/>
    <m/>
  </r>
  <r>
    <d v="2021-01-18T00:00:00"/>
    <n v="1"/>
    <x v="2"/>
    <s v="INV2020/00000073"/>
    <s v="C00000013"/>
    <x v="12"/>
    <s v="RA CSM 300 GSM 54Kg 96m(L) X 1860mm(W)"/>
    <n v="1"/>
    <s v="Cash"/>
    <x v="0"/>
    <d v="2021-01-18T00:00:00"/>
    <n v="1"/>
    <n v="2021"/>
    <n v="405"/>
    <n v="-405"/>
    <n v="0"/>
    <n v="216205.49999999997"/>
    <s v="Cash"/>
    <s v="Bank in 18-19/1/2021"/>
    <m/>
  </r>
  <r>
    <d v="2021-01-18T00:00:00"/>
    <n v="1"/>
    <x v="2"/>
    <s v="INV2020/00000073"/>
    <s v="C00000013"/>
    <x v="12"/>
    <s v="RA Pigment H 2006 Dark Grey (5Kg)"/>
    <n v="1"/>
    <s v="Cash"/>
    <x v="0"/>
    <d v="2021-01-18T00:00:00"/>
    <n v="1"/>
    <n v="2021"/>
    <n v="130"/>
    <n v="-130"/>
    <n v="0"/>
    <n v="216335.49999999997"/>
    <s v="Cash"/>
    <s v="Bank in 18-19/1/2021"/>
    <m/>
  </r>
  <r>
    <d v="2021-01-18T00:00:00"/>
    <n v="1"/>
    <x v="2"/>
    <s v="INV2020/00000073"/>
    <s v="C00000013"/>
    <x v="12"/>
    <s v="RA Miracle Gloss Wax"/>
    <n v="2"/>
    <s v="Cash"/>
    <x v="0"/>
    <d v="2021-01-18T00:00:00"/>
    <n v="1"/>
    <n v="2021"/>
    <n v="90"/>
    <n v="-90"/>
    <n v="0"/>
    <n v="216425.49999999997"/>
    <s v="Cash"/>
    <s v="Bank in 18-19/1/2021"/>
    <m/>
  </r>
  <r>
    <d v="2021-01-18T00:00:00"/>
    <n v="1"/>
    <x v="2"/>
    <s v="INV2020/00000073"/>
    <s v="C00000013"/>
    <x v="12"/>
    <s v="RA Butanox M50 (5Kg)"/>
    <n v="2"/>
    <s v="Cash"/>
    <x v="0"/>
    <d v="2021-01-18T00:00:00"/>
    <n v="1"/>
    <n v="2021"/>
    <n v="190"/>
    <n v="-190"/>
    <n v="0"/>
    <n v="216615.49999999997"/>
    <s v="Cash"/>
    <s v="Bank in 18-19/1/2021"/>
    <m/>
  </r>
  <r>
    <d v="2021-01-18T00:00:00"/>
    <n v="1"/>
    <x v="2"/>
    <s v="INV2020/00000073"/>
    <s v="C00000013"/>
    <x v="12"/>
    <s v="RA Norsodyne 3338W (220Kg)"/>
    <n v="1"/>
    <s v="Cash"/>
    <x v="0"/>
    <d v="2021-01-18T00:00:00"/>
    <n v="1"/>
    <n v="2021"/>
    <n v="1716"/>
    <n v="-1716"/>
    <n v="0"/>
    <n v="218331.49999999997"/>
    <s v="Cash"/>
    <s v="Bank in 18-19/1/2021"/>
    <m/>
  </r>
  <r>
    <d v="2021-01-27T00:00:00"/>
    <n v="1"/>
    <x v="2"/>
    <s v="INV2020/00000074"/>
    <s v="C00000003"/>
    <x v="2"/>
    <s v="RA Resin 3317AW (220Kg)"/>
    <n v="3"/>
    <s v="T45"/>
    <x v="1"/>
    <d v="2021-03-13T00:00:00"/>
    <n v="3"/>
    <n v="2021"/>
    <n v="5082"/>
    <n v="-5082"/>
    <n v="0"/>
    <n v="223413.49999999997"/>
    <s v="Term"/>
    <s v="PD Chq 14/3, 21/3, 28/3, 31/3,  (RM1,500.00, RM1,500.00, RM1,500.00 &amp; RM1,387.00)"/>
    <m/>
  </r>
  <r>
    <d v="2021-01-27T00:00:00"/>
    <n v="1"/>
    <x v="2"/>
    <s v="INV2020/00000074"/>
    <s v="C00000003"/>
    <x v="2"/>
    <s v="RA Talcum Powder (25Kg)"/>
    <n v="5"/>
    <s v="T45"/>
    <x v="1"/>
    <d v="2021-03-13T00:00:00"/>
    <n v="3"/>
    <n v="2021"/>
    <n v="250"/>
    <n v="-250"/>
    <n v="0"/>
    <n v="223663.49999999997"/>
    <s v="Term"/>
    <s v="PD Chq 14/3, 21/3, 28/3, 31/3,  (RM1,500.00, RM1,500.00, RM1,500.00 &amp; RM1,387.00)"/>
    <m/>
  </r>
  <r>
    <d v="2021-01-27T00:00:00"/>
    <n v="1"/>
    <x v="2"/>
    <s v="INV2020/00000074"/>
    <s v="C00000003"/>
    <x v="2"/>
    <s v="RA Butanox M50 (5kg)"/>
    <n v="6"/>
    <s v="T45"/>
    <x v="1"/>
    <d v="2021-03-13T00:00:00"/>
    <n v="3"/>
    <n v="2021"/>
    <n v="555"/>
    <n v="-555"/>
    <n v="0"/>
    <n v="224218.49999999997"/>
    <s v="Term"/>
    <s v="PD Chq 14/3, 21/3, 28/3, 31/3,  (RM1,500.00, RM1,500.00, RM1,500.00 &amp; RM1,387.00)"/>
    <m/>
  </r>
  <r>
    <d v="2021-01-29T00:00:00"/>
    <n v="1"/>
    <x v="2"/>
    <s v="INV2020/00000075"/>
    <s v="C00000001"/>
    <x v="0"/>
    <s v="RA Nor 3338W (220Kg)"/>
    <n v="1"/>
    <s v="Cash"/>
    <x v="0"/>
    <d v="2021-01-29T00:00:00"/>
    <n v="1"/>
    <n v="2021"/>
    <n v="1694"/>
    <n v="-1694"/>
    <n v="0"/>
    <n v="225912.49999999997"/>
    <s v="Cash"/>
    <s v="Trsf 1/2/2021"/>
    <m/>
  </r>
  <r>
    <d v="2021-01-29T00:00:00"/>
    <n v="1"/>
    <x v="2"/>
    <s v="INV2020/00000075"/>
    <s v="C00000001"/>
    <x v="0"/>
    <s v="RA CSM 450 GSM TWL 30kg 64m(L) X 1040mm(W)"/>
    <n v="4"/>
    <s v="Cash"/>
    <x v="0"/>
    <d v="2021-01-29T00:00:00"/>
    <n v="1"/>
    <n v="2021"/>
    <n v="900"/>
    <n v="-900"/>
    <n v="0"/>
    <n v="226812.49999999997"/>
    <s v="Cash"/>
    <s v="Trsf 1/2/2021"/>
    <m/>
  </r>
  <r>
    <d v="2021-01-29T00:00:00"/>
    <n v="1"/>
    <x v="2"/>
    <s v="INV2020/00000075"/>
    <s v="C00000001"/>
    <x v="0"/>
    <s v="RC Woven Roving E-800 40Kg 1000mm"/>
    <n v="1"/>
    <s v="Cash"/>
    <x v="0"/>
    <d v="2021-01-29T00:00:00"/>
    <n v="1"/>
    <n v="2021"/>
    <n v="272"/>
    <n v="-272"/>
    <n v="0"/>
    <n v="227084.49999999997"/>
    <s v="Cash"/>
    <s v="Trsf 1/2/2021"/>
    <m/>
  </r>
  <r>
    <d v="2021-01-29T00:00:00"/>
    <n v="1"/>
    <x v="2"/>
    <s v="INV2020/00000076"/>
    <s v="C00000010"/>
    <x v="9"/>
    <s v="RA Norsodyne 3338W (220Kg)"/>
    <n v="5"/>
    <s v="T120"/>
    <x v="2"/>
    <d v="2021-05-29T00:00:00"/>
    <n v="5"/>
    <n v="2021"/>
    <n v="7700"/>
    <n v="-7700"/>
    <n v="0"/>
    <n v="234784.49999999997"/>
    <s v="Term"/>
    <s v="Trsf 21/5/2021"/>
    <m/>
  </r>
  <r>
    <d v="2021-01-29T00:00:00"/>
    <n v="1"/>
    <x v="2"/>
    <s v="INV2020/00000076"/>
    <s v="C00000010"/>
    <x v="9"/>
    <s v="RA CSM 450 30kg 79m(L) X 1040mm(W)"/>
    <n v="8"/>
    <s v="T120"/>
    <x v="2"/>
    <d v="2021-05-29T00:00:00"/>
    <n v="5"/>
    <n v="2021"/>
    <n v="1680"/>
    <n v="-1680"/>
    <n v="0"/>
    <n v="236464.49999999997"/>
    <s v="Term"/>
    <s v="Trsf 21/5/2021"/>
    <m/>
  </r>
  <r>
    <d v="2021-01-29T00:00:00"/>
    <n v="1"/>
    <x v="2"/>
    <s v="INV2020/00000076"/>
    <s v="C00000010"/>
    <x v="9"/>
    <s v="RA Talcum Powder (25kg)"/>
    <n v="10"/>
    <s v="T120"/>
    <x v="2"/>
    <d v="2021-05-29T00:00:00"/>
    <n v="5"/>
    <n v="2021"/>
    <n v="550"/>
    <n v="-550"/>
    <n v="0"/>
    <n v="237014.49999999997"/>
    <s v="Term"/>
    <s v="Trsf 21/5/2021"/>
    <m/>
  </r>
  <r>
    <d v="2021-01-29T00:00:00"/>
    <n v="1"/>
    <x v="2"/>
    <s v="INV2020/00000076"/>
    <s v="C00000010"/>
    <x v="9"/>
    <s v="RA Butanox M50 (5kg)"/>
    <n v="4"/>
    <s v="T120"/>
    <x v="2"/>
    <d v="2021-05-29T00:00:00"/>
    <n v="5"/>
    <n v="2021"/>
    <n v="380"/>
    <n v="-380"/>
    <n v="0"/>
    <n v="237394.49999999997"/>
    <s v="Term"/>
    <s v="Trsf 21/5/2021"/>
    <m/>
  </r>
  <r>
    <d v="2021-02-03T00:00:00"/>
    <n v="2"/>
    <x v="2"/>
    <s v="INV2020/00000077"/>
    <s v="C00000014"/>
    <x v="13"/>
    <s v="RA Resin 3317AW (220Kg)"/>
    <n v="2"/>
    <s v="Cash"/>
    <x v="0"/>
    <d v="2021-02-03T00:00:00"/>
    <n v="2"/>
    <n v="2021"/>
    <n v="3344"/>
    <n v="-3344"/>
    <n v="0"/>
    <n v="240738.49999999997"/>
    <s v="Cash"/>
    <s v="Cash 3/2/2021"/>
    <m/>
  </r>
  <r>
    <d v="2021-02-03T00:00:00"/>
    <n v="2"/>
    <x v="2"/>
    <s v="INV2020/00000077"/>
    <s v="C00000014"/>
    <x v="13"/>
    <s v="RA CSM 450 GSM TWL 30kg 64m(L) X 1040mm(W)"/>
    <n v="5"/>
    <s v="Cash"/>
    <x v="0"/>
    <d v="2021-02-03T00:00:00"/>
    <n v="2"/>
    <n v="2021"/>
    <n v="1125"/>
    <n v="-1125"/>
    <n v="0"/>
    <n v="241863.49999999997"/>
    <s v="Cash"/>
    <s v="Cash 3/2/2021"/>
    <m/>
  </r>
  <r>
    <d v="2021-02-03T00:00:00"/>
    <n v="2"/>
    <x v="2"/>
    <s v="INV2020/00000077"/>
    <s v="C00000014"/>
    <x v="13"/>
    <s v="RC Woven Roving E-800 1000mm (40Kg)"/>
    <n v="1"/>
    <s v="Cash"/>
    <x v="0"/>
    <d v="2021-02-03T00:00:00"/>
    <n v="2"/>
    <n v="2021"/>
    <n v="280"/>
    <n v="-280"/>
    <n v="0"/>
    <n v="242143.49999999997"/>
    <s v="Cash"/>
    <s v="Cash 3/2/2021"/>
    <m/>
  </r>
  <r>
    <d v="2021-02-03T00:00:00"/>
    <n v="2"/>
    <x v="2"/>
    <s v="INV2020/00000077"/>
    <s v="C00000014"/>
    <x v="13"/>
    <s v="RA Butanox M50 (5kg)"/>
    <n v="2"/>
    <s v="Cash"/>
    <x v="0"/>
    <d v="2021-02-03T00:00:00"/>
    <n v="2"/>
    <n v="2021"/>
    <n v="195"/>
    <n v="-195"/>
    <n v="0"/>
    <n v="242338.49999999997"/>
    <s v="Cash"/>
    <s v="Cash 3/2/2021"/>
    <m/>
  </r>
  <r>
    <d v="2021-02-03T00:00:00"/>
    <n v="2"/>
    <x v="2"/>
    <s v="INV2020/00000077"/>
    <s v="C00000014"/>
    <x v="13"/>
    <s v="RA Miracle Gloss Wax"/>
    <n v="4"/>
    <s v="Cash"/>
    <x v="0"/>
    <d v="2021-02-03T00:00:00"/>
    <n v="2"/>
    <n v="2021"/>
    <n v="180"/>
    <n v="-180"/>
    <n v="0"/>
    <n v="242518.49999999997"/>
    <s v="Cash"/>
    <s v="Cash 3/2/2021"/>
    <m/>
  </r>
  <r>
    <d v="2021-02-03T00:00:00"/>
    <n v="2"/>
    <x v="2"/>
    <s v="INV2020/00000077"/>
    <s v="C00000014"/>
    <x v="13"/>
    <s v="RA Gelcoat GP-H (20kg)"/>
    <n v="1"/>
    <s v="Cash"/>
    <x v="0"/>
    <d v="2021-02-03T00:00:00"/>
    <n v="2"/>
    <n v="2021"/>
    <n v="232"/>
    <n v="-232"/>
    <n v="0"/>
    <n v="242750.49999999997"/>
    <s v="Cash"/>
    <s v="Cash 3/2/2021"/>
    <m/>
  </r>
  <r>
    <d v="2021-02-02T00:00:00"/>
    <n v="2"/>
    <x v="2"/>
    <s v="INV2020/00000078"/>
    <s v="C00000005"/>
    <x v="4"/>
    <s v="RA Resin 3317AW (220Kg)"/>
    <n v="1"/>
    <s v="Cash"/>
    <x v="0"/>
    <d v="2021-02-02T00:00:00"/>
    <n v="2"/>
    <n v="2021"/>
    <n v="1650"/>
    <n v="-1650"/>
    <n v="0"/>
    <n v="244400.49999999997"/>
    <s v="Cash"/>
    <s v="Chq CIMB 000070 2/2/21, Banked in 3/2/21"/>
    <m/>
  </r>
  <r>
    <d v="2021-02-02T00:00:00"/>
    <n v="2"/>
    <x v="2"/>
    <s v="INV2020/00000078"/>
    <s v="C00000005"/>
    <x v="4"/>
    <s v="RA Butanox M50 (5kg)"/>
    <n v="1"/>
    <s v="Cash"/>
    <x v="0"/>
    <d v="2021-02-02T00:00:00"/>
    <n v="2"/>
    <n v="2021"/>
    <n v="100"/>
    <n v="-100"/>
    <n v="0"/>
    <n v="244500.49999999997"/>
    <s v="Cash"/>
    <s v="Chq CIMB 000070 2/2/21, Banked in 3/2/21"/>
    <m/>
  </r>
  <r>
    <d v="2021-02-06T00:00:00"/>
    <n v="2"/>
    <x v="2"/>
    <s v="INV2020/00000079"/>
    <s v="C00000014"/>
    <x v="13"/>
    <s v="RA Pigment Super White (5Kg)"/>
    <n v="1"/>
    <s v="Cash"/>
    <x v="0"/>
    <d v="2021-02-06T00:00:00"/>
    <n v="2"/>
    <n v="2021"/>
    <n v="130"/>
    <n v="-130"/>
    <n v="0"/>
    <n v="244630.49999999997"/>
    <s v="Cash"/>
    <s v="Cash 3/2/2021"/>
    <m/>
  </r>
  <r>
    <d v="2021-02-09T00:00:00"/>
    <n v="2"/>
    <x v="2"/>
    <s v="INV2020/00000080"/>
    <s v="C00000013"/>
    <x v="12"/>
    <s v="RA Deawa DW-5213"/>
    <n v="1"/>
    <s v="Cash"/>
    <x v="0"/>
    <d v="2021-02-09T00:00:00"/>
    <n v="2"/>
    <n v="2021"/>
    <n v="380"/>
    <n v="-380"/>
    <n v="0"/>
    <n v="245010.49999999997"/>
    <s v="Cash"/>
    <s v="Trsf 8/2/2021"/>
    <m/>
  </r>
  <r>
    <d v="2021-02-09T00:00:00"/>
    <n v="2"/>
    <x v="2"/>
    <s v="INV2020/00000080"/>
    <s v="C00000013"/>
    <x v="12"/>
    <s v="RA Gelcoat GP-H (20Kg)"/>
    <n v="2"/>
    <s v="Cash"/>
    <x v="0"/>
    <d v="2021-02-09T00:00:00"/>
    <n v="2"/>
    <n v="2021"/>
    <n v="472"/>
    <n v="-472"/>
    <n v="0"/>
    <n v="245482.49999999997"/>
    <s v="Cash"/>
    <s v="Trsf 8/2/2021"/>
    <m/>
  </r>
  <r>
    <d v="2021-02-09T00:00:00"/>
    <n v="2"/>
    <x v="2"/>
    <s v="INV2020/00000080"/>
    <s v="C00000013"/>
    <x v="12"/>
    <s v="RA Resin 3317AW (220Kg)"/>
    <n v="1"/>
    <s v="Cash"/>
    <x v="0"/>
    <d v="2021-02-09T00:00:00"/>
    <n v="2"/>
    <n v="2021"/>
    <n v="1716"/>
    <n v="-1716"/>
    <n v="0"/>
    <n v="247198.49999999997"/>
    <s v="Cash"/>
    <s v="Trsf 8/2/2021"/>
    <m/>
  </r>
  <r>
    <d v="2021-02-09T00:00:00"/>
    <n v="2"/>
    <x v="2"/>
    <s v="INV2020/00000080"/>
    <s v="C00000013"/>
    <x v="12"/>
    <s v="RA CSM 450 54kg 64m(L) X 1860mm(W)"/>
    <n v="1"/>
    <s v="Cash"/>
    <x v="0"/>
    <d v="2021-02-09T00:00:00"/>
    <n v="2"/>
    <n v="2021"/>
    <n v="405"/>
    <n v="-405"/>
    <n v="0"/>
    <n v="247603.49999999997"/>
    <s v="Cash"/>
    <s v="Trsf 8/2/2021"/>
    <m/>
  </r>
  <r>
    <d v="2021-02-09T00:00:00"/>
    <n v="2"/>
    <x v="2"/>
    <s v="INV2020/00000080"/>
    <s v="C00000013"/>
    <x v="12"/>
    <s v="RA Butanox M50 (5Kg)"/>
    <n v="1"/>
    <s v="Cash"/>
    <x v="0"/>
    <d v="2021-02-09T00:00:00"/>
    <n v="2"/>
    <n v="2021"/>
    <n v="95"/>
    <n v="-95"/>
    <n v="0"/>
    <n v="247698.49999999997"/>
    <s v="Cash"/>
    <s v="Trsf 9/2/2021"/>
    <m/>
  </r>
  <r>
    <d v="2021-02-09T00:00:00"/>
    <n v="2"/>
    <x v="2"/>
    <s v="INV2020/00000080"/>
    <s v="C00000013"/>
    <x v="12"/>
    <s v="RA Pigment H 2006 Dark Grey (5Kg)"/>
    <n v="1"/>
    <s v="Cash"/>
    <x v="0"/>
    <d v="2021-02-09T00:00:00"/>
    <n v="2"/>
    <n v="2021"/>
    <n v="130"/>
    <n v="-130"/>
    <n v="0"/>
    <n v="247828.49999999997"/>
    <s v="Cash"/>
    <s v="Trsf 9/2/2021"/>
    <m/>
  </r>
  <r>
    <d v="2021-02-17T00:00:00"/>
    <n v="2"/>
    <x v="2"/>
    <s v="INV2020/00000081"/>
    <s v="C00000005"/>
    <x v="4"/>
    <s v="RA CSM 450 GSM TWL 30kg 64m(L) X 1040mm(W)"/>
    <n v="1"/>
    <s v="Cash"/>
    <x v="0"/>
    <d v="2021-02-17T00:00:00"/>
    <n v="2"/>
    <n v="2021"/>
    <n v="225"/>
    <n v="-225"/>
    <n v="0"/>
    <n v="248053.49999999997"/>
    <s v="Cash"/>
    <m/>
    <m/>
  </r>
  <r>
    <d v="2021-02-19T00:00:00"/>
    <n v="2"/>
    <x v="2"/>
    <s v="INV2020/00000082"/>
    <s v="C00000001"/>
    <x v="0"/>
    <s v="RA Resin 3317AW (220Kg)"/>
    <n v="1"/>
    <s v="Cash"/>
    <x v="0"/>
    <d v="2021-02-19T00:00:00"/>
    <n v="2"/>
    <n v="2021"/>
    <n v="1694"/>
    <n v="-1694"/>
    <n v="0"/>
    <n v="249747.49999999997"/>
    <s v="Cash"/>
    <s v="Trsf 26/2/2021"/>
    <m/>
  </r>
  <r>
    <d v="2021-02-24T00:00:00"/>
    <n v="2"/>
    <x v="2"/>
    <s v="INV2020/00000083"/>
    <s v="C00000004"/>
    <x v="3"/>
    <s v="RA Nor 3338W (220Kg)"/>
    <n v="5"/>
    <s v="T120"/>
    <x v="4"/>
    <d v="2021-06-24T00:00:00"/>
    <n v="6"/>
    <n v="2021"/>
    <n v="7370"/>
    <n v="-7370"/>
    <n v="0"/>
    <n v="257117.49999999997"/>
    <s v="Term"/>
    <s v="Chq Cleared 2/8/2021"/>
    <m/>
  </r>
  <r>
    <d v="2021-02-24T00:00:00"/>
    <n v="2"/>
    <x v="2"/>
    <s v="INV2020/00000083"/>
    <s v="C00000004"/>
    <x v="3"/>
    <s v="RA CSM 450 54kg 64m(L) X 1860mm(W)"/>
    <n v="3"/>
    <s v="T120"/>
    <x v="4"/>
    <d v="2021-06-24T00:00:00"/>
    <n v="6"/>
    <n v="2021"/>
    <n v="1069.2"/>
    <n v="-1069.2"/>
    <n v="0"/>
    <n v="258186.69999999998"/>
    <s v="Term"/>
    <s v="Chq Cleared 2/8/2021"/>
    <m/>
  </r>
  <r>
    <d v="2021-02-24T00:00:00"/>
    <n v="2"/>
    <x v="2"/>
    <s v="INV2020/00000083"/>
    <s v="C00000004"/>
    <x v="3"/>
    <s v="RA Butanox M50 (5Kg)"/>
    <n v="1"/>
    <s v="T120"/>
    <x v="4"/>
    <d v="2021-06-24T00:00:00"/>
    <n v="6"/>
    <n v="2021"/>
    <n v="360"/>
    <n v="-360"/>
    <n v="0"/>
    <n v="258546.69999999998"/>
    <s v="Term"/>
    <s v="Chq Cleared 2/8/2021"/>
    <m/>
  </r>
  <r>
    <d v="2021-02-24T00:00:00"/>
    <n v="2"/>
    <x v="2"/>
    <s v="INV2020/00000083"/>
    <s v="C00000004"/>
    <x v="3"/>
    <s v="RA Accelerator (4Kg)"/>
    <n v="1"/>
    <s v="T120"/>
    <x v="4"/>
    <d v="2021-06-24T00:00:00"/>
    <n v="6"/>
    <n v="2021"/>
    <n v="312"/>
    <n v="-312"/>
    <n v="0"/>
    <n v="258858.69999999998"/>
    <s v="Term"/>
    <s v="Chq Cleared 2/8/2021"/>
    <m/>
  </r>
  <r>
    <d v="2021-02-23T00:00:00"/>
    <n v="2"/>
    <x v="2"/>
    <s v="INV2020/00000084"/>
    <s v="C00000008"/>
    <x v="7"/>
    <s v="RA Gelcoat GP-H (20Kg)"/>
    <n v="4"/>
    <s v="Cash"/>
    <x v="0"/>
    <d v="2021-02-23T00:00:00"/>
    <n v="2"/>
    <n v="2021"/>
    <n v="920"/>
    <n v="-920"/>
    <n v="0"/>
    <n v="259778.69999999998"/>
    <s v="Cash"/>
    <s v="Trsf 11/3/3021"/>
    <m/>
  </r>
  <r>
    <d v="2021-02-23T00:00:00"/>
    <n v="2"/>
    <x v="2"/>
    <s v="INV2020/00000084"/>
    <s v="C00000008"/>
    <x v="7"/>
    <s v="RA Butanox M50 (5Kg)"/>
    <n v="1"/>
    <s v="Cash"/>
    <x v="0"/>
    <d v="2021-02-23T00:00:00"/>
    <n v="2"/>
    <n v="2021"/>
    <n v="100"/>
    <n v="-100"/>
    <n v="0"/>
    <n v="259878.69999999998"/>
    <s v="Cash"/>
    <s v="Trsf 11/3/3021"/>
    <m/>
  </r>
  <r>
    <d v="2021-02-23T00:00:00"/>
    <n v="2"/>
    <x v="2"/>
    <s v="INV2020/00000084"/>
    <s v="C00000008"/>
    <x v="7"/>
    <s v="Brush 2 1/2&quot; (12 pc)"/>
    <n v="3"/>
    <s v="Cash"/>
    <x v="0"/>
    <d v="2021-02-23T00:00:00"/>
    <n v="2"/>
    <n v="2021"/>
    <n v="180"/>
    <n v="-180"/>
    <n v="0"/>
    <n v="260058.69999999998"/>
    <s v="Cash"/>
    <s v="Trsf 11/3/3021"/>
    <m/>
  </r>
  <r>
    <d v="2021-02-26T00:00:00"/>
    <n v="2"/>
    <x v="2"/>
    <s v="INV2020/00000085"/>
    <s v="C00000015"/>
    <x v="14"/>
    <s v="RA Nor 3338W (220Kg)"/>
    <n v="1"/>
    <s v="Cash"/>
    <x v="0"/>
    <d v="2021-02-26T00:00:00"/>
    <n v="2"/>
    <n v="2021"/>
    <n v="1694"/>
    <n v="-1694"/>
    <n v="0"/>
    <n v="261752.69999999998"/>
    <s v="Cash"/>
    <s v="Trsf 27/2/2021"/>
    <m/>
  </r>
  <r>
    <d v="2021-02-26T00:00:00"/>
    <n v="2"/>
    <x v="2"/>
    <s v="INV2020/00000085"/>
    <s v="C00000015"/>
    <x v="14"/>
    <s v="RA CSM 450 GSM TWL 30kg 64m(L) X 1040mm(W)"/>
    <n v="1"/>
    <s v="Cash"/>
    <x v="0"/>
    <d v="2021-02-26T00:00:00"/>
    <n v="2"/>
    <n v="2021"/>
    <n v="228"/>
    <n v="-228"/>
    <n v="0"/>
    <n v="261980.69999999998"/>
    <s v="Cash"/>
    <s v="Trsf 27/2/2021"/>
    <m/>
  </r>
  <r>
    <d v="2021-02-26T00:00:00"/>
    <n v="2"/>
    <x v="2"/>
    <s v="INV2020/00000085"/>
    <s v="C00000015"/>
    <x v="14"/>
    <s v="RA Butanox M50 (5kg)"/>
    <n v="1"/>
    <s v="Cash"/>
    <x v="0"/>
    <d v="2021-02-26T00:00:00"/>
    <n v="2"/>
    <n v="2021"/>
    <n v="100"/>
    <n v="-100"/>
    <n v="0"/>
    <n v="262080.69999999998"/>
    <s v="Cash"/>
    <s v="Trsf 27/2/2021"/>
    <m/>
  </r>
  <r>
    <d v="2021-03-08T00:00:00"/>
    <n v="3"/>
    <x v="2"/>
    <s v="INV2020/00000086"/>
    <s v="C00000004"/>
    <x v="3"/>
    <s v="RA Nor 3338W (220Kg)"/>
    <n v="6"/>
    <s v="T120"/>
    <x v="4"/>
    <d v="2021-07-06T00:00:00"/>
    <n v="7"/>
    <n v="2021"/>
    <n v="8976"/>
    <n v="-8976"/>
    <n v="0"/>
    <n v="271056.69999999995"/>
    <s v="Term"/>
    <s v="Chq Cleared 13/9/2021"/>
    <m/>
  </r>
  <r>
    <d v="2021-03-08T00:00:00"/>
    <n v="3"/>
    <x v="2"/>
    <s v="INV2020/00000086"/>
    <s v="C00000004"/>
    <x v="3"/>
    <s v="RA Nor 3338NW (220Kg)"/>
    <n v="1"/>
    <s v="T120"/>
    <x v="4"/>
    <d v="2021-07-06T00:00:00"/>
    <n v="7"/>
    <n v="2021"/>
    <n v="1496"/>
    <n v="-1496"/>
    <n v="0"/>
    <n v="272552.69999999995"/>
    <s v="Term"/>
    <s v="Chq Cleared 13/9/2021"/>
    <m/>
  </r>
  <r>
    <d v="2021-03-08T00:00:00"/>
    <n v="3"/>
    <x v="2"/>
    <s v="INV2020/00000086"/>
    <s v="C00000004"/>
    <x v="3"/>
    <s v="RA CSM 450 GSM 54kg 64m(L) X 1860mm(W)"/>
    <n v="7"/>
    <s v="T120"/>
    <x v="4"/>
    <d v="2021-07-06T00:00:00"/>
    <n v="7"/>
    <n v="2021"/>
    <n v="2532.6"/>
    <n v="-2532.6"/>
    <n v="0"/>
    <n v="275085.29999999993"/>
    <s v="Term"/>
    <s v="Chq Cleared 13/9/2021"/>
    <m/>
  </r>
  <r>
    <d v="2021-03-08T00:00:00"/>
    <n v="3"/>
    <x v="2"/>
    <s v="INV2020/00000086"/>
    <s v="C00000004"/>
    <x v="3"/>
    <s v="RA CSM 300 GSM 54Kg 96m(L) X 1860mm(W)"/>
    <n v="5"/>
    <s v="T120"/>
    <x v="4"/>
    <d v="2021-07-06T00:00:00"/>
    <n v="7"/>
    <n v="2021"/>
    <n v="1809"/>
    <n v="-1809"/>
    <n v="0"/>
    <n v="276894.29999999993"/>
    <s v="Term"/>
    <s v="Chq Cleared 13/9/2021"/>
    <m/>
  </r>
  <r>
    <d v="2021-03-10T00:00:00"/>
    <n v="3"/>
    <x v="2"/>
    <s v="INV00000087"/>
    <s v="C00000016"/>
    <x v="15"/>
    <s v="RA Nor 3338W (220Kg)"/>
    <n v="2"/>
    <s v="Cash"/>
    <x v="0"/>
    <d v="2021-03-10T00:00:00"/>
    <n v="3"/>
    <n v="2021"/>
    <n v="3058"/>
    <n v="-3058"/>
    <n v="0"/>
    <n v="279952.29999999993"/>
    <s v="Cash"/>
    <s v="Trsf 10/3/2021"/>
    <m/>
  </r>
  <r>
    <d v="2021-03-10T00:00:00"/>
    <n v="3"/>
    <x v="2"/>
    <s v="INV00000087"/>
    <s v="C00000016"/>
    <x v="15"/>
    <s v="RA Resin 3317AW (220Kg)"/>
    <n v="2"/>
    <s v="Cash"/>
    <x v="0"/>
    <d v="2021-03-10T00:00:00"/>
    <n v="3"/>
    <n v="2021"/>
    <n v="3058"/>
    <n v="-3058"/>
    <n v="0"/>
    <n v="283010.29999999993"/>
    <s v="Cash"/>
    <s v="Trsf 10/3/2021"/>
    <m/>
  </r>
  <r>
    <d v="2021-03-10T00:00:00"/>
    <n v="3"/>
    <x v="2"/>
    <s v="INV00000087"/>
    <s v="C00000016"/>
    <x v="15"/>
    <s v="RA Resin 8201W (225Kg)"/>
    <n v="3"/>
    <s v="Cash"/>
    <x v="0"/>
    <d v="2021-03-10T00:00:00"/>
    <n v="3"/>
    <n v="2021"/>
    <n v="4691.25"/>
    <n v="-4691.25"/>
    <n v="0"/>
    <n v="287701.54999999993"/>
    <s v="Cash"/>
    <s v="Trsf 10/3/2021"/>
    <m/>
  </r>
  <r>
    <d v="2021-03-11T00:00:00"/>
    <n v="3"/>
    <x v="2"/>
    <s v="INV00000088"/>
    <s v="C00000009"/>
    <x v="8"/>
    <s v="RA Nor 3338NW (220Kg)"/>
    <n v="2"/>
    <s v="T60"/>
    <x v="3"/>
    <d v="2021-05-10T00:00:00"/>
    <n v="5"/>
    <n v="2021"/>
    <n v="3212"/>
    <n v="-3212"/>
    <n v="0"/>
    <n v="290913.54999999993"/>
    <s v="Term"/>
    <s v="Chq HL 012137 dd 20/10/21"/>
    <m/>
  </r>
  <r>
    <d v="2021-03-11T00:00:00"/>
    <n v="3"/>
    <x v="2"/>
    <s v="INV00000088"/>
    <s v="C00000009"/>
    <x v="8"/>
    <s v="RA Nor 3338NW (220Kg)"/>
    <n v="1"/>
    <s v="T60"/>
    <x v="3"/>
    <d v="2021-05-10T00:00:00"/>
    <n v="5"/>
    <n v="2021"/>
    <n v="1606"/>
    <n v="-1606"/>
    <n v="0"/>
    <n v="292519.54999999993"/>
    <s v="Term"/>
    <s v="Chq HL 012137 dd 20/10/21"/>
    <m/>
  </r>
  <r>
    <d v="2021-03-11T00:00:00"/>
    <n v="3"/>
    <x v="2"/>
    <s v="INV00000088"/>
    <s v="C00000009"/>
    <x v="8"/>
    <s v="RA CSM 450 GSM 54kg 64m(L) X 1860mm(W)"/>
    <n v="2"/>
    <s v="T60"/>
    <x v="3"/>
    <d v="2021-05-10T00:00:00"/>
    <n v="5"/>
    <n v="2021"/>
    <n v="820.8"/>
    <n v="-820.8"/>
    <n v="0"/>
    <n v="293340.34999999992"/>
    <s v="Term"/>
    <s v="Chq HL 012137 dd 20/10/21"/>
    <m/>
  </r>
  <r>
    <d v="2021-03-11T00:00:00"/>
    <n v="3"/>
    <x v="2"/>
    <s v="INV00000088"/>
    <s v="C00000009"/>
    <x v="8"/>
    <s v="RA CSM 300 GSM 54Kg 96m(L) X 1860mm(W)"/>
    <n v="2"/>
    <s v="T60"/>
    <x v="3"/>
    <d v="2021-05-10T00:00:00"/>
    <n v="5"/>
    <n v="2021"/>
    <n v="820.8"/>
    <n v="-820.8"/>
    <n v="0"/>
    <n v="294161.14999999991"/>
    <s v="Term"/>
    <s v="Chq HL 012137 dd 20/10/21"/>
    <m/>
  </r>
  <r>
    <d v="2021-03-23T00:00:00"/>
    <n v="3"/>
    <x v="2"/>
    <s v="INV00000090"/>
    <s v="C00000004"/>
    <x v="3"/>
    <s v="RA Nor 3338W (220Kg)"/>
    <n v="5"/>
    <s v="T120"/>
    <x v="4"/>
    <d v="2021-07-21T00:00:00"/>
    <n v="7"/>
    <n v="2021"/>
    <n v="8140"/>
    <n v="-8140"/>
    <n v="0"/>
    <n v="302301.14999999991"/>
    <s v="Term"/>
    <s v="Chq Cleared 13/9/2021"/>
    <m/>
  </r>
  <r>
    <d v="2021-03-23T00:00:00"/>
    <n v="3"/>
    <x v="2"/>
    <s v="INV00000090"/>
    <s v="C00000004"/>
    <x v="3"/>
    <s v="RA CSM 450 GSM 54kg 64m(L) X 1860mm(W)"/>
    <n v="4"/>
    <s v="T120"/>
    <x v="4"/>
    <d v="2021-07-21T00:00:00"/>
    <n v="7"/>
    <n v="2021"/>
    <n v="1641.6"/>
    <n v="-1641.6"/>
    <n v="0"/>
    <n v="303942.74999999988"/>
    <s v="Term"/>
    <s v="Chq Cleared 13/9/2021"/>
    <m/>
  </r>
  <r>
    <d v="2021-03-23T00:00:00"/>
    <n v="3"/>
    <x v="2"/>
    <s v="INV00000090"/>
    <s v="C00000004"/>
    <x v="3"/>
    <s v="RA CSM 300 GSM 54Kg 96m(L) X 1860mm(W)"/>
    <n v="4"/>
    <s v="T120"/>
    <x v="4"/>
    <d v="2021-07-21T00:00:00"/>
    <n v="7"/>
    <n v="2021"/>
    <n v="1641.6"/>
    <n v="-1641.6"/>
    <n v="0"/>
    <n v="305584.34999999986"/>
    <s v="Term"/>
    <s v="Chq Cleared 13/9/2021"/>
    <m/>
  </r>
  <r>
    <d v="2021-03-23T00:00:00"/>
    <n v="3"/>
    <x v="2"/>
    <s v="INV00000090"/>
    <s v="C00000004"/>
    <x v="3"/>
    <s v="RA Butanox M50 (5kg)"/>
    <n v="4"/>
    <s v="T120"/>
    <x v="4"/>
    <d v="2021-07-21T00:00:00"/>
    <n v="7"/>
    <n v="2021"/>
    <n v="380"/>
    <n v="-380"/>
    <n v="0"/>
    <n v="305964.34999999986"/>
    <s v="Term"/>
    <s v="Chq Cleared 13/9/2021"/>
    <m/>
  </r>
  <r>
    <d v="2021-03-24T00:00:00"/>
    <n v="3"/>
    <x v="2"/>
    <s v="INV00000091"/>
    <s v="C00000009"/>
    <x v="8"/>
    <s v="RA Miracle Gloss Wax"/>
    <n v="2"/>
    <s v="T60"/>
    <x v="3"/>
    <d v="2021-05-23T00:00:00"/>
    <n v="5"/>
    <n v="2021"/>
    <n v="90"/>
    <n v="-90"/>
    <n v="0"/>
    <n v="306054.34999999986"/>
    <s v="Term"/>
    <s v="Chq HL 012137 dd 20/10/21"/>
    <m/>
  </r>
  <r>
    <d v="2021-03-24T00:00:00"/>
    <n v="3"/>
    <x v="2"/>
    <s v="INV00000092"/>
    <s v="C00000010"/>
    <x v="9"/>
    <s v="RA Resin 3338AW (220Kg)"/>
    <n v="5"/>
    <s v="T120"/>
    <x v="2"/>
    <d v="2021-07-22T00:00:00"/>
    <n v="7"/>
    <n v="2021"/>
    <n v="8250"/>
    <n v="-8250"/>
    <n v="0"/>
    <n v="314304.34999999986"/>
    <s v="Term"/>
    <s v="Trsf 26/7/21"/>
    <m/>
  </r>
  <r>
    <d v="2021-03-24T00:00:00"/>
    <n v="3"/>
    <x v="2"/>
    <s v="INV00000092"/>
    <s v="C00000010"/>
    <x v="9"/>
    <s v="RA CSM 450 30kg 79m(L) X 1040mm(W)"/>
    <n v="5"/>
    <s v="T120"/>
    <x v="2"/>
    <d v="2021-07-22T00:00:00"/>
    <n v="7"/>
    <n v="2021"/>
    <n v="1170"/>
    <n v="-1170"/>
    <n v="0"/>
    <n v="315474.34999999986"/>
    <s v="Term"/>
    <s v="Trsf 26/7/21"/>
    <m/>
  </r>
  <r>
    <d v="2021-03-24T00:00:00"/>
    <n v="3"/>
    <x v="2"/>
    <s v="INV00000092"/>
    <s v="C00000010"/>
    <x v="9"/>
    <s v="RA Talcum Powder (25kg)"/>
    <n v="5"/>
    <s v="T120"/>
    <x v="2"/>
    <d v="2021-07-22T00:00:00"/>
    <n v="7"/>
    <n v="2021"/>
    <n v="275"/>
    <n v="-275"/>
    <n v="0"/>
    <n v="315749.34999999986"/>
    <s v="Term"/>
    <s v="Trsf 26/7/21"/>
    <m/>
  </r>
  <r>
    <d v="2021-03-24T00:00:00"/>
    <n v="3"/>
    <x v="2"/>
    <s v="INV00000092"/>
    <s v="C00000010"/>
    <x v="9"/>
    <s v="RA Butanox M50 (5kg)"/>
    <n v="4"/>
    <s v="T120"/>
    <x v="2"/>
    <d v="2021-07-22T00:00:00"/>
    <n v="7"/>
    <n v="2021"/>
    <n v="380"/>
    <n v="-380"/>
    <n v="0"/>
    <n v="316129.34999999986"/>
    <s v="Term"/>
    <s v="Trsf 26/7/21"/>
    <m/>
  </r>
  <r>
    <d v="2021-03-25T00:00:00"/>
    <n v="3"/>
    <x v="2"/>
    <s v="INV00000093"/>
    <s v="C00000014"/>
    <x v="13"/>
    <s v="RA Gelcoat GP-H (20Kg)"/>
    <n v="1"/>
    <s v="Cash"/>
    <x v="0"/>
    <d v="2021-03-25T00:00:00"/>
    <n v="3"/>
    <n v="2021"/>
    <n v="240"/>
    <n v="-240"/>
    <n v="0"/>
    <n v="316369.34999999986"/>
    <s v="Cash"/>
    <s v="Bank in Cash 18/4/2021"/>
    <m/>
  </r>
  <r>
    <d v="2021-03-30T00:00:00"/>
    <n v="3"/>
    <x v="2"/>
    <s v="INV00000094"/>
    <s v="C00000004"/>
    <x v="3"/>
    <s v="RA Resin 9539NW (225Kg)"/>
    <n v="2"/>
    <s v="T120"/>
    <x v="4"/>
    <d v="2021-07-28T00:00:00"/>
    <n v="7"/>
    <n v="2021"/>
    <n v="3510"/>
    <n v="-3510"/>
    <n v="0"/>
    <n v="319879.34999999986"/>
    <s v="Term"/>
    <s v="Chq Cleared 13/9/2021"/>
    <m/>
  </r>
  <r>
    <d v="2021-04-01T00:00:00"/>
    <n v="4"/>
    <x v="2"/>
    <s v="INV00000095"/>
    <s v="C00000003"/>
    <x v="2"/>
    <s v="RA Resin 3317AW (220Kg)"/>
    <n v="3"/>
    <s v="T45"/>
    <x v="1"/>
    <d v="2021-05-16T00:00:00"/>
    <n v="5"/>
    <n v="2021"/>
    <n v="5412"/>
    <n v="-5412"/>
    <n v="0"/>
    <n v="325291.34999999986"/>
    <s v="Term"/>
    <s v="Chq dd 9, 16, 23/5 - RHB 001310, 1, 2 &amp; 3 (1,700.00 X3), Banked in 10, 17 &amp; 24/5.  Balance 312.00 changed new chq RHB 001441, dd 18/9/2021"/>
    <m/>
  </r>
  <r>
    <d v="2021-04-01T00:00:00"/>
    <n v="4"/>
    <x v="2"/>
    <s v="INV00000095"/>
    <s v="C00000003"/>
    <x v="2"/>
    <s v="RA CSM 300 GSM 54Kg 96m(L) X 1860mm(W)"/>
    <n v="1"/>
    <s v="T45"/>
    <x v="1"/>
    <d v="2021-05-16T00:00:00"/>
    <n v="5"/>
    <n v="2021"/>
    <n v="459"/>
    <n v="-459"/>
    <n v="0"/>
    <n v="325750.34999999986"/>
    <s v="Term"/>
    <s v="Chq dd 11/6 - RHB 001313 (RM1,521.00), changed new chq RHB 001441 18/9/21"/>
    <m/>
  </r>
  <r>
    <d v="2021-04-01T00:00:00"/>
    <n v="4"/>
    <x v="2"/>
    <s v="INV00000095"/>
    <s v="C00000003"/>
    <x v="2"/>
    <s v="RA Talcum Powder (25Kg)"/>
    <n v="5"/>
    <s v="T45"/>
    <x v="1"/>
    <d v="2021-05-16T00:00:00"/>
    <n v="5"/>
    <n v="2021"/>
    <n v="250"/>
    <n v="-250"/>
    <n v="0"/>
    <n v="326000.34999999986"/>
    <s v="Term"/>
    <s v="Chq dd 11/6 - RHB 001313 (RM1,521.00), changed new chq RHB 001441 18/9/21"/>
    <m/>
  </r>
  <r>
    <d v="2021-04-01T00:00:00"/>
    <n v="4"/>
    <x v="2"/>
    <s v="INV00000095"/>
    <s v="C00000003"/>
    <x v="2"/>
    <s v="RA Butanox M50 (5kg)"/>
    <n v="5"/>
    <s v="T45"/>
    <x v="1"/>
    <d v="2021-05-16T00:00:00"/>
    <n v="5"/>
    <n v="2021"/>
    <n v="500"/>
    <n v="-500"/>
    <n v="0"/>
    <n v="326500.34999999986"/>
    <s v="Term"/>
    <s v="Chq dd 11/6 - RHB 001313 (RM1,521.00), changed new chq RHB 001441 18/9/21"/>
    <m/>
  </r>
  <r>
    <d v="2021-04-01T00:00:00"/>
    <n v="4"/>
    <x v="2"/>
    <s v="INV00000096"/>
    <s v="C00000003"/>
    <x v="2"/>
    <s v="RA Miracle Gloss Wax"/>
    <n v="2"/>
    <s v="T45"/>
    <x v="1"/>
    <d v="2021-05-16T00:00:00"/>
    <n v="5"/>
    <n v="2021"/>
    <n v="90"/>
    <n v="-90"/>
    <n v="0"/>
    <n v="326590.34999999986"/>
    <s v="Term"/>
    <s v="Bank in Cash 18/4/2021"/>
    <m/>
  </r>
  <r>
    <d v="2021-04-08T00:00:00"/>
    <n v="4"/>
    <x v="2"/>
    <s v="INV00000097"/>
    <s v="C00000015"/>
    <x v="14"/>
    <s v="RA Nor 3338W (220Kg)"/>
    <n v="1"/>
    <s v="Cash"/>
    <x v="0"/>
    <d v="2021-04-08T00:00:00"/>
    <n v="4"/>
    <n v="2021"/>
    <n v="1870"/>
    <n v="-1870"/>
    <n v="0"/>
    <n v="328460.34999999986"/>
    <s v="Cash"/>
    <s v="Trsf 13/4/2021"/>
    <m/>
  </r>
  <r>
    <d v="2021-04-08T00:00:00"/>
    <n v="4"/>
    <x v="2"/>
    <s v="INV00000097"/>
    <s v="C00000015"/>
    <x v="14"/>
    <s v="RA CSM 450 GSM TWL 30kg 64m(L) X 1040mm(W)"/>
    <n v="1"/>
    <s v="Cash"/>
    <x v="0"/>
    <d v="2021-04-08T00:00:00"/>
    <n v="4"/>
    <n v="2021"/>
    <n v="255"/>
    <n v="-255"/>
    <n v="0"/>
    <n v="328715.34999999986"/>
    <s v="Cash"/>
    <s v="Trsf 13/4/2021"/>
    <m/>
  </r>
  <r>
    <d v="2021-04-08T00:00:00"/>
    <n v="4"/>
    <x v="2"/>
    <s v="INV00000097"/>
    <s v="C00000015"/>
    <x v="14"/>
    <s v="RA Butanox M50 (5kg)"/>
    <n v="1"/>
    <s v="Cash"/>
    <x v="0"/>
    <d v="2021-04-08T00:00:00"/>
    <n v="4"/>
    <n v="2021"/>
    <n v="100"/>
    <n v="-100"/>
    <n v="0"/>
    <n v="328815.34999999986"/>
    <s v="Cash"/>
    <s v="Trsf 13/4/2021"/>
    <m/>
  </r>
  <r>
    <d v="2021-04-08T00:00:00"/>
    <n v="4"/>
    <x v="2"/>
    <s v="INV00000098"/>
    <s v="C00000010"/>
    <x v="9"/>
    <s v="RA Resin 3338AW (220kg)"/>
    <n v="5"/>
    <s v="T120"/>
    <x v="4"/>
    <d v="2021-08-06T00:00:00"/>
    <n v="8"/>
    <n v="2021"/>
    <n v="8690"/>
    <n v="-8690"/>
    <n v="0"/>
    <n v="337505.34999999986"/>
    <s v="Term"/>
    <s v="Trsf 17/8/2021"/>
    <m/>
  </r>
  <r>
    <d v="2021-04-08T00:00:00"/>
    <n v="4"/>
    <x v="2"/>
    <s v="INV00000098"/>
    <s v="C00000010"/>
    <x v="9"/>
    <s v="RA CSM 450 GSM JUSHI 37kg 79m(L) X 1040mm(W)"/>
    <n v="6"/>
    <s v="T120"/>
    <x v="4"/>
    <d v="2021-08-06T00:00:00"/>
    <n v="8"/>
    <n v="2021"/>
    <n v="1731.6000000000001"/>
    <n v="-1731.6000000000001"/>
    <n v="0"/>
    <n v="339236.94999999984"/>
    <s v="Term"/>
    <s v="Trsf 17/8/2021"/>
    <m/>
  </r>
  <r>
    <d v="2021-04-08T00:00:00"/>
    <n v="4"/>
    <x v="2"/>
    <s v="INV00000098"/>
    <s v="C00000010"/>
    <x v="9"/>
    <s v="RA Talcum Powder (25kg)"/>
    <n v="10"/>
    <s v="T120"/>
    <x v="4"/>
    <d v="2021-08-06T00:00:00"/>
    <n v="8"/>
    <n v="2021"/>
    <n v="550"/>
    <n v="-550"/>
    <n v="0"/>
    <n v="339786.94999999984"/>
    <s v="Term"/>
    <s v="Trsf 17/8/2021"/>
    <m/>
  </r>
  <r>
    <d v="2021-04-08T00:00:00"/>
    <n v="4"/>
    <x v="2"/>
    <s v="INV00000098"/>
    <s v="C00000010"/>
    <x v="9"/>
    <s v="RA Butanox M50 (5kg)"/>
    <n v="2"/>
    <s v="T120"/>
    <x v="4"/>
    <d v="2021-08-06T00:00:00"/>
    <n v="8"/>
    <n v="2021"/>
    <n v="190"/>
    <n v="-190"/>
    <n v="0"/>
    <n v="339976.94999999984"/>
    <s v="Term"/>
    <s v="Trsf 17/8/2021"/>
    <m/>
  </r>
  <r>
    <d v="2021-04-08T00:00:00"/>
    <n v="4"/>
    <x v="2"/>
    <s v="INV00000098"/>
    <s v="C00000010"/>
    <x v="9"/>
    <s v="RA Aerosil (Silica Fume) (10Kg)"/>
    <n v="2"/>
    <s v="T120"/>
    <x v="4"/>
    <d v="2021-08-06T00:00:00"/>
    <n v="8"/>
    <n v="2021"/>
    <n v="720"/>
    <n v="-720"/>
    <n v="0"/>
    <n v="340696.94999999984"/>
    <s v="Term"/>
    <s v="Trsf 17/8/2021"/>
    <m/>
  </r>
  <r>
    <d v="2021-04-08T00:00:00"/>
    <n v="4"/>
    <x v="2"/>
    <s v="INV00000098"/>
    <s v="C00000010"/>
    <x v="9"/>
    <s v="RD Paint Brush 3&quot;(12Pc/Ctr)"/>
    <n v="4"/>
    <s v="T120"/>
    <x v="4"/>
    <d v="2021-08-06T00:00:00"/>
    <n v="8"/>
    <n v="2021"/>
    <n v="220"/>
    <n v="-220"/>
    <n v="0"/>
    <n v="340916.94999999984"/>
    <s v="Term"/>
    <s v="Trsf 17/8/2021"/>
    <m/>
  </r>
  <r>
    <d v="2021-04-09T00:00:00"/>
    <n v="4"/>
    <x v="2"/>
    <s v="INV00000099"/>
    <s v="C00000001"/>
    <x v="0"/>
    <s v="RA Gelcoat GS-S ISO (20Kg)"/>
    <n v="2"/>
    <s v="Cash"/>
    <x v="0"/>
    <d v="2021-04-09T00:00:00"/>
    <n v="4"/>
    <n v="2021"/>
    <n v="520"/>
    <n v="-520"/>
    <n v="0"/>
    <n v="341436.94999999984"/>
    <s v="Cash"/>
    <s v="Trsf 9/4/21"/>
    <m/>
  </r>
  <r>
    <d v="2021-04-27T00:00:00"/>
    <n v="4"/>
    <x v="2"/>
    <s v="INV00000100"/>
    <s v="C00000009"/>
    <x v="8"/>
    <s v="RA Nor 3338W (220Kg)"/>
    <n v="2"/>
    <s v="T60"/>
    <x v="3"/>
    <d v="2021-06-26T00:00:00"/>
    <n v="6"/>
    <n v="2021"/>
    <n v="3476"/>
    <n v="-3476"/>
    <n v="0"/>
    <n v="344912.94999999984"/>
    <s v="Term"/>
    <s v="HLB 012122, dd101121"/>
    <m/>
  </r>
  <r>
    <d v="2021-04-27T00:00:00"/>
    <n v="4"/>
    <x v="2"/>
    <s v="INV00000100"/>
    <s v="C00000010"/>
    <x v="8"/>
    <s v="RA Nor 3338NW (220Kg)"/>
    <n v="1"/>
    <s v="T60"/>
    <x v="3"/>
    <d v="2021-06-26T00:00:00"/>
    <n v="6"/>
    <n v="2021"/>
    <n v="1738"/>
    <n v="-1738"/>
    <n v="0"/>
    <n v="346650.94999999984"/>
    <s v="Term"/>
    <s v="HLB 012122, dd101121"/>
    <m/>
  </r>
  <r>
    <d v="2021-04-27T00:00:00"/>
    <n v="4"/>
    <x v="2"/>
    <s v="INV00000100"/>
    <s v="C00000011"/>
    <x v="8"/>
    <s v="RA CSM 450 GSM 54kg 64m(L) X 1860mm(W)"/>
    <n v="5"/>
    <s v="T60"/>
    <x v="3"/>
    <d v="2021-06-26T00:00:00"/>
    <n v="6"/>
    <n v="2021"/>
    <n v="2268"/>
    <n v="-2268"/>
    <n v="0"/>
    <n v="348918.94999999984"/>
    <s v="Term"/>
    <s v="HLB 012122, dd101121"/>
    <m/>
  </r>
  <r>
    <d v="2021-04-29T00:00:00"/>
    <n v="4"/>
    <x v="2"/>
    <s v="INV00000102"/>
    <s v="C00000010"/>
    <x v="9"/>
    <s v="RA Resin 3338AW (220kg)"/>
    <n v="5"/>
    <s v="T120"/>
    <x v="4"/>
    <d v="2021-08-27T00:00:00"/>
    <n v="8"/>
    <n v="2021"/>
    <n v="8690"/>
    <n v="-8690"/>
    <n v="0"/>
    <n v="357608.94999999984"/>
    <s v="Term"/>
    <s v="Trsf 17/8/2021"/>
    <m/>
  </r>
  <r>
    <d v="2021-04-29T00:00:00"/>
    <n v="4"/>
    <x v="2"/>
    <s v="INV00000102"/>
    <s v="C00000010"/>
    <x v="9"/>
    <s v="RA CSM 450 30kg 79m(L) X 1040mm(W)"/>
    <n v="5"/>
    <s v="T120"/>
    <x v="4"/>
    <d v="2021-08-27T00:00:00"/>
    <n v="8"/>
    <n v="2021"/>
    <n v="1230"/>
    <n v="-1230"/>
    <n v="0"/>
    <n v="358838.94999999984"/>
    <s v="Term"/>
    <s v="Trsf 17/8/2021"/>
    <m/>
  </r>
  <r>
    <d v="2021-04-29T00:00:00"/>
    <n v="4"/>
    <x v="2"/>
    <s v="INV00000102"/>
    <s v="C00000010"/>
    <x v="9"/>
    <s v="RA Talcum Powder (25kg)"/>
    <n v="10"/>
    <s v="T120"/>
    <x v="4"/>
    <d v="2021-08-27T00:00:00"/>
    <n v="8"/>
    <n v="2021"/>
    <n v="550"/>
    <n v="-550"/>
    <n v="0"/>
    <n v="359388.94999999984"/>
    <s v="Term"/>
    <s v="Trsf 17/8/2021"/>
    <m/>
  </r>
  <r>
    <d v="2021-04-29T00:00:00"/>
    <n v="4"/>
    <x v="2"/>
    <s v="INV00000102"/>
    <s v="C00000010"/>
    <x v="9"/>
    <s v="RA Butanox M50 (5kg)"/>
    <n v="4"/>
    <s v="T120"/>
    <x v="4"/>
    <d v="2021-08-27T00:00:00"/>
    <n v="8"/>
    <n v="2021"/>
    <n v="380"/>
    <n v="-380"/>
    <n v="0"/>
    <n v="359768.94999999984"/>
    <s v="Term"/>
    <s v="Trsf 17/8/2021"/>
    <m/>
  </r>
  <r>
    <d v="2021-04-29T00:00:00"/>
    <n v="4"/>
    <x v="2"/>
    <s v="INV00000102"/>
    <s v="C00000010"/>
    <x v="9"/>
    <s v="RA Aerosil (Silica Fume) (10Kg)"/>
    <n v="1"/>
    <s v="T120"/>
    <x v="4"/>
    <d v="2021-08-27T00:00:00"/>
    <n v="8"/>
    <n v="2021"/>
    <n v="360"/>
    <n v="-360"/>
    <n v="0"/>
    <n v="360128.94999999984"/>
    <s v="Term"/>
    <s v="Trsf 17/8/2021"/>
    <m/>
  </r>
  <r>
    <d v="2021-04-29T00:00:00"/>
    <n v="4"/>
    <x v="2"/>
    <s v="INV00000102"/>
    <s v="C00000010"/>
    <x v="9"/>
    <s v="RH Bosny Wax (15kg)"/>
    <n v="1"/>
    <s v="T120"/>
    <x v="4"/>
    <d v="2021-08-27T00:00:00"/>
    <n v="8"/>
    <n v="2021"/>
    <n v="375"/>
    <n v="-375"/>
    <n v="0"/>
    <n v="360503.94999999984"/>
    <s v="Term"/>
    <s v="Trsf 17/8/2021, overpayment 179.40"/>
    <m/>
  </r>
  <r>
    <d v="2021-05-03T00:00:00"/>
    <n v="5"/>
    <x v="2"/>
    <s v="INV00000101"/>
    <s v="C00000004"/>
    <x v="3"/>
    <s v="RA Nor 3338W (220Kg)"/>
    <n v="5"/>
    <s v="T120"/>
    <x v="4"/>
    <d v="2021-08-31T00:00:00"/>
    <n v="8"/>
    <n v="2021"/>
    <n v="8690"/>
    <n v="-8690"/>
    <n v="0"/>
    <n v="369193.94999999984"/>
    <s v="Term"/>
    <s v="Chq 008127, cleared 22/11/21"/>
    <m/>
  </r>
  <r>
    <d v="2021-05-03T00:00:00"/>
    <n v="5"/>
    <x v="2"/>
    <s v="INV00000101"/>
    <s v="C00000004"/>
    <x v="3"/>
    <s v="RF Nor 3338NW (220Kg)"/>
    <n v="1"/>
    <s v="T120"/>
    <x v="4"/>
    <d v="2021-08-31T00:00:00"/>
    <n v="8"/>
    <n v="2021"/>
    <n v="1716"/>
    <n v="-1716"/>
    <n v="0"/>
    <n v="370909.94999999984"/>
    <s v="Term"/>
    <s v="Chq 008127, cleared 22/11/21"/>
    <m/>
  </r>
  <r>
    <d v="2021-05-03T00:00:00"/>
    <n v="5"/>
    <x v="2"/>
    <s v="INV00000101"/>
    <s v="C00000004"/>
    <x v="3"/>
    <s v="RG CSM 450 GSM 54kg 64m(L) X 1860mm(W)"/>
    <n v="4"/>
    <s v="T120"/>
    <x v="4"/>
    <d v="2021-08-31T00:00:00"/>
    <n v="8"/>
    <n v="2021"/>
    <n v="1814.4"/>
    <n v="-1814.4"/>
    <n v="0"/>
    <n v="372724.34999999986"/>
    <s v="Term"/>
    <s v="Chq 008127, cleared 22/11/21"/>
    <m/>
  </r>
  <r>
    <d v="2021-05-03T00:00:00"/>
    <n v="5"/>
    <x v="2"/>
    <s v="INV00000101"/>
    <s v="C00000004"/>
    <x v="3"/>
    <s v="RA CSM 300 GSM 54Kg 96m(L) X 1860mm(W)"/>
    <n v="4"/>
    <s v="T120"/>
    <x v="4"/>
    <d v="2021-08-31T00:00:00"/>
    <n v="8"/>
    <n v="2021"/>
    <n v="1814.4"/>
    <n v="-1814.4"/>
    <n v="0"/>
    <n v="374538.74999999988"/>
    <s v="Term"/>
    <s v="Chq 008127, cleared 22/11/21"/>
    <m/>
  </r>
  <r>
    <d v="2021-05-06T00:00:00"/>
    <n v="5"/>
    <x v="2"/>
    <s v="INV00000103"/>
    <s v="C00000005"/>
    <x v="4"/>
    <s v="RA Resin 3317AW (220Kg)"/>
    <n v="1"/>
    <s v="Cash"/>
    <x v="0"/>
    <d v="2021-05-06T00:00:00"/>
    <n v="5"/>
    <n v="2021"/>
    <n v="1826"/>
    <n v="-1826"/>
    <n v="0"/>
    <n v="376364.74999999988"/>
    <s v="Cash"/>
    <s v="Chq CIMB 000077 8/5/21, Banked in 17/5/21"/>
    <m/>
  </r>
  <r>
    <d v="2021-05-06T00:00:00"/>
    <n v="5"/>
    <x v="2"/>
    <s v="INV00000103"/>
    <s v="C00000005"/>
    <x v="4"/>
    <s v="Mould Released"/>
    <n v="1"/>
    <s v="Cash"/>
    <x v="0"/>
    <d v="2021-05-06T00:00:00"/>
    <n v="5"/>
    <n v="2021"/>
    <n v="50"/>
    <n v="-50"/>
    <n v="0"/>
    <n v="376414.74999999988"/>
    <s v="Cash"/>
    <s v="Chq CIMB 000077 8/5/21, Banked in 17/5/21"/>
    <m/>
  </r>
  <r>
    <d v="2021-05-07T00:00:00"/>
    <n v="5"/>
    <x v="2"/>
    <s v="INV00000104"/>
    <s v="C00000001"/>
    <x v="0"/>
    <s v="RA Resin 3317AW (220Kg)"/>
    <n v="1"/>
    <s v="Cash"/>
    <x v="0"/>
    <d v="2021-05-07T00:00:00"/>
    <n v="5"/>
    <n v="2021"/>
    <n v="1826"/>
    <n v="-1826"/>
    <n v="0"/>
    <n v="378240.74999999988"/>
    <s v="Cash"/>
    <s v="Trsf 8/5/2021"/>
    <m/>
  </r>
  <r>
    <d v="2021-05-07T00:00:00"/>
    <n v="5"/>
    <x v="2"/>
    <s v="INV00000104"/>
    <s v="C00000001"/>
    <x v="0"/>
    <s v="RA CSM 450 GSM TWL 30kg 64m(L) X 1040mm(W)"/>
    <n v="4"/>
    <s v="Cash"/>
    <x v="0"/>
    <d v="2021-05-07T00:00:00"/>
    <n v="5"/>
    <n v="2021"/>
    <n v="1020"/>
    <n v="-1020"/>
    <n v="0"/>
    <n v="379260.74999999988"/>
    <s v="Cash"/>
    <s v="Trsf 8/5/2021"/>
    <m/>
  </r>
  <r>
    <d v="2021-05-19T00:00:00"/>
    <n v="5"/>
    <x v="2"/>
    <s v="INV00000105"/>
    <s v="C00000005"/>
    <x v="4"/>
    <s v="RA Resin 3317AW (220Kg)"/>
    <n v="1"/>
    <s v="Cash"/>
    <x v="0"/>
    <d v="2021-05-19T00:00:00"/>
    <n v="5"/>
    <n v="2021"/>
    <n v="1826"/>
    <n v="-1826"/>
    <n v="0"/>
    <n v="381086.74999999988"/>
    <s v="Cash"/>
    <s v="Chq CIMB 000079 18/5/21, Banked in 20/5/21"/>
    <m/>
  </r>
  <r>
    <d v="2021-05-21T00:00:00"/>
    <n v="5"/>
    <x v="2"/>
    <s v="INV00000106"/>
    <s v="C00000003"/>
    <x v="2"/>
    <s v="RA Resin 3317AW (220Kg)"/>
    <n v="3"/>
    <s v="T45"/>
    <x v="1"/>
    <d v="2021-07-05T00:00:00"/>
    <n v="5"/>
    <n v="2021"/>
    <n v="5610"/>
    <n v="-5610"/>
    <n v="0"/>
    <n v="386696.74999999988"/>
    <s v="Term"/>
    <s v="13, 23, 27/6 &amp; 11/7 - RHB 001402, 4, 5 &amp; 6 (1,350.00, 3X1,700.00)"/>
    <m/>
  </r>
  <r>
    <d v="2021-05-21T00:00:00"/>
    <n v="5"/>
    <x v="2"/>
    <s v="INV00000106"/>
    <s v="C00000003"/>
    <x v="2"/>
    <s v="RA Talcum Powder (25Kg)"/>
    <n v="5"/>
    <s v="T45"/>
    <x v="1"/>
    <d v="2021-07-05T00:00:00"/>
    <n v="5"/>
    <n v="2021"/>
    <n v="250"/>
    <n v="-250"/>
    <n v="0"/>
    <n v="386946.74999999988"/>
    <s v="Term"/>
    <s v="13, 23, 27/6 &amp; 11/7 - RHB 001402, 4, 5 &amp; 6 (1,350.00, 3X1,700.00)"/>
    <m/>
  </r>
  <r>
    <d v="2021-05-21T00:00:00"/>
    <n v="5"/>
    <x v="2"/>
    <s v="INV00000106"/>
    <s v="C00000003"/>
    <x v="2"/>
    <s v="RA Butanox M50 (5kg)"/>
    <n v="5"/>
    <s v="T45"/>
    <x v="1"/>
    <d v="2021-07-05T00:00:00"/>
    <n v="5"/>
    <n v="2021"/>
    <n v="500"/>
    <n v="-500"/>
    <n v="0"/>
    <n v="387446.74999999988"/>
    <s v="Term"/>
    <s v="13, 23, 27/6 &amp; 11/7 - RHB 001402, 4, 5 &amp; 6 (1,350.00, 3X1,700.00)"/>
    <m/>
  </r>
  <r>
    <d v="2021-05-21T00:00:00"/>
    <n v="5"/>
    <x v="2"/>
    <s v="INV00000106"/>
    <s v="C00000003"/>
    <x v="2"/>
    <s v="RA Miracle Gloss Wax"/>
    <n v="2"/>
    <s v="T45"/>
    <x v="1"/>
    <d v="2021-07-05T00:00:00"/>
    <n v="5"/>
    <n v="2021"/>
    <n v="90"/>
    <n v="-90"/>
    <n v="0"/>
    <n v="387536.74999999988"/>
    <s v="Term"/>
    <s v="13, 23, 27/6 &amp; 11/7 - RHB 001402, 4, 5 &amp; 6 (1,350.00, 3X1,700.00)"/>
    <m/>
  </r>
  <r>
    <d v="2021-05-25T00:00:00"/>
    <n v="5"/>
    <x v="2"/>
    <s v="INV00000089"/>
    <s v="C00000013"/>
    <x v="12"/>
    <s v="RA CSM 450 GSM 54kg 64m(L) X 1860mm(W)"/>
    <n v="1"/>
    <s v="Cash"/>
    <x v="0"/>
    <d v="2021-05-25T00:00:00"/>
    <n v="5"/>
    <n v="2021"/>
    <n v="459"/>
    <n v="-459"/>
    <n v="0"/>
    <n v="387995.74999999988"/>
    <s v="Cash"/>
    <s v="Trsf 21 &amp; 22/5/2021"/>
    <m/>
  </r>
  <r>
    <d v="2021-05-25T00:00:00"/>
    <n v="5"/>
    <x v="2"/>
    <s v="INV00000089"/>
    <s v="C00000013"/>
    <x v="12"/>
    <s v="RA CSM 300 GSM 54Kg 96m(L) X 1860mm(W)"/>
    <n v="1"/>
    <s v="Cash"/>
    <x v="0"/>
    <d v="2021-05-25T00:00:00"/>
    <n v="5"/>
    <n v="2021"/>
    <n v="459"/>
    <n v="-459"/>
    <n v="0"/>
    <n v="388454.74999999988"/>
    <s v="Cash"/>
    <s v="Trsf 21 &amp; 22/5/2021"/>
    <m/>
  </r>
  <r>
    <d v="2021-05-25T00:00:00"/>
    <n v="5"/>
    <x v="2"/>
    <s v="INV00000089"/>
    <s v="C00000013"/>
    <x v="12"/>
    <s v="RA Butanox M50 (5Kg)"/>
    <n v="1"/>
    <s v="Cash"/>
    <x v="0"/>
    <d v="2021-05-25T00:00:00"/>
    <n v="5"/>
    <n v="2021"/>
    <n v="100"/>
    <n v="-100"/>
    <n v="0"/>
    <n v="388554.74999999988"/>
    <s v="Cash"/>
    <s v="Trsf 21 &amp; 22/5/2021"/>
    <m/>
  </r>
  <r>
    <d v="2021-05-25T00:00:00"/>
    <n v="5"/>
    <x v="2"/>
    <s v="INV00000089"/>
    <s v="C00000013"/>
    <x v="12"/>
    <s v="RE Frekote 770NC (1 Gallon)"/>
    <n v="1"/>
    <s v="Cash"/>
    <x v="0"/>
    <d v="2021-05-25T00:00:00"/>
    <n v="5"/>
    <n v="2021"/>
    <n v="380"/>
    <n v="-380"/>
    <n v="0"/>
    <n v="388934.74999999988"/>
    <s v="Cash"/>
    <s v="Trsf 21 &amp; 22/5/2021"/>
    <m/>
  </r>
  <r>
    <d v="2021-05-25T00:00:00"/>
    <n v="5"/>
    <x v="2"/>
    <s v="INV00000089"/>
    <s v="C00000013"/>
    <x v="12"/>
    <s v="RA Gelcoat GP-H (20Kg)"/>
    <n v="1"/>
    <s v="Cash"/>
    <x v="0"/>
    <d v="2021-05-25T00:00:00"/>
    <n v="5"/>
    <n v="2021"/>
    <n v="246"/>
    <n v="-246"/>
    <n v="0"/>
    <n v="389180.74999999988"/>
    <s v="Cash"/>
    <s v="Trsf 21 &amp; 22/5/2021"/>
    <m/>
  </r>
  <r>
    <d v="2021-05-25T00:00:00"/>
    <n v="5"/>
    <x v="2"/>
    <s v="INV00000089"/>
    <s v="C00000013"/>
    <x v="12"/>
    <s v="RA Miracle Gloss Wax"/>
    <n v="2"/>
    <s v="Cash"/>
    <x v="0"/>
    <d v="2021-05-25T00:00:00"/>
    <n v="5"/>
    <n v="2021"/>
    <n v="90"/>
    <n v="-90"/>
    <n v="0"/>
    <n v="389270.74999999988"/>
    <s v="Cash"/>
    <s v="Trsf 21 &amp; 22/5/2021"/>
    <m/>
  </r>
  <r>
    <d v="2021-05-25T00:00:00"/>
    <n v="5"/>
    <x v="2"/>
    <s v="INV00000089"/>
    <s v="C00000013"/>
    <x v="12"/>
    <s v="RD Steel Roller 4&quot;"/>
    <n v="1"/>
    <s v="Cash"/>
    <x v="0"/>
    <d v="2021-05-25T00:00:00"/>
    <n v="5"/>
    <n v="2021"/>
    <n v="68"/>
    <n v="-68"/>
    <n v="0"/>
    <n v="389338.74999999988"/>
    <s v="Cash"/>
    <s v="Trsf 21 &amp; 22/5/2021"/>
    <m/>
  </r>
  <r>
    <d v="2021-05-25T00:00:00"/>
    <n v="5"/>
    <x v="2"/>
    <s v="INV00000089"/>
    <s v="C00000013"/>
    <x v="12"/>
    <s v="RD Steel Roller 3&quot;"/>
    <n v="2"/>
    <s v="Cash"/>
    <x v="0"/>
    <d v="2021-05-25T00:00:00"/>
    <n v="5"/>
    <n v="2021"/>
    <n v="130"/>
    <n v="-130"/>
    <n v="0"/>
    <n v="389468.74999999988"/>
    <s v="Cash"/>
    <s v="Trsf 21 &amp; 22/5/2021"/>
    <m/>
  </r>
  <r>
    <d v="2021-05-25T00:00:00"/>
    <n v="5"/>
    <x v="2"/>
    <s v="INV00000089"/>
    <s v="C00000013"/>
    <x v="12"/>
    <s v="RD Brush 1.1/2 (12 PC)"/>
    <n v="1"/>
    <s v="Cash"/>
    <x v="0"/>
    <d v="2021-05-25T00:00:00"/>
    <n v="5"/>
    <n v="2021"/>
    <n v="42"/>
    <n v="-42"/>
    <n v="0"/>
    <n v="389510.74999999988"/>
    <s v="Cash"/>
    <s v="Trsf 21 &amp; 22/5/2021"/>
    <m/>
  </r>
  <r>
    <d v="2021-05-25T00:00:00"/>
    <n v="5"/>
    <x v="2"/>
    <s v="INV00000089"/>
    <s v="C00000013"/>
    <x v="12"/>
    <s v="RD Brush 3&quot; (12 PC)"/>
    <n v="1"/>
    <s v="Cash"/>
    <x v="0"/>
    <d v="2021-05-25T00:00:00"/>
    <n v="5"/>
    <n v="2021"/>
    <n v="60"/>
    <n v="-60"/>
    <n v="0"/>
    <n v="389570.74999999988"/>
    <s v="Cash"/>
    <s v="Trsf 21 &amp; 22/5/2021"/>
    <m/>
  </r>
  <r>
    <d v="2021-05-25T00:00:00"/>
    <n v="5"/>
    <x v="2"/>
    <s v="INV00000089"/>
    <s v="C00000013"/>
    <x v="12"/>
    <s v="RA Resin 3317AW (220Kg)"/>
    <n v="1"/>
    <s v="Cash"/>
    <x v="0"/>
    <d v="2021-05-25T00:00:00"/>
    <n v="5"/>
    <n v="2021"/>
    <n v="1870"/>
    <n v="-1870"/>
    <n v="0"/>
    <n v="391440.74999999988"/>
    <s v="Cash"/>
    <s v="Trsf 21 &amp; 22/5/2021"/>
    <m/>
  </r>
  <r>
    <d v="2021-05-25T00:00:00"/>
    <n v="5"/>
    <x v="2"/>
    <s v="INV00000089"/>
    <s v="C00000013"/>
    <x v="12"/>
    <s v="RA Talcum Powder (25kg)"/>
    <n v="1"/>
    <s v="Cash"/>
    <x v="0"/>
    <d v="2021-05-25T00:00:00"/>
    <n v="5"/>
    <n v="2021"/>
    <n v="55"/>
    <n v="-55"/>
    <n v="0"/>
    <n v="391495.74999999988"/>
    <s v="Cash"/>
    <s v="Trsf 21 &amp; 22/5/2021"/>
    <m/>
  </r>
  <r>
    <d v="2021-05-25T00:00:00"/>
    <n v="5"/>
    <x v="2"/>
    <s v="INV00000107"/>
    <s v="C00000005"/>
    <x v="4"/>
    <s v="RA Butanox M50 (5Kg)"/>
    <n v="1"/>
    <s v="Cash"/>
    <x v="0"/>
    <d v="2021-05-25T00:00:00"/>
    <n v="5"/>
    <n v="2021"/>
    <n v="100"/>
    <n v="-100"/>
    <n v="0"/>
    <n v="391595.74999999988"/>
    <s v="Cash"/>
    <s v="Bank in Cash 27/5/2021"/>
    <m/>
  </r>
  <r>
    <d v="2021-06-01T00:00:00"/>
    <n v="6"/>
    <x v="2"/>
    <s v="INV00000108"/>
    <s v="C00000010"/>
    <x v="9"/>
    <s v="RA Resin 3338AW (220kg)"/>
    <n v="4"/>
    <s v="T120"/>
    <x v="4"/>
    <d v="2021-09-29T00:00:00"/>
    <n v="9"/>
    <n v="2021"/>
    <n v="6952"/>
    <n v="-6952"/>
    <n v="0"/>
    <n v="398547.74999999988"/>
    <s v="Term"/>
    <s v="Trsf 20/10/2021"/>
    <m/>
  </r>
  <r>
    <d v="2021-06-01T00:00:00"/>
    <n v="6"/>
    <x v="2"/>
    <s v="INV00000109"/>
    <s v="C00000009"/>
    <x v="8"/>
    <s v="RA CSM 450 TWL 60kg 64m(L) X 2080mm(W)"/>
    <n v="3"/>
    <s v="T60"/>
    <x v="3"/>
    <d v="2021-06-26T00:00:00"/>
    <n v="6"/>
    <n v="2021"/>
    <n v="1530"/>
    <n v="-1530"/>
    <n v="0"/>
    <n v="400077.74999999988"/>
    <s v="Term"/>
    <s v="HLB 012142, cleared20/12/21"/>
    <m/>
  </r>
  <r>
    <d v="2021-06-01T00:00:00"/>
    <n v="6"/>
    <x v="2"/>
    <s v="INV00000109"/>
    <s v="C00000009"/>
    <x v="8"/>
    <s v="RA CSM 300 GSM 54kg 64m(L) X 1860mm(W)"/>
    <n v="5"/>
    <s v="T60"/>
    <x v="3"/>
    <d v="2021-06-26T00:00:00"/>
    <n v="6"/>
    <n v="2021"/>
    <n v="2295"/>
    <n v="-2295"/>
    <n v="0"/>
    <n v="402372.74999999988"/>
    <s v="Term"/>
    <s v="HLB 012142, cleared20/12/21"/>
    <m/>
  </r>
  <r>
    <d v="2021-06-01T00:00:00"/>
    <n v="6"/>
    <x v="2"/>
    <s v="INV00000110"/>
    <s v="C00000009"/>
    <x v="8"/>
    <s v="RA Gelcoat GP-H (20kg)"/>
    <n v="3"/>
    <s v="T60"/>
    <x v="3"/>
    <d v="2021-06-26T00:00:00"/>
    <n v="6"/>
    <n v="2021"/>
    <n v="690"/>
    <n v="-690"/>
    <n v="0"/>
    <n v="403062.74999999988"/>
    <s v="Term"/>
    <s v="HLB 012142, cleared20/12/21"/>
    <m/>
  </r>
  <r>
    <d v="2021-06-01T00:00:00"/>
    <n v="6"/>
    <x v="2"/>
    <s v="INV00000111"/>
    <s v="C00000010"/>
    <x v="9"/>
    <s v="RA Talcum Powder (25kg)"/>
    <n v="10"/>
    <s v="T120"/>
    <x v="4"/>
    <d v="2021-09-29T00:00:00"/>
    <n v="9"/>
    <n v="2021"/>
    <n v="550"/>
    <n v="-550"/>
    <n v="0"/>
    <n v="403612.74999999988"/>
    <s v="Term"/>
    <s v="Trsf 20/10/2021"/>
    <m/>
  </r>
  <r>
    <d v="2021-06-01T00:00:00"/>
    <n v="6"/>
    <x v="2"/>
    <s v="INV00000111"/>
    <s v="C00000010"/>
    <x v="9"/>
    <s v="RA Butanox M50 (5kg)"/>
    <n v="4"/>
    <s v="T120"/>
    <x v="4"/>
    <d v="2021-09-29T00:00:00"/>
    <n v="9"/>
    <n v="2021"/>
    <n v="380"/>
    <n v="-380"/>
    <n v="0"/>
    <n v="403992.74999999988"/>
    <s v="Term"/>
    <s v="Trsf 20/10/2021"/>
    <m/>
  </r>
  <r>
    <d v="2021-09-01T00:00:00"/>
    <n v="9"/>
    <x v="2"/>
    <s v="INV00000112"/>
    <s v="C00000017"/>
    <x v="16"/>
    <s v="RA Resin (25kg)"/>
    <n v="2"/>
    <s v="Cash"/>
    <x v="0"/>
    <d v="2021-09-01T00:00:00"/>
    <n v="9"/>
    <n v="2021"/>
    <n v="600"/>
    <n v="-600"/>
    <n v="0"/>
    <n v="404592.74999999988"/>
    <s v="Term"/>
    <s v="Advance payment 26/7/2021"/>
    <m/>
  </r>
  <r>
    <d v="2021-09-01T00:00:00"/>
    <n v="9"/>
    <x v="2"/>
    <s v="INV00000112"/>
    <s v="C00000017"/>
    <x v="16"/>
    <s v="RA CSM 450 GSM TWL 30kg 64m(L) X 1040mm(W)"/>
    <n v="1"/>
    <s v="Cash"/>
    <x v="0"/>
    <d v="2021-09-01T00:00:00"/>
    <n v="9"/>
    <n v="2021"/>
    <n v="255"/>
    <n v="-255"/>
    <n v="0"/>
    <n v="404847.74999999988"/>
    <s v="Term"/>
    <s v="Advance payment 26/7/2021"/>
    <m/>
  </r>
  <r>
    <d v="2021-09-01T00:00:00"/>
    <n v="9"/>
    <x v="2"/>
    <s v="INV00000113"/>
    <s v="C00000005"/>
    <x v="4"/>
    <s v="RA Resin 3317AW (220Kg)"/>
    <n v="1"/>
    <s v="Cash"/>
    <x v="0"/>
    <d v="2021-09-01T00:00:00"/>
    <n v="9"/>
    <n v="2021"/>
    <n v="1826"/>
    <n v="-1826"/>
    <n v="0"/>
    <n v="406673.74999999988"/>
    <s v="Cash"/>
    <s v="Advance payment 20/8/2021"/>
    <m/>
  </r>
  <r>
    <d v="2021-09-01T00:00:00"/>
    <n v="9"/>
    <x v="2"/>
    <s v="INV00000114"/>
    <s v="C00000005"/>
    <x v="4"/>
    <s v="RA Resin 3317AW (220Kg)"/>
    <n v="1"/>
    <s v="Cash"/>
    <x v="0"/>
    <d v="2021-09-01T00:00:00"/>
    <n v="9"/>
    <n v="2021"/>
    <n v="1826"/>
    <n v="-1826"/>
    <n v="0"/>
    <n v="408499.74999999988"/>
    <s v="Cash"/>
    <s v="Advance payment 9/9/2021"/>
    <m/>
  </r>
  <r>
    <d v="2021-09-01T00:00:00"/>
    <n v="9"/>
    <x v="2"/>
    <s v="INV00000114"/>
    <s v="C00000005"/>
    <x v="4"/>
    <s v="RA Butanox M50 (5kg)"/>
    <n v="1"/>
    <s v="Cash"/>
    <x v="0"/>
    <d v="2021-09-01T00:00:00"/>
    <n v="9"/>
    <n v="2021"/>
    <n v="100"/>
    <n v="-100"/>
    <n v="0"/>
    <n v="408599.74999999988"/>
    <s v="Cash"/>
    <s v="Advance payment 9/9/2021"/>
    <m/>
  </r>
  <r>
    <d v="2021-09-01T00:00:00"/>
    <n v="9"/>
    <x v="2"/>
    <s v="INV00000115"/>
    <s v="C00000004"/>
    <x v="3"/>
    <s v="RA CSM 450 TWL 60kg 64m(L) X 2080mm(W)"/>
    <n v="4"/>
    <s v="T120"/>
    <x v="4"/>
    <d v="2021-12-30T00:00:00"/>
    <n v="12"/>
    <n v="2021"/>
    <n v="2016"/>
    <n v="-2016"/>
    <n v="0"/>
    <n v="410615.74999999988"/>
    <s v="Term"/>
    <s v="Chq HLB009259 dd 170122"/>
    <m/>
  </r>
  <r>
    <d v="2021-09-01T00:00:00"/>
    <n v="9"/>
    <x v="2"/>
    <s v="INV00000115"/>
    <s v="C00000004"/>
    <x v="3"/>
    <s v="RA CSM 300 GSM 54kg 64m(L) X 1860mm(W)"/>
    <n v="4"/>
    <s v="T120"/>
    <x v="4"/>
    <d v="2021-12-30T00:00:00"/>
    <n v="12"/>
    <n v="2021"/>
    <n v="1814.4"/>
    <n v="-1814.4"/>
    <n v="0"/>
    <n v="412430.14999999991"/>
    <s v="Term"/>
    <s v="Chq HLB009259 dd 170122"/>
    <m/>
  </r>
  <r>
    <d v="2021-09-01T00:00:00"/>
    <n v="9"/>
    <x v="2"/>
    <s v="INV00000116"/>
    <s v="C00000002"/>
    <x v="1"/>
    <s v="RA Resin 3338AW (220kg)"/>
    <n v="2"/>
    <s v="Cash"/>
    <x v="0"/>
    <d v="2021-09-01T00:00:00"/>
    <n v="9"/>
    <n v="2021"/>
    <n v="3432"/>
    <n v="-3432"/>
    <n v="0"/>
    <n v="415862.14999999991"/>
    <s v="Cash"/>
    <s v="Chq 494585,  Cleared 13/10/21"/>
    <m/>
  </r>
  <r>
    <d v="2021-09-14T00:00:00"/>
    <n v="9"/>
    <x v="2"/>
    <s v="INV00000117"/>
    <s v="C00000003"/>
    <x v="2"/>
    <s v="RA Resin 3317AW (220Kg)"/>
    <n v="3"/>
    <s v="T45"/>
    <x v="1"/>
    <d v="2021-10-29T00:00:00"/>
    <n v="10"/>
    <n v="2021"/>
    <n v="5610"/>
    <n v="-5610"/>
    <n v="0"/>
    <n v="421472.14999999991"/>
    <s v="Term"/>
    <s v="30/10/2021 RHB 001446 RM1,400.00, Chq cleared on 1/11/2021"/>
    <m/>
  </r>
  <r>
    <d v="2021-09-14T00:00:00"/>
    <n v="9"/>
    <x v="2"/>
    <s v="INV00000117"/>
    <s v="C00000003"/>
    <x v="2"/>
    <s v="RA Talcum Powder (25Kg)"/>
    <n v="4"/>
    <s v="T45"/>
    <x v="1"/>
    <d v="2021-10-29T00:00:00"/>
    <n v="10"/>
    <n v="2021"/>
    <n v="200"/>
    <n v="-200"/>
    <n v="0"/>
    <n v="421672.14999999991"/>
    <s v="Term"/>
    <s v="13/11/2021 RHB 001447 RM1,400.00, Chq cleared on 15/11/21"/>
    <m/>
  </r>
  <r>
    <d v="2021-09-14T00:00:00"/>
    <n v="9"/>
    <x v="2"/>
    <s v="INV00000117"/>
    <s v="C00000003"/>
    <x v="2"/>
    <s v="RA Butanox M50 (5kg)"/>
    <n v="6"/>
    <s v="T45"/>
    <x v="1"/>
    <d v="2021-10-29T00:00:00"/>
    <n v="10"/>
    <n v="2021"/>
    <n v="600"/>
    <n v="-600"/>
    <n v="0"/>
    <n v="422272.14999999991"/>
    <s v="Term"/>
    <s v="20/11/2021 RHB 001448 RM1,400.00, Chq cleared on 22/11/21"/>
    <m/>
  </r>
  <r>
    <d v="2021-09-14T00:00:00"/>
    <n v="9"/>
    <x v="2"/>
    <s v="INV00000117"/>
    <s v="C00000003"/>
    <x v="2"/>
    <s v="RA Miracle Gloss Wax"/>
    <n v="1"/>
    <s v="T45"/>
    <x v="1"/>
    <d v="2021-10-29T00:00:00"/>
    <n v="10"/>
    <n v="2021"/>
    <n v="45"/>
    <n v="-45"/>
    <n v="0"/>
    <n v="422317.14999999991"/>
    <s v="Term"/>
    <s v="27/11/2021 RHB 001449 RM1,400.00, Chq cleared on 30/11/21"/>
    <m/>
  </r>
  <r>
    <d v="2021-09-14T00:00:00"/>
    <n v="9"/>
    <x v="2"/>
    <s v="INV00000117"/>
    <s v="C00000003"/>
    <x v="2"/>
    <s v="RA CSM 300 GSM 54Kg 96m(L) X 1860mm(W)"/>
    <n v="1"/>
    <s v="T45"/>
    <x v="1"/>
    <d v="2021-10-29T00:00:00"/>
    <n v="10"/>
    <n v="2021"/>
    <n v="459"/>
    <n v="-459"/>
    <n v="0"/>
    <n v="422776.14999999991"/>
    <s v="Term"/>
    <s v="30/11/2021 RHB 001450 RM1,314.00, Chq cleared on 30/11/21"/>
    <m/>
  </r>
  <r>
    <d v="2021-09-14T00:00:00"/>
    <n v="9"/>
    <x v="2"/>
    <s v="INV00000118"/>
    <s v="C00000010"/>
    <x v="9"/>
    <s v="RA Resin 3338AW (220kg)"/>
    <n v="6"/>
    <s v="T120"/>
    <x v="4"/>
    <d v="2022-01-12T00:00:00"/>
    <n v="1"/>
    <n v="2022"/>
    <n v="10428"/>
    <n v="-10428"/>
    <n v="0"/>
    <n v="433204.14999999991"/>
    <s v="Term"/>
    <s v="Trsf 13/12/2021"/>
    <m/>
  </r>
  <r>
    <d v="2021-09-14T00:00:00"/>
    <n v="9"/>
    <x v="2"/>
    <s v="INV00000118"/>
    <s v="C00000010"/>
    <x v="9"/>
    <s v="RA CSM 450 30kg 79m(L) X 1040mm(W)"/>
    <n v="10"/>
    <s v="T120"/>
    <x v="4"/>
    <d v="2022-01-12T00:00:00"/>
    <n v="1"/>
    <n v="2022"/>
    <n v="2550"/>
    <n v="-2550"/>
    <n v="0"/>
    <n v="435754.14999999991"/>
    <s v="Term"/>
    <s v="Trsf 13/12/2021"/>
    <m/>
  </r>
  <r>
    <d v="2021-09-14T00:00:00"/>
    <n v="9"/>
    <x v="2"/>
    <s v="INV00000118"/>
    <s v="C00000010"/>
    <x v="9"/>
    <s v="RA Talcum Powder (25kg)"/>
    <n v="10"/>
    <s v="T120"/>
    <x v="4"/>
    <d v="2022-01-12T00:00:00"/>
    <n v="1"/>
    <n v="2022"/>
    <n v="550"/>
    <n v="-550"/>
    <n v="0"/>
    <n v="436304.14999999991"/>
    <s v="Term"/>
    <s v="Trsf 13/12/2021"/>
    <m/>
  </r>
  <r>
    <d v="2021-09-14T00:00:00"/>
    <n v="9"/>
    <x v="2"/>
    <s v="INV00000118"/>
    <s v="C00000010"/>
    <x v="9"/>
    <s v="RA Mepoxe M (5kg)"/>
    <n v="4"/>
    <s v="T120"/>
    <x v="4"/>
    <d v="2022-01-12T00:00:00"/>
    <n v="1"/>
    <n v="2022"/>
    <n v="320"/>
    <n v="-320"/>
    <n v="0"/>
    <n v="436624.14999999991"/>
    <s v="Term"/>
    <s v="Trsf 13/12/2021"/>
    <m/>
  </r>
  <r>
    <d v="2021-09-14T00:00:00"/>
    <n v="9"/>
    <x v="2"/>
    <s v="INV00000118"/>
    <s v="C00000010"/>
    <x v="9"/>
    <s v="RA Aerosil (Silica Fume) (10Kg)"/>
    <n v="1"/>
    <s v="T120"/>
    <x v="4"/>
    <d v="2022-01-12T00:00:00"/>
    <n v="1"/>
    <n v="2022"/>
    <n v="360"/>
    <n v="-360"/>
    <n v="0"/>
    <n v="436984.14999999991"/>
    <s v="Term"/>
    <s v="Trsf 13/12/2021"/>
    <m/>
  </r>
  <r>
    <d v="2021-09-21T00:00:00"/>
    <n v="9"/>
    <x v="2"/>
    <s v="INV00000119"/>
    <s v="C00000018"/>
    <x v="17"/>
    <s v="RA Resin 3317AW (220Kg)"/>
    <n v="4"/>
    <s v="Cash"/>
    <x v="0"/>
    <d v="2021-09-21T00:00:00"/>
    <n v="9"/>
    <n v="2021"/>
    <n v="6952"/>
    <n v="-6952"/>
    <n v="0"/>
    <n v="443936.14999999991"/>
    <s v="Cash"/>
    <s v="Trsf 21/9/2021"/>
    <m/>
  </r>
  <r>
    <d v="2021-09-21T00:00:00"/>
    <n v="9"/>
    <x v="2"/>
    <s v="INV00000119"/>
    <s v="C00000018"/>
    <x v="17"/>
    <s v="RA CSM 450 30kg 79m(L) X 1040mm(W)"/>
    <n v="10"/>
    <s v="Cash"/>
    <x v="0"/>
    <d v="2021-09-21T00:00:00"/>
    <n v="9"/>
    <n v="2021"/>
    <n v="2400"/>
    <n v="-2400"/>
    <n v="0"/>
    <n v="446336.14999999991"/>
    <s v="Cash"/>
    <s v="Trsf 21/9/2021"/>
    <m/>
  </r>
  <r>
    <d v="2021-09-21T00:00:00"/>
    <n v="9"/>
    <x v="2"/>
    <s v="INV00000119"/>
    <s v="C00000018"/>
    <x v="17"/>
    <s v="RA Mepoxe M (5kg)"/>
    <n v="3"/>
    <s v="Cash"/>
    <x v="0"/>
    <d v="2021-09-21T00:00:00"/>
    <n v="9"/>
    <n v="2021"/>
    <n v="240"/>
    <n v="-240"/>
    <n v="0"/>
    <n v="446576.14999999991"/>
    <s v="Cash"/>
    <s v="Trsf 21/9/2021"/>
    <m/>
  </r>
  <r>
    <d v="2021-09-25T00:00:00"/>
    <n v="9"/>
    <x v="2"/>
    <s v="INV00000120"/>
    <s v="C00000001"/>
    <x v="0"/>
    <s v="RA Resin 3317AW (220Kg)"/>
    <n v="1"/>
    <s v="Cash"/>
    <x v="0"/>
    <d v="2021-09-25T00:00:00"/>
    <n v="9"/>
    <n v="2021"/>
    <n v="1870"/>
    <n v="-1870"/>
    <n v="0"/>
    <n v="448446.14999999991"/>
    <s v="Cash"/>
    <s v="Trsf 4/10/2021"/>
    <m/>
  </r>
  <r>
    <d v="2021-09-27T00:00:00"/>
    <n v="9"/>
    <x v="2"/>
    <s v="INV00000121"/>
    <s v="C00000004"/>
    <x v="3"/>
    <s v="RA Resin 3338AW (220kg)"/>
    <n v="5"/>
    <s v="T120"/>
    <x v="4"/>
    <d v="2022-01-25T00:00:00"/>
    <n v="1"/>
    <n v="2022"/>
    <n v="8690"/>
    <n v="-8690"/>
    <n v="0"/>
    <n v="457136.14999999991"/>
    <s v="Term"/>
    <s v="Chq HLB009259 dd 170122"/>
    <m/>
  </r>
  <r>
    <d v="2021-09-27T00:00:00"/>
    <n v="9"/>
    <x v="2"/>
    <s v="INV00000121"/>
    <s v="C00000004"/>
    <x v="3"/>
    <s v="RA Resin 3338NW (220kg)"/>
    <n v="1"/>
    <s v="T120"/>
    <x v="4"/>
    <d v="2022-01-25T00:00:00"/>
    <n v="1"/>
    <n v="2022"/>
    <n v="1738"/>
    <n v="-1738"/>
    <n v="0"/>
    <n v="458874.14999999991"/>
    <s v="Term"/>
    <s v="Chq HLB009259 dd 170122"/>
    <m/>
  </r>
  <r>
    <d v="2021-09-27T00:00:00"/>
    <n v="9"/>
    <x v="2"/>
    <s v="INV00000121"/>
    <s v="C00000004"/>
    <x v="3"/>
    <s v="RA CSM 450 TWL 60kg 64m(L) X 2080mm(W)"/>
    <n v="4"/>
    <s v="T120"/>
    <x v="4"/>
    <d v="2022-01-25T00:00:00"/>
    <n v="1"/>
    <n v="2022"/>
    <n v="2016"/>
    <n v="-2016"/>
    <n v="0"/>
    <n v="460890.14999999991"/>
    <s v="Term"/>
    <s v="Chq HLB009259 dd 170122"/>
    <m/>
  </r>
  <r>
    <d v="2021-09-27T00:00:00"/>
    <n v="9"/>
    <x v="2"/>
    <s v="INV00000121"/>
    <s v="C00000004"/>
    <x v="3"/>
    <s v="RA Mepoxe M (5kg)"/>
    <n v="1"/>
    <s v="T120"/>
    <x v="4"/>
    <d v="2022-01-25T00:00:00"/>
    <n v="1"/>
    <n v="2022"/>
    <n v="80"/>
    <n v="-80"/>
    <n v="0"/>
    <n v="460970.14999999991"/>
    <s v="Term"/>
    <s v="Chq HLB009259 dd 170122"/>
    <m/>
  </r>
  <r>
    <d v="2021-09-28T00:00:00"/>
    <n v="9"/>
    <x v="2"/>
    <s v="INV00000122"/>
    <s v="C00000005"/>
    <x v="4"/>
    <s v="RA Resin 3317AW (220Kg)"/>
    <n v="1"/>
    <s v="Cash"/>
    <x v="0"/>
    <d v="2021-09-28T00:00:00"/>
    <n v="9"/>
    <n v="2021"/>
    <n v="1826"/>
    <n v="-1826"/>
    <n v="0"/>
    <n v="462796.14999999991"/>
    <s v="Term"/>
    <s v="Chq CIMB 000086, cleared 8/10/2021"/>
    <m/>
  </r>
  <r>
    <d v="2021-09-30T00:00:00"/>
    <n v="9"/>
    <x v="2"/>
    <s v="INV00000123"/>
    <s v="C00000004"/>
    <x v="3"/>
    <s v="RA Butanox M50 (5Kg)"/>
    <n v="3"/>
    <s v="T120"/>
    <x v="4"/>
    <d v="2022-01-28T00:00:00"/>
    <n v="1"/>
    <n v="2022"/>
    <n v="240"/>
    <n v="-240"/>
    <n v="0"/>
    <n v="463036.14999999991"/>
    <s v="Term"/>
    <s v="Chq HLB009259 dd 170122"/>
    <m/>
  </r>
  <r>
    <d v="2021-10-01T00:00:00"/>
    <n v="10"/>
    <x v="2"/>
    <s v="INV00000124"/>
    <s v="C00000006"/>
    <x v="5"/>
    <s v="RA Gelcoat GP-H (20Kg)"/>
    <n v="1"/>
    <s v="Cash"/>
    <x v="0"/>
    <d v="2021-10-01T00:00:00"/>
    <n v="10"/>
    <n v="2021"/>
    <n v="240"/>
    <n v="-240"/>
    <n v="0"/>
    <n v="463276.14999999991"/>
    <s v="Cash"/>
    <s v="chq 934897 5/11/2021"/>
    <m/>
  </r>
  <r>
    <d v="2021-10-02T00:00:00"/>
    <n v="10"/>
    <x v="2"/>
    <s v="INV00000125"/>
    <s v="C00000019"/>
    <x v="18"/>
    <s v="RA Resin 3338AW (220kg)"/>
    <n v="2"/>
    <s v="Cash"/>
    <x v="0"/>
    <d v="2021-10-02T00:00:00"/>
    <n v="10"/>
    <n v="2021"/>
    <n v="3696"/>
    <n v="-3696"/>
    <n v="0"/>
    <n v="466972.14999999991"/>
    <s v="Cash"/>
    <s v="Trsf 2/10/2021"/>
    <m/>
  </r>
  <r>
    <d v="2021-10-02T00:00:00"/>
    <n v="10"/>
    <x v="2"/>
    <s v="INV00000125"/>
    <s v="C00000019"/>
    <x v="18"/>
    <s v="RA CSM 450 GSM 54kg 64m(L) X 1860mm(W)"/>
    <n v="1"/>
    <s v="Cash"/>
    <x v="0"/>
    <d v="2021-10-02T00:00:00"/>
    <n v="10"/>
    <n v="2021"/>
    <n v="475.2"/>
    <n v="-475.2"/>
    <n v="0"/>
    <n v="467447.34999999992"/>
    <s v="Cash"/>
    <s v="Trsf 2/10/2021"/>
    <m/>
  </r>
  <r>
    <d v="2021-10-02T00:00:00"/>
    <n v="10"/>
    <x v="2"/>
    <s v="INV00000125"/>
    <s v="C00000019"/>
    <x v="18"/>
    <s v="RE Frekote 770NC (1 Gallon)"/>
    <n v="2"/>
    <s v="Cash"/>
    <x v="0"/>
    <d v="2021-10-02T00:00:00"/>
    <n v="10"/>
    <n v="2021"/>
    <n v="720"/>
    <n v="-720"/>
    <n v="0"/>
    <n v="468167.34999999992"/>
    <s v="Cash"/>
    <s v="Trsf 2/10/2021"/>
    <m/>
  </r>
  <r>
    <d v="2021-10-02T00:00:00"/>
    <n v="10"/>
    <x v="2"/>
    <s v="INV00000125"/>
    <s v="C00000019"/>
    <x v="18"/>
    <s v="RA Talcum Powder (25kg)"/>
    <n v="3"/>
    <s v="Cash"/>
    <x v="0"/>
    <d v="2021-10-02T00:00:00"/>
    <n v="10"/>
    <n v="2021"/>
    <n v="165"/>
    <n v="-165"/>
    <n v="0"/>
    <n v="468332.34999999992"/>
    <s v="Cash"/>
    <s v="Trsf 2/10/2021"/>
    <m/>
  </r>
  <r>
    <d v="2021-10-05T00:00:00"/>
    <n v="10"/>
    <x v="2"/>
    <s v="INV00000126"/>
    <s v="C00000019"/>
    <x v="18"/>
    <s v="RA Butanox M50 (5kg)"/>
    <n v="1"/>
    <s v="Cash"/>
    <x v="0"/>
    <d v="2021-10-05T00:00:00"/>
    <n v="10"/>
    <n v="2021"/>
    <n v="100"/>
    <n v="-100"/>
    <n v="0"/>
    <n v="468432.34999999992"/>
    <s v="Cash"/>
    <s v="Trsf 11/10/2021"/>
    <m/>
  </r>
  <r>
    <d v="2021-10-05T00:00:00"/>
    <n v="10"/>
    <x v="2"/>
    <s v="INV00000127"/>
    <s v="C00000010"/>
    <x v="9"/>
    <s v="RA Resin 3338AW (220kg)"/>
    <n v="6"/>
    <s v="T120"/>
    <x v="4"/>
    <d v="2022-02-02T00:00:00"/>
    <n v="2"/>
    <n v="2022"/>
    <n v="10428"/>
    <n v="-10428"/>
    <n v="0"/>
    <n v="478860.34999999992"/>
    <s v="Term"/>
    <s v="Trsf 10/2/2022 RM35,864.00"/>
    <m/>
  </r>
  <r>
    <d v="2021-10-05T00:00:00"/>
    <n v="10"/>
    <x v="2"/>
    <s v="INV00000127"/>
    <s v="C00000010"/>
    <x v="9"/>
    <s v="RA CSM 450 30kg 79m(L) X 1040mm(W)"/>
    <n v="4"/>
    <s v="T120"/>
    <x v="4"/>
    <d v="2022-02-02T00:00:00"/>
    <n v="2"/>
    <n v="2022"/>
    <n v="1258"/>
    <n v="-1258"/>
    <n v="0"/>
    <n v="480118.34999999992"/>
    <s v="Term"/>
    <s v="Trsf 10/2/2022 RM35,864.00"/>
    <m/>
  </r>
  <r>
    <d v="2021-10-05T00:00:00"/>
    <n v="10"/>
    <x v="2"/>
    <s v="INV00000127"/>
    <s v="C00000010"/>
    <x v="9"/>
    <s v="RA Talcum Powder (25kg)"/>
    <n v="5"/>
    <s v="T120"/>
    <x v="4"/>
    <d v="2022-02-02T00:00:00"/>
    <n v="2"/>
    <n v="2022"/>
    <n v="275"/>
    <n v="-275"/>
    <n v="0"/>
    <n v="480393.34999999992"/>
    <s v="Term"/>
    <s v="Trsf 10/2/2022 RM35,864.00"/>
    <m/>
  </r>
  <r>
    <d v="2021-10-05T00:00:00"/>
    <n v="10"/>
    <x v="2"/>
    <s v="INV00000127"/>
    <s v="C00000010"/>
    <x v="9"/>
    <s v="RA Mepoxe M (5kg)"/>
    <n v="2"/>
    <s v="T120"/>
    <x v="4"/>
    <d v="2022-02-02T00:00:00"/>
    <n v="2"/>
    <n v="2022"/>
    <n v="160"/>
    <n v="-160"/>
    <n v="0"/>
    <n v="480553.34999999992"/>
    <s v="Term"/>
    <s v="Trsf 10/2/2022 RM35,864.00"/>
    <m/>
  </r>
  <r>
    <d v="2021-10-07T00:00:00"/>
    <n v="10"/>
    <x v="2"/>
    <s v="INV00000128"/>
    <s v="C00000003"/>
    <x v="2"/>
    <s v="RF Resin 3317AW (220Kg)"/>
    <n v="1"/>
    <s v="T45"/>
    <x v="1"/>
    <d v="2021-11-21T00:00:00"/>
    <n v="11"/>
    <n v="2021"/>
    <n v="1870"/>
    <n v="-1870"/>
    <n v="0"/>
    <n v="482423.34999999992"/>
    <s v="Term"/>
    <s v="RHB 001451cleared6/12/21-RM1,314.00(1,314.00partial, 1452cleared14/12/21-RM1,500(RM556.00partial)"/>
    <m/>
  </r>
  <r>
    <d v="2021-10-07T00:00:00"/>
    <n v="10"/>
    <x v="2"/>
    <s v="INV00000128"/>
    <s v="C00000003"/>
    <x v="2"/>
    <s v="RA Talcum Powder (25Kg)"/>
    <n v="6"/>
    <s v="T45"/>
    <x v="1"/>
    <d v="2021-11-21T00:00:00"/>
    <n v="11"/>
    <n v="2021"/>
    <n v="300"/>
    <n v="-300"/>
    <n v="0"/>
    <n v="482723.34999999992"/>
    <s v="Term"/>
    <s v="RHB 001452cleared14/12/21-RM1.500.00(300.00partial)"/>
    <m/>
  </r>
  <r>
    <d v="2021-10-07T00:00:00"/>
    <n v="10"/>
    <x v="2"/>
    <s v="INV00000128"/>
    <s v="C00000003"/>
    <x v="2"/>
    <s v="RA Mepoxe M (5kg)"/>
    <n v="2"/>
    <s v="T45"/>
    <x v="1"/>
    <d v="2021-11-21T00:00:00"/>
    <n v="11"/>
    <n v="2021"/>
    <n v="160"/>
    <n v="-160"/>
    <n v="0"/>
    <n v="482883.34999999992"/>
    <s v="Term"/>
    <s v="RHB 001452cleared14/12/21-RM1.500.00(160.00patial)"/>
    <m/>
  </r>
  <r>
    <d v="2021-10-08T00:00:00"/>
    <n v="10"/>
    <x v="2"/>
    <s v="INV00000129"/>
    <s v="C00000003"/>
    <x v="2"/>
    <s v="RI Silicone Rubber (25kg)"/>
    <n v="1"/>
    <s v="T45"/>
    <x v="1"/>
    <d v="2021-11-22T00:00:00"/>
    <n v="11"/>
    <n v="2021"/>
    <n v="1300"/>
    <n v="-1300"/>
    <n v="0"/>
    <n v="484183.34999999992"/>
    <s v="Term"/>
    <s v="RHB 001452cleared14/12/21-RM1.500.00(484.00patial), 1453cleared20/12/21-RM1,500.00(816.00patial)"/>
    <m/>
  </r>
  <r>
    <d v="2021-10-09T00:00:00"/>
    <n v="10"/>
    <x v="2"/>
    <s v="INV00000130"/>
    <s v="C00000020"/>
    <x v="19"/>
    <s v="RA Nor 3338NW (220Kg)"/>
    <n v="1"/>
    <s v="Cash"/>
    <x v="0"/>
    <d v="2021-10-09T00:00:00"/>
    <n v="10"/>
    <n v="2021"/>
    <n v="1760"/>
    <n v="-1760"/>
    <n v="0"/>
    <n v="485943.34999999992"/>
    <s v="Cash"/>
    <s v="Trsf 11/10/2021"/>
    <m/>
  </r>
  <r>
    <d v="2021-10-11T00:00:00"/>
    <n v="10"/>
    <x v="2"/>
    <s v="INV00000131"/>
    <s v="C00000013"/>
    <x v="12"/>
    <s v="RA Talcum Powder (25kg)"/>
    <n v="2"/>
    <s v="Cash"/>
    <x v="0"/>
    <d v="2021-10-11T00:00:00"/>
    <n v="10"/>
    <n v="2021"/>
    <n v="125"/>
    <n v="-125"/>
    <n v="0"/>
    <n v="486068.34999999992"/>
    <s v="Cash"/>
    <s v="Trsf 11/10/2021"/>
    <m/>
  </r>
  <r>
    <d v="2021-10-11T00:00:00"/>
    <n v="10"/>
    <x v="2"/>
    <s v="INV00000131"/>
    <s v="C00000013"/>
    <x v="12"/>
    <s v="RA Mepoxe M (5kg)"/>
    <n v="1"/>
    <s v="Cash"/>
    <x v="0"/>
    <d v="2021-10-11T00:00:00"/>
    <n v="10"/>
    <n v="2021"/>
    <n v="80"/>
    <n v="-80"/>
    <n v="0"/>
    <n v="486148.34999999992"/>
    <s v="Cash"/>
    <s v="Trsf 11/10/2021"/>
    <m/>
  </r>
  <r>
    <d v="2021-10-12T00:00:00"/>
    <n v="10"/>
    <x v="2"/>
    <s v="INV00000132"/>
    <s v="C00000020"/>
    <x v="19"/>
    <s v="RA Resin SHCP268W (225kg)"/>
    <n v="4"/>
    <s v="Cash"/>
    <x v="0"/>
    <d v="2021-10-12T00:00:00"/>
    <n v="10"/>
    <n v="2021"/>
    <n v="7650"/>
    <n v="-7650"/>
    <n v="0"/>
    <n v="493798.34999999992"/>
    <s v="Cash"/>
    <s v="Trsf 13/10/2021"/>
    <m/>
  </r>
  <r>
    <d v="2021-10-12T00:00:00"/>
    <n v="10"/>
    <x v="2"/>
    <s v="INV00000132"/>
    <s v="C00000020"/>
    <x v="19"/>
    <s v="RA CSM 450 TWL (37Kg) 1040mm"/>
    <n v="10"/>
    <s v="Cash"/>
    <x v="0"/>
    <d v="2021-10-12T00:00:00"/>
    <n v="10"/>
    <n v="2021"/>
    <n v="3182"/>
    <n v="-3182"/>
    <n v="0"/>
    <n v="496980.34999999992"/>
    <s v="Cash"/>
    <s v="Trsf 13/10/2021"/>
    <m/>
  </r>
  <r>
    <d v="2021-10-12T00:00:00"/>
    <n v="10"/>
    <x v="2"/>
    <s v="INV00000132"/>
    <s v="C00000020"/>
    <x v="19"/>
    <s v="RA Talcum Powder (25kg)"/>
    <n v="2"/>
    <s v="Cash"/>
    <x v="0"/>
    <d v="2021-10-12T00:00:00"/>
    <n v="10"/>
    <n v="2021"/>
    <n v="125"/>
    <n v="-125"/>
    <n v="0"/>
    <n v="497105.34999999992"/>
    <s v="Cash"/>
    <s v="Trsf 13/10/2021"/>
    <m/>
  </r>
  <r>
    <d v="2021-10-12T00:00:00"/>
    <n v="10"/>
    <x v="2"/>
    <s v="INV00000132"/>
    <s v="C00000020"/>
    <x v="19"/>
    <s v="RA Mepoxe M (5kg)"/>
    <n v="4"/>
    <s v="Cash"/>
    <x v="0"/>
    <d v="2021-10-12T00:00:00"/>
    <n v="10"/>
    <n v="2021"/>
    <n v="320"/>
    <n v="-320"/>
    <n v="0"/>
    <n v="497425.34999999992"/>
    <s v="Cash"/>
    <s v="Trsf 13/10/2021"/>
    <m/>
  </r>
  <r>
    <d v="2021-10-12T00:00:00"/>
    <n v="10"/>
    <x v="2"/>
    <s v="INV00000132"/>
    <s v="C00000020"/>
    <x v="19"/>
    <s v="RA Woven Roving E-600 (45kg) 1120mm"/>
    <n v="4"/>
    <s v="Cash"/>
    <x v="0"/>
    <d v="2021-10-12T00:00:00"/>
    <n v="10"/>
    <n v="2021"/>
    <n v="1350"/>
    <n v="-1350"/>
    <n v="0"/>
    <n v="498775.34999999992"/>
    <s v="Cash"/>
    <s v="Trsf 13/10/2021"/>
    <m/>
  </r>
  <r>
    <d v="2021-10-13T00:00:00"/>
    <n v="10"/>
    <x v="2"/>
    <s v="INV00000133"/>
    <s v="C00000019"/>
    <x v="18"/>
    <s v="RA Resin 3338AW (220kg)"/>
    <n v="2"/>
    <s v="Cash"/>
    <x v="0"/>
    <d v="2021-10-13T00:00:00"/>
    <n v="10"/>
    <n v="2021"/>
    <n v="3696"/>
    <n v="-3696"/>
    <n v="0"/>
    <n v="502471.34999999992"/>
    <s v="Cash"/>
    <s v="Trsf 14/10/2021"/>
    <m/>
  </r>
  <r>
    <d v="2021-10-13T00:00:00"/>
    <n v="10"/>
    <x v="2"/>
    <s v="INV00000133"/>
    <s v="C00000019"/>
    <x v="18"/>
    <s v="RG CSM 450 CQ 54kg 64m(L) X 1860mm(W)"/>
    <n v="2"/>
    <s v="Cash"/>
    <x v="0"/>
    <d v="2021-10-13T00:00:00"/>
    <n v="10"/>
    <n v="2021"/>
    <n v="950.4"/>
    <n v="-950.4"/>
    <n v="0"/>
    <n v="503421.74999999994"/>
    <s v="Cash"/>
    <s v="Trsf 14/10/2021"/>
    <m/>
  </r>
  <r>
    <d v="2021-10-13T00:00:00"/>
    <n v="10"/>
    <x v="2"/>
    <s v="INV00000133"/>
    <s v="C00000019"/>
    <x v="18"/>
    <s v="RA Aerosil (Silica Fume) (10Kg)"/>
    <n v="1"/>
    <s v="Cash"/>
    <x v="0"/>
    <d v="2021-10-13T00:00:00"/>
    <n v="10"/>
    <n v="2021"/>
    <n v="360"/>
    <n v="-360"/>
    <n v="0"/>
    <n v="503781.74999999994"/>
    <s v="Cash"/>
    <s v="Trsf 14/10/2021"/>
    <m/>
  </r>
  <r>
    <d v="2021-10-14T00:00:00"/>
    <n v="10"/>
    <x v="2"/>
    <s v="INV00000134"/>
    <s v="C00000019"/>
    <x v="18"/>
    <s v="RJ TR104 Hi Temp Wax"/>
    <n v="6"/>
    <s v="Cash"/>
    <x v="0"/>
    <d v="2021-10-14T00:00:00"/>
    <n v="10"/>
    <n v="2021"/>
    <n v="300"/>
    <n v="-300"/>
    <n v="0"/>
    <n v="504081.74999999994"/>
    <s v="Cash"/>
    <s v="Trsf 14/10/2021"/>
    <m/>
  </r>
  <r>
    <d v="2021-10-14T00:00:00"/>
    <n v="10"/>
    <x v="2"/>
    <s v="INV00000134"/>
    <s v="C00000019"/>
    <x v="18"/>
    <s v="RA Butanox M50 (5kg)"/>
    <n v="1"/>
    <s v="Cash"/>
    <x v="0"/>
    <d v="2021-10-14T00:00:00"/>
    <n v="10"/>
    <n v="2021"/>
    <n v="100"/>
    <n v="-100"/>
    <n v="0"/>
    <n v="504181.74999999994"/>
    <s v="Cash"/>
    <s v="Trsf 14/10/2021"/>
    <m/>
  </r>
  <r>
    <d v="2021-10-14T00:00:00"/>
    <n v="10"/>
    <x v="2"/>
    <s v="INV00000135"/>
    <s v="C00000009"/>
    <x v="8"/>
    <s v="RA CSM 450 TWL 60kg 64m(L) X 2080mm(W)"/>
    <n v="10"/>
    <s v="T60"/>
    <x v="3"/>
    <d v="2021-12-13T00:00:00"/>
    <n v="12"/>
    <n v="2021"/>
    <n v="5100"/>
    <n v="-5100"/>
    <n v="0"/>
    <n v="509281.74999999994"/>
    <s v="Term"/>
    <s v="Chq HLB013309 dd 260122"/>
    <m/>
  </r>
  <r>
    <d v="2021-10-15T00:00:00"/>
    <n v="10"/>
    <x v="2"/>
    <s v="INV00000136"/>
    <s v="C00000014"/>
    <x v="13"/>
    <s v="RA VE Resin (25kg)"/>
    <n v="3"/>
    <s v="Cash"/>
    <x v="0"/>
    <d v="2021-10-15T00:00:00"/>
    <n v="10"/>
    <n v="2021"/>
    <n v="2025"/>
    <n v="-2025"/>
    <n v="0"/>
    <n v="511306.74999999994"/>
    <s v="Cash"/>
    <s v="Cash 17/10/2021"/>
    <m/>
  </r>
  <r>
    <d v="2021-10-15T00:00:00"/>
    <n v="10"/>
    <x v="2"/>
    <s v="INV00000136"/>
    <s v="C00000014"/>
    <x v="13"/>
    <s v="RA CSM 450 TWL (37Kg) 1040mm"/>
    <n v="2"/>
    <s v="Cash"/>
    <x v="0"/>
    <d v="2021-10-15T00:00:00"/>
    <n v="10"/>
    <n v="2021"/>
    <n v="516"/>
    <n v="-516"/>
    <n v="0"/>
    <n v="511822.74999999994"/>
    <s v="Cash"/>
    <s v="Cash 17/10/2021"/>
    <m/>
  </r>
  <r>
    <d v="2021-10-15T00:00:00"/>
    <n v="10"/>
    <x v="2"/>
    <s v="INV00000136"/>
    <s v="C00000014"/>
    <x v="13"/>
    <s v="RA Talcum Powder (25kg)"/>
    <n v="1"/>
    <s v="Cash"/>
    <x v="0"/>
    <d v="2021-10-15T00:00:00"/>
    <n v="10"/>
    <n v="2021"/>
    <n v="55"/>
    <n v="-55"/>
    <n v="0"/>
    <n v="511877.74999999994"/>
    <s v="Cash"/>
    <s v="Cash 17/10/2021"/>
    <m/>
  </r>
  <r>
    <d v="2021-10-15T00:00:00"/>
    <n v="10"/>
    <x v="2"/>
    <s v="INV00000136"/>
    <s v="C00000014"/>
    <x v="13"/>
    <s v="RA Mepoxe M (5kg)"/>
    <n v="1"/>
    <s v="Cash"/>
    <x v="0"/>
    <d v="2021-10-15T00:00:00"/>
    <n v="10"/>
    <n v="2021"/>
    <n v="80"/>
    <n v="-80"/>
    <n v="0"/>
    <n v="511957.74999999994"/>
    <s v="Cash"/>
    <s v="Cash 17/10/2021"/>
    <m/>
  </r>
  <r>
    <d v="2021-10-15T00:00:00"/>
    <n v="10"/>
    <x v="2"/>
    <s v="INV00000137"/>
    <s v="C00000005"/>
    <x v="4"/>
    <s v="RA Resin 3317AW (220Kg)"/>
    <n v="1"/>
    <s v="Cash"/>
    <x v="0"/>
    <d v="2021-10-15T00:00:00"/>
    <n v="10"/>
    <n v="2021"/>
    <n v="1826"/>
    <n v="-1826"/>
    <n v="0"/>
    <n v="513783.74999999994"/>
    <s v="Cash"/>
    <s v="Chq CIMB 000087, cleared 3/11/2021"/>
    <m/>
  </r>
  <r>
    <d v="2021-10-15T00:00:00"/>
    <n v="10"/>
    <x v="2"/>
    <s v="INV00000137"/>
    <s v="C00000005"/>
    <x v="4"/>
    <s v="RA Butanox M50 (5kg)"/>
    <n v="1"/>
    <s v="Cash"/>
    <x v="0"/>
    <d v="2021-10-15T00:00:00"/>
    <n v="10"/>
    <n v="2021"/>
    <n v="100"/>
    <n v="-100"/>
    <n v="0"/>
    <n v="513883.74999999994"/>
    <s v="Cash"/>
    <s v="Chq CIMB 000087, cleared 3/11/2021"/>
    <m/>
  </r>
  <r>
    <d v="2021-10-15T00:00:00"/>
    <n v="10"/>
    <x v="2"/>
    <s v="INV00000138"/>
    <s v="C00000020"/>
    <x v="19"/>
    <s v="RA CSM 450 30kg 79m(L) X 1040mm(W)"/>
    <n v="2"/>
    <s v="Cash"/>
    <x v="0"/>
    <d v="2021-10-15T00:00:00"/>
    <n v="10"/>
    <n v="2021"/>
    <n v="636.4"/>
    <n v="-636.4"/>
    <n v="0"/>
    <n v="514520.14999999997"/>
    <s v="Cash"/>
    <s v="Trsf 16/10/2021"/>
    <m/>
  </r>
  <r>
    <d v="2021-10-15T00:00:00"/>
    <n v="10"/>
    <x v="2"/>
    <s v="INV00000138"/>
    <s v="C00000020"/>
    <x v="19"/>
    <s v="RA Woven Roving E-600 (45kg) 1120mm"/>
    <n v="2"/>
    <s v="Cash"/>
    <x v="0"/>
    <d v="2021-10-15T00:00:00"/>
    <n v="10"/>
    <n v="2021"/>
    <n v="675"/>
    <n v="-675"/>
    <n v="0"/>
    <n v="515195.14999999997"/>
    <s v="Cash"/>
    <s v="Trsf 16/10/2021"/>
    <m/>
  </r>
  <r>
    <d v="2021-10-18T00:00:00"/>
    <n v="10"/>
    <x v="2"/>
    <s v="INV00000139"/>
    <s v="C00000020"/>
    <x v="19"/>
    <s v="RA GP ResinW (225Kg)"/>
    <n v="2"/>
    <s v="Cash"/>
    <x v="0"/>
    <d v="2021-10-18T00:00:00"/>
    <n v="10"/>
    <n v="2021"/>
    <n v="3825"/>
    <n v="-3825"/>
    <n v="0"/>
    <n v="519020.14999999997"/>
    <s v="Cash"/>
    <s v="Trsf 1/11/2021"/>
    <m/>
  </r>
  <r>
    <d v="2021-10-18T00:00:00"/>
    <n v="10"/>
    <x v="2"/>
    <s v="INV00000139"/>
    <s v="C00000020"/>
    <x v="19"/>
    <s v="RA Nor 3338W (220Kg)"/>
    <n v="2"/>
    <s v="Cash"/>
    <x v="0"/>
    <d v="2021-10-18T00:00:00"/>
    <n v="10"/>
    <n v="2021"/>
    <n v="3740"/>
    <n v="-3740"/>
    <n v="0"/>
    <n v="522760.14999999997"/>
    <s v="Cash"/>
    <s v="Trsf 1/11/2021"/>
    <m/>
  </r>
  <r>
    <d v="2021-10-18T00:00:00"/>
    <n v="10"/>
    <x v="2"/>
    <s v="INV00000139"/>
    <s v="C00000020"/>
    <x v="19"/>
    <s v="RA CSM 450 TWL (37Kg) 1040mm"/>
    <n v="6"/>
    <s v="Cash"/>
    <x v="0"/>
    <d v="2021-10-18T00:00:00"/>
    <n v="10"/>
    <n v="2021"/>
    <n v="1909.2"/>
    <n v="-1909.2"/>
    <n v="0"/>
    <n v="524669.35"/>
    <s v="Cash"/>
    <s v="Trsf 1/11/2021"/>
    <m/>
  </r>
  <r>
    <d v="2021-10-18T00:00:00"/>
    <n v="10"/>
    <x v="2"/>
    <s v="INV00000139"/>
    <s v="C00000020"/>
    <x v="19"/>
    <s v="RA Talcum Powder (25kg)"/>
    <n v="7"/>
    <s v="Cash"/>
    <x v="0"/>
    <d v="2021-10-18T00:00:00"/>
    <n v="10"/>
    <n v="2021"/>
    <n v="437.5"/>
    <n v="-437.5"/>
    <n v="0"/>
    <n v="525106.85"/>
    <s v="Cash"/>
    <s v="Trsf 1/11/2021"/>
    <m/>
  </r>
  <r>
    <d v="2021-10-18T00:00:00"/>
    <n v="10"/>
    <x v="2"/>
    <s v="INV00000139"/>
    <s v="C00000020"/>
    <x v="19"/>
    <s v="RA Mepoxe M (5kg)"/>
    <n v="2"/>
    <s v="Cash"/>
    <x v="0"/>
    <d v="2021-10-18T00:00:00"/>
    <n v="10"/>
    <n v="2021"/>
    <n v="160"/>
    <n v="-160"/>
    <n v="0"/>
    <n v="525266.85"/>
    <s v="Cash"/>
    <s v="Trsf 1/11/2021"/>
    <m/>
  </r>
  <r>
    <d v="2021-10-18T00:00:00"/>
    <n v="10"/>
    <x v="2"/>
    <s v="INV00000139"/>
    <s v="C00000020"/>
    <x v="19"/>
    <s v="RA Woven Roving E-600 (45kg) 1120mm"/>
    <n v="9"/>
    <s v="Cash"/>
    <x v="0"/>
    <d v="2021-10-18T00:00:00"/>
    <n v="10"/>
    <n v="2021"/>
    <n v="3037.5"/>
    <n v="-3037.5"/>
    <n v="0"/>
    <n v="528304.35"/>
    <s v="Cash"/>
    <s v="Trsf 1/11/2021"/>
    <m/>
  </r>
  <r>
    <d v="2021-10-19T00:00:00"/>
    <n v="10"/>
    <x v="2"/>
    <s v="INV00000140"/>
    <s v="C00000020"/>
    <x v="19"/>
    <s v="RK Smooth Cream (25kg)"/>
    <n v="1"/>
    <s v="Cash"/>
    <x v="0"/>
    <d v="2021-10-19T00:00:00"/>
    <n v="10"/>
    <n v="2021"/>
    <n v="1000"/>
    <n v="-1000"/>
    <n v="0"/>
    <n v="529304.35"/>
    <s v="Cash"/>
    <s v="Trsf 1/11/2021"/>
    <m/>
  </r>
  <r>
    <d v="2021-10-20T00:00:00"/>
    <n v="10"/>
    <x v="2"/>
    <s v="INV00000141"/>
    <s v="C00000020"/>
    <x v="19"/>
    <s v="RA GP ResinW (225Kg)"/>
    <n v="2"/>
    <s v="Cash"/>
    <x v="0"/>
    <d v="2021-10-20T00:00:00"/>
    <n v="10"/>
    <n v="2021"/>
    <n v="3825"/>
    <n v="-3825"/>
    <n v="0"/>
    <n v="533129.35"/>
    <s v="Cash"/>
    <s v="Trsf 10/11/21"/>
    <m/>
  </r>
  <r>
    <d v="2021-10-20T00:00:00"/>
    <n v="10"/>
    <x v="2"/>
    <s v="INV00000141"/>
    <s v="C00000020"/>
    <x v="19"/>
    <s v="RA Nor 3338W (220Kg)"/>
    <n v="1"/>
    <s v="Cash"/>
    <x v="0"/>
    <d v="2021-10-20T00:00:00"/>
    <n v="10"/>
    <n v="2021"/>
    <n v="1870"/>
    <n v="-1870"/>
    <n v="0"/>
    <n v="534999.35"/>
    <s v="Cash"/>
    <s v="Trsf 10/11/21"/>
    <m/>
  </r>
  <r>
    <d v="2021-10-20T00:00:00"/>
    <n v="10"/>
    <x v="2"/>
    <s v="INV00000141"/>
    <s v="C00000020"/>
    <x v="19"/>
    <s v="RA CSM 450 TWL (37Kg) 1040mm"/>
    <n v="12"/>
    <s v="Cash"/>
    <x v="0"/>
    <d v="2021-10-20T00:00:00"/>
    <n v="10"/>
    <n v="2021"/>
    <n v="3818.4"/>
    <n v="-3818.4"/>
    <n v="0"/>
    <n v="538817.75"/>
    <s v="Cash"/>
    <s v="Trsf 10/11/21"/>
    <m/>
  </r>
  <r>
    <d v="2021-10-20T00:00:00"/>
    <n v="10"/>
    <x v="2"/>
    <s v="INV00000141"/>
    <s v="C00000020"/>
    <x v="19"/>
    <s v="RA Mepoxe M (5kg)"/>
    <n v="2"/>
    <s v="Cash"/>
    <x v="0"/>
    <d v="2021-10-20T00:00:00"/>
    <n v="10"/>
    <n v="2021"/>
    <n v="160"/>
    <n v="-160"/>
    <n v="0"/>
    <n v="538977.75"/>
    <s v="Cash"/>
    <s v="Trsf 10/11/21"/>
    <m/>
  </r>
  <r>
    <d v="2021-10-23T00:00:00"/>
    <n v="10"/>
    <x v="2"/>
    <s v="INV00000142"/>
    <s v="C00000008"/>
    <x v="7"/>
    <s v="RA Resin 3317AW (220Kg)"/>
    <n v="1"/>
    <s v="Cash"/>
    <x v="0"/>
    <d v="2021-10-23T00:00:00"/>
    <n v="10"/>
    <n v="2021"/>
    <n v="1892"/>
    <n v="-1892"/>
    <n v="0"/>
    <n v="540869.75"/>
    <s v="Cash"/>
    <s v="Trsf 25/10/21"/>
    <m/>
  </r>
  <r>
    <d v="2021-10-23T00:00:00"/>
    <n v="10"/>
    <x v="2"/>
    <s v="INV00000142"/>
    <s v="C00000008"/>
    <x v="7"/>
    <s v="RA CSM 450 30kg 79m(L) X 1040mm(W)"/>
    <n v="2"/>
    <s v="Cash"/>
    <x v="0"/>
    <d v="2021-10-23T00:00:00"/>
    <n v="10"/>
    <n v="2021"/>
    <n v="510"/>
    <n v="-510"/>
    <n v="0"/>
    <n v="541379.75"/>
    <s v="Cash"/>
    <s v="Trsf 25/10/21"/>
    <m/>
  </r>
  <r>
    <d v="2021-10-23T00:00:00"/>
    <n v="10"/>
    <x v="2"/>
    <s v="INV00000142"/>
    <s v="C00000008"/>
    <x v="7"/>
    <s v="RA Gelcoat GP-H (20Kg)"/>
    <n v="4"/>
    <s v="Cash"/>
    <x v="0"/>
    <d v="2021-10-23T00:00:00"/>
    <n v="10"/>
    <n v="2021"/>
    <n v="960"/>
    <n v="-960"/>
    <n v="0"/>
    <n v="542339.75"/>
    <s v="Cash"/>
    <s v="Trsf 25/10/21"/>
    <m/>
  </r>
  <r>
    <d v="2021-10-26T00:00:00"/>
    <n v="10"/>
    <x v="2"/>
    <s v="INV00000143"/>
    <s v="C00000001"/>
    <x v="0"/>
    <s v="RA Resin 3317AW (220Kg)"/>
    <n v="2"/>
    <s v="Cash"/>
    <x v="0"/>
    <d v="2021-10-26T00:00:00"/>
    <n v="10"/>
    <n v="2021"/>
    <n v="3740"/>
    <n v="-3740"/>
    <n v="0"/>
    <n v="546079.75"/>
    <s v="Cash"/>
    <s v="Trsf 27/10/21"/>
    <m/>
  </r>
  <r>
    <d v="2021-10-26T00:00:00"/>
    <n v="10"/>
    <x v="2"/>
    <s v="INV00000143"/>
    <s v="C00000001"/>
    <x v="0"/>
    <s v="RA CSM 450 30kg 79m(L) X 1040mm(W)"/>
    <n v="8"/>
    <s v="Cash"/>
    <x v="0"/>
    <d v="2021-10-26T00:00:00"/>
    <n v="10"/>
    <n v="2021"/>
    <n v="2516"/>
    <n v="-2516"/>
    <n v="0"/>
    <n v="548595.75"/>
    <s v="Cash"/>
    <s v="Trsf 27/10/21"/>
    <m/>
  </r>
  <r>
    <d v="2021-10-26T00:00:00"/>
    <n v="10"/>
    <x v="2"/>
    <s v="INV00000143"/>
    <s v="C00000001"/>
    <x v="0"/>
    <s v="RA Butanox M50 (5kg)"/>
    <n v="4"/>
    <s v="Cash"/>
    <x v="0"/>
    <d v="2021-10-26T00:00:00"/>
    <n v="10"/>
    <n v="2021"/>
    <n v="400"/>
    <n v="-400"/>
    <n v="0"/>
    <n v="548995.75"/>
    <s v="Cash"/>
    <s v="Trsf 27/10/21"/>
    <m/>
  </r>
  <r>
    <d v="2021-10-26T00:00:00"/>
    <n v="10"/>
    <x v="2"/>
    <s v="INV00000143"/>
    <s v="C00000001"/>
    <x v="0"/>
    <s v="RA Styrene Monomer (6Kg)"/>
    <n v="1"/>
    <s v="Cash"/>
    <x v="0"/>
    <d v="2021-10-26T00:00:00"/>
    <n v="10"/>
    <n v="2021"/>
    <n v="0"/>
    <n v="0"/>
    <n v="0"/>
    <n v="548995.75"/>
    <s v="Cash"/>
    <m/>
    <m/>
  </r>
  <r>
    <d v="2021-10-26T00:00:00"/>
    <n v="10"/>
    <x v="2"/>
    <s v="INV00000144"/>
    <s v="C00000020"/>
    <x v="19"/>
    <s v="RA Resin 3317AW (220Kg)"/>
    <n v="2"/>
    <s v="Cash"/>
    <x v="0"/>
    <d v="2021-10-26T00:00:00"/>
    <n v="10"/>
    <n v="2021"/>
    <n v="3916"/>
    <n v="-3916"/>
    <n v="0"/>
    <n v="552911.75"/>
    <s v="Cash"/>
    <s v="Trsf 13/11/21, RM7,000.00"/>
    <m/>
  </r>
  <r>
    <d v="2021-10-26T00:00:00"/>
    <n v="10"/>
    <x v="2"/>
    <s v="INV00000144"/>
    <s v="C00000020"/>
    <x v="19"/>
    <s v="RA Nor 3338W (220Kg)"/>
    <n v="2"/>
    <s v="Cash"/>
    <x v="0"/>
    <d v="2021-10-26T00:00:00"/>
    <n v="10"/>
    <n v="2021"/>
    <n v="3916"/>
    <n v="-3916"/>
    <n v="0"/>
    <n v="556827.75"/>
    <s v="Cash"/>
    <s v="Trsf 13/11/21-RM7,000.00 (3,084.00partial), Trsf 26/11/21-RM3,000.00 (832.00partial)"/>
    <m/>
  </r>
  <r>
    <d v="2021-10-26T00:00:00"/>
    <n v="10"/>
    <x v="2"/>
    <s v="INV00000144"/>
    <s v="C00000020"/>
    <x v="19"/>
    <s v="RA CSM 450 30kg 79m(L) X 1040mm(W)"/>
    <n v="14"/>
    <s v="Cash"/>
    <x v="0"/>
    <d v="2021-10-26T00:00:00"/>
    <n v="10"/>
    <n v="2021"/>
    <n v="4610.2"/>
    <n v="-4610.2"/>
    <n v="0"/>
    <n v="561437.94999999995"/>
    <s v="Cash"/>
    <s v="Trsf 26/11/21-RM3,000.00 (2,168.00partial), Trsf 10/12/21-RM20,000.00 (2,442.20partial)"/>
    <m/>
  </r>
  <r>
    <d v="2021-10-26T00:00:00"/>
    <n v="10"/>
    <x v="2"/>
    <s v="INV00000144"/>
    <s v="C00000020"/>
    <x v="19"/>
    <s v="RA Talcum Powder (25kg)"/>
    <n v="6"/>
    <s v="Cash"/>
    <x v="0"/>
    <d v="2021-10-26T00:00:00"/>
    <n v="10"/>
    <n v="2021"/>
    <n v="375"/>
    <n v="-375"/>
    <n v="0"/>
    <n v="561812.94999999995"/>
    <s v="Cash"/>
    <s v="Trsf 10/12/21-RM20,000.00"/>
    <m/>
  </r>
  <r>
    <d v="2021-10-26T00:00:00"/>
    <n v="10"/>
    <x v="2"/>
    <s v="INV00000144"/>
    <s v="C00000020"/>
    <x v="19"/>
    <s v="RA Woven Roving E-600 (45kg) 1120mm"/>
    <n v="9"/>
    <s v="Cash"/>
    <x v="0"/>
    <d v="2021-10-26T00:00:00"/>
    <n v="10"/>
    <n v="2021"/>
    <n v="3159"/>
    <n v="-3159"/>
    <n v="0"/>
    <n v="564971.94999999995"/>
    <s v="Cash"/>
    <s v="Trsf 10/12/21-RM20,000.00"/>
    <m/>
  </r>
  <r>
    <d v="2021-10-26T00:00:00"/>
    <n v="10"/>
    <x v="2"/>
    <s v="INV00000144"/>
    <s v="C00000020"/>
    <x v="19"/>
    <s v="RK Smooth Cream (25kg)"/>
    <n v="1"/>
    <s v="Cash"/>
    <x v="0"/>
    <d v="2021-10-26T00:00:00"/>
    <n v="10"/>
    <n v="2021"/>
    <n v="1000"/>
    <n v="-1000"/>
    <n v="0"/>
    <n v="565971.94999999995"/>
    <s v="Cash"/>
    <s v="Trsf 10/12/21-RM20,000.00"/>
    <m/>
  </r>
  <r>
    <d v="2021-10-28T00:00:00"/>
    <n v="10"/>
    <x v="2"/>
    <s v="INV00000145"/>
    <s v="C00000008"/>
    <x v="7"/>
    <s v="RA CSM 450 30kg 79m(L) X 1040mm(W)"/>
    <n v="2"/>
    <s v="Cash"/>
    <x v="0"/>
    <d v="2021-10-28T00:00:00"/>
    <n v="10"/>
    <n v="2021"/>
    <n v="510"/>
    <n v="-510"/>
    <n v="0"/>
    <n v="566481.94999999995"/>
    <s v="Cash"/>
    <s v="Trsf 21/1/2022, RM4,006.00"/>
    <m/>
  </r>
  <r>
    <d v="2021-10-27T00:00:00"/>
    <n v="10"/>
    <x v="2"/>
    <s v="INV00000146"/>
    <s v="C00000020"/>
    <x v="19"/>
    <s v="RA Resin 3317AW (220Kg)"/>
    <n v="3"/>
    <s v="Cash"/>
    <x v="0"/>
    <d v="2021-10-27T00:00:00"/>
    <n v="10"/>
    <n v="2021"/>
    <n v="5874"/>
    <n v="-5874"/>
    <n v="0"/>
    <n v="572355.94999999995"/>
    <s v="Cash"/>
    <s v="Trsf 10/12/21-RM20,000.00"/>
    <m/>
  </r>
  <r>
    <d v="2021-10-28T00:00:00"/>
    <n v="10"/>
    <x v="2"/>
    <s v="INV00000147"/>
    <s v="C00000010"/>
    <x v="9"/>
    <s v="RA Resin 3338AW (220kg)"/>
    <n v="6"/>
    <s v="T120"/>
    <x v="4"/>
    <d v="2022-02-25T00:00:00"/>
    <n v="2"/>
    <n v="2022"/>
    <n v="11748"/>
    <n v="-11748"/>
    <n v="0"/>
    <n v="584103.94999999995"/>
    <s v="Term"/>
    <s v="Trsf 10/2/2022 RM35,864.00"/>
    <m/>
  </r>
  <r>
    <d v="2021-10-28T00:00:00"/>
    <n v="10"/>
    <x v="2"/>
    <s v="INV00000147"/>
    <s v="C00000010"/>
    <x v="9"/>
    <s v="RA CSM 450 37kg 79m(L) X 1040mm(W)"/>
    <n v="6"/>
    <s v="T120"/>
    <x v="4"/>
    <d v="2022-02-25T00:00:00"/>
    <n v="2"/>
    <n v="2022"/>
    <n v="1975.8"/>
    <n v="-1975.8"/>
    <n v="0"/>
    <n v="586079.75"/>
    <s v="Term"/>
    <s v="Trsf 10/2/2022 RM35,864.00"/>
    <m/>
  </r>
  <r>
    <d v="2021-10-28T00:00:00"/>
    <n v="10"/>
    <x v="2"/>
    <s v="INV00000148"/>
    <s v="C00000019"/>
    <x v="18"/>
    <s v="RE Frekote 770NC (1 Gallon)"/>
    <n v="2"/>
    <s v="Cash"/>
    <x v="0"/>
    <d v="2021-10-28T00:00:00"/>
    <n v="10"/>
    <n v="2021"/>
    <n v="720"/>
    <n v="-720"/>
    <n v="0"/>
    <n v="586799.75"/>
    <s v="Cash"/>
    <s v="Trsf 30/10/21"/>
    <m/>
  </r>
  <r>
    <d v="2021-10-30T00:00:00"/>
    <n v="10"/>
    <x v="2"/>
    <s v="INV00000149"/>
    <s v="C00000010"/>
    <x v="9"/>
    <s v="RA Resin 3338AW (220kg)"/>
    <n v="4"/>
    <s v="T120"/>
    <x v="4"/>
    <d v="2022-02-27T00:00:00"/>
    <n v="2"/>
    <n v="2022"/>
    <n v="7832"/>
    <n v="-7832"/>
    <n v="0"/>
    <n v="594631.75"/>
    <s v="Term"/>
    <s v="Trsf 10/2/2022 RM35,864.00"/>
    <m/>
  </r>
  <r>
    <d v="2021-10-30T00:00:00"/>
    <n v="10"/>
    <x v="2"/>
    <s v="INV00000149"/>
    <s v="C00000010"/>
    <x v="9"/>
    <s v="RA CSM 450 37kg 79m(L) X 1040mm(W)"/>
    <n v="4"/>
    <s v="T120"/>
    <x v="4"/>
    <d v="2022-02-27T00:00:00"/>
    <n v="2"/>
    <n v="2022"/>
    <n v="1317.2"/>
    <n v="-1317.2"/>
    <n v="0"/>
    <n v="595948.94999999995"/>
    <s v="Term"/>
    <s v="Trsf 10/2/2022 RM35,864.00"/>
    <m/>
  </r>
  <r>
    <d v="2021-10-30T00:00:00"/>
    <n v="10"/>
    <x v="2"/>
    <s v="INV00000149"/>
    <s v="C00000010"/>
    <x v="9"/>
    <s v="RA Talcum Powder (25kg)"/>
    <n v="10"/>
    <s v="T120"/>
    <x v="4"/>
    <d v="2022-02-27T00:00:00"/>
    <n v="2"/>
    <n v="2022"/>
    <n v="550"/>
    <n v="-550"/>
    <n v="0"/>
    <n v="596498.94999999995"/>
    <s v="Term"/>
    <s v="Trsf 10/2/2022 RM35,864.00"/>
    <m/>
  </r>
  <r>
    <d v="2021-10-30T00:00:00"/>
    <n v="10"/>
    <x v="2"/>
    <s v="INV00000149"/>
    <s v="C00000010"/>
    <x v="9"/>
    <s v="RA Mepoxe M (5kg)"/>
    <n v="4"/>
    <s v="T120"/>
    <x v="4"/>
    <d v="2022-02-27T00:00:00"/>
    <n v="2"/>
    <n v="2022"/>
    <n v="320"/>
    <n v="-320"/>
    <n v="0"/>
    <n v="596818.94999999995"/>
    <s v="Term"/>
    <s v="Trsf 10/2/2022 RM35,864.00"/>
    <m/>
  </r>
  <r>
    <d v="2021-11-01T00:00:00"/>
    <n v="11"/>
    <x v="2"/>
    <s v="INV00000150"/>
    <s v="C00000005"/>
    <x v="4"/>
    <s v="RA CSM 450 37kg 79m(L) X 1040mm(W)"/>
    <n v="1"/>
    <s v="Cash"/>
    <x v="0"/>
    <d v="2021-11-01T00:00:00"/>
    <n v="11"/>
    <n v="2021"/>
    <n v="340.4"/>
    <n v="-340.4"/>
    <n v="0"/>
    <n v="597159.35"/>
    <s v="Cash"/>
    <s v="Chq 000090, cleared 19/11/21"/>
    <m/>
  </r>
  <r>
    <d v="2021-11-01T00:00:00"/>
    <n v="11"/>
    <x v="2"/>
    <s v="INV00000150"/>
    <s v="C00000005"/>
    <x v="4"/>
    <s v="RA Pigment Black (1kg)"/>
    <n v="1"/>
    <s v="Cash"/>
    <x v="0"/>
    <d v="2021-11-01T00:00:00"/>
    <n v="11"/>
    <n v="2021"/>
    <n v="40"/>
    <n v="-40"/>
    <n v="0"/>
    <n v="597199.35"/>
    <s v="Cash"/>
    <s v="Chq 000090, cleared 19/11/21"/>
    <m/>
  </r>
  <r>
    <d v="2021-11-02T00:00:00"/>
    <n v="11"/>
    <x v="2"/>
    <s v="INV00000151"/>
    <s v="C00000019"/>
    <x v="18"/>
    <s v="RA Resin 3338AW (220kg)"/>
    <n v="2"/>
    <s v="Cash"/>
    <x v="0"/>
    <d v="2021-11-02T00:00:00"/>
    <n v="11"/>
    <n v="2021"/>
    <n v="3960"/>
    <n v="-3960"/>
    <n v="0"/>
    <n v="601159.35"/>
    <s v="Cash"/>
    <s v="Trsf 3/11/21"/>
    <m/>
  </r>
  <r>
    <d v="2021-11-02T00:00:00"/>
    <n v="11"/>
    <x v="2"/>
    <s v="INV00000151"/>
    <s v="C00000019"/>
    <x v="18"/>
    <s v="RA Talcum Powder (25kg)"/>
    <n v="6"/>
    <s v="Cash"/>
    <x v="0"/>
    <d v="2021-11-02T00:00:00"/>
    <n v="11"/>
    <n v="2021"/>
    <n v="360"/>
    <n v="-360"/>
    <n v="0"/>
    <n v="601519.35"/>
    <s v="Cash"/>
    <s v="Trsf 3/11/21"/>
    <m/>
  </r>
  <r>
    <d v="2021-11-02T00:00:00"/>
    <n v="11"/>
    <x v="2"/>
    <s v="INV00000151"/>
    <s v="C00000019"/>
    <x v="18"/>
    <s v="RA Aerosil (Silica Fume) (10Kg)"/>
    <n v="1"/>
    <s v="Cash"/>
    <x v="0"/>
    <d v="2021-11-02T00:00:00"/>
    <n v="11"/>
    <n v="2021"/>
    <n v="440"/>
    <n v="-440"/>
    <n v="0"/>
    <n v="601959.35"/>
    <s v="Cash"/>
    <s v="Trsf 3/11/21"/>
    <m/>
  </r>
  <r>
    <d v="2021-11-02T00:00:00"/>
    <n v="11"/>
    <x v="2"/>
    <s v="INV00000151"/>
    <s v="C00000019"/>
    <x v="18"/>
    <s v="RE Frekote 770NC (1 Gallon)"/>
    <n v="1"/>
    <s v="Cash"/>
    <x v="0"/>
    <d v="2021-11-02T00:00:00"/>
    <n v="11"/>
    <n v="2021"/>
    <n v="360"/>
    <n v="-360"/>
    <n v="0"/>
    <n v="602319.35"/>
    <s v="Cash"/>
    <s v="Trsf 3/11/21"/>
    <m/>
  </r>
  <r>
    <d v="2021-11-02T00:00:00"/>
    <n v="11"/>
    <x v="2"/>
    <s v="INV00000152"/>
    <s v="C00000003"/>
    <x v="2"/>
    <s v="RF Resin 3317AW (220Kg)"/>
    <n v="1"/>
    <s v="T45"/>
    <x v="1"/>
    <d v="2021-12-17T00:00:00"/>
    <n v="12"/>
    <n v="2021"/>
    <n v="2024"/>
    <n v="-2024"/>
    <n v="0"/>
    <n v="604343.35"/>
    <s v="Cash"/>
    <s v="RHB 001453cleared20/12/21-RM1,500(684.00partial), RHB 001454cleared27/12/21-RM1,500.00 (1,340.00partial)"/>
    <m/>
  </r>
  <r>
    <d v="2021-11-02T00:00:00"/>
    <n v="11"/>
    <x v="2"/>
    <s v="INV00000152"/>
    <s v="C00000003"/>
    <x v="2"/>
    <s v="RA Mepoxe M (5kg)"/>
    <n v="2"/>
    <s v="T45"/>
    <x v="1"/>
    <d v="2021-12-17T00:00:00"/>
    <n v="12"/>
    <n v="2021"/>
    <n v="160"/>
    <n v="-160"/>
    <n v="0"/>
    <n v="604503.35"/>
    <s v="Cash"/>
    <s v="RHB 001454cleared27/12/21-RM1,500.00 (160.00partial)"/>
    <m/>
  </r>
  <r>
    <d v="2021-11-03T00:00:00"/>
    <n v="11"/>
    <x v="2"/>
    <s v="INV00000153"/>
    <s v="C00000020"/>
    <x v="19"/>
    <s v="RA Resin 3317AW (220Kg)"/>
    <n v="2"/>
    <s v="Cash"/>
    <x v="0"/>
    <d v="2021-11-03T00:00:00"/>
    <n v="11"/>
    <n v="2021"/>
    <n v="4048"/>
    <n v="-4048"/>
    <n v="0"/>
    <n v="608551.35"/>
    <s v="Cash"/>
    <s v="Trsf 10/12/21-RM20,000.00"/>
    <m/>
  </r>
  <r>
    <d v="2021-11-03T00:00:00"/>
    <n v="11"/>
    <x v="2"/>
    <s v="INV00000153"/>
    <s v="C00000020"/>
    <x v="19"/>
    <s v="RA Nor 3338W (220Kg)"/>
    <n v="3"/>
    <s v="Cash"/>
    <x v="0"/>
    <d v="2021-11-03T00:00:00"/>
    <n v="11"/>
    <n v="2021"/>
    <n v="6072"/>
    <n v="-6072"/>
    <n v="0"/>
    <n v="614623.35"/>
    <s v="Cash"/>
    <s v="Trsf 10/12/21-RM20,000.00 (3,101.80partial), Trsf 20/12/21-RM10,000.00 (2,970.20partial)"/>
    <m/>
  </r>
  <r>
    <d v="2021-11-03T00:00:00"/>
    <n v="11"/>
    <x v="2"/>
    <s v="INV00000153"/>
    <s v="C00000020"/>
    <x v="19"/>
    <s v="RA CSM 450 37kg 79m(L) X 1040mm(W)"/>
    <n v="15"/>
    <s v="Cash"/>
    <x v="0"/>
    <d v="2021-11-03T00:00:00"/>
    <n v="11"/>
    <n v="2021"/>
    <n v="5106"/>
    <n v="-5106"/>
    <n v="0"/>
    <n v="619729.35"/>
    <s v="Cash"/>
    <s v="Trsf 20/12/21-RM10,000.00"/>
    <m/>
  </r>
  <r>
    <d v="2021-11-03T00:00:00"/>
    <n v="11"/>
    <x v="2"/>
    <s v="INV00000153"/>
    <s v="C00000020"/>
    <x v="19"/>
    <s v="RA Talcum Powder (25kg)"/>
    <n v="5"/>
    <s v="Cash"/>
    <x v="0"/>
    <d v="2021-11-03T00:00:00"/>
    <n v="11"/>
    <n v="2021"/>
    <n v="312.5"/>
    <n v="-312.5"/>
    <n v="0"/>
    <n v="620041.85"/>
    <s v="Cash"/>
    <s v="Trsf 20/12/21-RM10,000.00"/>
    <m/>
  </r>
  <r>
    <d v="2021-11-03T00:00:00"/>
    <n v="11"/>
    <x v="2"/>
    <s v="INV00000153"/>
    <s v="C00000020"/>
    <x v="19"/>
    <s v="RA Woven Roving E-600 (45kg) 1120mm"/>
    <n v="9"/>
    <s v="Cash"/>
    <x v="0"/>
    <d v="2021-11-03T00:00:00"/>
    <n v="11"/>
    <n v="2021"/>
    <n v="3159"/>
    <n v="-3159"/>
    <n v="0"/>
    <n v="623200.85"/>
    <s v="Cash"/>
    <s v="Trsf 20/12/21-RM10,000.00 (1,611.30patial), Trsf 29/12/21-RM12,500.00 (1,547.70patial)"/>
    <m/>
  </r>
  <r>
    <d v="2021-11-03T00:00:00"/>
    <n v="11"/>
    <x v="2"/>
    <s v="INV00000153"/>
    <s v="C00000020"/>
    <x v="19"/>
    <s v="RA Mepoxe M (5kg)"/>
    <n v="4"/>
    <s v="Cash"/>
    <x v="0"/>
    <d v="2021-11-03T00:00:00"/>
    <n v="11"/>
    <n v="2021"/>
    <n v="320"/>
    <n v="-320"/>
    <n v="0"/>
    <n v="623520.85"/>
    <s v="Cash"/>
    <s v="Trsf 29/12/21-RM12,500.00 (320.00partial)"/>
    <m/>
  </r>
  <r>
    <d v="2021-11-03T00:00:00"/>
    <n v="11"/>
    <x v="2"/>
    <s v="INV00000154"/>
    <s v="C00000010"/>
    <x v="9"/>
    <s v="RA Talcum Powder (25kg)"/>
    <n v="5"/>
    <s v="T120"/>
    <x v="4"/>
    <d v="2022-03-03T00:00:00"/>
    <n v="3"/>
    <n v="2022"/>
    <n v="275"/>
    <n v="-275"/>
    <n v="0"/>
    <n v="623795.85"/>
    <s v="Term"/>
    <s v="Trsf 15/2/2022 RM16,388.00"/>
    <m/>
  </r>
  <r>
    <d v="2021-11-03T00:00:00"/>
    <n v="11"/>
    <x v="2"/>
    <s v="INV00000154"/>
    <s v="C00000010"/>
    <x v="9"/>
    <s v="RA Mepoxe M (5kg)"/>
    <n v="4"/>
    <s v="T120"/>
    <x v="4"/>
    <d v="2022-03-03T00:00:00"/>
    <n v="3"/>
    <n v="2022"/>
    <n v="320"/>
    <n v="-320"/>
    <n v="0"/>
    <n v="624115.85"/>
    <s v="Term"/>
    <s v="Trsf 15/2/2022 RM16,388.00"/>
    <m/>
  </r>
  <r>
    <d v="2021-11-03T00:00:00"/>
    <n v="11"/>
    <x v="2"/>
    <s v="INV00000154"/>
    <s v="C00000010"/>
    <x v="9"/>
    <s v="RA Aerosil (Silica Fume) (10Kg)"/>
    <n v="3"/>
    <s v="T120"/>
    <x v="4"/>
    <d v="2022-03-03T00:00:00"/>
    <n v="3"/>
    <n v="2022"/>
    <n v="1320"/>
    <n v="-1320"/>
    <n v="0"/>
    <n v="625435.85"/>
    <s v="Term"/>
    <s v="Trsf 15/2/2022 RM16,388.00"/>
    <m/>
  </r>
  <r>
    <d v="2021-11-03T00:00:00"/>
    <n v="11"/>
    <x v="2"/>
    <s v="INV00000154"/>
    <s v="C00000010"/>
    <x v="9"/>
    <s v="RD Paint Brush 3&quot;(12Pc/Ctr)"/>
    <n v="4"/>
    <s v="T120"/>
    <x v="4"/>
    <d v="2022-03-03T00:00:00"/>
    <n v="3"/>
    <n v="2022"/>
    <n v="220"/>
    <n v="-220"/>
    <n v="0"/>
    <n v="625655.85"/>
    <s v="Term"/>
    <s v="Trsf 15/2/2022 RM16,388.00"/>
    <m/>
  </r>
  <r>
    <d v="2021-11-06T00:00:00"/>
    <n v="11"/>
    <x v="2"/>
    <s v="INV00000155"/>
    <s v="C00000020"/>
    <x v="19"/>
    <s v="RA Resin 3317AW (220Kg)"/>
    <n v="2"/>
    <s v="Cash"/>
    <x v="0"/>
    <d v="2021-11-06T00:00:00"/>
    <n v="11"/>
    <n v="2021"/>
    <n v="4048"/>
    <n v="-4048"/>
    <n v="0"/>
    <n v="629703.85"/>
    <s v="Cash"/>
    <s v="Trsf 29/12/21-RM12,500.00 (4,048.00partial)"/>
    <m/>
  </r>
  <r>
    <d v="2021-11-06T00:00:00"/>
    <n v="11"/>
    <x v="2"/>
    <s v="INV00000155"/>
    <s v="C00000020"/>
    <x v="19"/>
    <s v="RA Nor 3338W (220Kg)"/>
    <n v="3"/>
    <s v="Cash"/>
    <x v="0"/>
    <d v="2021-11-06T00:00:00"/>
    <n v="11"/>
    <n v="2021"/>
    <n v="6072"/>
    <n v="-6072"/>
    <n v="0"/>
    <n v="635775.85"/>
    <s v="Cash"/>
    <s v="Trsf 29/12/21-RM12,500.00 (6,072.00patial)"/>
    <m/>
  </r>
  <r>
    <d v="2021-11-06T00:00:00"/>
    <n v="11"/>
    <x v="2"/>
    <s v="INV00000155"/>
    <s v="C00000020"/>
    <x v="19"/>
    <s v="RA CSM 450 37kg 79m(L) X 1040mm(W)"/>
    <n v="15"/>
    <s v="Cash"/>
    <x v="0"/>
    <d v="2021-11-06T00:00:00"/>
    <n v="11"/>
    <n v="2021"/>
    <n v="5106"/>
    <n v="-5106"/>
    <n v="0"/>
    <n v="640881.85"/>
    <s v="Cash"/>
    <s v="Trsf 29/12/21-RM12,500.00 (512.30partial), Trsf 13/1/21-37,500.00 (4,593.70patial)"/>
    <m/>
  </r>
  <r>
    <d v="2021-11-06T00:00:00"/>
    <n v="11"/>
    <x v="2"/>
    <s v="INV00000155"/>
    <s v="C00000020"/>
    <x v="19"/>
    <s v="RA Talcum Powder (25kg)"/>
    <n v="5"/>
    <s v="Cash"/>
    <x v="0"/>
    <d v="2021-11-06T00:00:00"/>
    <n v="11"/>
    <n v="2021"/>
    <n v="312.5"/>
    <n v="-312.5"/>
    <n v="0"/>
    <n v="641194.35"/>
    <s v="Cash"/>
    <s v="Trsf 13/1/21-37,500.00 "/>
    <m/>
  </r>
  <r>
    <d v="2021-11-06T00:00:00"/>
    <n v="11"/>
    <x v="2"/>
    <s v="INV00000155"/>
    <s v="C00000020"/>
    <x v="19"/>
    <s v="RA Woven Roving E-600 (45kg) 1120mm"/>
    <n v="7"/>
    <s v="Cash"/>
    <x v="0"/>
    <d v="2021-11-06T00:00:00"/>
    <n v="11"/>
    <n v="2021"/>
    <n v="2457"/>
    <n v="-2457"/>
    <n v="0"/>
    <n v="643651.35"/>
    <s v="Cash"/>
    <s v="Trsf 13/1/21-37,500.00 "/>
    <m/>
  </r>
  <r>
    <d v="2021-11-06T00:00:00"/>
    <n v="11"/>
    <x v="2"/>
    <s v="INV00000155"/>
    <s v="C00000020"/>
    <x v="19"/>
    <s v="RA Mepoxe M (5kg)"/>
    <n v="4"/>
    <s v="Cash"/>
    <x v="0"/>
    <d v="2021-11-06T00:00:00"/>
    <n v="11"/>
    <n v="2021"/>
    <n v="320"/>
    <n v="-320"/>
    <n v="0"/>
    <n v="643971.35"/>
    <s v="Cash"/>
    <s v="Trsf 13/1/21-37,500.00 "/>
    <m/>
  </r>
  <r>
    <d v="2021-11-06T00:00:00"/>
    <n v="11"/>
    <x v="2"/>
    <s v="INV00000155"/>
    <s v="C00000020"/>
    <x v="19"/>
    <s v="RK Smooth Cream (25kg)"/>
    <n v="1"/>
    <s v="Cash"/>
    <x v="0"/>
    <d v="2021-11-06T00:00:00"/>
    <n v="11"/>
    <n v="2021"/>
    <n v="1000"/>
    <n v="-1000"/>
    <n v="0"/>
    <n v="644971.35"/>
    <s v="Cash"/>
    <s v="Trsf 13/1/21-37,500.00 "/>
    <m/>
  </r>
  <r>
    <d v="2021-11-08T00:00:00"/>
    <n v="11"/>
    <x v="2"/>
    <s v="INV00000156"/>
    <s v="C00000010"/>
    <x v="9"/>
    <s v="RA Resin 3338AW (220kg)"/>
    <n v="6"/>
    <s v="T120"/>
    <x v="4"/>
    <d v="2022-03-08T00:00:00"/>
    <n v="3"/>
    <n v="2022"/>
    <n v="12144"/>
    <n v="-12144"/>
    <n v="0"/>
    <n v="657115.35"/>
    <s v="Term"/>
    <s v="Trsf 15/2/2022 RM16,388.00"/>
    <m/>
  </r>
  <r>
    <d v="2021-11-08T00:00:00"/>
    <n v="11"/>
    <x v="2"/>
    <s v="INV00000156"/>
    <s v="C00000010"/>
    <x v="9"/>
    <s v="RA CSM 450 37kg 79m(L) X 1040mm(W)"/>
    <n v="6"/>
    <s v="T120"/>
    <x v="4"/>
    <d v="2022-03-08T00:00:00"/>
    <n v="3"/>
    <n v="2022"/>
    <n v="2109"/>
    <n v="-2109"/>
    <n v="0"/>
    <n v="659224.35"/>
    <s v="Term"/>
    <s v="Trsf 15/2/2022 RM16,388.00"/>
    <m/>
  </r>
  <r>
    <d v="2021-11-09T00:00:00"/>
    <n v="11"/>
    <x v="2"/>
    <s v="INV00000157"/>
    <s v="CA1"/>
    <x v="20"/>
    <s v="RA Resin 3317AW (20Kg)"/>
    <n v="1"/>
    <s v="Cash"/>
    <x v="0"/>
    <d v="2021-11-09T00:00:00"/>
    <n v="11"/>
    <n v="2021"/>
    <n v="240"/>
    <n v="-240"/>
    <n v="0"/>
    <n v="659464.35"/>
    <s v="Cash"/>
    <s v="Cash in 9/11/21"/>
    <m/>
  </r>
  <r>
    <d v="2021-11-10T00:00:00"/>
    <n v="11"/>
    <x v="2"/>
    <s v="INV00000158"/>
    <s v="C00000021"/>
    <x v="21"/>
    <s v="RA Resin 3317AW (220Kg)"/>
    <n v="1"/>
    <s v="Cash"/>
    <x v="0"/>
    <d v="2021-11-10T00:00:00"/>
    <n v="11"/>
    <n v="2021"/>
    <n v="2024"/>
    <n v="-2024"/>
    <n v="0"/>
    <n v="661488.35"/>
    <s v="Cash"/>
    <s v="Chq PBB 395353, dd 301121"/>
    <m/>
  </r>
  <r>
    <d v="2021-11-11T00:00:00"/>
    <n v="11"/>
    <x v="2"/>
    <s v="INV00000159"/>
    <s v="C00000020"/>
    <x v="19"/>
    <s v="RA Resin 3338AW (220kg)"/>
    <n v="10"/>
    <s v="Cash"/>
    <x v="0"/>
    <d v="2021-11-11T00:00:00"/>
    <n v="11"/>
    <n v="2021"/>
    <n v="20680"/>
    <n v="-20680"/>
    <n v="0"/>
    <n v="682168.35"/>
    <s v="Cash"/>
    <s v="Trsf 13/1/21-37,500.00 "/>
    <m/>
  </r>
  <r>
    <d v="2021-11-11T00:00:00"/>
    <n v="11"/>
    <x v="2"/>
    <s v="INV00000159"/>
    <s v="C00000020"/>
    <x v="19"/>
    <s v="RA CSM 450 37kg 79m(L) X 1040mm(W)"/>
    <n v="15"/>
    <s v="Cash"/>
    <x v="0"/>
    <d v="2021-11-11T00:00:00"/>
    <n v="11"/>
    <n v="2021"/>
    <n v="5328"/>
    <n v="-5328"/>
    <n v="0"/>
    <n v="687496.35"/>
    <s v="Cash"/>
    <s v="Trsf 13/1/21-37,500.00 "/>
    <m/>
  </r>
  <r>
    <d v="2021-11-11T00:00:00"/>
    <n v="11"/>
    <x v="2"/>
    <s v="INV00000159"/>
    <s v="C00000020"/>
    <x v="19"/>
    <s v="RA Woven Roving E-600 (45kg) 1120mm"/>
    <n v="14"/>
    <s v="Cash"/>
    <x v="0"/>
    <d v="2021-11-11T00:00:00"/>
    <n v="11"/>
    <n v="2021"/>
    <n v="4914"/>
    <n v="-4914"/>
    <n v="0"/>
    <n v="692410.35"/>
    <s v="Cash"/>
    <s v="Trsf 13/1/21-37,500.00 (2,808.80 partial), Trsf 21/1/2021-RM5,000.00 (2,105.20 parital)"/>
    <m/>
  </r>
  <r>
    <d v="2021-11-11T00:00:00"/>
    <n v="11"/>
    <x v="2"/>
    <s v="INV00000159"/>
    <s v="C00000020"/>
    <x v="19"/>
    <s v="RA Talcum Powder (25kg)"/>
    <n v="4"/>
    <s v="Cash"/>
    <x v="0"/>
    <d v="2021-11-11T00:00:00"/>
    <n v="11"/>
    <n v="2021"/>
    <n v="250"/>
    <n v="-250"/>
    <n v="0"/>
    <n v="692660.35"/>
    <s v="Cash"/>
    <s v="Trsf 21/1/2021-RM5,000.00"/>
    <m/>
  </r>
  <r>
    <d v="2021-11-11T00:00:00"/>
    <n v="11"/>
    <x v="2"/>
    <s v="INV00000159"/>
    <s v="C00000020"/>
    <x v="19"/>
    <s v="RK Smooth Cream (25kg)"/>
    <n v="2"/>
    <s v="Cash"/>
    <x v="0"/>
    <d v="2021-11-11T00:00:00"/>
    <n v="11"/>
    <n v="2021"/>
    <n v="2000"/>
    <n v="-2000"/>
    <n v="0"/>
    <n v="694660.35"/>
    <s v="Cash"/>
    <s v="Trsf 21/1/2021-RM5,000.00"/>
    <m/>
  </r>
  <r>
    <d v="2021-11-11T00:00:00"/>
    <n v="11"/>
    <x v="2"/>
    <s v="INV00000160"/>
    <s v="C00000020"/>
    <x v="19"/>
    <s v="RA Talcum Powder (25kg)"/>
    <n v="5"/>
    <s v="Cash"/>
    <x v="0"/>
    <d v="2021-11-11T00:00:00"/>
    <n v="11"/>
    <n v="2021"/>
    <n v="312.5"/>
    <n v="-312.5"/>
    <n v="0"/>
    <n v="694972.85"/>
    <s v="Cash"/>
    <s v="Trsf 21/1/2021-RM5,000.00"/>
    <m/>
  </r>
  <r>
    <d v="2021-11-13T00:00:00"/>
    <n v="11"/>
    <x v="2"/>
    <s v="INV00000161"/>
    <s v="C00000020"/>
    <x v="12"/>
    <s v="RA Resin 3317AW (220Kg)"/>
    <n v="1"/>
    <s v="Cash"/>
    <x v="0"/>
    <d v="2021-11-13T00:00:00"/>
    <n v="11"/>
    <n v="2021"/>
    <n v="2090"/>
    <n v="-2090"/>
    <n v="0"/>
    <n v="697062.85"/>
    <s v="Cash"/>
    <s v="Trsf 11/11/21 RM2,070.00"/>
    <m/>
  </r>
  <r>
    <d v="2021-11-13T00:00:00"/>
    <n v="11"/>
    <x v="2"/>
    <s v="INV00000161"/>
    <s v="C00000020"/>
    <x v="12"/>
    <s v="RJ TR104 Hi Temp Wax"/>
    <n v="2"/>
    <s v="Cash"/>
    <x v="0"/>
    <d v="2021-11-13T00:00:00"/>
    <n v="11"/>
    <n v="2021"/>
    <n v="120"/>
    <n v="-120"/>
    <n v="0"/>
    <n v="697182.85"/>
    <s v="Cash"/>
    <s v="Trsf 12/11/21 RM1,000.00"/>
    <m/>
  </r>
  <r>
    <d v="2021-11-13T00:00:00"/>
    <n v="11"/>
    <x v="2"/>
    <s v="INV00000161"/>
    <s v="C00000020"/>
    <x v="12"/>
    <s v="RA Gelcoat GP-H (20Kg)"/>
    <n v="2"/>
    <s v="Cash"/>
    <x v="0"/>
    <d v="2021-11-13T00:00:00"/>
    <n v="11"/>
    <n v="2021"/>
    <n v="540"/>
    <n v="-540"/>
    <n v="0"/>
    <n v="697722.85"/>
    <s v="Cash"/>
    <s v="Trsf 12/11/21 RM1,000.00"/>
    <m/>
  </r>
  <r>
    <d v="2021-11-13T00:00:00"/>
    <n v="11"/>
    <x v="2"/>
    <s v="INV00000161"/>
    <s v="C00000020"/>
    <x v="12"/>
    <s v="RA Pigment H 2006 Dark Grey (5Kg)"/>
    <n v="2"/>
    <s v="Cash"/>
    <x v="0"/>
    <d v="2021-11-13T00:00:00"/>
    <n v="11"/>
    <n v="2021"/>
    <n v="320"/>
    <n v="-320"/>
    <n v="0"/>
    <n v="698042.85"/>
    <s v="Cash"/>
    <s v="Trsf 12/11/21 RM1,000.00"/>
    <m/>
  </r>
  <r>
    <d v="2021-11-13T00:00:00"/>
    <n v="11"/>
    <x v="2"/>
    <s v="INV00000162"/>
    <s v="C00000019"/>
    <x v="18"/>
    <s v="RA Resin 3338AW (220kg)"/>
    <n v="2"/>
    <s v="Cash"/>
    <x v="0"/>
    <d v="2021-11-13T00:00:00"/>
    <n v="11"/>
    <n v="2021"/>
    <n v="4048"/>
    <n v="-4048"/>
    <n v="0"/>
    <n v="702090.85"/>
    <s v="Cash"/>
    <s v="Trsf 13/11/21, RM5,366.60"/>
    <m/>
  </r>
  <r>
    <d v="2021-11-13T00:00:00"/>
    <n v="11"/>
    <x v="2"/>
    <s v="INV00000162"/>
    <s v="C00000019"/>
    <x v="18"/>
    <s v="RG CSM 450 CQ 54kg 64m(L) X 1860mm(W)"/>
    <n v="2"/>
    <s v="Cash"/>
    <x v="0"/>
    <d v="2021-11-13T00:00:00"/>
    <n v="11"/>
    <n v="2021"/>
    <n v="993.6"/>
    <n v="-993.6"/>
    <n v="0"/>
    <n v="703084.45"/>
    <s v="Cash"/>
    <s v="Trsf 13/11/21, RM5,366.60"/>
    <m/>
  </r>
  <r>
    <d v="2021-11-13T00:00:00"/>
    <n v="11"/>
    <x v="2"/>
    <s v="INV00000162"/>
    <s v="C00000019"/>
    <x v="18"/>
    <s v="RA Talcum Powder (25kg)"/>
    <n v="2"/>
    <s v="Cash"/>
    <x v="0"/>
    <d v="2021-11-13T00:00:00"/>
    <n v="11"/>
    <n v="2021"/>
    <n v="125"/>
    <n v="-125"/>
    <n v="0"/>
    <n v="703209.45"/>
    <s v="Cash"/>
    <s v="Trsf 13/11/21, RM5,366.60"/>
    <m/>
  </r>
  <r>
    <d v="2021-11-13T00:00:00"/>
    <n v="11"/>
    <x v="2"/>
    <s v="INV00000162"/>
    <s v="C00000019"/>
    <x v="18"/>
    <s v="RA Butanox M50 (5kg)"/>
    <n v="2"/>
    <s v="Cash"/>
    <x v="0"/>
    <d v="2021-11-13T00:00:00"/>
    <n v="11"/>
    <n v="2021"/>
    <n v="200"/>
    <n v="-200"/>
    <n v="0"/>
    <n v="703409.45"/>
    <s v="Cash"/>
    <s v="Trsf 13/11/21, RM5,366.60"/>
    <m/>
  </r>
  <r>
    <d v="2021-11-23T00:00:00"/>
    <n v="11"/>
    <x v="2"/>
    <s v="INV00000163"/>
    <s v="C00000003"/>
    <x v="2"/>
    <s v="RA Resin 3317AW (220Kg)"/>
    <n v="1"/>
    <s v="T45"/>
    <x v="1"/>
    <d v="2022-01-07T00:00:00"/>
    <n v="1"/>
    <n v="2022"/>
    <n v="2024"/>
    <n v="-2024"/>
    <n v="0"/>
    <n v="705433.45"/>
    <s v="Term"/>
    <s v="RHB 001457cleared29/12/21-RM2,366.50 (2,024.00partial)"/>
    <m/>
  </r>
  <r>
    <d v="2021-11-23T00:00:00"/>
    <n v="11"/>
    <x v="2"/>
    <s v="INV00000163"/>
    <s v="C00000003"/>
    <x v="2"/>
    <s v="RA Mepoxe M (5kg)"/>
    <n v="2"/>
    <s v="T45"/>
    <x v="1"/>
    <d v="2022-01-07T00:00:00"/>
    <n v="1"/>
    <n v="2022"/>
    <n v="170"/>
    <n v="-170"/>
    <n v="0"/>
    <n v="705603.45"/>
    <s v="Term"/>
    <s v="RHB 001457cleared29/12/21-RM2,366.50 (170.00artial)"/>
    <m/>
  </r>
  <r>
    <d v="2021-11-23T00:00:00"/>
    <n v="11"/>
    <x v="2"/>
    <s v="INV00000163"/>
    <s v="C00000003"/>
    <x v="2"/>
    <s v="RA Talcum Powder (25kg)"/>
    <n v="3"/>
    <s v="T45"/>
    <x v="1"/>
    <d v="2022-01-07T00:00:00"/>
    <n v="1"/>
    <n v="2022"/>
    <n v="172.5"/>
    <n v="-172.5"/>
    <n v="0"/>
    <n v="705775.95"/>
    <s v="Term"/>
    <s v="RHB 001457cleared29/12/21-RM2,366.50 (172.50partial)"/>
    <m/>
  </r>
  <r>
    <d v="2021-11-26T00:00:00"/>
    <n v="11"/>
    <x v="2"/>
    <s v="INV00000164"/>
    <s v="C00000019"/>
    <x v="18"/>
    <s v="RA Resin 3338AW (220kg)"/>
    <n v="1"/>
    <s v="Cash"/>
    <x v="0"/>
    <d v="2021-11-26T00:00:00"/>
    <n v="11"/>
    <n v="2021"/>
    <n v="2024"/>
    <n v="-2024"/>
    <n v="0"/>
    <n v="707799.95"/>
    <s v="Cash"/>
    <s v="Trsf 28/11/21"/>
    <m/>
  </r>
  <r>
    <d v="2021-11-26T00:00:00"/>
    <n v="11"/>
    <x v="2"/>
    <s v="INV00000164"/>
    <s v="C00000019"/>
    <x v="18"/>
    <s v="RA Talcum Powder (25kg)"/>
    <n v="4"/>
    <s v="Cash"/>
    <x v="0"/>
    <d v="2021-11-26T00:00:00"/>
    <n v="11"/>
    <n v="2021"/>
    <n v="250"/>
    <n v="-250"/>
    <n v="0"/>
    <n v="708049.95"/>
    <s v="Cash"/>
    <s v="Trsf 28/11/21"/>
    <m/>
  </r>
  <r>
    <d v="2021-11-26T00:00:00"/>
    <n v="11"/>
    <x v="2"/>
    <s v="INV00000164"/>
    <s v="C00000019"/>
    <x v="18"/>
    <s v="RA Butanox M50 (5kg)"/>
    <n v="1"/>
    <s v="Cash"/>
    <x v="0"/>
    <d v="2021-11-26T00:00:00"/>
    <n v="11"/>
    <n v="2021"/>
    <n v="100"/>
    <n v="-100"/>
    <n v="0"/>
    <n v="708149.95"/>
    <s v="Cash"/>
    <s v="Trsf 28/11/21"/>
    <m/>
  </r>
  <r>
    <d v="2021-11-26T00:00:00"/>
    <n v="11"/>
    <x v="2"/>
    <s v="INV00000165"/>
    <s v="C00000019"/>
    <x v="18"/>
    <s v="RA Resin 3338AW (220kg)"/>
    <n v="1"/>
    <s v="Cash"/>
    <x v="0"/>
    <d v="2021-11-26T00:00:00"/>
    <n v="11"/>
    <n v="2021"/>
    <n v="2024"/>
    <n v="-2024"/>
    <n v="0"/>
    <n v="710173.95"/>
    <s v="Cash"/>
    <s v="Trsf 28/11/21"/>
    <m/>
  </r>
  <r>
    <d v="2021-11-29T00:00:00"/>
    <n v="11"/>
    <x v="2"/>
    <s v="INV00000166"/>
    <s v="C00000008"/>
    <x v="7"/>
    <s v="RA Resin 3317AW (220Kg)"/>
    <n v="1"/>
    <s v="Cash"/>
    <x v="0"/>
    <d v="2021-11-29T00:00:00"/>
    <n v="11"/>
    <n v="2021"/>
    <n v="2090"/>
    <n v="-2090"/>
    <n v="0"/>
    <n v="712263.95"/>
    <s v="Cash"/>
    <s v="Trsf 21/1/2022, RM4,006.00"/>
    <m/>
  </r>
  <r>
    <d v="2021-11-29T00:00:00"/>
    <n v="11"/>
    <x v="2"/>
    <s v="INV00000166"/>
    <s v="C00000008"/>
    <x v="7"/>
    <s v="RA CSM 450 30kg 79m(L) X 1040mm(W)"/>
    <n v="4"/>
    <s v="Cash"/>
    <x v="0"/>
    <d v="2021-11-29T00:00:00"/>
    <n v="11"/>
    <n v="2021"/>
    <n v="1406"/>
    <n v="-1406"/>
    <n v="0"/>
    <n v="713669.95"/>
    <s v="Cash"/>
    <s v="Trsf 21/1/2022, RM4,006.00"/>
    <m/>
  </r>
  <r>
    <d v="2021-12-07T00:00:00"/>
    <n v="12"/>
    <x v="2"/>
    <s v="INV00000167"/>
    <s v="C00000020"/>
    <x v="19"/>
    <s v="RA Resin 3317AW (220Kg)"/>
    <n v="3"/>
    <s v="Cash"/>
    <x v="0"/>
    <d v="2021-12-07T00:00:00"/>
    <n v="12"/>
    <n v="2021"/>
    <n v="6138"/>
    <n v="-6138"/>
    <n v="0"/>
    <n v="719807.95"/>
    <s v="Cash"/>
    <s v="Trsf 7/12/21"/>
    <m/>
  </r>
  <r>
    <d v="2021-12-07T00:00:00"/>
    <n v="12"/>
    <x v="2"/>
    <s v="INV00000167"/>
    <s v="C00000020"/>
    <x v="19"/>
    <s v="RA CSM 450 37kg 79m(L) X 1040mm(W)"/>
    <n v="9"/>
    <s v="Cash"/>
    <x v="0"/>
    <d v="2021-12-07T00:00:00"/>
    <n v="12"/>
    <n v="2021"/>
    <n v="3263.4"/>
    <n v="-3263.4"/>
    <n v="0"/>
    <n v="723071.35"/>
    <s v="Cash"/>
    <s v="Trsf 7/12/21"/>
    <m/>
  </r>
  <r>
    <d v="2021-12-07T00:00:00"/>
    <n v="12"/>
    <x v="2"/>
    <s v="INV00000167"/>
    <s v="C00000020"/>
    <x v="19"/>
    <s v="RA Woven Roving E-600 (45kg) 1120mm"/>
    <n v="6"/>
    <s v="Cash"/>
    <x v="0"/>
    <d v="2021-12-07T00:00:00"/>
    <n v="12"/>
    <n v="2021"/>
    <n v="2430"/>
    <n v="-2430"/>
    <n v="0"/>
    <n v="725501.35"/>
    <s v="Cash"/>
    <s v="Trsf 7/12/21"/>
    <m/>
  </r>
  <r>
    <d v="2021-12-07T00:00:00"/>
    <n v="12"/>
    <x v="2"/>
    <s v="INV00000167"/>
    <s v="C00000020"/>
    <x v="19"/>
    <s v="RA Talcum Powder (25kg)"/>
    <n v="3"/>
    <s v="Cash"/>
    <x v="0"/>
    <d v="2021-12-07T00:00:00"/>
    <n v="12"/>
    <n v="2021"/>
    <n v="187.5"/>
    <n v="-187.5"/>
    <n v="0"/>
    <n v="725688.85"/>
    <s v="Cash"/>
    <s v="Trsf 7/12/21"/>
    <m/>
  </r>
  <r>
    <d v="2021-12-07T00:00:00"/>
    <n v="12"/>
    <x v="2"/>
    <s v="INV00000167"/>
    <s v="C00000020"/>
    <x v="19"/>
    <s v="RA Mepoxe M (5kg)"/>
    <n v="2"/>
    <s v="Cash"/>
    <x v="0"/>
    <d v="2021-12-07T00:00:00"/>
    <n v="12"/>
    <n v="2021"/>
    <n v="170"/>
    <n v="-170"/>
    <n v="0"/>
    <n v="725858.85"/>
    <s v="Cash"/>
    <s v="Trsf 7/12/21"/>
    <m/>
  </r>
  <r>
    <d v="2021-12-10T00:00:00"/>
    <n v="12"/>
    <x v="2"/>
    <s v="INV00000168"/>
    <s v="C00000013"/>
    <x v="12"/>
    <s v="RA Resin 3317AW (220Kg)"/>
    <n v="1"/>
    <s v="Cash"/>
    <x v="0"/>
    <d v="2021-12-10T00:00:00"/>
    <n v="12"/>
    <n v="2021"/>
    <n v="2112"/>
    <n v="-2112"/>
    <n v="0"/>
    <n v="727970.85"/>
    <s v="Cash"/>
    <s v="Trsf 11 &amp; 12/12/21, RM3,000.00 &amp; 2,175.40"/>
    <m/>
  </r>
  <r>
    <d v="2021-12-10T00:00:00"/>
    <n v="12"/>
    <x v="2"/>
    <s v="INV00000168"/>
    <s v="C00000013"/>
    <x v="12"/>
    <s v="RJ TR104 Hi Temp Wax"/>
    <n v="1"/>
    <s v="Cash"/>
    <x v="0"/>
    <d v="2021-12-10T00:00:00"/>
    <n v="12"/>
    <n v="2021"/>
    <n v="60"/>
    <n v="-60"/>
    <n v="0"/>
    <n v="728030.85"/>
    <s v="Cash"/>
    <s v="Trsf 11 &amp; 12/12/21, RM3,000.00 &amp; 2,175.40"/>
    <m/>
  </r>
  <r>
    <d v="2021-12-10T00:00:00"/>
    <n v="12"/>
    <x v="2"/>
    <s v="INV00000168"/>
    <s v="C00000013"/>
    <x v="12"/>
    <s v="RA Gelcoat GP-H (20Kg)"/>
    <n v="1"/>
    <s v="Cash"/>
    <x v="0"/>
    <d v="2021-12-10T00:00:00"/>
    <n v="12"/>
    <n v="2021"/>
    <n v="270"/>
    <n v="-270"/>
    <n v="0"/>
    <n v="728300.85"/>
    <s v="Cash"/>
    <s v="Trsf 11 &amp; 12/12/21, RM3,000.00 &amp; 2,175.40"/>
    <m/>
  </r>
  <r>
    <d v="2021-12-10T00:00:00"/>
    <n v="12"/>
    <x v="2"/>
    <s v="INV00000168"/>
    <s v="C00000013"/>
    <x v="12"/>
    <s v="RA Pigment H 2006 Dark Grey (5Kg)"/>
    <n v="2"/>
    <s v="Cash"/>
    <x v="0"/>
    <d v="2021-12-10T00:00:00"/>
    <n v="12"/>
    <n v="2021"/>
    <n v="320"/>
    <n v="-320"/>
    <n v="0"/>
    <n v="728620.85"/>
    <s v="Cash"/>
    <s v="Trsf 11 &amp; 12/12/21, RM3,000.00 &amp; 2,175.40"/>
    <m/>
  </r>
  <r>
    <d v="2021-12-10T00:00:00"/>
    <n v="12"/>
    <x v="2"/>
    <s v="INV00000168"/>
    <s v="C00000013"/>
    <x v="12"/>
    <s v="RE Frekote 770NC (1 Gallon)"/>
    <n v="1"/>
    <s v="Cash"/>
    <x v="0"/>
    <d v="2021-12-10T00:00:00"/>
    <n v="12"/>
    <n v="2021"/>
    <n v="390"/>
    <n v="-390"/>
    <n v="0"/>
    <n v="729010.85"/>
    <s v="Cash"/>
    <s v="Trsf 11 &amp; 12/12/21, RM3,000.00 &amp; 2,175.40"/>
    <m/>
  </r>
  <r>
    <d v="2021-12-10T00:00:00"/>
    <n v="12"/>
    <x v="2"/>
    <s v="INV00000168"/>
    <s v="C00000013"/>
    <x v="12"/>
    <s v="RA Mepoxe M (5kg)"/>
    <n v="2"/>
    <s v="Cash"/>
    <x v="0"/>
    <d v="2021-12-10T00:00:00"/>
    <n v="12"/>
    <n v="2021"/>
    <n v="170"/>
    <n v="-170"/>
    <n v="0"/>
    <n v="729180.85"/>
    <s v="Cash"/>
    <s v="Trsf 11 &amp; 12/12/21, RM3,000.00 &amp; 2,175.40"/>
    <m/>
  </r>
  <r>
    <d v="2021-12-10T00:00:00"/>
    <n v="12"/>
    <x v="2"/>
    <s v="INV00000168"/>
    <s v="C00000013"/>
    <x v="12"/>
    <s v="RD Paint Brush 1.1/2&quot;(12Pc/Ctr)"/>
    <n v="1"/>
    <s v="Cash"/>
    <x v="0"/>
    <d v="2021-12-10T00:00:00"/>
    <n v="12"/>
    <n v="2021"/>
    <n v="45"/>
    <n v="-45"/>
    <n v="0"/>
    <n v="729225.85"/>
    <s v="Cash"/>
    <s v="Trsf 11 &amp; 12/12/21, RM3,000.00 &amp; 2,175.40"/>
    <m/>
  </r>
  <r>
    <d v="2021-12-10T00:00:00"/>
    <n v="12"/>
    <x v="2"/>
    <s v="INV00000168"/>
    <s v="C00000013"/>
    <x v="12"/>
    <s v="RA CSM 450 GSM 54kg 64m(L) X 1860mm(W)"/>
    <n v="1"/>
    <s v="Cash"/>
    <x v="0"/>
    <d v="2021-12-10T00:00:00"/>
    <n v="12"/>
    <n v="2021"/>
    <n v="529.20000000000005"/>
    <n v="-529.20000000000005"/>
    <n v="0"/>
    <n v="729755.04999999993"/>
    <s v="Cash"/>
    <s v="Trsf 11 &amp; 12/12/21, RM3,000.00 &amp; 2,175.40"/>
    <m/>
  </r>
  <r>
    <d v="2021-12-10T00:00:00"/>
    <n v="12"/>
    <x v="2"/>
    <s v="INV00000168"/>
    <s v="C00000013"/>
    <x v="12"/>
    <s v="RA CSM 300 GSM 54Kg 96m(L) X 1860mm(W)"/>
    <n v="1"/>
    <s v="Cash"/>
    <x v="0"/>
    <d v="2021-12-10T00:00:00"/>
    <n v="12"/>
    <n v="2021"/>
    <n v="529.20000000000005"/>
    <n v="-529.20000000000005"/>
    <n v="0"/>
    <n v="730284.24999999988"/>
    <s v="Cash"/>
    <s v="Trsf 11 &amp; 12/12/21, RM3,000.00 &amp; 2,175.40"/>
    <m/>
  </r>
  <r>
    <d v="2021-12-10T00:00:00"/>
    <n v="12"/>
    <x v="2"/>
    <s v="INV00000168"/>
    <s v="C00000013"/>
    <x v="12"/>
    <s v="RA Tissue Mat (300M2) 30G/M2 1Meter (9Kg) Soft"/>
    <n v="1"/>
    <s v="Cash"/>
    <x v="0"/>
    <d v="2021-12-10T00:00:00"/>
    <n v="12"/>
    <n v="2021"/>
    <n v="750"/>
    <n v="-750"/>
    <n v="0"/>
    <n v="731034.24999999988"/>
    <s v="Cash"/>
    <s v="Trsf 11 &amp; 12/12/21, RM3,000.00 &amp; 2,175.40"/>
    <m/>
  </r>
  <r>
    <d v="2021-12-10T00:00:00"/>
    <n v="12"/>
    <x v="2"/>
    <s v="INV00000169"/>
    <s v="C00000020"/>
    <x v="19"/>
    <s v="RA Resin 9539W (225Kg)"/>
    <n v="5"/>
    <s v="Cash"/>
    <x v="0"/>
    <d v="2021-12-10T00:00:00"/>
    <n v="12"/>
    <n v="2021"/>
    <n v="10462.5"/>
    <n v="-10462.5"/>
    <n v="0"/>
    <n v="741496.74999999988"/>
    <s v="Cash"/>
    <s v="Trsf 21/1/2021-RM5,000.00 (332.30 partial), Trsf 28/1/2021(5,000.00 partial), Trsf 23/2/22(RM5,000.00), Trsf 26/2/22-RM2,900.00(130.20partial)"/>
    <m/>
  </r>
  <r>
    <d v="2021-12-10T00:00:00"/>
    <n v="12"/>
    <x v="2"/>
    <s v="INV00000169"/>
    <s v="C00000020"/>
    <x v="19"/>
    <s v="RA CSM 450 TWL 60kg 64m(L) X 2080mm(W)"/>
    <n v="6"/>
    <s v="Cash"/>
    <x v="0"/>
    <d v="2021-12-10T00:00:00"/>
    <n v="12"/>
    <n v="2021"/>
    <n v="3420"/>
    <n v="-3420"/>
    <n v="0"/>
    <n v="744916.74999999988"/>
    <s v="Cash"/>
    <s v="Trsf 26/2/22-RM2,900.00(2,769.80partial), Trsf 15/3/22-RM16,000.00(RM650.20partial)"/>
    <m/>
  </r>
  <r>
    <d v="2021-12-10T00:00:00"/>
    <n v="12"/>
    <x v="2"/>
    <s v="INV00000169"/>
    <s v="C00000020"/>
    <x v="19"/>
    <s v="RA Woven Roving E-600 (45kg) 1120mm"/>
    <n v="7"/>
    <s v="Cash"/>
    <x v="0"/>
    <d v="2021-12-10T00:00:00"/>
    <n v="12"/>
    <n v="2021"/>
    <n v="2835"/>
    <n v="-2835"/>
    <n v="0"/>
    <n v="747751.74999999988"/>
    <s v="Cash"/>
    <s v="Trsf 15/3/22-RM16,000.00"/>
    <m/>
  </r>
  <r>
    <d v="2021-12-10T00:00:00"/>
    <n v="12"/>
    <x v="2"/>
    <s v="INV00000169"/>
    <s v="C00000020"/>
    <x v="19"/>
    <s v="RA Talcum Powder (25kg)"/>
    <n v="5"/>
    <s v="Cash"/>
    <x v="0"/>
    <d v="2021-12-10T00:00:00"/>
    <n v="12"/>
    <n v="2021"/>
    <n v="312.5"/>
    <n v="-312.5"/>
    <n v="0"/>
    <n v="748064.24999999988"/>
    <s v="Cash"/>
    <s v="Trsf 15/3/22-RM16,000.00"/>
    <m/>
  </r>
  <r>
    <d v="2021-12-10T00:00:00"/>
    <n v="12"/>
    <x v="2"/>
    <s v="INV00000169"/>
    <s v="C00000020"/>
    <x v="19"/>
    <s v="RK Smooth Cream (25kg)"/>
    <n v="1"/>
    <s v="Cash"/>
    <x v="0"/>
    <d v="2021-12-10T00:00:00"/>
    <n v="12"/>
    <n v="2021"/>
    <n v="1000"/>
    <n v="-1000"/>
    <n v="0"/>
    <n v="749064.24999999988"/>
    <s v="Cash"/>
    <s v="Trsf 15/3/22-RM16,000.00"/>
    <m/>
  </r>
  <r>
    <d v="2021-12-10T00:00:00"/>
    <n v="12"/>
    <x v="2"/>
    <s v="INV00000169"/>
    <s v="C00000020"/>
    <x v="19"/>
    <s v="RA Mepoxe M (5kg)"/>
    <n v="2"/>
    <s v="Cash"/>
    <x v="0"/>
    <d v="2021-12-10T00:00:00"/>
    <n v="12"/>
    <n v="2021"/>
    <n v="170"/>
    <n v="-170"/>
    <n v="0"/>
    <n v="749234.24999999988"/>
    <s v="Cash"/>
    <s v="Trsf 15/3/22-RM16,000.00"/>
    <m/>
  </r>
  <r>
    <d v="2021-12-10T00:00:00"/>
    <n v="12"/>
    <x v="2"/>
    <s v="INV00000169"/>
    <s v="C00000020"/>
    <x v="19"/>
    <s v="RA CSM 450 GSM 51kg 64m(L) X 1860mm(W)"/>
    <n v="1"/>
    <s v="Cash"/>
    <x v="0"/>
    <d v="2021-12-10T00:00:00"/>
    <n v="12"/>
    <n v="2021"/>
    <n v="484.5"/>
    <n v="-484.5"/>
    <n v="0"/>
    <n v="749718.74999999988"/>
    <s v="Cash"/>
    <s v="Trsf 15/3/22-RM16,000.00"/>
    <m/>
  </r>
  <r>
    <d v="2021-12-15T00:00:00"/>
    <n v="12"/>
    <x v="2"/>
    <s v="INV00000170"/>
    <s v="C00000010"/>
    <x v="9"/>
    <s v="RA Resin 3338AW (220kg)"/>
    <n v="6"/>
    <s v="T120"/>
    <x v="4"/>
    <d v="2022-04-14T00:00:00"/>
    <n v="4"/>
    <n v="2022"/>
    <n v="12144"/>
    <n v="-12144"/>
    <n v="0"/>
    <n v="761862.74999999988"/>
    <s v="Term"/>
    <s v="Trsf 14/3/2022 RM22,264.00"/>
    <m/>
  </r>
  <r>
    <d v="2021-12-15T00:00:00"/>
    <n v="12"/>
    <x v="2"/>
    <s v="INV00000171"/>
    <s v="C00000004"/>
    <x v="3"/>
    <s v="RA Resin 3338AW (220kg)"/>
    <n v="5"/>
    <s v="T120"/>
    <x v="4"/>
    <d v="2022-04-14T00:00:00"/>
    <n v="4"/>
    <n v="2022"/>
    <n v="10120"/>
    <n v="-10120"/>
    <n v="0"/>
    <n v="771982.74999999988"/>
    <s v="Term"/>
    <s v="HLB010464Cleared21/4/22-RM15,895.80"/>
    <m/>
  </r>
  <r>
    <d v="2021-12-15T00:00:00"/>
    <n v="12"/>
    <x v="2"/>
    <s v="INV00000171"/>
    <s v="C00000004"/>
    <x v="3"/>
    <s v="RF Resin 3338NW (220Kg)"/>
    <n v="1"/>
    <s v="T120"/>
    <x v="4"/>
    <d v="2022-04-14T00:00:00"/>
    <n v="4"/>
    <n v="2022"/>
    <n v="2024"/>
    <n v="-2024"/>
    <n v="0"/>
    <n v="774006.74999999988"/>
    <s v="Term"/>
    <s v="HLB010464Cleared21/4/22-RM15,895.80"/>
    <m/>
  </r>
  <r>
    <d v="2021-12-15T00:00:00"/>
    <n v="12"/>
    <x v="2"/>
    <s v="INV00000171"/>
    <s v="C00000004"/>
    <x v="3"/>
    <s v="RA Mepoxe M (5kg)"/>
    <n v="4"/>
    <s v="T120"/>
    <x v="4"/>
    <d v="2022-04-14T00:00:00"/>
    <n v="4"/>
    <n v="2022"/>
    <n v="340"/>
    <n v="-340"/>
    <n v="0"/>
    <n v="774346.74999999988"/>
    <s v="Term"/>
    <s v="HLB010464Cleared21/4/22-RM15,895.80"/>
    <m/>
  </r>
  <r>
    <d v="2021-12-16T00:00:00"/>
    <n v="12"/>
    <x v="2"/>
    <s v="INV00000172"/>
    <s v="C00000004"/>
    <x v="3"/>
    <s v="RA Accelerator (5kg)"/>
    <n v="1"/>
    <s v="T121"/>
    <x v="4"/>
    <d v="2022-04-15T00:00:00"/>
    <n v="4"/>
    <n v="2022"/>
    <n v="390"/>
    <n v="-390"/>
    <n v="0"/>
    <n v="774736.74999999988"/>
    <s v="Term"/>
    <s v="HLB010464Cleared21/4/22-RM15,895.80"/>
    <m/>
  </r>
  <r>
    <d v="2021-12-20T00:00:00"/>
    <n v="12"/>
    <x v="2"/>
    <s v="INV00000173"/>
    <s v="C00000020"/>
    <x v="19"/>
    <s v="RA Resin 3317AW (220Kg)"/>
    <n v="3"/>
    <s v="Cash"/>
    <x v="0"/>
    <d v="2021-12-20T00:00:00"/>
    <n v="12"/>
    <n v="2021"/>
    <n v="6270"/>
    <n v="-6270"/>
    <n v="0"/>
    <n v="781006.74999999988"/>
    <s v="Cash"/>
    <s v="Trsf 15/3/22-RM16,000.00"/>
    <m/>
  </r>
  <r>
    <d v="2021-12-20T00:00:00"/>
    <n v="12"/>
    <x v="2"/>
    <s v="INV00000173"/>
    <s v="C00000020"/>
    <x v="19"/>
    <s v="RK Smooth Cream (25kg)"/>
    <n v="1"/>
    <s v="Cash"/>
    <x v="0"/>
    <d v="2021-12-20T00:00:00"/>
    <n v="12"/>
    <n v="2021"/>
    <n v="1000"/>
    <n v="-1000"/>
    <n v="0"/>
    <n v="782006.74999999988"/>
    <s v="Cash"/>
    <s v="Trsf 15/3/22-RM16,000.00"/>
    <m/>
  </r>
  <r>
    <d v="2021-12-20T00:00:00"/>
    <n v="12"/>
    <x v="2"/>
    <s v="INV00000173"/>
    <s v="C00000020"/>
    <x v="19"/>
    <s v="RA Talcum Powder (25kg)"/>
    <n v="3"/>
    <s v="Cash"/>
    <x v="0"/>
    <d v="2021-12-20T00:00:00"/>
    <n v="12"/>
    <n v="2021"/>
    <n v="187.5"/>
    <n v="-187.5"/>
    <n v="0"/>
    <n v="782194.24999999988"/>
    <s v="Cash"/>
    <s v="Trsf 15/3/22-RM16,000.00"/>
    <m/>
  </r>
  <r>
    <d v="2021-12-21T00:00:00"/>
    <n v="12"/>
    <x v="2"/>
    <s v="INV00000174"/>
    <s v="C00000004"/>
    <x v="3"/>
    <s v="RA CSM 300 TWL 54Kg 96m(L) X 1860mm(W)"/>
    <n v="1"/>
    <s v="T120"/>
    <x v="4"/>
    <d v="2022-04-20T00:00:00"/>
    <n v="4"/>
    <n v="2022"/>
    <n v="513"/>
    <n v="-513"/>
    <n v="0"/>
    <n v="782707.24999999988"/>
    <s v="Term"/>
    <s v="HLB010464Cleared21/4/22-RM15,895.80"/>
    <m/>
  </r>
  <r>
    <d v="2021-12-21T00:00:00"/>
    <n v="12"/>
    <x v="2"/>
    <s v="INV00000174"/>
    <s v="C00000004"/>
    <x v="3"/>
    <s v="RL CSM 450 Jushi 64kg 1800mm(W)"/>
    <n v="4"/>
    <s v="T121"/>
    <x v="4"/>
    <d v="2022-04-20T00:00:00"/>
    <n v="4"/>
    <n v="2022"/>
    <n v="2508.8000000000002"/>
    <n v="-2508.8000000000002"/>
    <n v="0"/>
    <n v="785216.04999999993"/>
    <s v="Term"/>
    <s v="HLB010464Cleared21/4/22-RM15,895.80"/>
    <m/>
  </r>
  <r>
    <d v="2021-12-22T00:00:00"/>
    <n v="12"/>
    <x v="2"/>
    <s v="INV00000175"/>
    <s v="C00000020"/>
    <x v="19"/>
    <s v="RA Resin 3317AW (220Kg)"/>
    <n v="3"/>
    <s v="Cash"/>
    <x v="0"/>
    <d v="2021-12-22T00:00:00"/>
    <n v="12"/>
    <n v="2021"/>
    <n v="6270"/>
    <n v="-6270"/>
    <n v="0"/>
    <n v="791486.04999999993"/>
    <s v="Cash"/>
    <s v="Trsf 15/3/22-RM16,000.00(RM3,090.30), Trsf 23/3/22-RM4,800.00(RM3,179.70)"/>
    <m/>
  </r>
  <r>
    <d v="2021-12-22T00:00:00"/>
    <n v="12"/>
    <x v="2"/>
    <s v="INV00000175"/>
    <s v="C00000020"/>
    <x v="19"/>
    <s v="RK Smooth Cream (25kg)"/>
    <n v="1"/>
    <s v="Cash"/>
    <x v="0"/>
    <d v="2021-12-22T00:00:00"/>
    <n v="12"/>
    <n v="2021"/>
    <n v="1000"/>
    <n v="-1000"/>
    <n v="0"/>
    <n v="792486.04999999993"/>
    <s v="Cash"/>
    <s v="Trsf 23/3/22-RM4,800.00"/>
    <m/>
  </r>
  <r>
    <d v="2021-12-22T00:00:00"/>
    <n v="12"/>
    <x v="2"/>
    <s v="INV00000175"/>
    <s v="C00000020"/>
    <x v="19"/>
    <s v="RA Talcum Powder (25kg)"/>
    <n v="3"/>
    <s v="Cash"/>
    <x v="0"/>
    <d v="2021-12-22T00:00:00"/>
    <n v="12"/>
    <n v="2021"/>
    <n v="187.5"/>
    <n v="-187.5"/>
    <n v="0"/>
    <n v="792673.54999999993"/>
    <s v="Cash"/>
    <s v="Trsf 23/3/22-RM4,800.00"/>
    <m/>
  </r>
  <r>
    <d v="2021-12-22T00:00:00"/>
    <n v="12"/>
    <x v="2"/>
    <s v="INV00000175"/>
    <s v="C00000020"/>
    <x v="19"/>
    <s v="RL CSM 450 Jushi 37kg 1040mm(W)"/>
    <n v="8"/>
    <s v="Cash"/>
    <x v="0"/>
    <d v="2021-12-22T00:00:00"/>
    <n v="12"/>
    <n v="2021"/>
    <n v="3108"/>
    <n v="-3108"/>
    <n v="0"/>
    <n v="795781.54999999993"/>
    <s v="Cash"/>
    <s v="Trsf 23/3/22-RM4,800(RM432.80), Trsf 25/3/22-RM6,000.00(RM2,675.20)"/>
    <m/>
  </r>
  <r>
    <d v="2021-12-24T00:00:00"/>
    <n v="12"/>
    <x v="2"/>
    <s v="INV00000176"/>
    <s v="C00000020"/>
    <x v="19"/>
    <s v="RL CSM 450 Jushi 37kg 1040mm(W)"/>
    <n v="2"/>
    <s v="Cash"/>
    <x v="0"/>
    <d v="2021-12-24T00:00:00"/>
    <n v="12"/>
    <n v="2021"/>
    <n v="777"/>
    <n v="-777"/>
    <n v="0"/>
    <n v="796558.54999999993"/>
    <s v="Cash"/>
    <s v="Trsf 25/3/22-RM6,000.00"/>
    <m/>
  </r>
  <r>
    <d v="2021-12-27T00:00:00"/>
    <n v="12"/>
    <x v="2"/>
    <s v="INV00000177"/>
    <s v="C00000020"/>
    <x v="19"/>
    <s v="RL CSM 450 Jushi 37kg 1040mm(W)"/>
    <n v="2"/>
    <s v="Cash"/>
    <x v="0"/>
    <d v="2021-12-27T00:00:00"/>
    <n v="12"/>
    <n v="2021"/>
    <n v="777"/>
    <n v="-777"/>
    <n v="0"/>
    <n v="797335.54999999993"/>
    <s v="Cash"/>
    <s v="Trsf 25/3/22-RM6,000.00"/>
    <m/>
  </r>
  <r>
    <d v="2021-12-27T00:00:00"/>
    <n v="12"/>
    <x v="2"/>
    <s v="INV00000177"/>
    <s v="C00000020"/>
    <x v="19"/>
    <s v="RC Woven Roving E-800 1000mm (40Kg)"/>
    <n v="1"/>
    <s v="Cash"/>
    <x v="0"/>
    <d v="2021-12-27T00:00:00"/>
    <n v="12"/>
    <n v="2021"/>
    <n v="300"/>
    <n v="-300"/>
    <n v="0"/>
    <n v="797635.54999999993"/>
    <s v="Cash"/>
    <s v="Trsf 25/3/22-RM6,000.00"/>
    <m/>
  </r>
  <r>
    <d v="2021-12-28T00:00:00"/>
    <n v="12"/>
    <x v="2"/>
    <s v="INV00000178"/>
    <s v="C00000001"/>
    <x v="0"/>
    <s v="RA Resin 3317AW (220Kg)"/>
    <n v="2"/>
    <s v="Cash"/>
    <x v="0"/>
    <d v="2021-12-28T00:00:00"/>
    <n v="12"/>
    <n v="2021"/>
    <n v="4136"/>
    <n v="-4136"/>
    <n v="0"/>
    <n v="801771.54999999993"/>
    <s v="Cash"/>
    <s v="Trsf 31/12/21, "/>
    <m/>
  </r>
  <r>
    <d v="2021-12-28T00:00:00"/>
    <n v="12"/>
    <x v="2"/>
    <s v="INV00000178"/>
    <s v="C00000001"/>
    <x v="0"/>
    <s v="RA CSM 450 (30Kg) 64m(L) x 1040mm(W)"/>
    <n v="5"/>
    <s v="Cash"/>
    <x v="0"/>
    <d v="2021-12-28T00:00:00"/>
    <n v="12"/>
    <n v="2021"/>
    <n v="1455"/>
    <n v="-1455"/>
    <n v="0"/>
    <n v="803226.54999999993"/>
    <s v="Cash"/>
    <s v="Trsf 31/12/21, "/>
    <m/>
  </r>
  <r>
    <d v="2021-12-30T00:00:00"/>
    <n v="12"/>
    <x v="2"/>
    <s v="INV00000179"/>
    <s v="C00000020"/>
    <x v="19"/>
    <s v="RA Resin 3317AW (220Kg)"/>
    <n v="5"/>
    <s v="Cash"/>
    <x v="0"/>
    <d v="2021-12-30T00:00:00"/>
    <n v="12"/>
    <n v="2021"/>
    <n v="10450"/>
    <n v="-10450"/>
    <n v="0"/>
    <n v="813676.54999999993"/>
    <s v="Cash"/>
    <s v="Trsf 25/3/22-RM6,000.00(RM1,470.80partial), Trsf 22/3/22-RM6,200.00, Trsf 05/04/22-RM7,000.00(2,779.20partial)"/>
    <m/>
  </r>
  <r>
    <d v="2021-12-30T00:00:00"/>
    <n v="12"/>
    <x v="2"/>
    <s v="INV00000179"/>
    <s v="C00000020"/>
    <x v="19"/>
    <s v="RA CSM 450 (30Kg) 64m(L) x 1040mm(W)"/>
    <n v="15"/>
    <s v="Cash"/>
    <x v="0"/>
    <d v="2021-12-30T00:00:00"/>
    <n v="12"/>
    <n v="2021"/>
    <n v="4410"/>
    <n v="-4410"/>
    <n v="0"/>
    <n v="818086.54999999993"/>
    <s v="Cash"/>
    <s v="Trsf 05/04/22-RM7,000.00(4,220.80(partial), Trsf 7/4/22-RM3,000.00(189.20partial)"/>
    <m/>
  </r>
  <r>
    <d v="2021-12-30T00:00:00"/>
    <n v="12"/>
    <x v="2"/>
    <s v="INV00000179"/>
    <s v="C00000020"/>
    <x v="19"/>
    <s v="RF Woven Roving E-600 (45kg) 1120mm"/>
    <n v="8"/>
    <s v="Cash"/>
    <x v="0"/>
    <d v="2021-12-30T00:00:00"/>
    <n v="12"/>
    <n v="2021"/>
    <n v="2808"/>
    <n v="-2808"/>
    <n v="0"/>
    <n v="820894.54999999993"/>
    <s v="Cash"/>
    <s v="Trsf 7/4/22-RM3,000.00(2,808.00partial)"/>
    <m/>
  </r>
  <r>
    <d v="2021-12-30T00:00:00"/>
    <n v="12"/>
    <x v="2"/>
    <s v="INV00000179"/>
    <s v="C00000020"/>
    <x v="19"/>
    <s v="RA Talcum Powder (25kg)"/>
    <n v="5"/>
    <s v="Cash"/>
    <x v="0"/>
    <d v="2021-12-30T00:00:00"/>
    <n v="12"/>
    <n v="2021"/>
    <n v="312.5"/>
    <n v="-312.5"/>
    <n v="0"/>
    <n v="821207.04999999993"/>
    <s v="Cash"/>
    <s v="Trsf 7/4/22-RM3,000.00(2.80partial), Trsf 8/4/22-RM5,000.00(309.70partial)"/>
    <m/>
  </r>
  <r>
    <d v="2021-12-30T00:00:00"/>
    <n v="12"/>
    <x v="2"/>
    <s v="INV00000179"/>
    <s v="C00000020"/>
    <x v="19"/>
    <s v="RK Smooth Cream (25kg)"/>
    <n v="1"/>
    <s v="Cash"/>
    <x v="0"/>
    <d v="2021-12-30T00:00:00"/>
    <n v="12"/>
    <n v="2021"/>
    <n v="1000"/>
    <n v="-1000"/>
    <n v="0"/>
    <n v="822207.04999999993"/>
    <s v="Cash"/>
    <s v="Trsf 8/4/22-RM5,000.00"/>
    <m/>
  </r>
  <r>
    <d v="2021-12-30T00:00:00"/>
    <n v="12"/>
    <x v="2"/>
    <s v="INV00000179"/>
    <s v="C00000020"/>
    <x v="19"/>
    <s v="RA Mepoxe M (5kg)"/>
    <n v="4"/>
    <s v="Cash"/>
    <x v="0"/>
    <d v="2021-12-30T00:00:00"/>
    <n v="12"/>
    <n v="2021"/>
    <n v="340"/>
    <n v="-340"/>
    <n v="0"/>
    <n v="822547.04999999993"/>
    <s v="Cash"/>
    <s v="Trsf 8/4/22-RM5,000.00"/>
    <m/>
  </r>
  <r>
    <d v="2021-12-31T00:00:00"/>
    <n v="12"/>
    <x v="2"/>
    <s v="INV00000180"/>
    <s v="C00000010"/>
    <x v="9"/>
    <s v="RA Resin 3338AW (220kg)"/>
    <n v="4"/>
    <s v="T120"/>
    <x v="4"/>
    <d v="2022-04-30T00:00:00"/>
    <n v="4"/>
    <n v="2022"/>
    <n v="8096"/>
    <n v="-8096"/>
    <n v="0"/>
    <n v="830643.04999999993"/>
    <s v="Term"/>
    <s v="Trsf 14/3/2022 RM22,264.00"/>
    <m/>
  </r>
  <r>
    <d v="2021-12-31T00:00:00"/>
    <n v="12"/>
    <x v="2"/>
    <s v="INV00000180"/>
    <s v="C00000010"/>
    <x v="9"/>
    <s v="RA Resin 3317AW (220Kg)"/>
    <n v="1"/>
    <s v="T120"/>
    <x v="4"/>
    <d v="2022-04-30T00:00:00"/>
    <n v="4"/>
    <n v="2022"/>
    <n v="2024"/>
    <n v="-2024"/>
    <n v="0"/>
    <n v="832667.04999999993"/>
    <s v="Term"/>
    <s v="Trsf 14/3/2022 RM22,264.00"/>
    <m/>
  </r>
  <r>
    <d v="2021-12-31T00:00:00"/>
    <n v="12"/>
    <x v="2"/>
    <s v="INV00000181"/>
    <s v="C00000019"/>
    <x v="18"/>
    <s v="RA Resin 3338AW (220kg)"/>
    <n v="2"/>
    <s v="Cash"/>
    <x v="0"/>
    <d v="2021-12-31T00:00:00"/>
    <n v="12"/>
    <n v="2021"/>
    <n v="4136"/>
    <n v="-4136"/>
    <n v="0"/>
    <n v="836803.04999999993"/>
    <s v="Cash"/>
    <s v="Trsf 1/1/2022 RM5,014.80"/>
    <m/>
  </r>
  <r>
    <d v="2021-12-31T00:00:00"/>
    <n v="12"/>
    <x v="2"/>
    <s v="INV00000181"/>
    <s v="C00000019"/>
    <x v="18"/>
    <s v="RA Talcum Powder (25kg)"/>
    <n v="4"/>
    <s v="Cash"/>
    <x v="0"/>
    <d v="2021-12-31T00:00:00"/>
    <n v="12"/>
    <n v="2021"/>
    <n v="250"/>
    <n v="-250"/>
    <n v="0"/>
    <n v="837053.04999999993"/>
    <s v="Cash"/>
    <s v="Trsf 1/1/2022 RM5,014.80"/>
    <m/>
  </r>
  <r>
    <d v="2021-12-31T00:00:00"/>
    <n v="12"/>
    <x v="2"/>
    <s v="INV00000181"/>
    <s v="C00000019"/>
    <x v="18"/>
    <s v="RA Butanox M50 (5kg)"/>
    <n v="1"/>
    <s v="Cash"/>
    <x v="0"/>
    <d v="2021-12-31T00:00:00"/>
    <n v="12"/>
    <n v="2021"/>
    <n v="105"/>
    <n v="-105"/>
    <n v="0"/>
    <n v="837158.04999999993"/>
    <s v="Cash"/>
    <s v="Trsf 1/1/2022 RM5,014.80"/>
    <m/>
  </r>
  <r>
    <d v="2021-12-31T00:00:00"/>
    <n v="12"/>
    <x v="2"/>
    <s v="INV00000181"/>
    <s v="C00000019"/>
    <x v="18"/>
    <s v="RG CSM 450 CQ 54kg 64m(L) X 1860mm(W)"/>
    <n v="1"/>
    <s v="Cash"/>
    <x v="0"/>
    <d v="2021-12-31T00:00:00"/>
    <n v="12"/>
    <n v="2021"/>
    <n v="523.79999999999995"/>
    <n v="-523.79999999999995"/>
    <n v="0"/>
    <n v="837681.85"/>
    <s v="Cash"/>
    <s v="Trsf 1/1/2022 RM5,014.80"/>
    <m/>
  </r>
  <r>
    <d v="2022-01-03T00:00:00"/>
    <n v="1"/>
    <x v="3"/>
    <s v="INV00000182"/>
    <s v="C00000020"/>
    <x v="19"/>
    <s v="RG Resin 3317AW (220Kg)"/>
    <n v="3"/>
    <s v="Cash"/>
    <x v="0"/>
    <d v="2022-01-03T00:00:00"/>
    <n v="1"/>
    <n v="2022"/>
    <n v="6270"/>
    <n v="-6270"/>
    <n v="0"/>
    <n v="843951.85"/>
    <s v="Cash"/>
    <s v="Trsf 8/4/22-RM5,000.00(3,350.30partial), Trsf 12/4/22-RM10,000.00(2,919.70partial)"/>
    <m/>
  </r>
  <r>
    <d v="2022-01-03T00:00:00"/>
    <n v="1"/>
    <x v="3"/>
    <s v="INV00000182"/>
    <s v="C00000020"/>
    <x v="19"/>
    <s v="RA CSM 450 (30Kg) 64m(L) x 1040mm(W)"/>
    <n v="4"/>
    <s v="Cash"/>
    <x v="0"/>
    <d v="2022-01-03T00:00:00"/>
    <n v="1"/>
    <n v="2022"/>
    <n v="1176"/>
    <n v="-1176"/>
    <n v="0"/>
    <n v="845127.85"/>
    <s v="Cash"/>
    <s v="Trsf 12/4/22-RM10,000.00"/>
    <m/>
  </r>
  <r>
    <d v="2022-01-03T00:00:00"/>
    <n v="1"/>
    <x v="3"/>
    <s v="INV00000182"/>
    <s v="C00000020"/>
    <x v="19"/>
    <s v="RF Woven Roving E-600 (45kg) 1120mm"/>
    <n v="2"/>
    <s v="Cash"/>
    <x v="0"/>
    <d v="2022-01-03T00:00:00"/>
    <n v="1"/>
    <n v="2022"/>
    <n v="702"/>
    <n v="-702"/>
    <n v="0"/>
    <n v="845829.85"/>
    <s v="Cash"/>
    <s v="Trsf 12/4/22-RM10,000.00"/>
    <m/>
  </r>
  <r>
    <d v="2022-01-03T00:00:00"/>
    <n v="1"/>
    <x v="3"/>
    <s v="INV00000182"/>
    <s v="C00000020"/>
    <x v="19"/>
    <s v="RA Talcum Powder (25kg)"/>
    <n v="2"/>
    <s v="Cash"/>
    <x v="0"/>
    <d v="2022-01-03T00:00:00"/>
    <n v="1"/>
    <n v="2022"/>
    <n v="125"/>
    <n v="-125"/>
    <n v="0"/>
    <n v="845954.85"/>
    <s v="Cash"/>
    <s v="Trsf 12/4/22-RM10,000.00"/>
    <m/>
  </r>
  <r>
    <d v="2022-01-06T00:00:00"/>
    <n v="1"/>
    <x v="3"/>
    <s v="INV00000183"/>
    <s v="C00000019"/>
    <x v="18"/>
    <s v="RG TR104 Hi Temp Wax"/>
    <n v="6"/>
    <s v="Cash"/>
    <x v="0"/>
    <d v="2022-01-06T00:00:00"/>
    <n v="1"/>
    <n v="2022"/>
    <n v="360"/>
    <n v="-360"/>
    <n v="0"/>
    <n v="846314.85"/>
    <s v="Cash"/>
    <s v="Trsf 6/1/2022 RM1,080.00"/>
    <m/>
  </r>
  <r>
    <d v="2022-01-06T00:00:00"/>
    <n v="1"/>
    <x v="3"/>
    <s v="INV00000183"/>
    <s v="C00000019"/>
    <x v="18"/>
    <s v="RE Frekote 770NC (1 Gallon)"/>
    <n v="2"/>
    <s v="Cash"/>
    <x v="0"/>
    <d v="2022-01-06T00:00:00"/>
    <n v="1"/>
    <n v="2022"/>
    <n v="720"/>
    <n v="-720"/>
    <n v="0"/>
    <n v="847034.85"/>
    <s v="Cash"/>
    <s v="Trsf 6/1/2022 RM1,080.00"/>
    <m/>
  </r>
  <r>
    <d v="2022-01-07T00:00:00"/>
    <n v="1"/>
    <x v="3"/>
    <s v="INV00000184"/>
    <s v="C00000020"/>
    <x v="19"/>
    <s v="RA CSM 450 (30Kg) 64m(L) x 1040mm(W)"/>
    <n v="3"/>
    <s v="Cash"/>
    <x v="0"/>
    <d v="2022-01-07T00:00:00"/>
    <n v="1"/>
    <n v="2022"/>
    <n v="882"/>
    <n v="-882"/>
    <n v="0"/>
    <n v="847916.85"/>
    <s v="Cash"/>
    <s v="Trsf 7/1/22 RMRM1,223.00"/>
    <m/>
  </r>
  <r>
    <d v="2022-01-07T00:00:00"/>
    <n v="1"/>
    <x v="3"/>
    <s v="INV00000184"/>
    <s v="C00000020"/>
    <x v="19"/>
    <s v="RF Woven Roving E-600 (45kg) 1120mm"/>
    <n v="1"/>
    <s v="Cash"/>
    <x v="0"/>
    <d v="2022-01-07T00:00:00"/>
    <n v="1"/>
    <n v="2022"/>
    <n v="351"/>
    <n v="-351"/>
    <n v="0"/>
    <n v="848267.85"/>
    <s v="Cash"/>
    <s v="Trsf 7/1/22 RMRM1,223.00"/>
    <m/>
  </r>
  <r>
    <d v="2022-01-08T00:00:00"/>
    <n v="1"/>
    <x v="3"/>
    <s v="INV00000185"/>
    <s v="C00000020"/>
    <x v="19"/>
    <s v="RG Resin 3317AW (220Kg)"/>
    <n v="2"/>
    <s v="Cash"/>
    <x v="0"/>
    <d v="2022-01-08T00:00:00"/>
    <n v="1"/>
    <n v="2022"/>
    <n v="4180"/>
    <n v="-4180"/>
    <n v="0"/>
    <n v="852447.85"/>
    <s v="Cash"/>
    <s v="Trsf 12/4/22-RM10,000.00"/>
    <m/>
  </r>
  <r>
    <d v="2022-01-08T00:00:00"/>
    <n v="1"/>
    <x v="3"/>
    <s v="INV00000185"/>
    <s v="C00000020"/>
    <x v="19"/>
    <s v="RA CSM 450 (30Kg) 64m(L) x 1040mm(W)"/>
    <n v="7"/>
    <s v="Cash"/>
    <x v="0"/>
    <d v="2022-01-08T00:00:00"/>
    <n v="1"/>
    <n v="2022"/>
    <n v="2058"/>
    <n v="-2058"/>
    <n v="0"/>
    <n v="854505.85"/>
    <s v="Cash"/>
    <s v="Trsf 12/4/22-RM10,000.00(897.30partial), Trsf 15/4/22-RM3,500.00(1,160.70partial)"/>
    <m/>
  </r>
  <r>
    <d v="2022-01-08T00:00:00"/>
    <n v="1"/>
    <x v="3"/>
    <s v="INV00000185"/>
    <s v="C00000020"/>
    <x v="19"/>
    <s v="RC Woven Roving E-800 1000mm (40Kg)"/>
    <n v="1"/>
    <s v="Cash"/>
    <x v="0"/>
    <d v="2022-01-08T00:00:00"/>
    <n v="1"/>
    <n v="2022"/>
    <n v="312"/>
    <n v="-312"/>
    <n v="0"/>
    <n v="854817.85"/>
    <s v="Cash"/>
    <s v="Trsf 15/4/22-RM3,500.00"/>
    <m/>
  </r>
  <r>
    <d v="2022-01-08T00:00:00"/>
    <n v="1"/>
    <x v="3"/>
    <s v="INV00000185"/>
    <s v="C00000020"/>
    <x v="19"/>
    <s v="RF Woven Roving E-600 (45kg) 1120mm"/>
    <n v="2"/>
    <s v="Cash"/>
    <x v="0"/>
    <d v="2022-01-08T00:00:00"/>
    <n v="1"/>
    <n v="2022"/>
    <n v="702"/>
    <n v="-702"/>
    <n v="0"/>
    <n v="855519.85"/>
    <s v="Cash"/>
    <s v="Trsf 15/4/22-RM3,500.00"/>
    <m/>
  </r>
  <r>
    <d v="2022-01-08T00:00:00"/>
    <n v="1"/>
    <x v="3"/>
    <s v="INV00000185"/>
    <s v="C00000020"/>
    <x v="19"/>
    <s v="RA Talcum Powder (25kg)"/>
    <n v="2"/>
    <s v="Cash"/>
    <x v="0"/>
    <d v="2022-01-08T00:00:00"/>
    <n v="1"/>
    <n v="2022"/>
    <n v="125"/>
    <n v="-125"/>
    <n v="0"/>
    <n v="855644.85"/>
    <s v="Cash"/>
    <s v="Trsf 15/4/22-RM3,500.00"/>
    <m/>
  </r>
  <r>
    <d v="2022-01-10T00:00:00"/>
    <n v="1"/>
    <x v="3"/>
    <s v="INV00000186"/>
    <s v="C00000003"/>
    <x v="2"/>
    <s v="RG Resin 3317AW (220Kg)"/>
    <n v="3"/>
    <s v="T45"/>
    <x v="1"/>
    <d v="2022-02-24T00:00:00"/>
    <n v="2"/>
    <n v="2022"/>
    <n v="6336"/>
    <n v="-6336"/>
    <n v="0"/>
    <n v="861980.85"/>
    <s v="Term"/>
    <s v="RHB001529cleared14/2/22-RM1,800.00(partal), RHB001530cleared21/2/22-RM1,800.00(partial), RHB001532cleared25/2/22-RM1,935.00, RHB001531cleared28/2/22-RM1,800.00(801.00partial)"/>
    <m/>
  </r>
  <r>
    <d v="2022-01-10T00:00:00"/>
    <n v="1"/>
    <x v="3"/>
    <s v="INV00000186"/>
    <s v="C00000003"/>
    <x v="2"/>
    <s v="RG CSM 300 (30Kg) 64m(L) x 1040mm(W)"/>
    <n v="1"/>
    <s v="T45"/>
    <x v="1"/>
    <d v="2022-02-24T00:00:00"/>
    <n v="2"/>
    <n v="2022"/>
    <n v="309"/>
    <n v="-309"/>
    <n v="0"/>
    <n v="862289.85"/>
    <s v="Term"/>
    <s v="RHB001531cleared28/2/22-RM1,800.00(309.00.00partial)"/>
    <m/>
  </r>
  <r>
    <d v="2022-01-10T00:00:00"/>
    <n v="1"/>
    <x v="3"/>
    <s v="INV00000186"/>
    <s v="C00000003"/>
    <x v="2"/>
    <s v="RA Butanox M50 (5Kg)"/>
    <n v="6"/>
    <s v="T45"/>
    <x v="1"/>
    <d v="2022-02-24T00:00:00"/>
    <n v="2"/>
    <n v="2022"/>
    <n v="600"/>
    <n v="-600"/>
    <n v="0"/>
    <n v="862889.85"/>
    <s v="Term"/>
    <s v="RHB001531cleared28/2/22-RM1,800.00(600.00.00partial)"/>
    <m/>
  </r>
  <r>
    <d v="2022-01-10T00:00:00"/>
    <n v="1"/>
    <x v="3"/>
    <s v="INV00000186"/>
    <s v="C00000003"/>
    <x v="2"/>
    <s v="RA Miracle Gloss Wax"/>
    <n v="2"/>
    <s v="T45"/>
    <x v="1"/>
    <d v="2022-02-24T00:00:00"/>
    <n v="2"/>
    <n v="2022"/>
    <n v="90"/>
    <n v="-90"/>
    <n v="0"/>
    <n v="862979.85"/>
    <s v="Term"/>
    <s v="RHB001531cleared28/2/22-RM1,800.00(90.00.00partial)"/>
    <m/>
  </r>
  <r>
    <d v="2022-01-11T00:00:00"/>
    <n v="1"/>
    <x v="3"/>
    <s v="INV00000187"/>
    <s v="C00000010"/>
    <x v="9"/>
    <s v="RG Resin 3338AW (220kg)"/>
    <n v="4"/>
    <s v="T120"/>
    <x v="4"/>
    <d v="2022-05-11T00:00:00"/>
    <n v="5"/>
    <n v="2022"/>
    <n v="8096"/>
    <n v="-8096"/>
    <n v="0"/>
    <n v="871075.85"/>
    <s v="Term"/>
    <s v="Trsf 21/4/2022 RM28,820.00"/>
    <m/>
  </r>
  <r>
    <d v="2022-01-11T00:00:00"/>
    <n v="1"/>
    <x v="3"/>
    <s v="INV00000187"/>
    <s v="C00000010"/>
    <x v="9"/>
    <s v="RG CSM 450 30kg 79m(L) X 1040mm(W)"/>
    <n v="20"/>
    <s v="T120"/>
    <x v="4"/>
    <d v="2022-05-11T00:00:00"/>
    <n v="5"/>
    <n v="2022"/>
    <n v="5700"/>
    <n v="-5700"/>
    <n v="0"/>
    <n v="876775.85"/>
    <s v="Term"/>
    <s v="Trsf 21/4/2022 RM28,820.00"/>
    <m/>
  </r>
  <r>
    <d v="2022-01-11T00:00:00"/>
    <n v="1"/>
    <x v="3"/>
    <s v="INV00000187"/>
    <s v="C00000010"/>
    <x v="9"/>
    <s v="RA Talcum Powder (25kg)"/>
    <n v="10"/>
    <s v="T120"/>
    <x v="4"/>
    <d v="2022-05-11T00:00:00"/>
    <n v="5"/>
    <n v="2022"/>
    <n v="550"/>
    <n v="-550"/>
    <n v="0"/>
    <n v="877325.85"/>
    <s v="Term"/>
    <s v="Trsf 21/4/2022 RM28,820.00"/>
    <m/>
  </r>
  <r>
    <d v="2022-01-11T00:00:00"/>
    <n v="1"/>
    <x v="3"/>
    <s v="INV00000187"/>
    <s v="C00000010"/>
    <x v="9"/>
    <s v="RA Mepoxe M (5kg)"/>
    <n v="4"/>
    <s v="T120"/>
    <x v="4"/>
    <d v="2022-05-11T00:00:00"/>
    <n v="5"/>
    <n v="2022"/>
    <n v="340"/>
    <n v="-340"/>
    <n v="0"/>
    <n v="877665.85"/>
    <s v="Term"/>
    <s v="Trsf 21/4/2022 RM28,820.00"/>
    <m/>
  </r>
  <r>
    <d v="2022-01-11T00:00:00"/>
    <n v="1"/>
    <x v="3"/>
    <s v="INV00000187"/>
    <s v="C00000010"/>
    <x v="9"/>
    <s v="RA Aerosil (Silica Fume) (10Kg)"/>
    <n v="1"/>
    <s v="T120"/>
    <x v="4"/>
    <d v="2022-05-11T00:00:00"/>
    <n v="5"/>
    <n v="2022"/>
    <n v="440"/>
    <n v="-440"/>
    <n v="0"/>
    <n v="878105.85"/>
    <s v="Term"/>
    <s v="Trsf 21/4/2022 RM28,820.00"/>
    <m/>
  </r>
  <r>
    <d v="2022-01-11T00:00:00"/>
    <n v="1"/>
    <x v="3"/>
    <s v="INV00000187"/>
    <s v="C00000010"/>
    <x v="9"/>
    <s v="RD Brush 3&quot; (12 PC)"/>
    <n v="4"/>
    <s v="T120"/>
    <x v="4"/>
    <d v="2022-05-11T00:00:00"/>
    <n v="5"/>
    <n v="2022"/>
    <n v="220"/>
    <n v="-220"/>
    <n v="0"/>
    <n v="878325.85"/>
    <s v="Term"/>
    <s v="Trsf 21/4/2022 RM28,820.00"/>
    <m/>
  </r>
  <r>
    <d v="2022-01-13T00:00:00"/>
    <n v="1"/>
    <x v="3"/>
    <s v="INV00000188"/>
    <s v="C00000019"/>
    <x v="18"/>
    <s v="RA Resin 3338AW (220kg)"/>
    <n v="2"/>
    <s v="Cash"/>
    <x v="0"/>
    <d v="2022-01-13T00:00:00"/>
    <n v="1"/>
    <n v="2022"/>
    <n v="4136"/>
    <n v="-4136"/>
    <n v="0"/>
    <n v="882461.85"/>
    <s v="Cash"/>
    <s v="Trsf 14/1/22 RM5,183.60"/>
    <m/>
  </r>
  <r>
    <d v="2022-01-13T00:00:00"/>
    <n v="1"/>
    <x v="3"/>
    <s v="INV00000188"/>
    <s v="C00000019"/>
    <x v="18"/>
    <s v="RG CSM 450 CQ 54kg 64m(L) X 1860mm(W)"/>
    <n v="2"/>
    <s v="Cash"/>
    <x v="0"/>
    <d v="2022-01-13T00:00:00"/>
    <n v="1"/>
    <n v="2022"/>
    <n v="1047.5999999999999"/>
    <n v="-1047.5999999999999"/>
    <n v="0"/>
    <n v="883509.45"/>
    <s v="Cash"/>
    <s v="Trsf 14/1/22 RM5,183.60"/>
    <m/>
  </r>
  <r>
    <d v="2022-01-13T00:00:00"/>
    <n v="1"/>
    <x v="3"/>
    <s v="INV00000189"/>
    <s v="C00000020"/>
    <x v="19"/>
    <s v="RG Resin 3317AW (220Kg)"/>
    <n v="8"/>
    <s v="Cash"/>
    <x v="0"/>
    <d v="2022-01-13T00:00:00"/>
    <n v="1"/>
    <n v="2022"/>
    <n v="16720"/>
    <n v="-16720"/>
    <n v="0"/>
    <n v="900229.45"/>
    <s v="Cash"/>
    <s v="Trsf 15/4/22-RM3,500.00(1.200.30partial), Trsf 22/4/22-RM8,000.00, Trsf 27/4/22-RM8,000.00(7,519.70partial)"/>
    <m/>
  </r>
  <r>
    <d v="2022-01-13T00:00:00"/>
    <n v="1"/>
    <x v="3"/>
    <s v="INV00000189"/>
    <s v="C00000020"/>
    <x v="19"/>
    <s v="RA CSM 450 (60Kg) 64m(L) x 2080mm(W)"/>
    <n v="11"/>
    <s v="Cash"/>
    <x v="0"/>
    <d v="2022-01-13T00:00:00"/>
    <n v="1"/>
    <n v="2022"/>
    <n v="6468"/>
    <n v="-6468"/>
    <n v="0"/>
    <n v="906697.45"/>
    <s v="Cash"/>
    <s v="Trsf 27/4/22-RM8,000.00(480.30partial), Trsf 28/4/22-RM8,000.00(5,987.70partial)"/>
    <m/>
  </r>
  <r>
    <d v="2022-01-13T00:00:00"/>
    <n v="1"/>
    <x v="3"/>
    <s v="INV00000189"/>
    <s v="C00000020"/>
    <x v="19"/>
    <s v="RG Woven Roving E-600 (45kg) 1120mm"/>
    <n v="11"/>
    <s v="Cash"/>
    <x v="0"/>
    <d v="2022-01-13T00:00:00"/>
    <n v="1"/>
    <n v="2022"/>
    <n v="3861"/>
    <n v="-3861"/>
    <n v="0"/>
    <n v="910558.45"/>
    <s v="Cash"/>
    <s v="Trsf 28/4/22-RM8,000.00(2,012.30partial), Trsf 11/5/22 RM16,000.00(RM1,848.70partial)"/>
    <m/>
  </r>
  <r>
    <d v="2022-01-13T00:00:00"/>
    <n v="1"/>
    <x v="3"/>
    <s v="INV00000189"/>
    <s v="C00000020"/>
    <x v="19"/>
    <s v="RK Smooth Cream (25kg)"/>
    <n v="1"/>
    <s v="Cash"/>
    <x v="0"/>
    <d v="2022-01-13T00:00:00"/>
    <n v="1"/>
    <n v="2022"/>
    <n v="1000"/>
    <n v="-1000"/>
    <n v="0"/>
    <n v="911558.45"/>
    <s v="Cash"/>
    <s v="Trsf 11/5/22 RM16,000.00"/>
    <m/>
  </r>
  <r>
    <d v="2022-01-13T00:00:00"/>
    <n v="1"/>
    <x v="3"/>
    <s v="INV00000189"/>
    <s v="C00000020"/>
    <x v="19"/>
    <s v="RA Talcum Powder (25kg)"/>
    <n v="8"/>
    <s v="Cash"/>
    <x v="0"/>
    <d v="2022-01-13T00:00:00"/>
    <n v="1"/>
    <n v="2022"/>
    <n v="500"/>
    <n v="-500"/>
    <n v="0"/>
    <n v="912058.45"/>
    <s v="Cash"/>
    <s v="Trsf 11/5/22 RM16,000.00"/>
    <m/>
  </r>
  <r>
    <d v="2022-01-14T00:00:00"/>
    <n v="1"/>
    <x v="3"/>
    <s v="INV00000190"/>
    <s v="C00000004"/>
    <x v="3"/>
    <s v="RG Nor 3338W (220Kg)"/>
    <n v="2"/>
    <s v="T120"/>
    <x v="4"/>
    <d v="2022-05-14T00:00:00"/>
    <n v="5"/>
    <n v="2022"/>
    <n v="4048"/>
    <n v="-4048"/>
    <n v="0"/>
    <n v="916106.45"/>
    <s v="Term"/>
    <s v="HLB010490Cleared30/5/22-RM31,599.50"/>
    <m/>
  </r>
  <r>
    <d v="2022-01-14T00:00:00"/>
    <n v="1"/>
    <x v="3"/>
    <s v="INV00000190"/>
    <s v="C00000004"/>
    <x v="3"/>
    <s v="RA CSM 450 (60Kg) 64m(L) x 2080mm(W)"/>
    <n v="2"/>
    <s v="T120"/>
    <x v="4"/>
    <d v="2022-05-14T00:00:00"/>
    <n v="5"/>
    <n v="2022"/>
    <n v="1140"/>
    <n v="-1140"/>
    <n v="0"/>
    <n v="917246.45"/>
    <s v="Term"/>
    <s v="HLB010490Cleared30/5/22-RM31,599.50"/>
    <m/>
  </r>
  <r>
    <d v="2022-01-14T00:00:00"/>
    <n v="1"/>
    <x v="3"/>
    <s v="INV00000190"/>
    <s v="C00000004"/>
    <x v="3"/>
    <s v="RA Aerosil (Silica Fume) (10Kg)"/>
    <n v="1"/>
    <s v="T120"/>
    <x v="4"/>
    <d v="2022-05-14T00:00:00"/>
    <n v="5"/>
    <n v="2022"/>
    <n v="450"/>
    <n v="-450"/>
    <n v="0"/>
    <n v="917696.45"/>
    <s v="Term"/>
    <s v="HLB010490Cleared30/5/22-RM31,599.50"/>
    <m/>
  </r>
  <r>
    <d v="2022-01-14T00:00:00"/>
    <n v="1"/>
    <x v="3"/>
    <s v="INV00000190"/>
    <s v="C00000004"/>
    <x v="3"/>
    <s v="RA Mepoxe M (5kg)"/>
    <n v="4"/>
    <s v="T120"/>
    <x v="4"/>
    <d v="2022-05-14T00:00:00"/>
    <n v="5"/>
    <n v="2022"/>
    <n v="340"/>
    <n v="-340"/>
    <n v="0"/>
    <n v="918036.45"/>
    <s v="Term"/>
    <s v="HLB010490Cleared30/5/22-RM31,599.50"/>
    <m/>
  </r>
  <r>
    <d v="2022-01-14T00:00:00"/>
    <n v="1"/>
    <x v="3"/>
    <s v="INV00000190"/>
    <s v="C00000004"/>
    <x v="3"/>
    <s v="RA Gelcoat GP-H (20kg)"/>
    <n v="2"/>
    <s v="T120"/>
    <x v="4"/>
    <d v="2022-05-14T00:00:00"/>
    <n v="5"/>
    <n v="2022"/>
    <n v="540"/>
    <n v="-540"/>
    <n v="0"/>
    <n v="918576.45"/>
    <s v="Term"/>
    <s v="HLB010490Cleared30/5/22-RM31,599.50"/>
    <m/>
  </r>
  <r>
    <d v="2022-01-14T00:00:00"/>
    <n v="1"/>
    <x v="3"/>
    <s v="INV00000190"/>
    <s v="C00000004"/>
    <x v="3"/>
    <s v="RG CSM 300 (30Kg) 64m(L) x 1040mm(W)"/>
    <n v="1"/>
    <s v="T120"/>
    <x v="4"/>
    <d v="2022-05-14T00:00:00"/>
    <n v="5"/>
    <n v="2022"/>
    <n v="285"/>
    <n v="-285"/>
    <n v="0"/>
    <n v="918861.45"/>
    <s v="Term"/>
    <s v="HLB010490Cleared30/5/22-RM31,599.50"/>
    <m/>
  </r>
  <r>
    <d v="2022-01-14T00:00:00"/>
    <n v="1"/>
    <x v="3"/>
    <s v="INV00000191"/>
    <s v="C00000004"/>
    <x v="3"/>
    <s v="RG CSM 300 (30Kg) 64m(L) x 1040mm(W)"/>
    <n v="4"/>
    <s v="T120"/>
    <x v="4"/>
    <d v="2022-05-14T00:00:00"/>
    <n v="5"/>
    <n v="2022"/>
    <n v="1140"/>
    <n v="-1140"/>
    <n v="0"/>
    <n v="920001.45"/>
    <s v="Term"/>
    <s v="HLB010490Cleared30/5/22-RM31,599.50"/>
    <m/>
  </r>
  <r>
    <d v="2022-01-14T00:00:00"/>
    <n v="1"/>
    <x v="3"/>
    <s v="INV00000191"/>
    <s v="C00000004"/>
    <x v="3"/>
    <s v="RA Talcum Powder (25kg)"/>
    <n v="1"/>
    <s v="T120"/>
    <x v="4"/>
    <d v="2022-05-14T00:00:00"/>
    <n v="5"/>
    <n v="2022"/>
    <n v="62.5"/>
    <n v="-62.5"/>
    <n v="0"/>
    <n v="920063.95"/>
    <s v="Term"/>
    <s v="HLB010490Cleared30/5/22-RM31,599.50"/>
    <m/>
  </r>
  <r>
    <d v="2022-01-17T00:00:00"/>
    <n v="1"/>
    <x v="3"/>
    <s v="INV00000192"/>
    <s v="C00000004"/>
    <x v="3"/>
    <s v="RA Nor 3338W (220Kg)"/>
    <n v="3"/>
    <s v="T120"/>
    <x v="4"/>
    <d v="2022-05-17T00:00:00"/>
    <n v="5"/>
    <n v="2022"/>
    <n v="6072"/>
    <n v="-6072"/>
    <n v="0"/>
    <n v="926135.95"/>
    <s v="Term"/>
    <s v="HLB010490Cleared30/5/22-RM31,599.50"/>
    <m/>
  </r>
  <r>
    <d v="2022-01-17T00:00:00"/>
    <n v="1"/>
    <x v="3"/>
    <s v="INV00000192"/>
    <s v="C00000004"/>
    <x v="3"/>
    <s v="RF Nor 3338NW (220Kg)"/>
    <n v="1"/>
    <s v="T120"/>
    <x v="4"/>
    <d v="2022-05-17T00:00:00"/>
    <n v="5"/>
    <n v="2022"/>
    <n v="2024"/>
    <n v="-2024"/>
    <n v="0"/>
    <n v="928159.95"/>
    <s v="Term"/>
    <s v="HLB010490Cleared30/5/22-RM31,599.50"/>
    <m/>
  </r>
  <r>
    <d v="2022-01-17T00:00:00"/>
    <n v="1"/>
    <x v="3"/>
    <s v="INV00000192"/>
    <s v="C00000004"/>
    <x v="3"/>
    <s v="RA Accelerator (5Kg)"/>
    <n v="1"/>
    <s v="T120"/>
    <x v="4"/>
    <d v="2022-05-17T00:00:00"/>
    <n v="5"/>
    <n v="2022"/>
    <n v="390"/>
    <n v="-390"/>
    <n v="0"/>
    <n v="928549.95"/>
    <s v="Term"/>
    <s v="HLB010490Cleared30/5/22-RM31,599.50"/>
    <m/>
  </r>
  <r>
    <d v="2022-01-18T00:00:00"/>
    <n v="1"/>
    <x v="3"/>
    <s v="INV00000193"/>
    <s v="C00000020"/>
    <x v="19"/>
    <s v="RG Resin 3317AW (220Kg)"/>
    <n v="3"/>
    <s v="Cash"/>
    <x v="0"/>
    <d v="2022-01-18T00:00:00"/>
    <n v="1"/>
    <n v="2022"/>
    <n v="6270"/>
    <n v="-6270"/>
    <n v="0"/>
    <n v="934819.95"/>
    <s v="Cash"/>
    <s v="Trsf 11/5/22 RM16,000.00"/>
    <m/>
  </r>
  <r>
    <d v="2022-01-18T00:00:00"/>
    <n v="1"/>
    <x v="3"/>
    <s v="INV00000193"/>
    <s v="C00000020"/>
    <x v="19"/>
    <s v="RA CSM 450 (60Kg) 64m(L) x 2080mm(W)"/>
    <n v="4"/>
    <s v="Cash"/>
    <x v="0"/>
    <d v="2022-01-18T00:00:00"/>
    <n v="1"/>
    <n v="2022"/>
    <n v="2352"/>
    <n v="-2352"/>
    <n v="0"/>
    <n v="937171.95"/>
    <s v="Cash"/>
    <s v="Trsf 11/5/22 RM16,000.00"/>
    <m/>
  </r>
  <r>
    <d v="2022-01-18T00:00:00"/>
    <n v="1"/>
    <x v="3"/>
    <s v="INV00000193"/>
    <s v="C00000020"/>
    <x v="19"/>
    <s v="RG Woven Roving E-600 (45kg) 1120mm"/>
    <n v="5"/>
    <s v="Cash"/>
    <x v="0"/>
    <d v="2022-01-18T00:00:00"/>
    <n v="1"/>
    <n v="2022"/>
    <n v="1755"/>
    <n v="-1755"/>
    <n v="0"/>
    <n v="938926.95"/>
    <s v="Cash"/>
    <s v="Trsf 11/5/22 RM16,000.00"/>
    <m/>
  </r>
  <r>
    <d v="2022-01-18T00:00:00"/>
    <n v="1"/>
    <x v="3"/>
    <s v="INV00000193"/>
    <s v="C00000020"/>
    <x v="19"/>
    <s v="RK Smooth Cream (25kg)"/>
    <n v="1"/>
    <s v="Cash"/>
    <x v="0"/>
    <d v="2022-01-18T00:00:00"/>
    <n v="1"/>
    <n v="2022"/>
    <n v="1000"/>
    <n v="-1000"/>
    <n v="0"/>
    <n v="939926.95"/>
    <s v="Cash"/>
    <s v="Trsf 11/5/22 RM16,000.00"/>
    <m/>
  </r>
  <r>
    <d v="2022-01-18T00:00:00"/>
    <n v="1"/>
    <x v="3"/>
    <s v="INV00000193"/>
    <s v="C00000020"/>
    <x v="19"/>
    <s v="RA Talcum Powder (25kg)"/>
    <n v="2"/>
    <s v="Cash"/>
    <x v="0"/>
    <d v="2022-01-18T00:00:00"/>
    <n v="1"/>
    <n v="2022"/>
    <n v="125"/>
    <n v="-125"/>
    <n v="0"/>
    <n v="940051.95"/>
    <s v="Cash"/>
    <s v="Trsf 11/5/22 RM16,000.00"/>
    <m/>
  </r>
  <r>
    <d v="2022-01-22T00:00:00"/>
    <n v="1"/>
    <x v="3"/>
    <s v="INV00000194"/>
    <s v="C00000019"/>
    <x v="18"/>
    <s v="RG Nor 3338W (220Kg)"/>
    <n v="1"/>
    <s v="Cash"/>
    <x v="0"/>
    <d v="2022-01-22T00:00:00"/>
    <n v="1"/>
    <n v="2022"/>
    <n v="2068"/>
    <n v="-2068"/>
    <n v="0"/>
    <n v="942119.95"/>
    <s v="Cash"/>
    <s v="Trsf  23/1/22 RM2,696.80"/>
    <m/>
  </r>
  <r>
    <d v="2022-01-22T00:00:00"/>
    <n v="1"/>
    <x v="3"/>
    <s v="INV00000194"/>
    <s v="C00000019"/>
    <x v="18"/>
    <s v="RG CSM 450 CQ 54kg 64m(L) X 1860mm(W)"/>
    <n v="1"/>
    <s v="Cash"/>
    <x v="0"/>
    <d v="2022-01-22T00:00:00"/>
    <n v="1"/>
    <n v="2022"/>
    <n v="523.79999999999995"/>
    <n v="-523.79999999999995"/>
    <n v="0"/>
    <n v="942643.75"/>
    <s v="Cash"/>
    <s v="Trsf  23/1/22 RM2,696.80"/>
    <m/>
  </r>
  <r>
    <d v="2022-01-22T00:00:00"/>
    <n v="1"/>
    <x v="3"/>
    <s v="INV00000194"/>
    <s v="C00000019"/>
    <x v="18"/>
    <s v="RA Butanox M50"/>
    <n v="1"/>
    <s v="Cash"/>
    <x v="0"/>
    <d v="2022-01-22T00:00:00"/>
    <n v="1"/>
    <n v="2022"/>
    <n v="105"/>
    <n v="-105"/>
    <n v="0"/>
    <n v="942748.75"/>
    <s v="Cash"/>
    <s v="Trsf  23/1/22 RM2,696.80"/>
    <m/>
  </r>
  <r>
    <d v="2022-01-24T00:00:00"/>
    <n v="1"/>
    <x v="3"/>
    <s v="INV00000195"/>
    <s v="C00000010"/>
    <x v="9"/>
    <s v="RA Resin 3338AW (220kg)"/>
    <n v="6"/>
    <s v="T120"/>
    <x v="4"/>
    <d v="2022-05-24T00:00:00"/>
    <n v="5"/>
    <n v="2022"/>
    <n v="12144"/>
    <n v="-12144"/>
    <n v="0"/>
    <n v="954892.75"/>
    <s v="Term"/>
    <s v="Trsf 21/4/2022 RM28,820.00"/>
    <m/>
  </r>
  <r>
    <d v="2022-01-24T00:00:00"/>
    <n v="1"/>
    <x v="3"/>
    <s v="INV00000195"/>
    <s v="C00000010"/>
    <x v="9"/>
    <s v="RA Talcum Powder (25kg)"/>
    <n v="10"/>
    <s v="T120"/>
    <x v="4"/>
    <d v="2022-05-24T00:00:00"/>
    <n v="5"/>
    <n v="2022"/>
    <n v="550"/>
    <n v="-550"/>
    <n v="0"/>
    <n v="955442.75"/>
    <s v="Term"/>
    <s v="Trsf 21/4/2022 RM28,820.00"/>
    <m/>
  </r>
  <r>
    <d v="2022-01-24T00:00:00"/>
    <n v="1"/>
    <x v="3"/>
    <s v="INV00000195"/>
    <s v="C00000010"/>
    <x v="9"/>
    <s v="RA Mepoxe M (5kg)"/>
    <n v="4"/>
    <s v="T120"/>
    <x v="4"/>
    <d v="2022-05-24T00:00:00"/>
    <n v="5"/>
    <n v="2022"/>
    <n v="340"/>
    <n v="-340"/>
    <n v="0"/>
    <n v="955782.75"/>
    <s v="Term"/>
    <s v="Trsf 21/4/2022 RM28,820.00"/>
    <m/>
  </r>
  <r>
    <d v="2022-01-24T00:00:00"/>
    <n v="1"/>
    <x v="3"/>
    <s v="INV00000195"/>
    <s v="C00000010"/>
    <x v="9"/>
    <s v="RA Aerosil (Silica Fume) (10Kg)"/>
    <n v="1"/>
    <s v="T120"/>
    <x v="4"/>
    <d v="2022-05-24T00:00:00"/>
    <n v="5"/>
    <n v="2022"/>
    <n v="440"/>
    <n v="-440"/>
    <n v="0"/>
    <n v="956222.75"/>
    <s v="Term"/>
    <s v="Trsf 21/4/2022 RM28,820.00"/>
    <m/>
  </r>
  <r>
    <d v="2022-01-25T00:00:00"/>
    <n v="1"/>
    <x v="3"/>
    <s v="INV00000196"/>
    <s v="C00000006"/>
    <x v="5"/>
    <s v="RG Nor 3338W (220Kg)"/>
    <n v="1"/>
    <s v="Cash"/>
    <x v="0"/>
    <d v="2022-01-25T00:00:00"/>
    <n v="1"/>
    <n v="2022"/>
    <n v="2024"/>
    <n v="-2024"/>
    <n v="0"/>
    <n v="958246.75"/>
    <s v="Cash"/>
    <s v="chq 934918 21/02/2022"/>
    <m/>
  </r>
  <r>
    <d v="2022-01-25T00:00:00"/>
    <n v="1"/>
    <x v="3"/>
    <s v="INV00000196"/>
    <s v="C00000004"/>
    <x v="5"/>
    <s v="RG CSM 300 (30Kg) 64m(L) x 1040mm(W)"/>
    <n v="1"/>
    <s v="Cash"/>
    <x v="0"/>
    <d v="2022-01-25T00:00:00"/>
    <n v="1"/>
    <n v="2022"/>
    <n v="285"/>
    <n v="-285"/>
    <n v="0"/>
    <n v="958531.75"/>
    <s v="Cash"/>
    <s v="chq 934918 21/02/2022"/>
    <m/>
  </r>
  <r>
    <d v="2022-01-26T00:00:00"/>
    <n v="1"/>
    <x v="3"/>
    <s v="INV00000197"/>
    <s v="C00000004"/>
    <x v="3"/>
    <s v="RG Nor 3338W (220Kg)"/>
    <n v="5"/>
    <s v="T120"/>
    <x v="4"/>
    <d v="2022-05-26T00:00:00"/>
    <n v="5"/>
    <n v="2022"/>
    <n v="10120"/>
    <n v="-10120"/>
    <n v="0"/>
    <n v="968651.75"/>
    <s v="Term"/>
    <s v="HLB010490Cleared30/5/22-RM31,599.50"/>
    <m/>
  </r>
  <r>
    <d v="2022-01-26T00:00:00"/>
    <n v="1"/>
    <x v="3"/>
    <s v="INV00000197"/>
    <s v="C00000004"/>
    <x v="3"/>
    <s v="RG Nor 3338NW (220Kg)"/>
    <n v="1"/>
    <s v="T120"/>
    <x v="4"/>
    <d v="2022-05-26T00:00:00"/>
    <n v="5"/>
    <n v="2022"/>
    <n v="2024"/>
    <n v="-2024"/>
    <n v="0"/>
    <n v="970675.75"/>
    <s v="Term"/>
    <s v="HLB010490Cleared30/5/22-RM31,599.50"/>
    <m/>
  </r>
  <r>
    <d v="2022-01-26T00:00:00"/>
    <n v="1"/>
    <x v="3"/>
    <s v="INV00000197"/>
    <s v="C00000004"/>
    <x v="3"/>
    <s v="RG CSM 300 (30Kg) 64m(L) x 1040mm(W)"/>
    <n v="5"/>
    <s v="T120"/>
    <x v="4"/>
    <d v="2022-05-26T00:00:00"/>
    <n v="5"/>
    <n v="2022"/>
    <n v="1425"/>
    <n v="-1425"/>
    <n v="0"/>
    <n v="972100.75"/>
    <s v="Term"/>
    <s v="HLB010490Cleared30/5/22-RM31,599.50"/>
    <m/>
  </r>
  <r>
    <d v="2022-01-26T00:00:00"/>
    <n v="1"/>
    <x v="3"/>
    <s v="INV00000197"/>
    <s v="C00000004"/>
    <x v="3"/>
    <s v="RG CSM 450 CQ 54kg 64m(L) X 1860mm(W)"/>
    <n v="3"/>
    <s v="T120"/>
    <x v="4"/>
    <d v="2022-05-26T00:00:00"/>
    <n v="5"/>
    <n v="2022"/>
    <n v="1539"/>
    <n v="-1539"/>
    <n v="0"/>
    <n v="973639.75"/>
    <s v="Term"/>
    <s v="HLB010490Cleared30/5/22-RM31,599.50"/>
    <m/>
  </r>
  <r>
    <d v="2022-02-10T00:00:00"/>
    <n v="2"/>
    <x v="3"/>
    <s v="INV00000198"/>
    <s v="C00000019"/>
    <x v="18"/>
    <s v="RG Nor 3338W (220Kg)"/>
    <n v="2"/>
    <s v="Cash"/>
    <x v="0"/>
    <d v="2022-02-10T00:00:00"/>
    <n v="2"/>
    <n v="2022"/>
    <n v="4136"/>
    <n v="-4136"/>
    <n v="0"/>
    <n v="977775.75"/>
    <s v="Term"/>
    <s v="Trsf 12/2/22 RM6,532.40"/>
    <m/>
  </r>
  <r>
    <d v="2022-02-10T00:00:00"/>
    <n v="2"/>
    <x v="3"/>
    <s v="INV00000198"/>
    <s v="C00000019"/>
    <x v="18"/>
    <s v="RG CSM 450 CQ 54kg 64m(L) X 1860mm(W)"/>
    <n v="3"/>
    <s v="Cash"/>
    <x v="0"/>
    <d v="2022-02-10T00:00:00"/>
    <n v="2"/>
    <n v="2022"/>
    <n v="1571.4"/>
    <n v="-1571.4"/>
    <n v="0"/>
    <n v="979347.15"/>
    <s v="Term"/>
    <s v="Trsf 12/2/22 RM6,532.40"/>
    <m/>
  </r>
  <r>
    <d v="2022-02-10T00:00:00"/>
    <n v="2"/>
    <x v="3"/>
    <s v="INV00000198"/>
    <s v="C00000019"/>
    <x v="18"/>
    <s v="RA Butanox M50 (5Kg)"/>
    <n v="1"/>
    <s v="Cash"/>
    <x v="0"/>
    <d v="2022-02-10T00:00:00"/>
    <n v="2"/>
    <n v="2022"/>
    <n v="105"/>
    <n v="-105"/>
    <n v="0"/>
    <n v="979452.15"/>
    <s v="Term"/>
    <s v="Trsf 12/2/22 RM6,532.40"/>
    <m/>
  </r>
  <r>
    <d v="2022-02-10T00:00:00"/>
    <n v="2"/>
    <x v="3"/>
    <s v="INV00000198"/>
    <s v="C00000019"/>
    <x v="18"/>
    <s v="RE Frekote 770NC (1 Gallon)"/>
    <n v="2"/>
    <s v="Cash"/>
    <x v="0"/>
    <d v="2022-02-10T00:00:00"/>
    <n v="2"/>
    <n v="2022"/>
    <n v="720"/>
    <n v="-720"/>
    <n v="0"/>
    <n v="980172.15"/>
    <s v="Term"/>
    <s v="Trsf 12/2/22 RM6,532.40"/>
    <m/>
  </r>
  <r>
    <d v="2022-02-15T00:00:00"/>
    <n v="2"/>
    <x v="3"/>
    <s v="INV00000199"/>
    <s v="C00000004"/>
    <x v="3"/>
    <s v="RA Mepoxe M (5kg)"/>
    <n v="4"/>
    <s v="T120"/>
    <x v="4"/>
    <d v="2022-06-15T00:00:00"/>
    <n v="6"/>
    <n v="2022"/>
    <n v="340"/>
    <n v="-340"/>
    <n v="0"/>
    <n v="980512.15"/>
    <s v="Term"/>
    <s v="HLB011600Cleared23/6/22-RM1,480.00"/>
    <m/>
  </r>
  <r>
    <d v="2022-02-15T00:00:00"/>
    <n v="2"/>
    <x v="3"/>
    <s v="INV00000199"/>
    <s v="C00000004"/>
    <x v="3"/>
    <s v="RG CSM 300 (30Kg) 64m(L) x 1040mm(W)"/>
    <n v="4"/>
    <s v="T120"/>
    <x v="4"/>
    <d v="2022-06-15T00:00:00"/>
    <n v="6"/>
    <n v="2022"/>
    <n v="1140"/>
    <n v="-1140"/>
    <n v="0"/>
    <n v="981652.15"/>
    <s v="Term"/>
    <s v="HLB011600Cleared23/6/22-RM1,480.00"/>
    <m/>
  </r>
  <r>
    <d v="2022-02-17T00:00:00"/>
    <n v="2"/>
    <x v="3"/>
    <s v="INV00000200"/>
    <s v="C00000010"/>
    <x v="9"/>
    <s v="RG Resin 3338AW (220kg)"/>
    <n v="6"/>
    <s v="T120"/>
    <x v="4"/>
    <d v="2022-06-17T00:00:00"/>
    <n v="6"/>
    <n v="2022"/>
    <n v="11880"/>
    <n v="-11880"/>
    <n v="0"/>
    <n v="993532.15"/>
    <s v="Term"/>
    <s v="Trsf 23/5/22 RM14,395.00"/>
    <m/>
  </r>
  <r>
    <d v="2022-02-17T00:00:00"/>
    <n v="2"/>
    <x v="3"/>
    <s v="INV00000200"/>
    <s v="C00000010"/>
    <x v="9"/>
    <s v="RG CSM 450 (30Kg) 64m(L) x 1040mm(W)"/>
    <n v="5"/>
    <s v="T120"/>
    <x v="4"/>
    <d v="2022-06-17T00:00:00"/>
    <n v="6"/>
    <n v="2022"/>
    <n v="1425"/>
    <n v="-1425"/>
    <n v="0"/>
    <n v="994957.15"/>
    <s v="Term"/>
    <s v="Trsf 23/5/22 RM14,395.00"/>
    <m/>
  </r>
  <r>
    <d v="2022-02-17T00:00:00"/>
    <n v="2"/>
    <x v="3"/>
    <s v="INV00000200"/>
    <s v="C00000010"/>
    <x v="9"/>
    <s v="RA Talcum Powder (25kg)"/>
    <n v="5"/>
    <s v="T120"/>
    <x v="4"/>
    <d v="2022-06-17T00:00:00"/>
    <n v="6"/>
    <n v="2022"/>
    <n v="275"/>
    <n v="-275"/>
    <n v="0"/>
    <n v="995232.15"/>
    <s v="Term"/>
    <s v="Trsf 23/5/22 RM14,395.00"/>
    <m/>
  </r>
  <r>
    <d v="2022-02-17T00:00:00"/>
    <n v="2"/>
    <x v="3"/>
    <s v="INV00000200"/>
    <s v="C00000010"/>
    <x v="9"/>
    <s v="RH Bosny Wax (15Kg)"/>
    <n v="1"/>
    <s v="T120"/>
    <x v="4"/>
    <d v="2022-06-17T00:00:00"/>
    <n v="6"/>
    <n v="2022"/>
    <n v="375"/>
    <n v="-375"/>
    <n v="0"/>
    <n v="995607.15"/>
    <s v="Term"/>
    <s v="Trsf 23/5/22 RM14,395.00"/>
    <m/>
  </r>
  <r>
    <d v="2022-02-17T00:00:00"/>
    <n v="2"/>
    <x v="3"/>
    <s v="INV00000200"/>
    <s v="C00000010"/>
    <x v="9"/>
    <s v="RA Aerosil (Silica Fume) (10Kg)"/>
    <n v="1"/>
    <s v="T120"/>
    <x v="4"/>
    <d v="2022-06-17T00:00:00"/>
    <n v="6"/>
    <n v="2022"/>
    <n v="440"/>
    <n v="-440"/>
    <n v="0"/>
    <n v="996047.15"/>
    <s v="Term"/>
    <s v="Trsf 23/5/22 RM14,395.00"/>
    <m/>
  </r>
  <r>
    <d v="2022-02-18T00:00:00"/>
    <n v="2"/>
    <x v="3"/>
    <s v="INV00000201"/>
    <s v="C00000009"/>
    <x v="8"/>
    <s v="RG Nor 3338W (220Kg)"/>
    <n v="2"/>
    <s v="T60"/>
    <x v="3"/>
    <d v="2022-04-19T00:00:00"/>
    <n v="4"/>
    <n v="2022"/>
    <n v="3960"/>
    <n v="-3960"/>
    <n v="0"/>
    <n v="1000007.15"/>
    <s v="Term"/>
    <s v="HLIB 015672dd250522 RM5,940,00"/>
    <m/>
  </r>
  <r>
    <d v="2022-02-18T00:00:00"/>
    <n v="2"/>
    <x v="3"/>
    <s v="INV00000201"/>
    <s v="C00000009"/>
    <x v="8"/>
    <s v="RM Nor 3338NW (220Kg)"/>
    <n v="1"/>
    <s v="T60"/>
    <x v="3"/>
    <d v="2022-04-19T00:00:00"/>
    <n v="4"/>
    <n v="2022"/>
    <n v="1980"/>
    <n v="-1980"/>
    <n v="0"/>
    <n v="1001987.15"/>
    <s v="Term"/>
    <s v="HLIB 015672dd250522 RM5,940,00"/>
    <m/>
  </r>
  <r>
    <d v="2022-02-19T00:00:00"/>
    <n v="2"/>
    <x v="3"/>
    <s v="INV00000202"/>
    <s v="C00000003"/>
    <x v="2"/>
    <s v="RG Resin 3317AW (220Kg)"/>
    <n v="3"/>
    <s v="T45"/>
    <x v="1"/>
    <d v="2022-04-05T00:00:00"/>
    <n v="4"/>
    <n v="2022"/>
    <n v="6336"/>
    <n v="-6336"/>
    <n v="0"/>
    <n v="1008323.15"/>
    <s v="Term"/>
    <s v="RHB001565cleared14/3/22-RM2,000.00(partial), RHB001566cleared21/3/22-RM2,000.00(partial), RHB001567cleared28/3/22-RM2,000.00(partial), RHB001569cleared11/4/22-RM1,586.00(336.00partial)"/>
    <m/>
  </r>
  <r>
    <d v="2022-02-19T00:00:00"/>
    <n v="2"/>
    <x v="3"/>
    <s v="INV00000202"/>
    <s v="C00000003"/>
    <x v="2"/>
    <s v="RA Talcum Powder (25kg)"/>
    <n v="4"/>
    <s v="T45"/>
    <x v="1"/>
    <d v="2022-04-05T00:00:00"/>
    <n v="4"/>
    <n v="2022"/>
    <n v="260"/>
    <n v="-260"/>
    <n v="0"/>
    <n v="1008583.15"/>
    <s v="Term"/>
    <s v="RHB001569cleared11/4/22-RM1,586.00"/>
    <m/>
  </r>
  <r>
    <d v="2022-02-19T00:00:00"/>
    <n v="2"/>
    <x v="3"/>
    <s v="INV00000202"/>
    <s v="C00000003"/>
    <x v="2"/>
    <s v="RA Butanox M50 (5Kg)"/>
    <n v="6"/>
    <s v="T45"/>
    <x v="1"/>
    <d v="2022-04-05T00:00:00"/>
    <n v="4"/>
    <n v="2022"/>
    <n v="630"/>
    <n v="-630"/>
    <n v="0"/>
    <n v="1009213.15"/>
    <s v="Term"/>
    <s v="RHB001569cleared11/4/22-RM1,586.00"/>
    <m/>
  </r>
  <r>
    <d v="2022-02-19T00:00:00"/>
    <n v="2"/>
    <x v="3"/>
    <s v="INV00000202"/>
    <s v="C00000003"/>
    <x v="2"/>
    <s v="RA Miracle Gloss Wax"/>
    <n v="1"/>
    <s v="T45"/>
    <x v="1"/>
    <d v="2022-04-05T00:00:00"/>
    <n v="4"/>
    <n v="2022"/>
    <n v="45"/>
    <n v="-45"/>
    <n v="0"/>
    <n v="1009258.15"/>
    <s v="Term"/>
    <s v="RHB001569cleared11/4/22-RM1,586.00"/>
    <m/>
  </r>
  <r>
    <d v="2022-02-21T00:00:00"/>
    <n v="2"/>
    <x v="3"/>
    <s v="INV00000203"/>
    <s v="C00000021"/>
    <x v="21"/>
    <s v="RG Resin 3317AW (220Kg)"/>
    <n v="2"/>
    <s v="Cash"/>
    <x v="0"/>
    <d v="2022-02-21T00:00:00"/>
    <n v="2"/>
    <n v="2022"/>
    <n v="3960"/>
    <n v="-3960"/>
    <n v="0"/>
    <n v="1013218.15"/>
    <s v="Cash"/>
    <s v="PBB395355cleared31/3/22 RM5,822.00"/>
    <m/>
  </r>
  <r>
    <d v="2022-02-21T00:00:00"/>
    <n v="2"/>
    <x v="3"/>
    <s v="INV00000203"/>
    <s v="C00000021"/>
    <x v="21"/>
    <s v="RG CSM 450 (30Kg) 64m(L) x 1040mm(W)"/>
    <n v="6"/>
    <s v="Cash"/>
    <x v="0"/>
    <d v="2022-02-21T00:00:00"/>
    <n v="2"/>
    <n v="2022"/>
    <n v="1692"/>
    <n v="-1692"/>
    <n v="0"/>
    <n v="1014910.15"/>
    <s v="Cash"/>
    <s v="PBB395355cleared31/3/22 RM5,822.01"/>
    <m/>
  </r>
  <r>
    <d v="2022-02-21T00:00:00"/>
    <n v="2"/>
    <x v="3"/>
    <s v="INV00000203"/>
    <s v="C00000021"/>
    <x v="21"/>
    <s v="RA Mepoxe M (5kg)"/>
    <n v="2"/>
    <s v="Cash"/>
    <x v="0"/>
    <d v="2022-02-21T00:00:00"/>
    <n v="2"/>
    <n v="2022"/>
    <n v="170"/>
    <n v="-170"/>
    <n v="0"/>
    <n v="1015080.15"/>
    <s v="Cash"/>
    <s v="PBB395355cleared31/3/22 RM5,822.02"/>
    <m/>
  </r>
  <r>
    <d v="2022-02-21T00:00:00"/>
    <n v="2"/>
    <x v="3"/>
    <s v="INV00000204"/>
    <s v="C00000006"/>
    <x v="5"/>
    <s v="RA Pigment Super White (5kg)"/>
    <n v="1"/>
    <s v="Cash"/>
    <x v="0"/>
    <d v="2022-02-21T00:00:00"/>
    <n v="2"/>
    <n v="2022"/>
    <n v="175"/>
    <n v="-175"/>
    <n v="0"/>
    <n v="1015255.15"/>
    <s v="Cash"/>
    <s v="RHB 934926 cleared18/4/22-RM2,580.50"/>
    <m/>
  </r>
  <r>
    <d v="2022-02-22T00:00:00"/>
    <n v="2"/>
    <x v="3"/>
    <s v="INV00000205"/>
    <s v="C00000019"/>
    <x v="18"/>
    <s v="RG Nor 3338W (220Kg)"/>
    <n v="2"/>
    <s v="Cash"/>
    <x v="0"/>
    <d v="2022-02-22T00:00:00"/>
    <n v="2"/>
    <n v="2022"/>
    <n v="4136"/>
    <n v="-4136"/>
    <n v="0"/>
    <n v="1019391.15"/>
    <s v="Cash"/>
    <s v="Trsf 22/2/22 RM5,877.30"/>
    <m/>
  </r>
  <r>
    <d v="2022-02-22T00:00:00"/>
    <n v="2"/>
    <x v="3"/>
    <s v="INV00000205"/>
    <s v="C00000019"/>
    <x v="18"/>
    <s v="RG CSM 450 CQ 54kg 64m(L) X 1860mm(W)"/>
    <n v="1"/>
    <s v="Cash"/>
    <x v="0"/>
    <d v="2022-02-22T00:00:00"/>
    <n v="2"/>
    <n v="2022"/>
    <n v="523.79999999999995"/>
    <n v="-523.79999999999995"/>
    <n v="0"/>
    <n v="1019914.9500000001"/>
    <s v="Cash"/>
    <s v="Trsf 22/2/22 RM5,877.30"/>
    <m/>
  </r>
  <r>
    <d v="2022-02-22T00:00:00"/>
    <n v="2"/>
    <x v="3"/>
    <s v="INV00000205"/>
    <s v="C00000019"/>
    <x v="18"/>
    <s v="RA Butanox M50"/>
    <n v="1"/>
    <s v="Cash"/>
    <x v="0"/>
    <d v="2022-02-22T00:00:00"/>
    <n v="2"/>
    <n v="2022"/>
    <n v="105"/>
    <n v="-105"/>
    <n v="0"/>
    <n v="1020019.9500000001"/>
    <s v="Cash"/>
    <s v="Trsf 22/2/22 RM5,877.30"/>
    <m/>
  </r>
  <r>
    <d v="2022-02-22T00:00:00"/>
    <n v="2"/>
    <x v="3"/>
    <s v="INV00000205"/>
    <s v="C00000019"/>
    <x v="18"/>
    <s v="RE Frekote 770NC (1 Gallon)"/>
    <n v="1"/>
    <s v="Cash"/>
    <x v="0"/>
    <d v="2022-02-22T00:00:00"/>
    <n v="2"/>
    <n v="2022"/>
    <n v="360"/>
    <n v="-360"/>
    <n v="0"/>
    <n v="1020379.9500000001"/>
    <s v="Cash"/>
    <s v="Trsf 22/2/22 RM5,877.30"/>
    <m/>
  </r>
  <r>
    <d v="2022-02-22T00:00:00"/>
    <n v="2"/>
    <x v="3"/>
    <s v="INV00000205"/>
    <s v="C00000019"/>
    <x v="18"/>
    <s v="RA Talcum Powder (25kg)"/>
    <n v="5"/>
    <s v="Cash"/>
    <x v="0"/>
    <d v="2022-02-22T00:00:00"/>
    <n v="2"/>
    <n v="2022"/>
    <n v="312.5"/>
    <n v="-312.5"/>
    <n v="0"/>
    <n v="1020692.4500000001"/>
    <s v="Cash"/>
    <s v="Trsf 22/2/22 RM5,877.30"/>
    <m/>
  </r>
  <r>
    <d v="2022-02-22T00:00:00"/>
    <n v="2"/>
    <x v="3"/>
    <s v="INV00000205"/>
    <s v="C00000019"/>
    <x v="18"/>
    <s v="RA Aerosil (Silica Fume) (10Kg)"/>
    <n v="1"/>
    <s v="Cash"/>
    <x v="0"/>
    <d v="2022-02-22T00:00:00"/>
    <n v="2"/>
    <n v="2022"/>
    <n v="440"/>
    <n v="-440"/>
    <n v="0"/>
    <n v="1021132.4500000001"/>
    <s v="Cash"/>
    <s v="Trsf 22/2/22 RM5,877.30"/>
    <m/>
  </r>
  <r>
    <d v="2022-02-24T00:00:00"/>
    <n v="2"/>
    <x v="3"/>
    <s v="INV00000206"/>
    <s v="C00000020"/>
    <x v="19"/>
    <s v="RG Resin 3317AW (220Kg)"/>
    <n v="2"/>
    <s v="Cash"/>
    <x v="0"/>
    <d v="2022-02-24T00:00:00"/>
    <n v="2"/>
    <n v="2022"/>
    <n v="4180"/>
    <n v="-4180"/>
    <n v="0"/>
    <n v="1025312.4500000001"/>
    <s v="Cash"/>
    <s v="Trsf 11/5/22 RM16,000.00(1,149.30partial), Trsf 17/5/22 RM10,000.00(3,030.70partial)"/>
    <m/>
  </r>
  <r>
    <d v="2022-02-24T00:00:00"/>
    <n v="2"/>
    <x v="3"/>
    <s v="INV00000206"/>
    <s v="C00000020"/>
    <x v="19"/>
    <s v="RG Nor 3338W (220Kg)"/>
    <n v="1"/>
    <s v="Cash"/>
    <x v="0"/>
    <d v="2022-02-24T00:00:00"/>
    <n v="2"/>
    <n v="2022"/>
    <n v="2090"/>
    <n v="-2090"/>
    <n v="0"/>
    <n v="1027402.4500000001"/>
    <s v="Cash"/>
    <s v="Trsf 17/5/22 RM10,000.00"/>
    <m/>
  </r>
  <r>
    <d v="2022-02-24T00:00:00"/>
    <n v="2"/>
    <x v="3"/>
    <s v="INV00000206"/>
    <s v="C00000020"/>
    <x v="19"/>
    <s v="RG Woven Roving E-600 (45kg) 1120mm"/>
    <n v="1"/>
    <s v="Cash"/>
    <x v="0"/>
    <d v="2022-02-24T00:00:00"/>
    <n v="2"/>
    <n v="2022"/>
    <n v="351"/>
    <n v="-351"/>
    <n v="0"/>
    <n v="1027753.4500000001"/>
    <s v="Cash"/>
    <s v="Trsf 17/5/22 RM10,000.00"/>
    <m/>
  </r>
  <r>
    <d v="2022-02-24T00:00:00"/>
    <n v="2"/>
    <x v="3"/>
    <s v="INV00000206"/>
    <s v="C00000020"/>
    <x v="19"/>
    <s v="RK Smooth Cream (25kg)"/>
    <n v="1"/>
    <s v="Cash"/>
    <x v="0"/>
    <d v="2022-02-24T00:00:00"/>
    <n v="2"/>
    <n v="2022"/>
    <n v="1000"/>
    <n v="-1000"/>
    <n v="0"/>
    <n v="1028753.4500000001"/>
    <s v="Cash"/>
    <s v="Trsf 17/5/22 RM10,000.00"/>
    <m/>
  </r>
  <r>
    <d v="2022-02-24T00:00:00"/>
    <n v="2"/>
    <x v="3"/>
    <s v="INV00000206"/>
    <s v="C00000020"/>
    <x v="19"/>
    <s v="RA Mepoxe M (5kg)"/>
    <n v="4"/>
    <s v="Cash"/>
    <x v="0"/>
    <d v="2022-02-24T00:00:00"/>
    <n v="2"/>
    <n v="2022"/>
    <n v="340"/>
    <n v="-340"/>
    <n v="0"/>
    <n v="1029093.4500000001"/>
    <s v="Cash"/>
    <s v="Trsf 17/5/22 RM10,000.00"/>
    <m/>
  </r>
  <r>
    <d v="2022-02-26T00:00:00"/>
    <n v="2"/>
    <x v="3"/>
    <s v="INV00000207"/>
    <s v="C00000020"/>
    <x v="19"/>
    <s v="RG Resin 3317AW (220Kg)"/>
    <n v="1"/>
    <s v="Cash"/>
    <x v="0"/>
    <d v="2022-02-26T00:00:00"/>
    <n v="2"/>
    <n v="2022"/>
    <n v="2090"/>
    <n v="-2090"/>
    <n v="0"/>
    <n v="1031183.4500000001"/>
    <s v="Cash"/>
    <s v="Trsf 17/5/22 RM10,000.00"/>
    <m/>
  </r>
  <r>
    <d v="2022-02-26T00:00:00"/>
    <n v="2"/>
    <x v="3"/>
    <s v="INV00000207"/>
    <s v="C00000020"/>
    <x v="19"/>
    <s v="RA CSM 450 (60Kg) 64m(L) x 2080mm(W)"/>
    <n v="1"/>
    <s v="Cash"/>
    <x v="0"/>
    <d v="2022-02-26T00:00:00"/>
    <n v="2"/>
    <n v="2022"/>
    <n v="588"/>
    <n v="-588"/>
    <n v="0"/>
    <n v="1031771.4500000001"/>
    <s v="Cash"/>
    <s v="Trsf 17/5/22 RM10,000.00"/>
    <m/>
  </r>
  <r>
    <d v="2022-02-26T00:00:00"/>
    <n v="2"/>
    <x v="3"/>
    <s v="INV00000208"/>
    <s v="C00000003"/>
    <x v="2"/>
    <s v="RG CSM 300 (30Kg) 64m(L) x 1040mm(W)"/>
    <n v="1"/>
    <s v="T45"/>
    <x v="1"/>
    <d v="2022-04-12T00:00:00"/>
    <n v="4"/>
    <n v="2022"/>
    <n v="315"/>
    <n v="-315"/>
    <n v="0"/>
    <n v="1032086.4500000001"/>
    <s v="Cash"/>
    <s v="RHB001569cleared11/4/22-RM1,586.00"/>
    <m/>
  </r>
  <r>
    <d v="2022-03-05T00:00:00"/>
    <n v="3"/>
    <x v="3"/>
    <s v="INV00000209"/>
    <s v="C00000021"/>
    <x v="21"/>
    <s v="RG Resin 3317AW (220Kg)"/>
    <n v="2"/>
    <s v="Cash"/>
    <x v="0"/>
    <d v="2022-03-05T00:00:00"/>
    <n v="3"/>
    <n v="2022"/>
    <n v="3960"/>
    <n v="-3960"/>
    <n v="0"/>
    <n v="1036046.4500000001"/>
    <s v="Cash"/>
    <s v="PBB395356cleared11/4/22 RM6,301.00"/>
    <m/>
  </r>
  <r>
    <d v="2022-03-05T00:00:00"/>
    <n v="3"/>
    <x v="3"/>
    <s v="INV00000209"/>
    <s v="C00000021"/>
    <x v="21"/>
    <s v="RG CSM 450 (30Kg) 64m(L) x 1040mm(W)"/>
    <n v="8"/>
    <s v="Cash"/>
    <x v="0"/>
    <d v="2022-03-05T00:00:00"/>
    <n v="3"/>
    <n v="2022"/>
    <n v="2256"/>
    <n v="-2256"/>
    <n v="0"/>
    <n v="1038302.4500000001"/>
    <s v="Cash"/>
    <s v="PBB395356cleared11/4/22 RM6,301.00"/>
    <m/>
  </r>
  <r>
    <d v="2022-03-05T00:00:00"/>
    <n v="3"/>
    <x v="3"/>
    <s v="INV00000209"/>
    <s v="C00000021"/>
    <x v="21"/>
    <s v="RA Mepoxe M (5kg)"/>
    <n v="1"/>
    <s v="Cash"/>
    <x v="0"/>
    <d v="2022-03-05T00:00:00"/>
    <n v="3"/>
    <n v="2022"/>
    <n v="85"/>
    <n v="-85"/>
    <n v="0"/>
    <n v="1038387.4500000001"/>
    <s v="Cash"/>
    <s v="PBB395356cleared11/4/22 RM6,301.00"/>
    <m/>
  </r>
  <r>
    <d v="2022-03-08T00:00:00"/>
    <n v="3"/>
    <x v="3"/>
    <s v="INV00000210"/>
    <s v="C00000022"/>
    <x v="22"/>
    <s v="RM Nor 3338NW (220Kg)"/>
    <n v="1"/>
    <s v="Cash"/>
    <x v="0"/>
    <d v="2022-03-08T00:00:00"/>
    <n v="3"/>
    <n v="2022"/>
    <n v="2112"/>
    <n v="-2112"/>
    <n v="0"/>
    <n v="1040499.4500000001"/>
    <s v="Cash"/>
    <s v="Trsf 23/3/22 RM5,328.00"/>
    <m/>
  </r>
  <r>
    <d v="2022-03-08T00:00:00"/>
    <n v="3"/>
    <x v="3"/>
    <s v="INV00000210"/>
    <s v="C00000022"/>
    <x v="22"/>
    <s v="RM Wax Solution 54-56 (10L)"/>
    <n v="1"/>
    <s v="Cash"/>
    <x v="0"/>
    <d v="2022-03-08T00:00:00"/>
    <n v="3"/>
    <n v="2022"/>
    <n v="320"/>
    <n v="-320"/>
    <n v="0"/>
    <n v="1040819.4500000001"/>
    <s v="Cash"/>
    <s v="Trsf 23/3/22 RM5,328.00"/>
    <m/>
  </r>
  <r>
    <d v="2022-03-08T00:00:00"/>
    <n v="3"/>
    <x v="3"/>
    <s v="INV00000210"/>
    <s v="C00000022"/>
    <x v="22"/>
    <s v="RM NPG Gelcoat 9319-H (25Kg)"/>
    <n v="1"/>
    <s v="Cash"/>
    <x v="0"/>
    <d v="2022-03-08T00:00:00"/>
    <n v="3"/>
    <n v="2022"/>
    <n v="337.5"/>
    <n v="-337.5"/>
    <n v="0"/>
    <n v="1041156.9500000001"/>
    <s v="Cash"/>
    <s v="Trsf 23/3/22 RM5,328.00"/>
    <m/>
  </r>
  <r>
    <d v="2022-03-08T00:00:00"/>
    <n v="3"/>
    <x v="3"/>
    <s v="INV00000210"/>
    <s v="C00000022"/>
    <x v="22"/>
    <s v="RM Pgment Paste Riviera Blue B5 (5Kg)"/>
    <n v="2"/>
    <s v="Cash"/>
    <x v="0"/>
    <d v="2022-03-08T00:00:00"/>
    <n v="3"/>
    <n v="2022"/>
    <n v="480"/>
    <n v="-480"/>
    <n v="0"/>
    <n v="1041636.9500000001"/>
    <s v="Cash"/>
    <s v="Trsf 23/3/22 RM5,328.00"/>
    <m/>
  </r>
  <r>
    <d v="2022-03-08T00:00:00"/>
    <n v="3"/>
    <x v="3"/>
    <s v="INV00000210"/>
    <s v="C00000022"/>
    <x v="22"/>
    <s v="RA CSM 450 (60Kg) 64m(L) x 2080mm(W)"/>
    <n v="1"/>
    <s v="Cash"/>
    <x v="0"/>
    <d v="2022-03-08T00:00:00"/>
    <n v="3"/>
    <n v="2022"/>
    <n v="588"/>
    <n v="-588"/>
    <n v="0"/>
    <n v="1042224.9500000001"/>
    <s v="Cash"/>
    <s v="Trsf 23/3/22 RM5,328.00"/>
    <m/>
  </r>
  <r>
    <d v="2022-03-08T00:00:00"/>
    <n v="3"/>
    <x v="3"/>
    <s v="INV00000210"/>
    <s v="C00000022"/>
    <x v="22"/>
    <s v="RG CSM 300 (30Kg) 64m(L) x 1040mm(W)"/>
    <n v="2"/>
    <s v="Cash"/>
    <x v="0"/>
    <d v="2022-03-08T00:00:00"/>
    <n v="3"/>
    <n v="2022"/>
    <n v="588"/>
    <n v="-588"/>
    <n v="0"/>
    <n v="1042812.9500000001"/>
    <s v="Cash"/>
    <s v="Trsf 23/3/22 RM5,328.00"/>
    <m/>
  </r>
  <r>
    <d v="2022-03-08T00:00:00"/>
    <n v="3"/>
    <x v="3"/>
    <s v="INV00000210"/>
    <s v="C00000022"/>
    <x v="22"/>
    <s v="RG Woven Roving E-600 (45kg) 1120mm"/>
    <n v="1"/>
    <s v="Cash"/>
    <x v="0"/>
    <d v="2022-03-08T00:00:00"/>
    <n v="3"/>
    <n v="2022"/>
    <n v="337.5"/>
    <n v="-337.5"/>
    <n v="0"/>
    <n v="1043150.4500000001"/>
    <s v="Cash"/>
    <s v="Trsf 23/3/22 RM5,328.00"/>
    <m/>
  </r>
  <r>
    <d v="2022-03-08T00:00:00"/>
    <n v="3"/>
    <x v="3"/>
    <s v="INV00000210"/>
    <s v="C00000022"/>
    <x v="22"/>
    <s v="RA Butanox M50 (5kg)"/>
    <n v="1"/>
    <s v="Cash"/>
    <x v="0"/>
    <d v="2022-03-08T00:00:00"/>
    <n v="3"/>
    <n v="2022"/>
    <n v="110"/>
    <n v="-110"/>
    <n v="0"/>
    <n v="1043260.4500000001"/>
    <s v="Cash"/>
    <s v="Trsf 23/3/22 RM5,328.00"/>
    <m/>
  </r>
  <r>
    <d v="2022-03-08T00:00:00"/>
    <n v="3"/>
    <x v="3"/>
    <s v="INV00000211"/>
    <s v="C00000010"/>
    <x v="9"/>
    <s v="RG Resin 3338AW (220kg)"/>
    <n v="6"/>
    <s v="T120"/>
    <x v="4"/>
    <d v="2022-07-06T00:00:00"/>
    <n v="7"/>
    <n v="2022"/>
    <n v="11880"/>
    <n v="-11880"/>
    <n v="0"/>
    <n v="1055140.4500000002"/>
    <s v="Term"/>
    <s v="Trsf 27/6/22 RM29,465.00"/>
    <m/>
  </r>
  <r>
    <d v="2022-03-08T00:00:00"/>
    <n v="3"/>
    <x v="3"/>
    <s v="INV00000211"/>
    <s v="C00000010"/>
    <x v="9"/>
    <s v="RG CSM 450 (30Kg) 64m(L) x 1040mm(W)"/>
    <n v="10"/>
    <s v="T120"/>
    <x v="4"/>
    <d v="2022-07-06T00:00:00"/>
    <n v="7"/>
    <n v="2022"/>
    <n v="2850"/>
    <n v="-2850"/>
    <n v="0"/>
    <n v="1057990.4500000002"/>
    <s v="Term"/>
    <s v="Trsf 27/6/22 RM29,465.00"/>
    <m/>
  </r>
  <r>
    <d v="2022-03-08T00:00:00"/>
    <n v="3"/>
    <x v="3"/>
    <s v="INV00000211"/>
    <s v="C00000010"/>
    <x v="9"/>
    <s v="RA Talcum Powder (25kg)"/>
    <n v="10"/>
    <s v="T120"/>
    <x v="4"/>
    <d v="2022-07-06T00:00:00"/>
    <n v="7"/>
    <n v="2022"/>
    <n v="550"/>
    <n v="-550"/>
    <n v="0"/>
    <n v="1058540.4500000002"/>
    <s v="Term"/>
    <s v="Trsf 27/6/22 RM29,465.00"/>
    <m/>
  </r>
  <r>
    <d v="2022-03-09T00:00:00"/>
    <n v="3"/>
    <x v="3"/>
    <s v="INV00000212"/>
    <s v="C00000022"/>
    <x v="22"/>
    <s v="RA Talcum Powder (25kg)"/>
    <n v="1"/>
    <s v="Cash"/>
    <x v="0"/>
    <d v="2022-03-09T00:00:00"/>
    <n v="3"/>
    <n v="2022"/>
    <n v="65"/>
    <n v="-65"/>
    <n v="0"/>
    <n v="1058605.4500000002"/>
    <s v="Cash"/>
    <s v="Trsf 23/3/22 RM5,328.00"/>
    <m/>
  </r>
  <r>
    <d v="2022-03-11T00:00:00"/>
    <n v="3"/>
    <x v="3"/>
    <s v="INV00000213"/>
    <s v="C00000019"/>
    <x v="18"/>
    <s v="RG Nor 3338W (220Kg)"/>
    <n v="2"/>
    <s v="Cash"/>
    <x v="0"/>
    <d v="2022-03-11T00:00:00"/>
    <n v="3"/>
    <n v="2022"/>
    <n v="4136"/>
    <n v="-4136"/>
    <n v="0"/>
    <n v="1062741.4500000002"/>
    <s v="Cash"/>
    <s v="Trsf 11/3/22 RM6,379.90"/>
    <m/>
  </r>
  <r>
    <d v="2022-03-11T00:00:00"/>
    <n v="3"/>
    <x v="3"/>
    <s v="INV00000213"/>
    <s v="C00000019"/>
    <x v="18"/>
    <s v="RG CSM 450 CQ 54kg 64m(L) X 1860mm(W)"/>
    <n v="3"/>
    <s v="Cash"/>
    <x v="0"/>
    <d v="2022-03-11T00:00:00"/>
    <n v="3"/>
    <n v="2022"/>
    <n v="1571.3999999999999"/>
    <n v="-1571.3999999999999"/>
    <n v="0"/>
    <n v="1064312.8500000001"/>
    <s v="Cash"/>
    <s v="Trsf 11/3/22 RM6,379.90"/>
    <m/>
  </r>
  <r>
    <d v="2022-03-11T00:00:00"/>
    <n v="3"/>
    <x v="3"/>
    <s v="INV00000213"/>
    <s v="C00000019"/>
    <x v="18"/>
    <s v="RA Talcum Powder (25kg)"/>
    <n v="5"/>
    <s v="Cash"/>
    <x v="0"/>
    <d v="2022-03-11T00:00:00"/>
    <n v="3"/>
    <n v="2022"/>
    <n v="312.5"/>
    <n v="-312.5"/>
    <n v="0"/>
    <n v="1064625.3500000001"/>
    <s v="Cash"/>
    <s v="Trsf 11/3/22 RM6,379.90"/>
    <m/>
  </r>
  <r>
    <d v="2022-03-11T00:00:00"/>
    <n v="3"/>
    <x v="3"/>
    <s v="INV00000213"/>
    <s v="C00000019"/>
    <x v="18"/>
    <s v="RE Frekote 770NC (1 Gallon)"/>
    <n v="1"/>
    <s v="Cash"/>
    <x v="0"/>
    <d v="2022-03-11T00:00:00"/>
    <n v="3"/>
    <n v="2022"/>
    <n v="360"/>
    <n v="-360"/>
    <n v="0"/>
    <n v="1064985.3500000001"/>
    <s v="Cash"/>
    <s v="Trsf 11/3/22 RM6,379.90"/>
    <m/>
  </r>
  <r>
    <d v="2022-03-12T00:00:00"/>
    <n v="3"/>
    <x v="3"/>
    <s v="INV00000214"/>
    <s v="C00000022"/>
    <x v="22"/>
    <s v="RE Frekote 770NC (1 Gallon)"/>
    <n v="1"/>
    <s v="Cash"/>
    <x v="0"/>
    <d v="2022-03-12T00:00:00"/>
    <n v="3"/>
    <n v="2022"/>
    <n v="390"/>
    <n v="-390"/>
    <n v="0"/>
    <n v="1065375.3500000001"/>
    <s v="Cash"/>
    <s v="Trsf 23/3/22 RM5,328.00"/>
    <m/>
  </r>
  <r>
    <d v="2022-03-12T00:00:00"/>
    <n v="3"/>
    <x v="3"/>
    <s v="INV00000215"/>
    <s v="C00000006"/>
    <x v="5"/>
    <s v="RG Resin 3338AW (220kg)"/>
    <n v="1"/>
    <s v="Cash"/>
    <x v="0"/>
    <d v="2022-03-12T00:00:00"/>
    <n v="3"/>
    <n v="2022"/>
    <n v="2068"/>
    <n v="-2068"/>
    <n v="0"/>
    <n v="1067443.3500000001"/>
    <s v="Cash"/>
    <s v="RHB 934926 cleared18/4/22-RM2,580.50"/>
    <m/>
  </r>
  <r>
    <d v="2022-03-14T00:00:00"/>
    <n v="3"/>
    <x v="3"/>
    <s v="INV00000216"/>
    <s v="C00000020"/>
    <x v="19"/>
    <s v="RG Resin 3317AW (220Kg)"/>
    <n v="1"/>
    <s v="Cash"/>
    <x v="0"/>
    <d v="2022-03-14T00:00:00"/>
    <n v="3"/>
    <n v="2022"/>
    <n v="2090"/>
    <n v="-2090"/>
    <n v="0"/>
    <n v="1069533.3500000001"/>
    <s v="Cash"/>
    <s v="Trsf 17/5/22 RM10,000.00(510.30partial), Trsf 19/5/22 RM10,000.00(1,579.70partial)"/>
    <m/>
  </r>
  <r>
    <d v="2022-03-14T00:00:00"/>
    <n v="3"/>
    <x v="3"/>
    <s v="INV00000216"/>
    <s v="C00000020"/>
    <x v="19"/>
    <s v="RA CSM 450 (60Kg) 64m(L) x 2080mm(W)"/>
    <n v="1"/>
    <s v="Cash"/>
    <x v="0"/>
    <d v="2022-03-14T00:00:00"/>
    <n v="3"/>
    <n v="2022"/>
    <n v="588"/>
    <n v="-588"/>
    <n v="0"/>
    <n v="1070121.3500000001"/>
    <s v="Cash"/>
    <s v="Trsf 19/5/22 RM10,000.00"/>
    <m/>
  </r>
  <r>
    <d v="2022-03-14T00:00:00"/>
    <n v="3"/>
    <x v="3"/>
    <s v="INV00000216"/>
    <s v="C00000020"/>
    <x v="19"/>
    <s v="RG Woven Roving E-600 (45kg) 1120mm"/>
    <n v="1"/>
    <s v="Cash"/>
    <x v="0"/>
    <d v="2022-03-14T00:00:00"/>
    <n v="3"/>
    <n v="2022"/>
    <n v="351"/>
    <n v="-351"/>
    <n v="0"/>
    <n v="1070472.3500000001"/>
    <s v="Cash"/>
    <s v="Trsf 19/5/22 RM10,000.00"/>
    <m/>
  </r>
  <r>
    <d v="2022-03-15T00:00:00"/>
    <n v="3"/>
    <x v="3"/>
    <s v="INV00000217"/>
    <s v="C00000010"/>
    <x v="9"/>
    <s v="RG Resin 3338AW (220kg)"/>
    <n v="6"/>
    <s v="T120"/>
    <x v="4"/>
    <d v="2022-07-13T00:00:00"/>
    <n v="7"/>
    <n v="2022"/>
    <n v="11880"/>
    <n v="-11880"/>
    <n v="0"/>
    <n v="1082352.3500000001"/>
    <s v="Term"/>
    <s v="Trsf 27/6/22 RM29,465.00"/>
    <m/>
  </r>
  <r>
    <d v="2022-03-15T00:00:00"/>
    <n v="3"/>
    <x v="3"/>
    <s v="INV00000217"/>
    <s v="C00000010"/>
    <x v="9"/>
    <s v="RG CSM 450 (30Kg) 64m(L) x 1040mm(W)"/>
    <n v="5"/>
    <s v="T120"/>
    <x v="4"/>
    <d v="2022-07-13T00:00:00"/>
    <n v="7"/>
    <n v="2022"/>
    <n v="1425"/>
    <n v="-1425"/>
    <n v="0"/>
    <n v="1083777.3500000001"/>
    <s v="Term"/>
    <s v="Trsf 27/6/22 RM29,465.00"/>
    <m/>
  </r>
  <r>
    <d v="2022-03-15T00:00:00"/>
    <n v="3"/>
    <x v="3"/>
    <s v="INV00000217"/>
    <s v="C00000010"/>
    <x v="9"/>
    <s v="RA Aerosil (Silica Fume) (10Kg)"/>
    <n v="2"/>
    <s v="T120"/>
    <x v="4"/>
    <d v="2022-07-13T00:00:00"/>
    <n v="7"/>
    <n v="2022"/>
    <n v="880"/>
    <n v="-880"/>
    <n v="0"/>
    <n v="1084657.3500000001"/>
    <s v="Term"/>
    <s v="Trsf 27/6/22 RM29,465.00"/>
    <m/>
  </r>
  <r>
    <d v="2022-03-15T00:00:00"/>
    <n v="3"/>
    <x v="3"/>
    <s v="INV00000218"/>
    <s v="C00000020"/>
    <x v="19"/>
    <s v="RG Resin 3317AW (220Kg)"/>
    <n v="3"/>
    <s v="Cash"/>
    <x v="0"/>
    <d v="2022-03-15T00:00:00"/>
    <n v="3"/>
    <n v="2022"/>
    <n v="6270"/>
    <n v="-6270"/>
    <n v="0"/>
    <n v="1090927.3500000001"/>
    <s v="Cash"/>
    <s v="Trsf 19/5/22 RM10,000.00"/>
    <m/>
  </r>
  <r>
    <d v="2022-03-15T00:00:00"/>
    <n v="3"/>
    <x v="3"/>
    <s v="INV00000218"/>
    <s v="C00000020"/>
    <x v="19"/>
    <s v="RA CSM 450 (60Kg) 64m(L) x 2080mm(W)"/>
    <n v="6"/>
    <s v="Cash"/>
    <x v="0"/>
    <d v="2022-03-15T00:00:00"/>
    <n v="3"/>
    <n v="2022"/>
    <n v="3528"/>
    <n v="-3528"/>
    <n v="0"/>
    <n v="1094455.3500000001"/>
    <s v="Cash"/>
    <s v="Trsf 19/5/22 RM10,000.00(1,211.30partial), Trsf 20/5/22 RM9,000.00(2,316.70partial)"/>
    <m/>
  </r>
  <r>
    <d v="2022-03-15T00:00:00"/>
    <n v="3"/>
    <x v="3"/>
    <s v="INV00000218"/>
    <s v="C00000020"/>
    <x v="19"/>
    <s v="RG Woven Roving E-600 (45kg) 1120mm"/>
    <n v="1"/>
    <s v="Cash"/>
    <x v="0"/>
    <d v="2022-03-15T00:00:00"/>
    <n v="3"/>
    <n v="2022"/>
    <n v="351"/>
    <n v="-351"/>
    <n v="0"/>
    <n v="1094806.3500000001"/>
    <s v="Cash"/>
    <s v="Trsf 20/5/22 RM9,000.00"/>
    <m/>
  </r>
  <r>
    <d v="2022-03-15T00:00:00"/>
    <n v="3"/>
    <x v="3"/>
    <s v="INV00000218"/>
    <s v="C00000020"/>
    <x v="19"/>
    <s v="RC Woven Roving E-800 1000mm (40Kg)"/>
    <n v="3"/>
    <s v="Cash"/>
    <x v="0"/>
    <d v="2022-03-15T00:00:00"/>
    <n v="3"/>
    <n v="2022"/>
    <n v="936"/>
    <n v="-936"/>
    <n v="0"/>
    <n v="1095742.3500000001"/>
    <s v="Cash"/>
    <s v="Trsf 20/5/22 RM9,000.00"/>
    <m/>
  </r>
  <r>
    <d v="2022-03-15T00:00:00"/>
    <n v="3"/>
    <x v="3"/>
    <s v="INV00000218"/>
    <s v="C00000020"/>
    <x v="19"/>
    <s v="RA Mepoxe M (5kg)"/>
    <n v="4"/>
    <s v="Cash"/>
    <x v="0"/>
    <d v="2022-03-15T00:00:00"/>
    <n v="3"/>
    <n v="2022"/>
    <n v="340"/>
    <n v="-340"/>
    <n v="0"/>
    <n v="1096082.3500000001"/>
    <s v="Cash"/>
    <s v="Trsf 20/5/22 RM9,000.00"/>
    <m/>
  </r>
  <r>
    <d v="2022-03-17T00:00:00"/>
    <n v="3"/>
    <x v="3"/>
    <s v="INV00000219"/>
    <s v="C00000019"/>
    <x v="18"/>
    <s v="RA Butanox M50"/>
    <n v="3"/>
    <s v="Cash"/>
    <x v="0"/>
    <d v="2022-03-17T00:00:00"/>
    <n v="3"/>
    <n v="2022"/>
    <n v="315"/>
    <n v="-315"/>
    <n v="0"/>
    <n v="1096397.3500000001"/>
    <s v="Cash"/>
    <s v="Trsf 17/3/22 RM315.00"/>
    <m/>
  </r>
  <r>
    <d v="2022-03-18T00:00:00"/>
    <n v="3"/>
    <x v="3"/>
    <s v="INV00000220"/>
    <s v="C00000020"/>
    <x v="19"/>
    <s v="RA Resin 3317AW (220Kg)"/>
    <n v="3"/>
    <s v="Cash"/>
    <x v="0"/>
    <d v="2022-03-18T00:00:00"/>
    <n v="3"/>
    <n v="2022"/>
    <n v="6270"/>
    <n v="-6270"/>
    <n v="0"/>
    <n v="1102667.3500000001"/>
    <s v="Cash"/>
    <s v="Trsf 20/5/22 RM9,000.00(5,056.30partial), Trsf 1/6/22 RM27,000.00(1,213.70partial)"/>
    <m/>
  </r>
  <r>
    <d v="2022-03-18T00:00:00"/>
    <n v="3"/>
    <x v="3"/>
    <s v="INV00000220"/>
    <s v="C00000020"/>
    <x v="19"/>
    <s v="RM CSM 450 64m(L) 1040mm(W) (30Kg)"/>
    <n v="7"/>
    <s v="Cash"/>
    <x v="0"/>
    <d v="2022-03-18T00:00:00"/>
    <n v="3"/>
    <n v="2022"/>
    <n v="2058"/>
    <n v="-2058"/>
    <n v="0"/>
    <n v="1104725.3500000001"/>
    <s v="Cash"/>
    <s v="Trsf 1/6/22 RM27,000.00"/>
    <m/>
  </r>
  <r>
    <d v="2022-03-18T00:00:00"/>
    <n v="3"/>
    <x v="3"/>
    <s v="INV00000220"/>
    <s v="C00000020"/>
    <x v="19"/>
    <s v="RM Woven Roving E-600gm 1000mm (40Kg)"/>
    <n v="5"/>
    <s v="Cash"/>
    <x v="0"/>
    <d v="2022-03-18T00:00:00"/>
    <n v="3"/>
    <n v="2022"/>
    <n v="1560"/>
    <n v="-1560"/>
    <n v="0"/>
    <n v="1106285.3500000001"/>
    <s v="Cash"/>
    <s v="Trsf 1/6/22 RM27,000.00"/>
    <m/>
  </r>
  <r>
    <d v="2022-03-19T00:00:00"/>
    <n v="3"/>
    <x v="3"/>
    <s v="INV00000221"/>
    <s v="C00000021"/>
    <x v="21"/>
    <s v="RA Resin 3317AW (220Kg)"/>
    <n v="2"/>
    <s v="Cash"/>
    <x v="0"/>
    <d v="2022-03-19T00:00:00"/>
    <n v="3"/>
    <n v="2022"/>
    <n v="4048"/>
    <n v="-4048"/>
    <n v="0"/>
    <n v="1110333.3500000001"/>
    <s v="Cash"/>
    <s v="PBB395357cleared27/5/22 RM8,127.50"/>
    <m/>
  </r>
  <r>
    <d v="2022-03-19T00:00:00"/>
    <n v="3"/>
    <x v="3"/>
    <s v="INV00000221"/>
    <s v="C00000021"/>
    <x v="21"/>
    <s v="RM CSM 450 64m(L) 1040mm(W) (30Kg)"/>
    <n v="6"/>
    <s v="Cash"/>
    <x v="0"/>
    <d v="2022-03-19T00:00:00"/>
    <n v="3"/>
    <n v="2022"/>
    <n v="1710"/>
    <n v="-1710"/>
    <n v="0"/>
    <n v="1112043.3500000001"/>
    <s v="Cash"/>
    <s v="PBB395357cleared27/5/22 RM8,127.50"/>
    <m/>
  </r>
  <r>
    <d v="2022-03-19T00:00:00"/>
    <n v="3"/>
    <x v="3"/>
    <s v="INV00000221"/>
    <s v="C00000021"/>
    <x v="21"/>
    <s v="RA Mepoxe M (5kg)"/>
    <n v="2"/>
    <s v="Cash"/>
    <x v="0"/>
    <d v="2022-03-19T00:00:00"/>
    <n v="3"/>
    <n v="2022"/>
    <n v="170"/>
    <n v="-170"/>
    <n v="0"/>
    <n v="1112213.3500000001"/>
    <s v="Cash"/>
    <s v="PBB395357cleared27/5/22 RM8,127.50"/>
    <m/>
  </r>
  <r>
    <d v="2022-03-19T00:00:00"/>
    <n v="3"/>
    <x v="3"/>
    <s v="INV00000221"/>
    <s v="C00000021"/>
    <x v="21"/>
    <s v="RA Pigment Super Black (5kg)"/>
    <n v="1"/>
    <s v="Cash"/>
    <x v="0"/>
    <d v="2022-03-19T00:00:00"/>
    <n v="3"/>
    <n v="2022"/>
    <n v="175"/>
    <n v="-175"/>
    <n v="0"/>
    <n v="1112388.3500000001"/>
    <s v="Cash"/>
    <s v="PBB395357cleared27/5/22 RM8,127.50"/>
    <m/>
  </r>
  <r>
    <d v="2022-03-19T00:00:00"/>
    <n v="3"/>
    <x v="3"/>
    <s v="INV00000221"/>
    <s v="C00000021"/>
    <x v="21"/>
    <s v="RM Cobalt (5kg)"/>
    <n v="1"/>
    <s v="Cash"/>
    <x v="0"/>
    <d v="2022-03-19T00:00:00"/>
    <n v="3"/>
    <n v="2022"/>
    <n v="390"/>
    <n v="-390"/>
    <n v="0"/>
    <n v="1112778.3500000001"/>
    <s v="Cash"/>
    <s v="PBB395357cleared27/5/22 RM8,127.50"/>
    <m/>
  </r>
  <r>
    <d v="2022-03-19T00:00:00"/>
    <n v="3"/>
    <x v="3"/>
    <s v="INV00000221"/>
    <s v="C00000021"/>
    <x v="21"/>
    <s v="RA Talcum Powder (25kg)"/>
    <n v="10"/>
    <s v="Cash"/>
    <x v="0"/>
    <d v="2022-03-19T00:00:00"/>
    <n v="3"/>
    <n v="2022"/>
    <n v="575"/>
    <n v="-575"/>
    <n v="0"/>
    <n v="1113353.3500000001"/>
    <s v="Cash"/>
    <s v="PBB395357cleared27/5/22 RM8,127.50"/>
    <m/>
  </r>
  <r>
    <d v="2022-03-19T00:00:00"/>
    <n v="3"/>
    <x v="3"/>
    <s v="INV00000221"/>
    <s v="C00000021"/>
    <x v="21"/>
    <s v="RM Acetone (163Kg)"/>
    <n v="1"/>
    <s v="Cash"/>
    <x v="0"/>
    <d v="2022-03-19T00:00:00"/>
    <n v="3"/>
    <n v="2022"/>
    <n v="1059.5"/>
    <n v="-1059.5"/>
    <n v="0"/>
    <n v="1114412.8500000001"/>
    <s v="Cash"/>
    <s v="PBB395357cleared27/5/22 RM8,127.50"/>
    <m/>
  </r>
  <r>
    <d v="2022-03-21T00:00:00"/>
    <n v="3"/>
    <x v="3"/>
    <s v="INV00000222"/>
    <s v="C00000022"/>
    <x v="5"/>
    <s v="RM NPG Gelcoat 9319-H (25Kg)"/>
    <n v="1"/>
    <s v="Cash"/>
    <x v="0"/>
    <d v="2022-03-21T00:00:00"/>
    <n v="3"/>
    <n v="2022"/>
    <n v="337.5"/>
    <n v="-337.5"/>
    <n v="0"/>
    <n v="1114750.3500000001"/>
    <s v="Cash"/>
    <s v="RHB 934926 cleared18/4/22-RM2,580.50"/>
    <m/>
  </r>
  <r>
    <d v="2022-03-23T00:00:00"/>
    <n v="3"/>
    <x v="3"/>
    <s v="INV00000223"/>
    <s v="C00000020"/>
    <x v="19"/>
    <s v="RA Resin 3317AW (220Kg)"/>
    <n v="3"/>
    <s v="Cash"/>
    <x v="0"/>
    <d v="2022-03-23T00:00:00"/>
    <n v="3"/>
    <n v="2022"/>
    <n v="6270"/>
    <n v="-6270"/>
    <n v="0"/>
    <n v="1121020.3500000001"/>
    <s v="Cash"/>
    <s v="Trsf 1/6/22 RM27,000.00"/>
    <m/>
  </r>
  <r>
    <d v="2022-03-23T00:00:00"/>
    <n v="3"/>
    <x v="3"/>
    <s v="INV00000223"/>
    <s v="C00000020"/>
    <x v="19"/>
    <s v="RM CSM 450 64m(L) 1040mm(W) (30Kg)"/>
    <n v="4"/>
    <s v="Cash"/>
    <x v="0"/>
    <d v="2022-03-23T00:00:00"/>
    <n v="3"/>
    <n v="2022"/>
    <n v="1176"/>
    <n v="-1176"/>
    <n v="0"/>
    <n v="1122196.3500000001"/>
    <s v="Cash"/>
    <s v="Trsf 1/6/22 RM27,000.00"/>
    <m/>
  </r>
  <r>
    <d v="2022-03-23T00:00:00"/>
    <n v="3"/>
    <x v="3"/>
    <s v="INV00000223"/>
    <s v="C00000020"/>
    <x v="19"/>
    <s v="RM Woven Roving E-600gm 1000mm (40Kg)"/>
    <n v="4"/>
    <s v="Cash"/>
    <x v="0"/>
    <d v="2022-03-23T00:00:00"/>
    <n v="3"/>
    <n v="2022"/>
    <n v="1248"/>
    <n v="-1248"/>
    <n v="0"/>
    <n v="1123444.3500000001"/>
    <s v="Cash"/>
    <s v="Trsf 1/6/22 RM27,000.00"/>
    <m/>
  </r>
  <r>
    <d v="2022-03-23T00:00:00"/>
    <n v="3"/>
    <x v="3"/>
    <s v="INV00000223"/>
    <s v="C00000020"/>
    <x v="19"/>
    <s v="RA Talcum Powder (25kg)"/>
    <n v="2"/>
    <s v="Cash"/>
    <x v="0"/>
    <d v="2022-03-23T00:00:00"/>
    <n v="3"/>
    <n v="2022"/>
    <n v="125"/>
    <n v="-125"/>
    <n v="0"/>
    <n v="1123569.3500000001"/>
    <s v="Cash"/>
    <s v="Trsf 1/6/22 RM27,000.00"/>
    <m/>
  </r>
  <r>
    <d v="2022-03-25T00:00:00"/>
    <n v="3"/>
    <x v="3"/>
    <s v="INV00000224"/>
    <s v="C00000020"/>
    <x v="19"/>
    <s v="RA Nor 3338W (220Kg)"/>
    <n v="4"/>
    <s v="Cash"/>
    <x v="0"/>
    <d v="2022-03-25T00:00:00"/>
    <n v="3"/>
    <n v="2022"/>
    <n v="8360"/>
    <n v="-8360"/>
    <n v="0"/>
    <n v="1131929.3500000001"/>
    <s v="Cash"/>
    <s v="Trsf 1/6/22 RM27,000.00"/>
    <m/>
  </r>
  <r>
    <d v="2022-03-25T00:00:00"/>
    <n v="3"/>
    <x v="3"/>
    <s v="INV00000224"/>
    <s v="C00000020"/>
    <x v="19"/>
    <s v="RM CSM 450 64m(L) 1040mm(W) (30Kg)"/>
    <n v="10"/>
    <s v="Cash"/>
    <x v="0"/>
    <d v="2022-03-25T00:00:00"/>
    <n v="3"/>
    <n v="2022"/>
    <n v="2940"/>
    <n v="-2940"/>
    <n v="0"/>
    <n v="1134869.3500000001"/>
    <s v="Cash"/>
    <s v="Trsf 1/6/22 RM27,000.00"/>
    <m/>
  </r>
  <r>
    <d v="2022-03-25T00:00:00"/>
    <n v="3"/>
    <x v="3"/>
    <s v="INV00000224"/>
    <s v="C00000020"/>
    <x v="19"/>
    <s v="RM Woven Roving E-600gm 1000mm (40Kg)"/>
    <n v="6"/>
    <s v="Cash"/>
    <x v="0"/>
    <d v="2022-03-25T00:00:00"/>
    <n v="3"/>
    <n v="2022"/>
    <n v="1872"/>
    <n v="-1872"/>
    <n v="0"/>
    <n v="1136741.3500000001"/>
    <s v="Cash"/>
    <s v="Trsf 1/6/22 RM27,000.00"/>
    <m/>
  </r>
  <r>
    <d v="2022-03-25T00:00:00"/>
    <n v="3"/>
    <x v="3"/>
    <s v="INV00000224"/>
    <s v="C00000020"/>
    <x v="19"/>
    <s v="RA Talcum Powder (25kg)"/>
    <n v="4"/>
    <s v="Cash"/>
    <x v="0"/>
    <d v="2022-03-25T00:00:00"/>
    <n v="3"/>
    <n v="2022"/>
    <n v="250"/>
    <n v="-250"/>
    <n v="0"/>
    <n v="1136991.3500000001"/>
    <s v="Cash"/>
    <s v="Trsf 1/6/22 RM27,000.00(177.30partial), Trs23/6/22 RM7,000.00(72.70partial) "/>
    <m/>
  </r>
  <r>
    <d v="2022-03-25T00:00:00"/>
    <n v="3"/>
    <x v="3"/>
    <s v="INV00000224"/>
    <s v="C00000020"/>
    <x v="19"/>
    <s v="RM Pigment Smooth Cream (25kg)"/>
    <n v="1"/>
    <s v="Cash"/>
    <x v="0"/>
    <d v="2022-03-25T00:00:00"/>
    <n v="3"/>
    <n v="2022"/>
    <n v="1000"/>
    <n v="-1000"/>
    <n v="0"/>
    <n v="1137991.3500000001"/>
    <s v="Cash"/>
    <s v="Trsf23/6/22 RM7,000.00"/>
    <m/>
  </r>
  <r>
    <d v="2022-03-29T00:00:00"/>
    <n v="3"/>
    <x v="3"/>
    <s v="INV00000225"/>
    <s v="C00000001"/>
    <x v="0"/>
    <s v="RA Resin 3317AW (220Kg)"/>
    <n v="1"/>
    <s v="Cash"/>
    <x v="0"/>
    <d v="2022-03-29T00:00:00"/>
    <n v="3"/>
    <n v="2022"/>
    <n v="2068"/>
    <n v="-2068"/>
    <n v="0"/>
    <n v="1140059.3500000001"/>
    <s v="Cash"/>
    <s v="Trsf 30/3/22 RM3,232.00"/>
    <m/>
  </r>
  <r>
    <d v="2022-03-29T00:00:00"/>
    <n v="3"/>
    <x v="3"/>
    <s v="INV00000225"/>
    <s v="C00000001"/>
    <x v="0"/>
    <s v="RM CSM 450 64m(L) 1040mm(W) (30Kg)"/>
    <n v="4"/>
    <s v="Cash"/>
    <x v="0"/>
    <d v="2022-03-29T00:00:00"/>
    <n v="3"/>
    <n v="2022"/>
    <n v="1164"/>
    <n v="-1164"/>
    <n v="0"/>
    <n v="1141223.3500000001"/>
    <s v="Cash"/>
    <s v="Trsf 30/3/22 RM3,232.00"/>
    <m/>
  </r>
  <r>
    <d v="2022-03-29T00:00:00"/>
    <n v="3"/>
    <x v="3"/>
    <s v="INV00000226"/>
    <s v="C00000020"/>
    <x v="19"/>
    <s v="RA Nor 3338W (220Kg)"/>
    <n v="2"/>
    <s v="Cash"/>
    <x v="0"/>
    <d v="2022-03-29T00:00:00"/>
    <n v="3"/>
    <n v="2022"/>
    <n v="4180"/>
    <n v="-4180"/>
    <n v="0"/>
    <n v="1145403.3500000001"/>
    <s v="Cash"/>
    <s v="Trsf23/6/22 RM7,000.00"/>
    <m/>
  </r>
  <r>
    <d v="2022-03-29T00:00:00"/>
    <n v="3"/>
    <x v="3"/>
    <s v="INV00000226"/>
    <s v="C00000020"/>
    <x v="19"/>
    <s v="RM CSM 450 64m(L) 1040mm(W) (30Kg)"/>
    <n v="8"/>
    <s v="Cash"/>
    <x v="0"/>
    <d v="2022-03-29T00:00:00"/>
    <n v="3"/>
    <n v="2022"/>
    <n v="2352"/>
    <n v="-2352"/>
    <n v="0"/>
    <n v="1147755.3500000001"/>
    <s v="Cash"/>
    <s v="Trsf23/6/22 RM7,000.00(RM1,747.30partial), Trsf20/7/22 RM10,700.00(RM604.70partial)"/>
    <m/>
  </r>
  <r>
    <d v="2022-03-29T00:00:00"/>
    <n v="3"/>
    <x v="3"/>
    <s v="INV00000226"/>
    <s v="C00000020"/>
    <x v="19"/>
    <s v="RM Woven Roving E-600gm 1000mm (40Kg)"/>
    <n v="3"/>
    <s v="Cash"/>
    <x v="0"/>
    <d v="2022-03-29T00:00:00"/>
    <n v="3"/>
    <n v="2022"/>
    <n v="936"/>
    <n v="-936"/>
    <n v="0"/>
    <n v="1148691.3500000001"/>
    <s v="Cash"/>
    <s v="Trsf20/7/22 RM10,700.00(RM936.00)"/>
    <m/>
  </r>
  <r>
    <d v="2022-03-29T00:00:00"/>
    <n v="3"/>
    <x v="3"/>
    <s v="INV00000226"/>
    <s v="C00000020"/>
    <x v="19"/>
    <s v="RA Talcum Powder (25kg)"/>
    <n v="2"/>
    <s v="Cash"/>
    <x v="0"/>
    <d v="2022-03-29T00:00:00"/>
    <n v="3"/>
    <n v="2022"/>
    <n v="125"/>
    <n v="-125"/>
    <n v="0"/>
    <n v="1148816.3500000001"/>
    <s v="Cash"/>
    <s v="Trsf20/7/22 RM10,700.00(RM125.00)"/>
    <m/>
  </r>
  <r>
    <d v="2022-03-31T00:00:00"/>
    <n v="3"/>
    <x v="3"/>
    <s v="INV00000227"/>
    <s v="C00000023"/>
    <x v="23"/>
    <s v="RA Nor 3338W (220Kg)"/>
    <n v="1"/>
    <s v="Cash"/>
    <x v="0"/>
    <d v="2022-03-31T00:00:00"/>
    <n v="3"/>
    <n v="2022"/>
    <n v="2090"/>
    <n v="-2090"/>
    <n v="0"/>
    <n v="1150906.3500000001"/>
    <s v="Cash"/>
    <s v="Trsf 31/3/22 RM3,555.00"/>
    <m/>
  </r>
  <r>
    <d v="2022-03-31T00:00:00"/>
    <n v="3"/>
    <x v="3"/>
    <s v="INV00000227"/>
    <s v="C00000023"/>
    <x v="23"/>
    <s v="RJ Mepoxe (5kg)"/>
    <n v="4"/>
    <s v="Cash"/>
    <x v="0"/>
    <d v="2022-03-31T00:00:00"/>
    <n v="3"/>
    <n v="2022"/>
    <n v="340"/>
    <n v="-340"/>
    <n v="0"/>
    <n v="1151246.3500000001"/>
    <s v="Cash"/>
    <s v="Trsf 31/3/22 RM3,555.00"/>
    <m/>
  </r>
  <r>
    <d v="2022-03-31T00:00:00"/>
    <n v="3"/>
    <x v="3"/>
    <s v="INV00000227"/>
    <s v="C00000023"/>
    <x v="23"/>
    <s v="RM Pigment Smooth Cream (25kg)"/>
    <n v="1"/>
    <s v="Cash"/>
    <x v="0"/>
    <d v="2022-03-31T00:00:00"/>
    <n v="3"/>
    <n v="2022"/>
    <n v="1000"/>
    <n v="-1000"/>
    <n v="0"/>
    <n v="1152246.3500000001"/>
    <s v="Cash"/>
    <s v="Trsf 31/3/22 RM3,555.00"/>
    <m/>
  </r>
  <r>
    <d v="2022-03-31T00:00:00"/>
    <n v="3"/>
    <x v="3"/>
    <s v="INV00000227"/>
    <s v="C00000023"/>
    <x v="23"/>
    <s v="RA Talcum Powder (25kg)"/>
    <n v="2"/>
    <s v="Cash"/>
    <x v="0"/>
    <d v="2022-03-31T00:00:00"/>
    <n v="3"/>
    <n v="2022"/>
    <n v="125"/>
    <n v="-125"/>
    <n v="0"/>
    <n v="1152371.3500000001"/>
    <s v="Cash"/>
    <s v="Trsf 31/3/22 RM3,555.00"/>
    <m/>
  </r>
  <r>
    <d v="2022-04-01T00:00:00"/>
    <n v="4"/>
    <x v="3"/>
    <s v="INV00000228"/>
    <s v="C00000021"/>
    <x v="21"/>
    <s v="RA Resin 3317AW (220Kg)"/>
    <n v="2"/>
    <s v="Cash"/>
    <x v="0"/>
    <d v="2022-04-01T00:00:00"/>
    <n v="4"/>
    <n v="2022"/>
    <n v="4136"/>
    <n v="-4136"/>
    <n v="0"/>
    <n v="1156507.3500000001"/>
    <s v="Cash"/>
    <s v="PBB395362cleared28/4/22 RM6,083.50"/>
    <m/>
  </r>
  <r>
    <d v="2022-04-01T00:00:00"/>
    <n v="4"/>
    <x v="3"/>
    <s v="INV00000228"/>
    <s v="C00000021"/>
    <x v="21"/>
    <s v="RM CSM 450 64m(L) 1040mm(W) (30Kg)"/>
    <n v="3"/>
    <s v="Cash"/>
    <x v="0"/>
    <d v="2022-04-01T00:00:00"/>
    <n v="4"/>
    <n v="2022"/>
    <n v="855"/>
    <n v="-855"/>
    <n v="0"/>
    <n v="1157362.3500000001"/>
    <s v="Cash"/>
    <s v="PBB395362cleared28/4/22 RM6,083.50"/>
    <m/>
  </r>
  <r>
    <d v="2022-04-01T00:00:00"/>
    <n v="4"/>
    <x v="3"/>
    <s v="INV00000228"/>
    <s v="C00000021"/>
    <x v="21"/>
    <s v="RJ Mepoxe (5kg)"/>
    <n v="2"/>
    <s v="Cash"/>
    <x v="0"/>
    <d v="2022-04-01T00:00:00"/>
    <n v="4"/>
    <n v="2022"/>
    <n v="170"/>
    <n v="-170"/>
    <n v="0"/>
    <n v="1157532.3500000001"/>
    <s v="Cash"/>
    <s v="PBB395362cleared28/4/22 RM6,083.50"/>
    <m/>
  </r>
  <r>
    <d v="2022-04-01T00:00:00"/>
    <n v="4"/>
    <x v="3"/>
    <s v="INV00000228"/>
    <s v="C00000021"/>
    <x v="21"/>
    <s v="RA Talcum Powder (25kg)"/>
    <n v="10"/>
    <s v="Cash"/>
    <x v="0"/>
    <d v="2022-04-01T00:00:00"/>
    <n v="4"/>
    <n v="2022"/>
    <n v="575"/>
    <n v="-575"/>
    <n v="0"/>
    <n v="1158107.3500000001"/>
    <s v="Cash"/>
    <s v="PBB395362cleared28/4/22 RM6,083.50"/>
    <m/>
  </r>
  <r>
    <d v="2022-04-01T00:00:00"/>
    <n v="4"/>
    <x v="3"/>
    <s v="INV00000228"/>
    <s v="C00000021"/>
    <x v="21"/>
    <s v="RM Gelcoat GSH"/>
    <n v="1"/>
    <s v="Cash"/>
    <x v="0"/>
    <d v="2022-04-01T00:00:00"/>
    <n v="4"/>
    <n v="2022"/>
    <n v="347.5"/>
    <n v="-347.5"/>
    <n v="0"/>
    <n v="1158454.8500000001"/>
    <s v="Cash"/>
    <s v="PBB395362cleared28/4/22 RM6,083.50"/>
    <m/>
  </r>
  <r>
    <d v="2022-04-01T00:00:00"/>
    <n v="4"/>
    <x v="3"/>
    <s v="INV00000229"/>
    <s v="C00000020"/>
    <x v="19"/>
    <s v="RA Resin 3317AW (220Kg)"/>
    <n v="1"/>
    <s v="Cash"/>
    <x v="0"/>
    <d v="2022-04-01T00:00:00"/>
    <n v="4"/>
    <n v="2022"/>
    <n v="2090"/>
    <n v="-2090"/>
    <n v="0"/>
    <n v="1160544.8500000001"/>
    <s v="Cash"/>
    <s v="Trsf20/7/22 RM10,700.00(2,090.00)"/>
    <m/>
  </r>
  <r>
    <d v="2022-04-01T00:00:00"/>
    <n v="4"/>
    <x v="3"/>
    <s v="INV00000229"/>
    <s v="C00000020"/>
    <x v="19"/>
    <s v="RA Nor 3338W (220Kg)"/>
    <n v="2"/>
    <s v="Cash"/>
    <x v="0"/>
    <d v="2022-04-01T00:00:00"/>
    <n v="4"/>
    <n v="2022"/>
    <n v="4180"/>
    <n v="-4180"/>
    <n v="0"/>
    <n v="1164724.8500000001"/>
    <s v="Cash"/>
    <s v="Trsf20/7/22 RM10,700.00(4,180.00)"/>
    <m/>
  </r>
  <r>
    <d v="2022-04-01T00:00:00"/>
    <n v="4"/>
    <x v="3"/>
    <s v="INV00000229"/>
    <s v="C00000020"/>
    <x v="19"/>
    <s v="RM CSM 450 (60Kg) 64m(L) x 2080mm(W)"/>
    <n v="3"/>
    <s v="Cash"/>
    <x v="0"/>
    <d v="2022-04-01T00:00:00"/>
    <n v="4"/>
    <n v="2022"/>
    <n v="1764"/>
    <n v="-1764"/>
    <n v="0"/>
    <n v="1166488.8500000001"/>
    <s v="Cash"/>
    <s v="Trsf20/7/22 RM10,700.00(RM1,764.00)"/>
    <m/>
  </r>
  <r>
    <d v="2022-04-01T00:00:00"/>
    <n v="4"/>
    <x v="3"/>
    <s v="INV00000229"/>
    <s v="C00000020"/>
    <x v="19"/>
    <s v="RM Woven Roving E-600gm 1000mm (40Kg)"/>
    <n v="3"/>
    <s v="Cash"/>
    <x v="0"/>
    <d v="2022-04-01T00:00:00"/>
    <n v="4"/>
    <n v="2022"/>
    <n v="936"/>
    <n v="-936"/>
    <n v="0"/>
    <n v="1167424.8500000001"/>
    <s v="Cash"/>
    <s v="Trsf20/7/22 RM10,700.00(RM936.00)"/>
    <m/>
  </r>
  <r>
    <d v="2022-04-01T00:00:00"/>
    <n v="4"/>
    <x v="3"/>
    <s v="INV00000229"/>
    <s v="C00000020"/>
    <x v="19"/>
    <s v="RA Talcum Powder (25kg)"/>
    <n v="3"/>
    <s v="Cash"/>
    <x v="0"/>
    <d v="2022-04-01T00:00:00"/>
    <n v="4"/>
    <n v="2022"/>
    <n v="187.5"/>
    <n v="-187.5"/>
    <n v="0"/>
    <n v="1167612.3500000001"/>
    <s v="Cash"/>
    <s v="Trsf20/7/22 RM10,700.00(RM64.30), Trsf 19/8/22 RM3,000.00(123.20partial)"/>
    <m/>
  </r>
  <r>
    <d v="2022-04-01T00:00:00"/>
    <n v="4"/>
    <x v="3"/>
    <s v="INV00000230"/>
    <s v="C00000022"/>
    <x v="22"/>
    <s v="RA Nor 3338W (220Kg)"/>
    <n v="1"/>
    <s v="Cash"/>
    <x v="0"/>
    <d v="2022-04-01T00:00:00"/>
    <n v="4"/>
    <n v="2022"/>
    <n v="2112"/>
    <n v="-2112"/>
    <n v="0"/>
    <n v="1169724.3500000001"/>
    <s v="Cash"/>
    <s v="Trsf 9/5/22 RM4,070.00"/>
    <m/>
  </r>
  <r>
    <d v="2022-04-01T00:00:00"/>
    <n v="4"/>
    <x v="3"/>
    <s v="INV00000230"/>
    <s v="C00000022"/>
    <x v="22"/>
    <s v="RG CSM 300 (30Kg) 64m(L) x 1040mm(W)"/>
    <n v="2"/>
    <s v="Cash"/>
    <x v="0"/>
    <d v="2022-04-01T00:00:00"/>
    <n v="4"/>
    <n v="2022"/>
    <n v="588"/>
    <n v="-588"/>
    <n v="0"/>
    <n v="1170312.3500000001"/>
    <s v="Cash"/>
    <s v="Trsf 9/5/22 RM4,070.00"/>
    <m/>
  </r>
  <r>
    <d v="2022-04-01T00:00:00"/>
    <n v="4"/>
    <x v="3"/>
    <s v="INV00000230"/>
    <s v="C00000022"/>
    <x v="22"/>
    <s v="RM Woven Roving E-600gm 1000mm (40Kg)"/>
    <n v="1"/>
    <s v="Cash"/>
    <x v="0"/>
    <d v="2022-04-01T00:00:00"/>
    <n v="4"/>
    <n v="2022"/>
    <n v="300"/>
    <n v="-300"/>
    <n v="0"/>
    <n v="1170612.3500000001"/>
    <s v="Cash"/>
    <s v="Trsf 9/5/22 RM4,070.00"/>
    <m/>
  </r>
  <r>
    <d v="2022-04-01T00:00:00"/>
    <n v="4"/>
    <x v="3"/>
    <s v="INV00000230"/>
    <s v="C00000022"/>
    <x v="22"/>
    <s v="RM Pgment Paste Riviera Blue B5 (5Kg)"/>
    <n v="2"/>
    <s v="Cash"/>
    <x v="0"/>
    <d v="2022-04-01T00:00:00"/>
    <n v="4"/>
    <n v="2022"/>
    <n v="480"/>
    <n v="-480"/>
    <n v="0"/>
    <n v="1171092.3500000001"/>
    <s v="Cash"/>
    <s v="Trsf 9/5/22 RM4,070.00"/>
    <m/>
  </r>
  <r>
    <d v="2022-04-05T00:00:00"/>
    <n v="4"/>
    <x v="3"/>
    <s v="INV00000231"/>
    <s v="C00000020"/>
    <x v="19"/>
    <s v="RA Nor 3338W (220Kg)"/>
    <n v="3"/>
    <s v="Cash"/>
    <x v="0"/>
    <d v="2022-04-05T00:00:00"/>
    <n v="4"/>
    <n v="2022"/>
    <n v="6270"/>
    <n v="-6270"/>
    <n v="0"/>
    <n v="1177362.3500000001"/>
    <s v="Cash"/>
    <s v="Trsf 19/8/22 RM3,000.00(2,876.80partial), Trsf 2/9/22 RM10,000.00(RM3,393.20partial)"/>
    <m/>
  </r>
  <r>
    <d v="2022-04-05T00:00:00"/>
    <n v="4"/>
    <x v="3"/>
    <s v="INV00000231"/>
    <s v="C00000020"/>
    <x v="19"/>
    <s v="RM CSM 450 64m(L) 1040mm(W) (30Kg)"/>
    <n v="6"/>
    <s v="Cash"/>
    <x v="0"/>
    <d v="2022-04-05T00:00:00"/>
    <n v="4"/>
    <n v="2022"/>
    <n v="1764"/>
    <n v="-1764"/>
    <n v="0"/>
    <n v="1179126.3500000001"/>
    <s v="Cash"/>
    <s v="Trsf 2/9/22 RM10,000.00(RM1,764.00partial)"/>
    <m/>
  </r>
  <r>
    <d v="2022-04-05T00:00:00"/>
    <n v="4"/>
    <x v="3"/>
    <s v="INV00000231"/>
    <s v="C00000020"/>
    <x v="19"/>
    <s v="RM Woven Roving E-600gm 1000mm (40Kg)"/>
    <n v="3"/>
    <s v="Cash"/>
    <x v="0"/>
    <d v="2022-04-05T00:00:00"/>
    <n v="4"/>
    <n v="2022"/>
    <n v="936"/>
    <n v="-936"/>
    <n v="0"/>
    <n v="1180062.3500000001"/>
    <s v="Cash"/>
    <s v="Trsf 2/9/22 RM10,000.00(RM936.00partial)"/>
    <m/>
  </r>
  <r>
    <d v="2022-04-05T00:00:00"/>
    <n v="4"/>
    <x v="3"/>
    <s v="INV00000231"/>
    <s v="C00000020"/>
    <x v="19"/>
    <s v="RA Talcum Powder (25kg)"/>
    <n v="3"/>
    <s v="Cash"/>
    <x v="0"/>
    <d v="2022-04-05T00:00:00"/>
    <n v="4"/>
    <n v="2022"/>
    <n v="187.5"/>
    <n v="-187.5"/>
    <n v="0"/>
    <n v="1180249.8500000001"/>
    <s v="Cash"/>
    <s v="Trsf 2/9/22 RM10,000.00(R187.50partial)"/>
    <m/>
  </r>
  <r>
    <d v="2022-04-05T00:00:00"/>
    <n v="4"/>
    <x v="3"/>
    <s v="INV00000231"/>
    <s v="C00000020"/>
    <x v="19"/>
    <s v="RM Pigment Smooth Cream (25kg)"/>
    <n v="1"/>
    <s v="Cash"/>
    <x v="0"/>
    <d v="2022-04-05T00:00:00"/>
    <n v="4"/>
    <n v="2022"/>
    <n v="1000"/>
    <n v="-1000"/>
    <n v="0"/>
    <n v="1181249.8500000001"/>
    <s v="Cash"/>
    <s v="Trsf 2/9/22 RM10,000.00(RM1,000.00partial)"/>
    <m/>
  </r>
  <r>
    <d v="2022-04-05T00:00:00"/>
    <n v="4"/>
    <x v="3"/>
    <s v="INV00000231"/>
    <s v="C00000020"/>
    <x v="19"/>
    <s v="RJ Mepoxe (5kg)"/>
    <n v="4"/>
    <s v="Cash"/>
    <x v="0"/>
    <d v="2022-04-05T00:00:00"/>
    <n v="4"/>
    <n v="2022"/>
    <n v="340"/>
    <n v="-340"/>
    <n v="0"/>
    <n v="1181589.8500000001"/>
    <s v="Cash"/>
    <s v="Trsf 2/9/22 RM10,000.00(RM340.00partial)"/>
    <m/>
  </r>
  <r>
    <d v="2022-04-08T00:00:00"/>
    <n v="4"/>
    <x v="3"/>
    <s v="INV00000232"/>
    <s v="C00000019"/>
    <x v="18"/>
    <s v="RA Nor 3338W (220Kg)"/>
    <n v="2"/>
    <s v="Cash"/>
    <x v="0"/>
    <d v="2022-04-08T00:00:00"/>
    <n v="4"/>
    <n v="2022"/>
    <n v="4136"/>
    <n v="-4136"/>
    <n v="0"/>
    <n v="1185725.8500000001"/>
    <s v="Cash"/>
    <s v="Trsf 10/4/22 RM6,361.10"/>
    <m/>
  </r>
  <r>
    <d v="2022-04-08T00:00:00"/>
    <n v="4"/>
    <x v="3"/>
    <s v="INV00000232"/>
    <s v="C00000019"/>
    <x v="18"/>
    <s v="RG CSM 450 CQ 54kg 64m(L) X 1860mm(W)"/>
    <n v="2"/>
    <s v="Cash"/>
    <x v="0"/>
    <d v="2022-04-08T00:00:00"/>
    <n v="4"/>
    <n v="2022"/>
    <n v="1047.5999999999999"/>
    <n v="-1047.5999999999999"/>
    <n v="0"/>
    <n v="1186773.4500000002"/>
    <s v="Cash"/>
    <s v="Trsf 10/4/22 RM6,361.10"/>
    <m/>
  </r>
  <r>
    <d v="2022-04-08T00:00:00"/>
    <n v="4"/>
    <x v="3"/>
    <s v="INV00000232"/>
    <s v="C00000019"/>
    <x v="18"/>
    <s v="RA Talcum Powder (25kg)"/>
    <n v="3"/>
    <s v="Cash"/>
    <x v="0"/>
    <d v="2022-04-08T00:00:00"/>
    <n v="4"/>
    <n v="2022"/>
    <n v="187.5"/>
    <n v="-187.5"/>
    <n v="0"/>
    <n v="1186960.9500000002"/>
    <s v="Cash"/>
    <s v="Trsf 10/4/22 RM6,361.10"/>
    <m/>
  </r>
  <r>
    <d v="2022-04-08T00:00:00"/>
    <n v="4"/>
    <x v="3"/>
    <s v="INV00000232"/>
    <s v="C00000019"/>
    <x v="18"/>
    <s v="RE Frekote 770NC (1 Gallon)"/>
    <n v="2"/>
    <s v="Cash"/>
    <x v="0"/>
    <d v="2022-04-08T00:00:00"/>
    <n v="4"/>
    <n v="2022"/>
    <n v="780"/>
    <n v="-780"/>
    <n v="0"/>
    <n v="1187740.9500000002"/>
    <s v="Cash"/>
    <s v="Trsf 10/4/22 RM6,361.10"/>
    <m/>
  </r>
  <r>
    <d v="2022-04-08T00:00:00"/>
    <n v="4"/>
    <x v="3"/>
    <s v="INV00000232"/>
    <s v="C00000019"/>
    <x v="18"/>
    <s v="RA Butanox M50"/>
    <n v="2"/>
    <s v="Cash"/>
    <x v="0"/>
    <d v="2022-04-08T00:00:00"/>
    <n v="4"/>
    <n v="2022"/>
    <n v="210"/>
    <n v="-210"/>
    <n v="0"/>
    <n v="1187950.9500000002"/>
    <s v="Cash"/>
    <s v="Trsf 10/4/22 RM6,361.10"/>
    <m/>
  </r>
  <r>
    <d v="2022-04-08T00:00:00"/>
    <n v="4"/>
    <x v="3"/>
    <s v="INV00000233"/>
    <s v="C00000003"/>
    <x v="2"/>
    <s v="RA Resin 3317AW (220Kg)"/>
    <n v="3"/>
    <s v="T45"/>
    <x v="1"/>
    <d v="2022-05-23T00:00:00"/>
    <n v="5"/>
    <n v="2022"/>
    <n v="6336"/>
    <n v="-6336"/>
    <n v="0"/>
    <n v="1194286.9500000002"/>
    <s v="Term"/>
    <s v="RHB 001601cleared17/5/22-RM1,500.00, 3cleared23/5/22-RM1,500.00, 4cleared30/5/22-RM1,500.00, 6cleared8/6/22-RM816.00, 5cleared13/6/22-RM2,000.00(1020.00partial)"/>
    <m/>
  </r>
  <r>
    <d v="2022-04-08T00:00:00"/>
    <n v="4"/>
    <x v="3"/>
    <s v="INV00000233"/>
    <s v="C00000003"/>
    <x v="2"/>
    <s v="RA Talcum Powder (25kg)"/>
    <n v="4"/>
    <s v="T45"/>
    <x v="1"/>
    <d v="2022-05-23T00:00:00"/>
    <n v="5"/>
    <n v="2022"/>
    <n v="260"/>
    <n v="-260"/>
    <n v="0"/>
    <n v="1194546.9500000002"/>
    <s v="Term"/>
    <s v="RHB 001605cleared13/6/22-RM2,000.00"/>
    <m/>
  </r>
  <r>
    <d v="2022-04-08T00:00:00"/>
    <n v="4"/>
    <x v="3"/>
    <s v="INV00000233"/>
    <s v="C00000003"/>
    <x v="2"/>
    <s v="RA Butanox M50 (5Kg)"/>
    <n v="6"/>
    <s v="T45"/>
    <x v="1"/>
    <d v="2022-05-23T00:00:00"/>
    <n v="5"/>
    <n v="2022"/>
    <n v="630"/>
    <n v="-630"/>
    <n v="0"/>
    <n v="1195176.9500000002"/>
    <s v="Term"/>
    <s v="RHB 001605cleared13/6/22-RM2,000.00"/>
    <m/>
  </r>
  <r>
    <d v="2022-04-08T00:00:00"/>
    <n v="4"/>
    <x v="3"/>
    <s v="INV00000233"/>
    <s v="C00000003"/>
    <x v="2"/>
    <s v="RA Miracle Gloss Wax"/>
    <n v="2"/>
    <s v="T45"/>
    <x v="1"/>
    <d v="2022-05-23T00:00:00"/>
    <n v="5"/>
    <n v="2022"/>
    <n v="90"/>
    <n v="-90"/>
    <n v="0"/>
    <n v="1195266.9500000002"/>
    <s v="Term"/>
    <s v="RHB 001605cleared13/6/22-RM2,000.00"/>
    <m/>
  </r>
  <r>
    <d v="2022-04-09T00:00:00"/>
    <n v="4"/>
    <x v="3"/>
    <s v="INV00000234"/>
    <s v="C00000009"/>
    <x v="8"/>
    <s v="RA Nor 3338W (220Kg)"/>
    <n v="2"/>
    <s v="T60"/>
    <x v="3"/>
    <d v="2022-06-08T00:00:00"/>
    <n v="6"/>
    <n v="2022"/>
    <n v="3960"/>
    <n v="-3960"/>
    <n v="0"/>
    <n v="1199226.9500000002"/>
    <s v="Term"/>
    <s v="Chq HL 015688 dd 24/8/22"/>
    <m/>
  </r>
  <r>
    <d v="2022-04-09T00:00:00"/>
    <n v="4"/>
    <x v="3"/>
    <s v="INV00000234"/>
    <s v="C00000009"/>
    <x v="8"/>
    <s v="RM CSM 450 (60Kg) 64m(L) x 2080mm(W)"/>
    <n v="1"/>
    <s v="T60"/>
    <x v="3"/>
    <d v="2022-06-08T00:00:00"/>
    <n v="6"/>
    <n v="2022"/>
    <n v="570"/>
    <n v="-570"/>
    <n v="0"/>
    <n v="1199796.9500000002"/>
    <s v="Term"/>
    <s v="Chq HL 015688 dd 24/8/22"/>
    <m/>
  </r>
  <r>
    <d v="2022-04-09T00:00:00"/>
    <n v="4"/>
    <x v="3"/>
    <s v="INV00000234"/>
    <s v="C00000009"/>
    <x v="8"/>
    <s v="RA CSM 300 (54Kg) 1860mm"/>
    <n v="1"/>
    <s v="T60"/>
    <x v="3"/>
    <d v="2022-06-08T00:00:00"/>
    <n v="6"/>
    <n v="2022"/>
    <n v="513"/>
    <n v="-513"/>
    <n v="0"/>
    <n v="1200309.9500000002"/>
    <s v="Term"/>
    <s v="Chq HL 015688 dd 24/8/22"/>
    <m/>
  </r>
  <r>
    <d v="2022-04-09T00:00:00"/>
    <n v="4"/>
    <x v="3"/>
    <s v="INV00000235"/>
    <s v="C00000020"/>
    <x v="19"/>
    <s v="RA Resin 3317AW (220Kg)"/>
    <n v="3"/>
    <s v="Cash"/>
    <x v="0"/>
    <d v="2022-04-09T00:00:00"/>
    <n v="4"/>
    <n v="2022"/>
    <n v="6270"/>
    <n v="-6270"/>
    <n v="0"/>
    <n v="1206579.9500000002"/>
    <s v="Cash"/>
    <s v="Trsf 2/9/22 RM10,000.00(RM2,379.30partial), Trsf 8/9/22 RM3.890.70(partial)"/>
    <m/>
  </r>
  <r>
    <d v="2022-04-09T00:00:00"/>
    <n v="4"/>
    <x v="3"/>
    <s v="INV00000235"/>
    <s v="C00000020"/>
    <x v="19"/>
    <s v="RM CSM 450 64m(L) 1040mm(W) (30Kg)"/>
    <n v="4"/>
    <s v="Cash"/>
    <x v="0"/>
    <d v="2022-04-09T00:00:00"/>
    <n v="4"/>
    <n v="2022"/>
    <n v="1176"/>
    <n v="-1176"/>
    <n v="0"/>
    <n v="1207755.9500000002"/>
    <s v="Cash"/>
    <s v="Trsf 8/9/22 RM10,000.00(RM1,176.00partial)"/>
    <m/>
  </r>
  <r>
    <d v="2022-04-09T00:00:00"/>
    <n v="4"/>
    <x v="3"/>
    <s v="INV00000235"/>
    <s v="C00000020"/>
    <x v="19"/>
    <s v="RM Woven Roving E-600gm 1000mm (40Kg)"/>
    <n v="3"/>
    <s v="Cash"/>
    <x v="0"/>
    <d v="2022-04-09T00:00:00"/>
    <n v="4"/>
    <n v="2022"/>
    <n v="936"/>
    <n v="-936"/>
    <n v="0"/>
    <n v="1208691.9500000002"/>
    <s v="Cash"/>
    <s v="Trsf 8/9/22 RM10,000.00(RM936.00partial)"/>
    <m/>
  </r>
  <r>
    <d v="2022-04-09T00:00:00"/>
    <n v="4"/>
    <x v="3"/>
    <s v="INV00000235"/>
    <s v="C00000020"/>
    <x v="19"/>
    <s v="RA Talcum Powder (25kg)"/>
    <n v="3"/>
    <s v="Cash"/>
    <x v="0"/>
    <d v="2022-04-09T00:00:00"/>
    <n v="4"/>
    <n v="2022"/>
    <n v="187.5"/>
    <n v="-187.5"/>
    <n v="0"/>
    <n v="1208879.4500000002"/>
    <s v="Cash"/>
    <s v="Trsf 8/9/22 RM10,000.00(RM187.50partial)"/>
    <m/>
  </r>
  <r>
    <d v="2022-04-09T00:00:00"/>
    <n v="4"/>
    <x v="3"/>
    <s v="INV00000236"/>
    <s v="C00000024"/>
    <x v="24"/>
    <s v="RA Resin 3317AW (220Kg)"/>
    <n v="1"/>
    <s v="Cash"/>
    <x v="0"/>
    <d v="2022-04-09T00:00:00"/>
    <n v="4"/>
    <n v="2022"/>
    <n v="2090"/>
    <n v="-2090"/>
    <n v="0"/>
    <n v="1210969.4500000002"/>
    <s v="Cash"/>
    <s v="PIB 091977Cleared11/4/22-RM3,881.50"/>
    <m/>
  </r>
  <r>
    <d v="2022-04-09T00:00:00"/>
    <n v="4"/>
    <x v="3"/>
    <s v="INV00000236"/>
    <s v="C00000024"/>
    <x v="24"/>
    <s v="RA Resin 3317AW (25Kg)"/>
    <n v="1"/>
    <s v="Cash"/>
    <x v="0"/>
    <d v="2022-04-09T00:00:00"/>
    <n v="4"/>
    <n v="2022"/>
    <n v="350"/>
    <n v="-350"/>
    <n v="0"/>
    <n v="1211319.4500000002"/>
    <s v="Cash"/>
    <s v="PIB 091977Cleared11/4/22-RM3,881.50"/>
    <m/>
  </r>
  <r>
    <d v="2022-04-09T00:00:00"/>
    <n v="4"/>
    <x v="3"/>
    <s v="INV00000236"/>
    <s v="C00000024"/>
    <x v="24"/>
    <s v="RM CSM 450 64m(L) 1040mm(W) (30Kg)"/>
    <n v="1"/>
    <s v="Cash"/>
    <x v="0"/>
    <d v="2022-04-09T00:00:00"/>
    <n v="4"/>
    <n v="2022"/>
    <n v="294"/>
    <n v="-294"/>
    <n v="0"/>
    <n v="1211613.4500000002"/>
    <s v="Cash"/>
    <s v="PIB 091977Cleared11/4/22-RM3,881.50"/>
    <m/>
  </r>
  <r>
    <d v="2022-04-09T00:00:00"/>
    <n v="4"/>
    <x v="3"/>
    <s v="INV00000236"/>
    <s v="C00000024"/>
    <x v="24"/>
    <s v="RA Talcum Powder (25kg)"/>
    <n v="1"/>
    <s v="Cash"/>
    <x v="0"/>
    <d v="2022-04-09T00:00:00"/>
    <n v="4"/>
    <n v="2022"/>
    <n v="62.5"/>
    <n v="-62.5"/>
    <n v="0"/>
    <n v="1211675.9500000002"/>
    <s v="Cash"/>
    <s v="PIB 091977Cleared11/4/22-RM3,881.50"/>
    <m/>
  </r>
  <r>
    <d v="2022-04-09T00:00:00"/>
    <n v="4"/>
    <x v="3"/>
    <s v="INV00000236"/>
    <s v="C00000024"/>
    <x v="24"/>
    <s v="RM Pigment Smooth Cream (25kg)"/>
    <n v="1"/>
    <s v="Cash"/>
    <x v="0"/>
    <d v="2022-04-09T00:00:00"/>
    <n v="4"/>
    <n v="2022"/>
    <n v="1000"/>
    <n v="-1000"/>
    <n v="0"/>
    <n v="1212675.9500000002"/>
    <s v="Cash"/>
    <s v="PIB 091977Cleared11/4/22-RM3,881.50"/>
    <m/>
  </r>
  <r>
    <d v="2022-04-09T00:00:00"/>
    <n v="4"/>
    <x v="3"/>
    <s v="INV00000236"/>
    <s v="C00000024"/>
    <x v="24"/>
    <s v="RJ Mepoxe (5kg)"/>
    <n v="1"/>
    <s v="Cash"/>
    <x v="0"/>
    <d v="2022-04-09T00:00:00"/>
    <n v="4"/>
    <n v="2022"/>
    <n v="85"/>
    <n v="-85"/>
    <n v="0"/>
    <n v="1212760.9500000002"/>
    <s v="Cash"/>
    <s v="PIB 091977Cleared11/4/22-RM3,881.50"/>
    <m/>
  </r>
  <r>
    <d v="2022-04-12T00:00:00"/>
    <n v="4"/>
    <x v="3"/>
    <s v="INV00000237"/>
    <s v="C00000022"/>
    <x v="22"/>
    <s v="RM NPG Gelcoat 9319-H (5Kg)"/>
    <n v="2"/>
    <s v="Cash"/>
    <x v="0"/>
    <d v="2022-04-12T00:00:00"/>
    <n v="4"/>
    <n v="2022"/>
    <n v="200"/>
    <n v="-200"/>
    <n v="0"/>
    <n v="1212960.9500000002"/>
    <s v="Cash"/>
    <s v="Trsf 9/5/22 RM4,070.00"/>
    <m/>
  </r>
  <r>
    <d v="2022-04-12T00:00:00"/>
    <n v="4"/>
    <x v="3"/>
    <s v="INV00000237"/>
    <s v="C00000022"/>
    <x v="22"/>
    <s v="RE Frekote 770NC (1 Gallon)"/>
    <n v="1"/>
    <s v="Cash"/>
    <x v="0"/>
    <d v="2022-04-12T00:00:00"/>
    <n v="4"/>
    <n v="2022"/>
    <n v="390"/>
    <n v="-390"/>
    <n v="0"/>
    <n v="1213350.9500000002"/>
    <s v="Cash"/>
    <s v="Trsf 9/5/22 RM4,070.00"/>
    <m/>
  </r>
  <r>
    <d v="2022-04-13T00:00:00"/>
    <n v="4"/>
    <x v="3"/>
    <s v="INV00000238"/>
    <s v="C00000024"/>
    <x v="24"/>
    <s v="RM CSM 450 64m(L) 1040mm(W) (30Kg)"/>
    <n v="2"/>
    <s v="Cash"/>
    <x v="0"/>
    <d v="2022-04-13T00:00:00"/>
    <n v="4"/>
    <n v="2022"/>
    <n v="588"/>
    <n v="-588"/>
    <n v="0"/>
    <n v="1213938.9500000002"/>
    <s v="Cash"/>
    <s v="Trsf PBB Yew Kok Wah 13/4/22 RM588.00 "/>
    <m/>
  </r>
  <r>
    <d v="2022-04-13T00:00:00"/>
    <n v="4"/>
    <x v="3"/>
    <s v="INV00000239"/>
    <s v="C00000020"/>
    <x v="19"/>
    <s v="RA Nor 3338W (220Kg)"/>
    <n v="3"/>
    <s v="Cash"/>
    <x v="0"/>
    <d v="2022-04-13T00:00:00"/>
    <n v="4"/>
    <n v="2022"/>
    <n v="6270"/>
    <n v="-6270"/>
    <n v="0"/>
    <n v="1220208.9500000002"/>
    <s v="Cash"/>
    <s v="Trsf 8/9/22 RM10,000.00(RM3,809.80partial), Trsf 12/9/22 RM4,000.00(2,460.20partial)"/>
    <m/>
  </r>
  <r>
    <d v="2022-04-13T00:00:00"/>
    <n v="4"/>
    <x v="3"/>
    <s v="INV00000239"/>
    <s v="C00000020"/>
    <x v="19"/>
    <s v="RM CSM 450 64m(L) X 1860mm(W) (54kg)"/>
    <n v="5"/>
    <s v="Cash"/>
    <x v="0"/>
    <d v="2022-04-13T00:00:00"/>
    <n v="4"/>
    <n v="2022"/>
    <n v="2646"/>
    <n v="-2646"/>
    <n v="0"/>
    <n v="1222854.9500000002"/>
    <s v="Cash"/>
    <s v="Trsf 12/9/22 RM4,000.00(RM1,539.80partial), Trsf 28/9/22 RM13,000.00(partial RM1,106.20)"/>
    <m/>
  </r>
  <r>
    <d v="2022-04-13T00:00:00"/>
    <n v="4"/>
    <x v="3"/>
    <s v="INV00000239"/>
    <s v="C00000020"/>
    <x v="19"/>
    <s v="RM Woven Roving E-600gm 1000mm (40Kg)"/>
    <n v="6"/>
    <s v="Cash"/>
    <x v="0"/>
    <d v="2022-04-13T00:00:00"/>
    <n v="4"/>
    <n v="2022"/>
    <n v="1872"/>
    <n v="-1872"/>
    <n v="0"/>
    <n v="1224726.9500000002"/>
    <s v="Cash"/>
    <s v="Trsf 28/9/22 RM13,000.00"/>
    <m/>
  </r>
  <r>
    <d v="2022-04-13T00:00:00"/>
    <n v="4"/>
    <x v="3"/>
    <s v="INV00000239"/>
    <s v="C00000020"/>
    <x v="19"/>
    <s v="RA Talcum Powder (25kg)"/>
    <n v="3"/>
    <s v="Cash"/>
    <x v="0"/>
    <d v="2022-04-13T00:00:00"/>
    <n v="4"/>
    <n v="2022"/>
    <n v="187.5"/>
    <n v="-187.5"/>
    <n v="0"/>
    <n v="1224914.4500000002"/>
    <s v="Cash"/>
    <s v="Trsf 28/9/22 RM13,000.00"/>
    <m/>
  </r>
  <r>
    <d v="2022-04-14T00:00:00"/>
    <n v="4"/>
    <x v="3"/>
    <s v="INV00000240"/>
    <s v="C00000021"/>
    <x v="21"/>
    <s v="RA Resin 3317AW (220Kg)"/>
    <n v="2"/>
    <s v="Cash"/>
    <x v="0"/>
    <d v="2022-04-14T00:00:00"/>
    <n v="4"/>
    <n v="2022"/>
    <n v="4136"/>
    <n v="-4136"/>
    <n v="0"/>
    <n v="1229050.4500000002"/>
    <s v="Cash"/>
    <s v="PBB395363cleared23/6/22 RM5,746.00"/>
    <m/>
  </r>
  <r>
    <d v="2022-04-14T00:00:00"/>
    <n v="4"/>
    <x v="3"/>
    <s v="INV00000240"/>
    <s v="C00000021"/>
    <x v="21"/>
    <s v="RM CSM 450 64m(L) 1040mm(W) (30Kg)"/>
    <n v="5"/>
    <s v="Cash"/>
    <x v="0"/>
    <d v="2022-04-14T00:00:00"/>
    <n v="4"/>
    <n v="2022"/>
    <n v="1440"/>
    <n v="-1440"/>
    <n v="0"/>
    <n v="1230490.4500000002"/>
    <s v="Cash"/>
    <s v="PBB395363cleared23/6/22 RM5,746.00"/>
    <m/>
  </r>
  <r>
    <d v="2022-04-14T00:00:00"/>
    <n v="4"/>
    <x v="3"/>
    <s v="INV00000240"/>
    <s v="C00000021"/>
    <x v="21"/>
    <s v="RJ Mepoxe (5kg)"/>
    <n v="2"/>
    <s v="Cash"/>
    <x v="0"/>
    <d v="2022-04-14T00:00:00"/>
    <n v="4"/>
    <n v="2022"/>
    <n v="170"/>
    <n v="-170"/>
    <n v="0"/>
    <n v="1230660.4500000002"/>
    <s v="Cash"/>
    <s v="PBB395363cleared23/6/22 RM5,746.00"/>
    <m/>
  </r>
  <r>
    <d v="2022-04-15T00:00:00"/>
    <n v="4"/>
    <x v="3"/>
    <s v="INV00000241"/>
    <s v="C00000024"/>
    <x v="24"/>
    <s v="RA Resin 3317AW (220Kg)"/>
    <n v="1"/>
    <s v="Cash"/>
    <x v="0"/>
    <d v="2022-04-15T00:00:00"/>
    <n v="4"/>
    <n v="2022"/>
    <n v="2090"/>
    <n v="-2090"/>
    <n v="0"/>
    <n v="1232750.4500000002"/>
    <s v="Cash"/>
    <s v="PIB 091980Cleared18/4/22-RM2,175.00"/>
    <m/>
  </r>
  <r>
    <d v="2022-04-15T00:00:00"/>
    <n v="4"/>
    <x v="3"/>
    <s v="INV00000241"/>
    <s v="C00000024"/>
    <x v="24"/>
    <s v="RJ Mepoxe (5kg)"/>
    <n v="1"/>
    <s v="Cash"/>
    <x v="0"/>
    <d v="2022-04-15T00:00:00"/>
    <n v="4"/>
    <n v="2022"/>
    <n v="85"/>
    <n v="-85"/>
    <n v="0"/>
    <n v="1232835.4500000002"/>
    <s v="Cash"/>
    <s v="PIB 091980Cleared18/4/22-RM2,175.00"/>
    <m/>
  </r>
  <r>
    <d v="2022-04-16T00:00:00"/>
    <n v="4"/>
    <x v="3"/>
    <s v="INV00000242"/>
    <s v="C00000020"/>
    <x v="19"/>
    <s v="RA Nor 3338W (220Kg)"/>
    <n v="3"/>
    <s v="Cash"/>
    <x v="0"/>
    <d v="2022-04-16T00:00:00"/>
    <n v="4"/>
    <n v="2022"/>
    <n v="6270"/>
    <n v="-6270"/>
    <n v="0"/>
    <n v="1239105.4500000002"/>
    <s v="Cash"/>
    <s v="Trsf 28/9/22 RM13,000.00"/>
    <m/>
  </r>
  <r>
    <d v="2022-04-16T00:00:00"/>
    <n v="4"/>
    <x v="3"/>
    <s v="INV00000242"/>
    <s v="C00000020"/>
    <x v="19"/>
    <s v="RM CSM 450 64m(L) 1040mm(W) (30Kg)"/>
    <n v="7"/>
    <s v="Cash"/>
    <x v="0"/>
    <d v="2022-04-16T00:00:00"/>
    <n v="4"/>
    <n v="2022"/>
    <n v="2058"/>
    <n v="-2058"/>
    <n v="0"/>
    <n v="1241163.4500000002"/>
    <s v="Cash"/>
    <s v="Trsf 28/9/22 RM13,000.00"/>
    <m/>
  </r>
  <r>
    <d v="2022-04-16T00:00:00"/>
    <n v="4"/>
    <x v="3"/>
    <s v="INV00000242"/>
    <s v="C00000020"/>
    <x v="19"/>
    <s v="RM Woven Roving E-600gm 1000mm (40Kg)"/>
    <n v="4"/>
    <s v="Cash"/>
    <x v="0"/>
    <d v="2022-04-16T00:00:00"/>
    <n v="4"/>
    <n v="2022"/>
    <n v="1248"/>
    <n v="-1248"/>
    <n v="0"/>
    <n v="1242411.4500000002"/>
    <s v="Cash"/>
    <s v="Trsf 28/9/22 RM13,000.00"/>
    <m/>
  </r>
  <r>
    <d v="2022-04-16T00:00:00"/>
    <n v="4"/>
    <x v="3"/>
    <s v="INV00000242"/>
    <s v="C00000020"/>
    <x v="19"/>
    <s v="RA Talcum Powder (25kg)"/>
    <n v="3"/>
    <s v="Cash"/>
    <x v="0"/>
    <d v="2022-04-16T00:00:00"/>
    <n v="4"/>
    <n v="2022"/>
    <n v="187.5"/>
    <n v="-187.5"/>
    <n v="0"/>
    <n v="1242598.9500000002"/>
    <s v="Cash"/>
    <s v="Trsf 28/9/22 RM13,000.00"/>
    <m/>
  </r>
  <r>
    <d v="2022-04-16T00:00:00"/>
    <n v="4"/>
    <x v="3"/>
    <s v="INV00000242"/>
    <s v="C00000020"/>
    <x v="19"/>
    <s v="RJ Mepoxe (5kg)"/>
    <n v="4"/>
    <s v="Cash"/>
    <x v="0"/>
    <d v="2022-04-16T00:00:00"/>
    <n v="4"/>
    <n v="2022"/>
    <n v="340"/>
    <n v="-340"/>
    <n v="0"/>
    <n v="1242938.9500000002"/>
    <s v="Cash"/>
    <s v="Trsf 28/9/22 RM13,000.00, Trsf 5/10/22 RM5,000.00(RM269.20partial)"/>
    <m/>
  </r>
  <r>
    <d v="2022-04-16T00:00:00"/>
    <n v="4"/>
    <x v="3"/>
    <s v="INV00000243"/>
    <s v="C00000023"/>
    <x v="23"/>
    <s v="RA Nor 3317W (220Kg)"/>
    <n v="5"/>
    <s v="Cash"/>
    <x v="0"/>
    <d v="2022-04-16T00:00:00"/>
    <n v="4"/>
    <n v="2022"/>
    <n v="10450"/>
    <n v="-10450"/>
    <n v="0"/>
    <n v="1253388.9500000002"/>
    <s v="Cash"/>
    <s v="Trsf 17/5/22 RM14,088.50"/>
    <m/>
  </r>
  <r>
    <d v="2022-04-16T00:00:00"/>
    <n v="4"/>
    <x v="3"/>
    <s v="INV00000243"/>
    <s v="C00000023"/>
    <x v="23"/>
    <s v="RM CSM 450 64m(L) 1040mm(W) (30Kg)"/>
    <n v="9"/>
    <s v="Cash"/>
    <x v="0"/>
    <d v="2022-04-16T00:00:00"/>
    <n v="4"/>
    <n v="2022"/>
    <n v="2646"/>
    <n v="-2646"/>
    <n v="0"/>
    <n v="1256034.9500000002"/>
    <s v="Cash"/>
    <s v="Trsf 17/5/22 RM14,088.50"/>
    <m/>
  </r>
  <r>
    <d v="2022-04-16T00:00:00"/>
    <n v="4"/>
    <x v="3"/>
    <s v="INV00000243"/>
    <s v="C00000023"/>
    <x v="23"/>
    <s v="RJ Mepoxe (5kg)"/>
    <n v="8"/>
    <s v="Cash"/>
    <x v="0"/>
    <d v="2022-04-16T00:00:00"/>
    <n v="4"/>
    <n v="2022"/>
    <n v="680"/>
    <n v="-680"/>
    <n v="0"/>
    <n v="1256714.9500000002"/>
    <s v="Cash"/>
    <s v="Trsf 17/5/22 RM14,088.50"/>
    <m/>
  </r>
  <r>
    <d v="2022-04-16T00:00:00"/>
    <n v="4"/>
    <x v="3"/>
    <s v="INV00000243"/>
    <s v="C00000023"/>
    <x v="23"/>
    <s v="RA Talcum Powder (25kg)"/>
    <n v="5"/>
    <s v="Cash"/>
    <x v="0"/>
    <d v="2022-04-16T00:00:00"/>
    <n v="4"/>
    <n v="2022"/>
    <n v="312.5"/>
    <n v="-312.5"/>
    <n v="0"/>
    <n v="1257027.4500000002"/>
    <s v="Cash"/>
    <s v="Trsf 17/5/22 RM14,088.50"/>
    <m/>
  </r>
  <r>
    <d v="2022-04-19T00:00:00"/>
    <n v="4"/>
    <x v="3"/>
    <s v="INV00000244"/>
    <s v="C00000020"/>
    <x v="19"/>
    <s v="RM Pigment Smooth Cream (25kg)"/>
    <n v="1"/>
    <s v="Cash"/>
    <x v="0"/>
    <d v="2022-04-19T00:00:00"/>
    <n v="4"/>
    <n v="2022"/>
    <n v="1000"/>
    <n v="-1000"/>
    <n v="0"/>
    <n v="1258027.4500000002"/>
    <s v="Cash"/>
    <s v="Trsf 5/10/22 RM5,000.00"/>
    <m/>
  </r>
  <r>
    <d v="2022-04-19T00:00:00"/>
    <n v="4"/>
    <x v="3"/>
    <s v="INV00000244"/>
    <s v="C00000020"/>
    <x v="19"/>
    <s v="RM CSM 450 64m(L) 1040mm(W) (30Kg)"/>
    <n v="6"/>
    <s v="Cash"/>
    <x v="0"/>
    <d v="2022-04-19T00:00:00"/>
    <n v="4"/>
    <n v="2022"/>
    <n v="1764"/>
    <n v="-1764"/>
    <n v="0"/>
    <n v="1259791.4500000002"/>
    <s v="Cash"/>
    <s v="Trsf 5/10/22 RM5,000.00"/>
    <m/>
  </r>
  <r>
    <d v="2022-04-19T00:00:00"/>
    <n v="4"/>
    <x v="3"/>
    <s v="INV00000244"/>
    <s v="C00000020"/>
    <x v="19"/>
    <s v="RC Woven Roving E-800 1000mm (40Kg)"/>
    <n v="1"/>
    <s v="Cash"/>
    <x v="0"/>
    <d v="2022-04-19T00:00:00"/>
    <n v="4"/>
    <n v="2022"/>
    <n v="312"/>
    <n v="-312"/>
    <n v="0"/>
    <n v="1260103.4500000002"/>
    <s v="Cash"/>
    <s v="Trsf 5/10/22 RM5,000.00"/>
    <m/>
  </r>
  <r>
    <d v="2022-04-20T00:00:00"/>
    <n v="4"/>
    <x v="3"/>
    <s v="INV00000245"/>
    <s v="C00000025"/>
    <x v="25"/>
    <s v="Resin 3317AW (25Kg)"/>
    <n v="2"/>
    <s v="Cash"/>
    <x v="0"/>
    <d v="2022-04-20T00:00:00"/>
    <n v="4"/>
    <n v="2022"/>
    <n v="700"/>
    <n v="-700"/>
    <n v="0"/>
    <n v="1260803.4500000002"/>
    <s v="Cash"/>
    <s v="Trsf PBB 20/4/22-RM1,170.00"/>
    <m/>
  </r>
  <r>
    <d v="2022-04-20T00:00:00"/>
    <n v="4"/>
    <x v="3"/>
    <s v="INV00000245"/>
    <s v="C00000025"/>
    <x v="25"/>
    <s v="CSM 450 64m(L) 1040mm(W) (30Kg)"/>
    <n v="1"/>
    <s v="Cash"/>
    <x v="0"/>
    <d v="2022-04-20T00:00:00"/>
    <n v="4"/>
    <n v="2022"/>
    <n v="315"/>
    <n v="-315"/>
    <n v="0"/>
    <n v="1261118.4500000002"/>
    <s v="Cash"/>
    <s v="Trsf PBB 20/4/22-RM1,170.00"/>
    <m/>
  </r>
  <r>
    <d v="2022-04-20T00:00:00"/>
    <n v="4"/>
    <x v="3"/>
    <s v="INV00000245"/>
    <s v="C00000025"/>
    <x v="25"/>
    <s v="Mepoxe (5kg)"/>
    <n v="1"/>
    <s v="Cash"/>
    <x v="0"/>
    <d v="2022-04-20T00:00:00"/>
    <n v="4"/>
    <n v="2022"/>
    <n v="90"/>
    <n v="-90"/>
    <n v="0"/>
    <n v="1261208.4500000002"/>
    <s v="Cash"/>
    <s v="Trsf PBB 20/4/22-RM1,170.00"/>
    <m/>
  </r>
  <r>
    <d v="2022-04-20T00:00:00"/>
    <n v="4"/>
    <x v="3"/>
    <s v="INV00000245"/>
    <s v="C00000025"/>
    <x v="25"/>
    <s v="Talcum Powder (25kg)"/>
    <n v="1"/>
    <s v="Cash"/>
    <x v="0"/>
    <d v="2022-04-20T00:00:00"/>
    <n v="4"/>
    <n v="2022"/>
    <n v="65"/>
    <n v="-65"/>
    <n v="0"/>
    <n v="1261273.4500000002"/>
    <s v="Cash"/>
    <s v="Trsf PBB 20/4/22-RM1,170.00"/>
    <m/>
  </r>
  <r>
    <d v="2022-04-21T00:00:00"/>
    <n v="4"/>
    <x v="3"/>
    <s v="INV00000246"/>
    <s v="C00000004"/>
    <x v="3"/>
    <s v="RG Nor 3338W (220Kg)"/>
    <n v="5"/>
    <s v="T120"/>
    <x v="4"/>
    <d v="2022-08-19T00:00:00"/>
    <n v="8"/>
    <n v="2022"/>
    <n v="10120"/>
    <n v="-10120"/>
    <n v="0"/>
    <n v="1271393.4500000002"/>
    <s v="Term"/>
    <s v="HLB011650Cleared8/8/22-RM15,222.00"/>
    <m/>
  </r>
  <r>
    <d v="2022-04-21T00:00:00"/>
    <n v="4"/>
    <x v="3"/>
    <s v="INV00000246"/>
    <s v="C00000004"/>
    <x v="3"/>
    <s v="RG Nor 3338NW (220Kg)"/>
    <n v="1"/>
    <s v="T120"/>
    <x v="4"/>
    <d v="2022-08-19T00:00:00"/>
    <n v="8"/>
    <n v="2022"/>
    <n v="2024"/>
    <n v="-2024"/>
    <n v="0"/>
    <n v="1273417.4500000002"/>
    <s v="Term"/>
    <s v="HLB011650Cleared8/8/22-RM15,222.00"/>
    <m/>
  </r>
  <r>
    <d v="2022-04-21T00:00:00"/>
    <n v="4"/>
    <x v="3"/>
    <s v="INV00000246"/>
    <s v="C00000004"/>
    <x v="3"/>
    <s v="RM CSM 450 64m(L) X 1860mm(W) (54kg)"/>
    <n v="3"/>
    <s v="T120"/>
    <x v="4"/>
    <d v="2022-08-19T00:00:00"/>
    <n v="8"/>
    <n v="2022"/>
    <n v="1539"/>
    <n v="-1539"/>
    <n v="0"/>
    <n v="1274956.4500000002"/>
    <s v="Term"/>
    <s v="HLB011650Cleared8/8/22-RM15,222.00"/>
    <m/>
  </r>
  <r>
    <d v="2022-04-21T00:00:00"/>
    <n v="4"/>
    <x v="3"/>
    <s v="INV00000246"/>
    <s v="C00000004"/>
    <x v="3"/>
    <s v="RA CSM 300 (54Kg) 1860mm"/>
    <n v="3"/>
    <s v="T120"/>
    <x v="4"/>
    <d v="2022-08-19T00:00:00"/>
    <n v="8"/>
    <n v="2022"/>
    <n v="1539"/>
    <n v="-1539"/>
    <n v="0"/>
    <n v="1276495.4500000002"/>
    <s v="Term"/>
    <s v="HLB011650Cleared8/8/22-RM15,222.00"/>
    <m/>
  </r>
  <r>
    <d v="2022-04-21T00:00:00"/>
    <n v="4"/>
    <x v="3"/>
    <s v="INV00000247"/>
    <s v="C00000025"/>
    <x v="25"/>
    <s v="RD Steel Roller 4&quot;"/>
    <n v="1"/>
    <s v="Cash"/>
    <x v="0"/>
    <d v="2022-04-21T00:00:00"/>
    <n v="4"/>
    <n v="2022"/>
    <n v="68"/>
    <n v="-68"/>
    <n v="0"/>
    <n v="1276563.4500000002"/>
    <s v="Cash"/>
    <s v="Trsf PBB 21/4/22"/>
    <m/>
  </r>
  <r>
    <d v="2022-04-21T00:00:00"/>
    <n v="4"/>
    <x v="3"/>
    <s v="INV00000248"/>
    <s v="C00000001"/>
    <x v="0"/>
    <s v="RM Resin 3317AW (220Kg)"/>
    <n v="1"/>
    <s v="Cash"/>
    <x v="0"/>
    <d v="2022-04-21T00:00:00"/>
    <n v="4"/>
    <n v="2022"/>
    <n v="2068"/>
    <n v="-2068"/>
    <n v="0"/>
    <n v="1278631.4500000002"/>
    <s v="Cash"/>
    <s v="Trsf Al Rajhi Bank 28/4/22-RM2,488.00"/>
    <m/>
  </r>
  <r>
    <d v="2022-04-22T00:00:00"/>
    <n v="4"/>
    <x v="3"/>
    <s v="INV00000248"/>
    <s v="C00000001"/>
    <x v="0"/>
    <s v="RM Butanox M50"/>
    <n v="4"/>
    <s v="Cash"/>
    <x v="0"/>
    <d v="2022-04-22T00:00:00"/>
    <n v="4"/>
    <n v="2022"/>
    <n v="420"/>
    <n v="-420"/>
    <n v="0"/>
    <n v="1279051.4500000002"/>
    <s v="Cash"/>
    <s v="Trsf Al Rajhi Bank 28/4/22-RM2,488.00"/>
    <m/>
  </r>
  <r>
    <d v="2022-04-23T00:00:00"/>
    <n v="4"/>
    <x v="3"/>
    <s v="INV00000249"/>
    <s v="C00000020"/>
    <x v="19"/>
    <s v="RM Nor 3338W (220Kg)"/>
    <n v="3"/>
    <s v="Cash"/>
    <x v="0"/>
    <d v="2022-04-23T00:00:00"/>
    <n v="4"/>
    <n v="2022"/>
    <n v="6270"/>
    <n v="-6270"/>
    <n v="0"/>
    <n v="1285321.4500000002"/>
    <s v="Cash"/>
    <s v="Trsf 5/10/22 RM5,000.00(RM1,654.80partial), Trsf 14/10/22 RM4,000.00, Trsf 17/10/22 RM4,000.00(RM615.20partial)"/>
    <m/>
  </r>
  <r>
    <d v="2022-04-23T00:00:00"/>
    <n v="4"/>
    <x v="3"/>
    <s v="INV00000249"/>
    <s v="C00000020"/>
    <x v="19"/>
    <s v="RM CSM 450 64m(L) 1040mm(W) (30Kg)"/>
    <n v="8"/>
    <s v="Cash"/>
    <x v="0"/>
    <d v="2022-04-23T00:00:00"/>
    <n v="4"/>
    <n v="2022"/>
    <n v="2352"/>
    <n v="-2352"/>
    <n v="0"/>
    <n v="1287673.4500000002"/>
    <s v="Cash"/>
    <s v="Trsf 17/10/22 RM4,000.00"/>
    <m/>
  </r>
  <r>
    <d v="2022-04-23T00:00:00"/>
    <n v="4"/>
    <x v="3"/>
    <s v="INV00000249"/>
    <s v="C00000020"/>
    <x v="19"/>
    <s v="RA Woven Roving E-600 (45kg) 1120mm"/>
    <n v="4"/>
    <s v="Cash"/>
    <x v="0"/>
    <d v="2022-04-23T00:00:00"/>
    <n v="4"/>
    <n v="2022"/>
    <n v="1404"/>
    <n v="-1404"/>
    <m/>
    <n v="1289077.4500000002"/>
    <s v="Cash"/>
    <s v="Trsf 17/10/22 RM4,000.00(RM1,032.80), Trsf 23/10/22 RM25,000.00(RM371.20partial)"/>
    <m/>
  </r>
  <r>
    <d v="2022-04-23T00:00:00"/>
    <n v="4"/>
    <x v="3"/>
    <s v="INV00000249"/>
    <s v="C00000020"/>
    <x v="19"/>
    <s v="RA Talcum Powder (25kg)"/>
    <n v="2"/>
    <s v="Cash"/>
    <x v="0"/>
    <d v="2022-04-23T00:00:00"/>
    <n v="4"/>
    <n v="2022"/>
    <n v="125"/>
    <n v="-125"/>
    <n v="0"/>
    <n v="1289202.4500000002"/>
    <s v="Cash"/>
    <s v="Trsf 23/10/22 RM25,000.00"/>
    <m/>
  </r>
  <r>
    <d v="2022-04-23T00:00:00"/>
    <n v="4"/>
    <x v="3"/>
    <s v="INV00000249"/>
    <s v="C00000020"/>
    <x v="19"/>
    <s v="RM Pigment Smooth Cream (25kg)"/>
    <n v="1"/>
    <s v="Cash"/>
    <x v="0"/>
    <d v="2022-04-23T00:00:00"/>
    <n v="4"/>
    <n v="2022"/>
    <n v="1000"/>
    <n v="-1000"/>
    <n v="0"/>
    <n v="1290202.4500000002"/>
    <s v="Cash"/>
    <s v="Trsf 23/10/22 RM25,000.00"/>
    <m/>
  </r>
  <r>
    <s v="26/4/2022"/>
    <n v="4"/>
    <x v="3"/>
    <s v="INV00000250"/>
    <s v="C00000023"/>
    <x v="23"/>
    <s v="RM Nor 3338W (220Kg)"/>
    <n v="1"/>
    <s v="Cash"/>
    <x v="0"/>
    <d v="2022-04-26T00:00:00"/>
    <n v="4"/>
    <n v="2022"/>
    <n v="2090"/>
    <n v="-2090"/>
    <n v="0"/>
    <n v="1292292.4500000002"/>
    <s v="Cash"/>
    <s v="Trsf 26/4/22-RM3,799.00"/>
    <m/>
  </r>
  <r>
    <s v="26/4/2022"/>
    <n v="4"/>
    <x v="3"/>
    <s v="INV00000250"/>
    <s v="C00000023"/>
    <x v="23"/>
    <s v="RM CSM 450 64m(L) 1040mm(W) (30Kg)"/>
    <n v="3"/>
    <s v="Cash"/>
    <x v="0"/>
    <d v="2022-04-26T00:00:00"/>
    <n v="4"/>
    <n v="2022"/>
    <n v="882"/>
    <n v="-882"/>
    <n v="0"/>
    <n v="1293174.4500000002"/>
    <s v="Cash"/>
    <s v="Trsf 26/4/22-RM3,799.00"/>
    <m/>
  </r>
  <r>
    <s v="26/4/2022"/>
    <n v="4"/>
    <x v="3"/>
    <s v="INV00000250"/>
    <s v="C00000023"/>
    <x v="23"/>
    <s v="RA Woven Roving E-600 (45kg) 1120mm"/>
    <n v="2"/>
    <s v="Cash"/>
    <x v="0"/>
    <d v="2022-04-26T00:00:00"/>
    <n v="4"/>
    <n v="2022"/>
    <n v="702"/>
    <n v="-702"/>
    <n v="0"/>
    <n v="1293876.4500000002"/>
    <s v="Cash"/>
    <s v="Trsf 26/4/22-RM3,799.00"/>
    <m/>
  </r>
  <r>
    <s v="26/4/2022"/>
    <n v="4"/>
    <x v="3"/>
    <s v="INV00000250"/>
    <s v="C00000023"/>
    <x v="23"/>
    <s v="RA Talcum Powder (25kg)"/>
    <n v="2"/>
    <s v="Cash"/>
    <x v="0"/>
    <d v="2022-04-26T00:00:00"/>
    <n v="4"/>
    <n v="2022"/>
    <n v="125"/>
    <n v="-125"/>
    <n v="0"/>
    <n v="1294001.4500000002"/>
    <s v="Cash"/>
    <s v="Trsf 26/4/22-RM3,799.00"/>
    <m/>
  </r>
  <r>
    <d v="2022-04-27T00:00:00"/>
    <n v="4"/>
    <x v="3"/>
    <s v="INV00000251"/>
    <s v="C00000010"/>
    <x v="9"/>
    <s v="RM Resin 3338AW (220kg)"/>
    <n v="5"/>
    <s v="T120"/>
    <x v="4"/>
    <d v="2022-08-25T00:00:00"/>
    <n v="8"/>
    <n v="2022"/>
    <n v="9900"/>
    <n v="-9900"/>
    <n v="0"/>
    <n v="1303901.4500000002"/>
    <s v="Term"/>
    <s v="Trsf 25/7/22 RM11,160.00"/>
    <m/>
  </r>
  <r>
    <d v="2022-04-27T00:00:00"/>
    <n v="4"/>
    <x v="3"/>
    <s v="INV00000251"/>
    <s v="C00000010"/>
    <x v="9"/>
    <s v="RA Butanox M50"/>
    <n v="12"/>
    <s v="T120"/>
    <x v="4"/>
    <d v="2022-08-25T00:00:00"/>
    <n v="8"/>
    <n v="2022"/>
    <n v="1260"/>
    <n v="-1260"/>
    <n v="0"/>
    <n v="1305161.4500000002"/>
    <s v="Term"/>
    <s v="Trsf 25/7/22 RM11,160.00"/>
    <m/>
  </r>
  <r>
    <d v="2022-04-28T00:00:00"/>
    <n v="4"/>
    <x v="3"/>
    <s v="INV00000252"/>
    <s v="C00000021"/>
    <x v="21"/>
    <s v="RA Resin 3317AW (220Kg)"/>
    <n v="2"/>
    <s v="Cash"/>
    <x v="0"/>
    <d v="2022-04-28T00:00:00"/>
    <n v="4"/>
    <n v="2022"/>
    <n v="4136"/>
    <n v="-4136"/>
    <n v="0"/>
    <n v="1309297.4500000002"/>
    <s v="Cash"/>
    <s v="Chq PBB 395364, cleared180722 RM5,458.00"/>
    <m/>
  </r>
  <r>
    <d v="2022-04-28T00:00:00"/>
    <n v="4"/>
    <x v="3"/>
    <s v="INV00000252"/>
    <s v="C00000021"/>
    <x v="21"/>
    <s v="RM CSM 450 64m(L) 1040mm(W) (30Kg)"/>
    <n v="4"/>
    <s v="Cash"/>
    <x v="0"/>
    <d v="2022-04-28T00:00:00"/>
    <n v="4"/>
    <n v="2022"/>
    <n v="1152"/>
    <n v="-1152"/>
    <n v="0"/>
    <n v="1310449.4500000002"/>
    <s v="Cash"/>
    <s v="Chq PBB 395364, cleared180722 RM5,458.00"/>
    <m/>
  </r>
  <r>
    <d v="2022-04-28T00:00:00"/>
    <n v="4"/>
    <x v="3"/>
    <s v="INV00000252"/>
    <s v="C00000021"/>
    <x v="21"/>
    <s v="RJ Mepoxe (5kg)"/>
    <n v="2"/>
    <s v="Cash"/>
    <x v="0"/>
    <d v="2022-04-28T00:00:00"/>
    <n v="4"/>
    <n v="2022"/>
    <n v="170"/>
    <n v="-170"/>
    <n v="0"/>
    <n v="1310619.4500000002"/>
    <s v="Cash"/>
    <s v="Chq PBB 395364, cleared180722 RM5,458.00"/>
    <m/>
  </r>
  <r>
    <d v="2022-04-28T00:00:00"/>
    <n v="4"/>
    <x v="3"/>
    <s v="INV00000253"/>
    <s v="C00000020"/>
    <x v="19"/>
    <s v="RM Nor 3338W (220Kg)"/>
    <n v="3"/>
    <s v="Cash"/>
    <x v="0"/>
    <d v="2022-04-28T00:00:00"/>
    <n v="4"/>
    <n v="2022"/>
    <n v="6270"/>
    <n v="-6270"/>
    <n v="0"/>
    <n v="1316889.4500000002"/>
    <s v="Cash"/>
    <s v="Trsf 23/10/22 RM25,000.00"/>
    <m/>
  </r>
  <r>
    <d v="2022-04-28T00:00:00"/>
    <n v="4"/>
    <x v="3"/>
    <s v="INV00000253"/>
    <s v="C00000020"/>
    <x v="19"/>
    <s v="RM CSM 450 64m(L) 1040mm(W) (30Kg)"/>
    <n v="9"/>
    <s v="Cash"/>
    <x v="0"/>
    <d v="2022-04-28T00:00:00"/>
    <n v="4"/>
    <n v="2022"/>
    <n v="2646"/>
    <n v="-2646"/>
    <n v="0"/>
    <n v="1319535.4500000002"/>
    <s v="Cash"/>
    <s v="Trsf 23/10/22 RM25,000.00"/>
    <m/>
  </r>
  <r>
    <d v="2022-04-28T00:00:00"/>
    <n v="4"/>
    <x v="3"/>
    <s v="INV00000253"/>
    <s v="C00000020"/>
    <x v="19"/>
    <s v="RA Woven Roving E-600 (45kg) 1120mm"/>
    <n v="5"/>
    <s v="Cash"/>
    <x v="0"/>
    <d v="2022-04-28T00:00:00"/>
    <n v="4"/>
    <n v="2022"/>
    <n v="1755"/>
    <n v="-1755"/>
    <n v="0"/>
    <n v="1321290.4500000002"/>
    <s v="Cash"/>
    <s v="Trsf 23/10/22 RM25,000.00"/>
    <m/>
  </r>
  <r>
    <d v="2022-04-28T00:00:00"/>
    <n v="4"/>
    <x v="3"/>
    <s v="INV00000253"/>
    <s v="C00000020"/>
    <x v="19"/>
    <s v="RA Talcum Powder (25kg)"/>
    <n v="3"/>
    <s v="Cash"/>
    <x v="0"/>
    <d v="2022-04-28T00:00:00"/>
    <n v="4"/>
    <n v="2022"/>
    <n v="187.5"/>
    <n v="-187.5"/>
    <n v="0"/>
    <n v="1321477.9500000002"/>
    <s v="Cash"/>
    <s v="Trsf 23/10/22 RM25,000.00"/>
    <m/>
  </r>
  <r>
    <d v="2022-04-28T00:00:00"/>
    <n v="4"/>
    <x v="3"/>
    <s v="INV00000253"/>
    <s v="C00000020"/>
    <x v="19"/>
    <s v="RM Pigment Smooth Cream (25kg)"/>
    <n v="1"/>
    <s v="Cash"/>
    <x v="0"/>
    <d v="2022-04-28T00:00:00"/>
    <n v="4"/>
    <n v="2022"/>
    <n v="1000"/>
    <n v="-1000"/>
    <n v="0"/>
    <n v="1322477.9500000002"/>
    <s v="Cash"/>
    <s v="Trsf 23/10/22 RM25,000.00"/>
    <m/>
  </r>
  <r>
    <d v="2022-04-28T00:00:00"/>
    <n v="4"/>
    <x v="3"/>
    <s v="INV00000254"/>
    <s v="C00000019"/>
    <x v="18"/>
    <s v="RA Nor 3338W (220Kg)"/>
    <n v="2"/>
    <s v="Cash"/>
    <x v="0"/>
    <d v="2022-04-28T00:00:00"/>
    <n v="4"/>
    <n v="2022"/>
    <n v="4136"/>
    <n v="-4136"/>
    <n v="0"/>
    <n v="1326613.9500000002"/>
    <s v="Cash"/>
    <s v="Trsf 1/5/22 RM6,096.10"/>
    <m/>
  </r>
  <r>
    <d v="2022-04-28T00:00:00"/>
    <n v="4"/>
    <x v="3"/>
    <s v="INV00000254"/>
    <s v="C00000019"/>
    <x v="18"/>
    <s v="RG CSM 450 CQ 54kg 64m(L) X 1860mm(W)"/>
    <n v="2"/>
    <s v="Cash"/>
    <x v="0"/>
    <d v="2022-04-28T00:00:00"/>
    <n v="4"/>
    <n v="2022"/>
    <n v="1047.5999999999999"/>
    <n v="-1047.5999999999999"/>
    <n v="0"/>
    <n v="1327661.5500000003"/>
    <s v="Cash"/>
    <s v="Trsf 1/5/22 RM6,096.10"/>
    <m/>
  </r>
  <r>
    <d v="2022-04-28T00:00:00"/>
    <n v="4"/>
    <x v="3"/>
    <s v="INV00000254"/>
    <s v="C00000019"/>
    <x v="18"/>
    <s v="RA Talcum Powder (25kg)"/>
    <n v="5"/>
    <s v="Cash"/>
    <x v="0"/>
    <d v="2022-04-28T00:00:00"/>
    <n v="4"/>
    <n v="2022"/>
    <n v="312.5"/>
    <n v="-312.5"/>
    <n v="0"/>
    <n v="1327974.0500000003"/>
    <s v="Cash"/>
    <s v="Trsf 1/5/22 RM6,096.10"/>
    <m/>
  </r>
  <r>
    <d v="2022-04-28T00:00:00"/>
    <n v="4"/>
    <x v="3"/>
    <s v="INV00000254"/>
    <s v="C00000019"/>
    <x v="18"/>
    <s v="RE Frekote 770NC (1 Gallon)"/>
    <n v="1"/>
    <s v="Cash"/>
    <x v="0"/>
    <d v="2022-04-28T00:00:00"/>
    <n v="4"/>
    <n v="2022"/>
    <n v="390"/>
    <n v="-390"/>
    <n v="0"/>
    <n v="1328364.0500000003"/>
    <s v="Cash"/>
    <s v="Trsf 1/5/22 RM6,096.10"/>
    <m/>
  </r>
  <r>
    <d v="2022-04-28T00:00:00"/>
    <n v="4"/>
    <x v="3"/>
    <s v="INV00000254"/>
    <s v="C00000019"/>
    <x v="18"/>
    <s v="RA Butanox M50"/>
    <n v="2"/>
    <s v="Cash"/>
    <x v="0"/>
    <d v="2022-04-28T00:00:00"/>
    <n v="4"/>
    <n v="2022"/>
    <n v="210"/>
    <n v="-210"/>
    <n v="0"/>
    <n v="1328574.0500000003"/>
    <s v="Cash"/>
    <s v="Trsf 1/5/22 RM6,096.10"/>
    <m/>
  </r>
  <r>
    <d v="2022-04-29T00:00:00"/>
    <n v="4"/>
    <x v="3"/>
    <s v="INV00000255"/>
    <s v="C00000023"/>
    <x v="23"/>
    <s v="Epoxy primer 15kg + Hardener 7.5kg "/>
    <n v="1"/>
    <s v="Cash"/>
    <x v="0"/>
    <d v="2022-04-29T00:00:00"/>
    <n v="4"/>
    <n v="2022"/>
    <n v="1350"/>
    <n v="-1350"/>
    <n v="0"/>
    <n v="1329924.0500000003"/>
    <s v="Cash"/>
    <s v="Trsf 5/5/22 RM1,350.00"/>
    <m/>
  </r>
  <r>
    <d v="2022-04-30T00:00:00"/>
    <n v="4"/>
    <x v="3"/>
    <s v="INV00000256"/>
    <s v="C00000020"/>
    <x v="19"/>
    <s v="RM Nor 3338W (220Kg)"/>
    <n v="4"/>
    <s v="Cash"/>
    <x v="0"/>
    <d v="2022-04-30T00:00:00"/>
    <n v="4"/>
    <n v="2022"/>
    <n v="8360"/>
    <n v="-8360"/>
    <n v="0"/>
    <n v="1338284.0500000003"/>
    <s v="Cash"/>
    <s v="Trsf 23/10/22 RM25,000.00"/>
    <m/>
  </r>
  <r>
    <d v="2022-04-30T00:00:00"/>
    <n v="4"/>
    <x v="3"/>
    <s v="INV00000256"/>
    <s v="C00000020"/>
    <x v="19"/>
    <s v="RM CSM 450 64m(L) 1040mm(W) (30Kg)"/>
    <n v="12"/>
    <s v="Cash"/>
    <x v="0"/>
    <d v="2022-04-30T00:00:00"/>
    <n v="4"/>
    <n v="2022"/>
    <n v="3528"/>
    <n v="-3528"/>
    <n v="0"/>
    <n v="1341812.0500000003"/>
    <s v="Cash"/>
    <s v="Trsf 23/10/22 RM25,000.00(RM3,285.30partial), Trsf 25/10/22 RM25,000.00(RM242.70partial)"/>
    <m/>
  </r>
  <r>
    <d v="2022-04-30T00:00:00"/>
    <n v="4"/>
    <x v="3"/>
    <s v="INV00000256"/>
    <s v="C00000020"/>
    <x v="19"/>
    <s v="RA Woven Roving E-600 (45kg) 1120mm"/>
    <n v="6"/>
    <s v="Cash"/>
    <x v="0"/>
    <d v="2022-04-30T00:00:00"/>
    <n v="4"/>
    <n v="2022"/>
    <n v="2106"/>
    <n v="-2106"/>
    <n v="0"/>
    <n v="1343918.0500000003"/>
    <s v="Cash"/>
    <s v="Trsf 25/10/22 RM25,000.00"/>
    <m/>
  </r>
  <r>
    <d v="2022-04-30T00:00:00"/>
    <n v="4"/>
    <x v="3"/>
    <s v="INV00000256"/>
    <s v="C00000020"/>
    <x v="19"/>
    <s v="RA Talcum Powder (25kg)"/>
    <n v="4"/>
    <s v="Cash"/>
    <x v="0"/>
    <d v="2022-04-30T00:00:00"/>
    <n v="4"/>
    <n v="2022"/>
    <n v="250"/>
    <n v="-250"/>
    <n v="0"/>
    <n v="1344168.0500000003"/>
    <s v="Cash"/>
    <s v="Trsf 23/10/22 RM25,000.00"/>
    <m/>
  </r>
  <r>
    <d v="2022-04-30T00:00:00"/>
    <n v="4"/>
    <x v="3"/>
    <s v="INV00000256"/>
    <s v="C00000020"/>
    <x v="19"/>
    <s v="RM Pigment Smooth Cream (25kg)"/>
    <n v="1"/>
    <s v="Cash"/>
    <x v="0"/>
    <d v="2022-04-30T00:00:00"/>
    <n v="4"/>
    <n v="2022"/>
    <n v="1000"/>
    <n v="-1000"/>
    <n v="0"/>
    <n v="1345168.0500000003"/>
    <s v="Cash"/>
    <s v="Trsf 23/10/22 RM25,000.00"/>
    <m/>
  </r>
  <r>
    <d v="2022-05-06T00:00:00"/>
    <n v="5"/>
    <x v="3"/>
    <s v="INV00000257"/>
    <s v="C00000020"/>
    <x v="19"/>
    <s v="RM Nor 3338W (220Kg)"/>
    <n v="4"/>
    <s v="Cash"/>
    <x v="0"/>
    <d v="2022-05-06T00:00:00"/>
    <n v="5"/>
    <n v="2022"/>
    <n v="8360"/>
    <n v="-8360"/>
    <n v="0"/>
    <n v="1353528.0500000003"/>
    <s v="Cash"/>
    <s v="Trsf 23/10/22 RM25,000.00"/>
    <m/>
  </r>
  <r>
    <d v="2022-05-06T00:00:00"/>
    <n v="5"/>
    <x v="3"/>
    <s v="INV00000257"/>
    <s v="C00000020"/>
    <x v="19"/>
    <s v="RM CSM 450 64m(L) 1040mm(W) (30Kg)"/>
    <n v="4"/>
    <s v="Cash"/>
    <x v="0"/>
    <d v="2022-05-06T00:00:00"/>
    <n v="5"/>
    <n v="2022"/>
    <n v="1176"/>
    <n v="-1176"/>
    <n v="0"/>
    <n v="1354704.0500000003"/>
    <s v="Cash"/>
    <s v="Trsf 23/10/22 RM25,000.00"/>
    <m/>
  </r>
  <r>
    <d v="2022-05-06T00:00:00"/>
    <n v="5"/>
    <x v="3"/>
    <s v="INV00000257"/>
    <s v="C00000020"/>
    <x v="19"/>
    <s v="RA Woven Roving E-600 (45kg) 1120mm"/>
    <n v="4"/>
    <s v="Cash"/>
    <x v="0"/>
    <d v="2022-05-06T00:00:00"/>
    <n v="5"/>
    <n v="2022"/>
    <n v="1404"/>
    <n v="-1404"/>
    <n v="0"/>
    <n v="1356108.0500000003"/>
    <s v="Cash"/>
    <s v="Trsf 23/10/22 RM25,000.00"/>
    <m/>
  </r>
  <r>
    <d v="2022-05-06T00:00:00"/>
    <n v="5"/>
    <x v="3"/>
    <s v="INV00000257"/>
    <s v="C00000020"/>
    <x v="19"/>
    <s v="RA Talcum Powder (25kg)"/>
    <n v="4"/>
    <s v="Cash"/>
    <x v="0"/>
    <d v="2022-05-06T00:00:00"/>
    <n v="5"/>
    <n v="2022"/>
    <n v="250"/>
    <n v="-250"/>
    <n v="0"/>
    <n v="1356358.0500000003"/>
    <s v="Cash"/>
    <s v="Trsf 23/10/22 RM25,000.00"/>
    <m/>
  </r>
  <r>
    <d v="2022-05-06T00:00:00"/>
    <n v="5"/>
    <x v="3"/>
    <s v="INV00000257"/>
    <s v="C00000020"/>
    <x v="19"/>
    <s v="RJ Mepoxe (5kg)"/>
    <n v="4"/>
    <s v="Cash"/>
    <x v="0"/>
    <d v="2022-05-06T00:00:00"/>
    <n v="5"/>
    <n v="2022"/>
    <n v="340"/>
    <n v="-340"/>
    <n v="0"/>
    <n v="1356698.0500000003"/>
    <s v="Cash"/>
    <s v="Trsf 23/10/22 RM25,000.00"/>
    <m/>
  </r>
  <r>
    <d v="2022-05-06T00:00:00"/>
    <n v="5"/>
    <x v="3"/>
    <s v="INV00000258"/>
    <s v="C00000023"/>
    <x v="23"/>
    <s v="Epoxy primer 15kg + Hardener 7.5kg "/>
    <n v="1"/>
    <s v="Cash"/>
    <x v="0"/>
    <d v="2022-05-06T00:00:00"/>
    <n v="5"/>
    <n v="2022"/>
    <n v="1350"/>
    <n v="-1350"/>
    <n v="0"/>
    <n v="1358048.0500000003"/>
    <s v="Cash"/>
    <s v="Trsf 17/5/22 RM1,350.00"/>
    <m/>
  </r>
  <r>
    <d v="2022-05-07T00:00:00"/>
    <n v="5"/>
    <x v="3"/>
    <s v="INV00000259"/>
    <s v="C00000020"/>
    <x v="19"/>
    <s v="RM Nor 3338W (220Kg)"/>
    <n v="4"/>
    <s v="Cash"/>
    <x v="0"/>
    <d v="2022-05-07T00:00:00"/>
    <n v="5"/>
    <n v="2022"/>
    <n v="8360"/>
    <n v="-8360"/>
    <n v="0"/>
    <n v="1366408.0500000003"/>
    <s v="Cash"/>
    <s v="Trsf 23/10/22 RM25,000.00"/>
    <m/>
  </r>
  <r>
    <d v="2022-05-07T00:00:00"/>
    <n v="5"/>
    <x v="3"/>
    <s v="INV00000259"/>
    <s v="C00000020"/>
    <x v="19"/>
    <s v="RM CSM 450 64m(L) 1040mm(W) (30Kg)"/>
    <n v="20"/>
    <s v="Cash"/>
    <x v="0"/>
    <d v="2022-05-07T00:00:00"/>
    <n v="5"/>
    <n v="2022"/>
    <n v="5880"/>
    <n v="-5880"/>
    <n v="0"/>
    <n v="1372288.0500000003"/>
    <s v="Cash"/>
    <s v="Trsf 23/10/22 RM25,000.00(RM1,511.30partial), Trsf 11/11/22 RM3,000.00, Trsf 17/11/22 RM6,000.00(1,368.70partial)"/>
    <m/>
  </r>
  <r>
    <d v="2022-05-07T00:00:00"/>
    <n v="5"/>
    <x v="3"/>
    <s v="INV00000259"/>
    <s v="C00000020"/>
    <x v="19"/>
    <s v="RA Woven Roving E-600 (45kg) 1120mm"/>
    <n v="5"/>
    <s v="Cash"/>
    <x v="0"/>
    <d v="2022-05-07T00:00:00"/>
    <n v="5"/>
    <n v="2022"/>
    <n v="1755"/>
    <n v="-1755"/>
    <n v="0"/>
    <n v="1374043.0500000003"/>
    <s v="Cash"/>
    <s v="Trsf 17/11/22 RM6,000.00(RM1,755.00partial)"/>
    <m/>
  </r>
  <r>
    <d v="2022-05-07T00:00:00"/>
    <n v="5"/>
    <x v="3"/>
    <s v="INV00000259"/>
    <s v="C00000020"/>
    <x v="19"/>
    <s v="RA Talcum Powder (25kg)"/>
    <n v="4"/>
    <s v="Cash"/>
    <x v="0"/>
    <d v="2022-05-07T00:00:00"/>
    <n v="5"/>
    <n v="2022"/>
    <n v="250"/>
    <n v="-250"/>
    <n v="0"/>
    <n v="1374293.0500000003"/>
    <s v="Cash"/>
    <s v="Trsf 17/11/22 RM6,000.00(RM250.00partial)"/>
    <m/>
  </r>
  <r>
    <d v="2022-05-10T00:00:00"/>
    <n v="5"/>
    <x v="3"/>
    <s v="INV00000260"/>
    <s v="C00000009"/>
    <x v="8"/>
    <s v="RM Nor 3338W (220Kg)"/>
    <n v="1"/>
    <s v="T60"/>
    <x v="3"/>
    <d v="2022-07-09T00:00:00"/>
    <n v="7"/>
    <n v="2022"/>
    <n v="1980"/>
    <n v="-1980"/>
    <n v="0"/>
    <n v="1376273.0500000003"/>
    <s v="Term"/>
    <s v="Chq HL 016785 dd 26/9/22"/>
    <m/>
  </r>
  <r>
    <d v="2022-05-10T00:00:00"/>
    <n v="5"/>
    <x v="3"/>
    <s v="INV00000260"/>
    <s v="C00000009"/>
    <x v="8"/>
    <s v="RM Nor 3338NW (220Kg)"/>
    <n v="1"/>
    <s v="T60"/>
    <x v="3"/>
    <d v="2022-07-09T00:00:00"/>
    <n v="7"/>
    <n v="2022"/>
    <n v="1980"/>
    <n v="-1980"/>
    <n v="0"/>
    <n v="1378253.0500000003"/>
    <s v="Term"/>
    <s v="Chq HL 016785 dd 26/9/22"/>
    <m/>
  </r>
  <r>
    <d v="2022-05-10T00:00:00"/>
    <n v="5"/>
    <x v="3"/>
    <s v="INV00000260"/>
    <s v="C00000009"/>
    <x v="8"/>
    <s v="RM CSM 450 (60Kg) 64m(L) x 2080mm(W)"/>
    <n v="2"/>
    <s v="T60"/>
    <x v="3"/>
    <d v="2022-07-09T00:00:00"/>
    <n v="7"/>
    <n v="2022"/>
    <n v="1140"/>
    <n v="-1140"/>
    <n v="0"/>
    <n v="1379393.0500000003"/>
    <s v="Term"/>
    <s v="Chq HL 016785 dd 26/9/22"/>
    <m/>
  </r>
  <r>
    <s v="11/5/2022"/>
    <n v="5"/>
    <x v="3"/>
    <s v="INV00000261"/>
    <s v="C00000006"/>
    <x v="5"/>
    <s v="RA Resin 3338AW (220kg)"/>
    <n v="1"/>
    <s v="Cash"/>
    <x v="0"/>
    <d v="2022-05-11T00:00:00"/>
    <n v="5"/>
    <n v="2022"/>
    <n v="2068"/>
    <n v="-2068"/>
    <n v="0"/>
    <n v="1381461.0500000003"/>
    <s v="Cash"/>
    <s v="RHB 934936 cleared19/7/22-RM2,634.00"/>
    <m/>
  </r>
  <r>
    <s v="11/5/2022"/>
    <n v="5"/>
    <x v="3"/>
    <s v="INV00000261"/>
    <s v="C00000006"/>
    <x v="5"/>
    <s v="RG CSM 300 (30Kg) 64m(L) x 1040mm(W)"/>
    <n v="1"/>
    <s v="Cash"/>
    <x v="0"/>
    <d v="2022-05-11T00:00:00"/>
    <n v="5"/>
    <n v="2022"/>
    <n v="291"/>
    <n v="-291"/>
    <n v="0"/>
    <n v="1381752.0500000003"/>
    <s v="Cash"/>
    <s v="RHB 934936 cleared19/7/22-RM2,634.00"/>
    <m/>
  </r>
  <r>
    <s v="11/5/2022"/>
    <n v="5"/>
    <x v="3"/>
    <s v="INV00000261"/>
    <s v="C00000006"/>
    <x v="5"/>
    <s v="RM Pigment Super Black (5kg)"/>
    <n v="1"/>
    <s v="Cash"/>
    <x v="0"/>
    <d v="2022-05-11T00:00:00"/>
    <n v="5"/>
    <n v="2022"/>
    <n v="175"/>
    <n v="-175"/>
    <n v="0"/>
    <n v="1381927.0500000003"/>
    <s v="Cash"/>
    <s v="RHB 934936 cleared19/7/22-RM2,634.00"/>
    <m/>
  </r>
  <r>
    <d v="2022-05-12T00:00:00"/>
    <n v="5"/>
    <x v="3"/>
    <s v="INV00000262"/>
    <s v="C00000022"/>
    <x v="22"/>
    <s v="RA Nor 3338W (220Kg)"/>
    <n v="1"/>
    <s v="Cash"/>
    <x v="0"/>
    <d v="2022-05-12T00:00:00"/>
    <n v="5"/>
    <n v="2022"/>
    <n v="2112"/>
    <n v="-2112"/>
    <n v="0"/>
    <n v="1384039.0500000003"/>
    <s v="Cash"/>
    <s v="Trsf 28/7/22 RM3,000.00"/>
    <m/>
  </r>
  <r>
    <d v="2022-05-12T00:00:00"/>
    <n v="5"/>
    <x v="3"/>
    <s v="INV00000262"/>
    <s v="C00000022"/>
    <x v="22"/>
    <s v="RA CSM 300 (54Kg) 1860mm"/>
    <n v="2"/>
    <s v="Cash"/>
    <x v="0"/>
    <d v="2022-05-12T00:00:00"/>
    <n v="5"/>
    <n v="2022"/>
    <n v="1058.4000000000001"/>
    <n v="-1058.4000000000001"/>
    <n v="0"/>
    <n v="1385097.4500000002"/>
    <s v="Cash"/>
    <s v="Trsf 28/7/22 RM3,000.00(RM888.00partial), Trsf 25/9/22 RM3,000.00(RM170.40partial)"/>
    <m/>
  </r>
  <r>
    <d v="2022-05-12T00:00:00"/>
    <n v="5"/>
    <x v="3"/>
    <s v="INV00000262"/>
    <s v="C00000022"/>
    <x v="22"/>
    <s v="RA Woven Roving E-600 (45kg) 1120mm"/>
    <n v="1"/>
    <s v="Cash"/>
    <x v="0"/>
    <d v="2022-05-12T00:00:00"/>
    <n v="5"/>
    <n v="2022"/>
    <n v="337.5"/>
    <n v="-337.5"/>
    <n v="0"/>
    <n v="1385434.9500000002"/>
    <s v="Cash"/>
    <s v="Trsf 25/9/22 RM3,000.00, Trsd "/>
    <m/>
  </r>
  <r>
    <d v="2022-05-12T00:00:00"/>
    <n v="5"/>
    <x v="3"/>
    <s v="INV00000262"/>
    <s v="C00000022"/>
    <x v="22"/>
    <s v="RM Pgment Opaline (10Kg)"/>
    <n v="1"/>
    <s v="Cash"/>
    <x v="0"/>
    <d v="2022-05-12T00:00:00"/>
    <n v="5"/>
    <n v="2022"/>
    <n v="450"/>
    <n v="-450"/>
    <n v="0"/>
    <n v="1385884.9500000002"/>
    <s v="Cash"/>
    <s v="Trsf 25/9/22 RM3,000.00"/>
    <m/>
  </r>
  <r>
    <d v="2022-05-12T00:00:00"/>
    <n v="5"/>
    <x v="3"/>
    <s v="INV00000262"/>
    <s v="C00000022"/>
    <x v="22"/>
    <s v="RM Gelcoat GPH (20Kg)"/>
    <n v="1"/>
    <s v="Cash"/>
    <x v="0"/>
    <d v="2022-05-12T00:00:00"/>
    <n v="5"/>
    <n v="2022"/>
    <n v="270"/>
    <n v="-270"/>
    <n v="0"/>
    <n v="1386154.9500000002"/>
    <s v="Cash"/>
    <s v="Trsf 25/9/22 RM3,000.00"/>
    <m/>
  </r>
  <r>
    <d v="2022-05-12T00:00:00"/>
    <n v="5"/>
    <x v="3"/>
    <s v="INV00000262"/>
    <s v="C00000022"/>
    <x v="22"/>
    <s v="RM Catalyst Despender"/>
    <n v="2"/>
    <s v="Cash"/>
    <x v="0"/>
    <d v="2022-05-12T00:00:00"/>
    <n v="5"/>
    <n v="2022"/>
    <n v="90"/>
    <n v="-90"/>
    <n v="0"/>
    <n v="1386244.9500000002"/>
    <s v="Cash"/>
    <s v="Trsf 25/9/22 RM3,000.00"/>
    <m/>
  </r>
  <r>
    <d v="2022-05-12T00:00:00"/>
    <n v="5"/>
    <x v="3"/>
    <s v="INV00000263"/>
    <s v="C00000024"/>
    <x v="24"/>
    <s v="RM Resin Nor 3317AW (220Kg)"/>
    <n v="2"/>
    <s v="Cash"/>
    <x v="0"/>
    <d v="2022-05-12T00:00:00"/>
    <n v="5"/>
    <n v="2022"/>
    <n v="4180"/>
    <n v="-4180"/>
    <n v="0"/>
    <n v="1390424.9500000002"/>
    <s v="Cash"/>
    <s v="PIB 091987Cleared13/5/22-RM8,524.50"/>
    <m/>
  </r>
  <r>
    <d v="2022-05-12T00:00:00"/>
    <n v="5"/>
    <x v="3"/>
    <s v="INV00000263"/>
    <s v="C00000024"/>
    <x v="24"/>
    <s v="RM CSM 450 (60Kg) 64m(L) x 2080mm(W)"/>
    <n v="3"/>
    <s v="Cash"/>
    <x v="0"/>
    <d v="2022-05-12T00:00:00"/>
    <n v="5"/>
    <n v="2022"/>
    <n v="1764"/>
    <n v="-1764"/>
    <n v="0"/>
    <n v="1392188.9500000002"/>
    <s v="Cash"/>
    <s v="PIB 091987Cleared13/5/22-RM8,524.50"/>
    <m/>
  </r>
  <r>
    <d v="2022-05-12T00:00:00"/>
    <n v="5"/>
    <x v="3"/>
    <s v="INV00000263"/>
    <s v="C00000024"/>
    <x v="24"/>
    <s v="RA Woven Roving E-600 (45kg) 1120mm"/>
    <n v="3"/>
    <s v="Cash"/>
    <x v="0"/>
    <d v="2022-05-12T00:00:00"/>
    <n v="5"/>
    <n v="2022"/>
    <n v="1053"/>
    <n v="-1053"/>
    <n v="0"/>
    <n v="1393241.9500000002"/>
    <s v="Cash"/>
    <s v="PIB 091987Cleared13/5/22-RM8,524.50"/>
    <m/>
  </r>
  <r>
    <d v="2022-05-12T00:00:00"/>
    <n v="5"/>
    <x v="3"/>
    <s v="INV00000263"/>
    <s v="C00000024"/>
    <x v="24"/>
    <s v="RA Talcum Powder (25kg)"/>
    <n v="3"/>
    <s v="Cash"/>
    <x v="0"/>
    <d v="2022-05-12T00:00:00"/>
    <n v="5"/>
    <n v="2022"/>
    <n v="187.5"/>
    <n v="-187.5"/>
    <n v="0"/>
    <n v="1393429.4500000002"/>
    <s v="Cash"/>
    <s v="PIB 091987Cleared13/5/22-RM8,524.50"/>
    <m/>
  </r>
  <r>
    <d v="2022-05-12T00:00:00"/>
    <n v="5"/>
    <x v="3"/>
    <s v="INV00000263"/>
    <s v="C00000024"/>
    <x v="24"/>
    <s v="RJ Mepoxe (5kg)"/>
    <n v="4"/>
    <s v="Cash"/>
    <x v="0"/>
    <d v="2022-05-12T00:00:00"/>
    <n v="5"/>
    <n v="2022"/>
    <n v="340"/>
    <n v="-340"/>
    <n v="0"/>
    <n v="1393769.4500000002"/>
    <s v="Cash"/>
    <s v="PIB 091987Cleared13/5/22-RM8,524.50"/>
    <m/>
  </r>
  <r>
    <d v="2022-05-12T00:00:00"/>
    <n v="5"/>
    <x v="3"/>
    <s v="INV00000263"/>
    <s v="C00000024"/>
    <x v="24"/>
    <s v="RM Pigment Smooth Cream (25kg)"/>
    <n v="1"/>
    <s v="Cash"/>
    <x v="0"/>
    <d v="2022-05-12T00:00:00"/>
    <n v="5"/>
    <n v="2022"/>
    <n v="1000"/>
    <n v="-1000"/>
    <n v="0"/>
    <n v="1394769.4500000002"/>
    <s v="Cash"/>
    <s v="PIB 091987Cleared13/5/22-RM8,524.50"/>
    <m/>
  </r>
  <r>
    <d v="2022-05-14T00:00:00"/>
    <n v="5"/>
    <x v="3"/>
    <s v="INV00000264"/>
    <s v="C00000006"/>
    <x v="5"/>
    <s v="RG TR104 Hi Temp Wax"/>
    <n v="2"/>
    <s v="Cash"/>
    <x v="0"/>
    <d v="2022-05-14T00:00:00"/>
    <n v="5"/>
    <n v="2022"/>
    <n v="100"/>
    <n v="-100"/>
    <n v="0"/>
    <n v="1394869.4500000002"/>
    <s v="Cash"/>
    <s v="RHB 934936 cleared19/7/22-RM2,634.00"/>
    <m/>
  </r>
  <r>
    <d v="2022-05-14T00:00:00"/>
    <n v="5"/>
    <x v="3"/>
    <s v="INV00000265"/>
    <s v="C00000020"/>
    <x v="19"/>
    <s v="RM Resin Nor 3317AW (220Kg)"/>
    <n v="3"/>
    <s v="Cash"/>
    <x v="0"/>
    <d v="2022-05-14T00:00:00"/>
    <n v="5"/>
    <n v="2022"/>
    <n v="6270"/>
    <n v="-6270"/>
    <n v="0"/>
    <n v="1401139.4500000002"/>
    <s v="Cash"/>
    <s v="Trsf 17/11/22 RM6,000.00(RM2,626.30partial), Trsf 28/11/22 RM2,500.00, Trsf 29/11/22 RM1,000.00, Trsf 1/12/22 RM11,000.00(RM143.70partial)"/>
    <m/>
  </r>
  <r>
    <d v="2022-05-14T00:00:00"/>
    <n v="5"/>
    <x v="3"/>
    <s v="INV00000265"/>
    <s v="C00000020"/>
    <x v="19"/>
    <s v="RM CSM 450 (60Kg) 64m(L) x 2080mm(W)"/>
    <n v="4"/>
    <s v="Cash"/>
    <x v="0"/>
    <d v="2022-05-14T00:00:00"/>
    <n v="5"/>
    <n v="2022"/>
    <n v="2352"/>
    <n v="-2352"/>
    <n v="0"/>
    <n v="1403491.4500000002"/>
    <s v="Cash"/>
    <s v="Trsf 1/12/22 RM11,000.00"/>
    <m/>
  </r>
  <r>
    <d v="2022-05-14T00:00:00"/>
    <n v="5"/>
    <x v="3"/>
    <s v="INV00000265"/>
    <s v="C00000020"/>
    <x v="19"/>
    <s v="RJ Woven Roving E-600gm 1000mm (40Kg)"/>
    <n v="5"/>
    <s v="Cash"/>
    <x v="0"/>
    <d v="2022-05-14T00:00:00"/>
    <n v="5"/>
    <n v="2022"/>
    <n v="1560"/>
    <n v="-1560"/>
    <n v="0"/>
    <n v="1405051.4500000002"/>
    <s v="Cash"/>
    <s v="Trsf 1/12/22 RM11,000.00"/>
    <m/>
  </r>
  <r>
    <d v="2022-05-14T00:00:00"/>
    <n v="5"/>
    <x v="3"/>
    <s v="INV00000265"/>
    <s v="C00000020"/>
    <x v="19"/>
    <s v="RA Talcum Powder (25kg)"/>
    <n v="3"/>
    <s v="Cash"/>
    <x v="0"/>
    <d v="2022-05-14T00:00:00"/>
    <n v="5"/>
    <n v="2022"/>
    <n v="187.5"/>
    <n v="-187.5"/>
    <n v="0"/>
    <n v="1405238.9500000002"/>
    <s v="Cash"/>
    <s v="Trsf 1/12/22 RM11,000.00"/>
    <m/>
  </r>
  <r>
    <d v="2022-05-16T00:00:00"/>
    <n v="5"/>
    <x v="3"/>
    <s v="INV00000266"/>
    <s v="C00000003"/>
    <x v="2"/>
    <s v="RA Resin 3317AW (220Kg)"/>
    <n v="3"/>
    <s v="T45"/>
    <x v="1"/>
    <d v="2022-06-30T00:00:00"/>
    <n v="6"/>
    <n v="2022"/>
    <n v="6336"/>
    <n v="-6336"/>
    <n v="0"/>
    <n v="1411574.9500000002"/>
    <s v="Term"/>
    <s v="RHB 000388cleared20/6/22-RM2,000.00(partial), 9cleared27/6/22-RM2,000.00(partial), RHB 00391 4/7/22cleared-RM1,336.00, RHB 00390 12/7/22cleared-RM2,000.00(partial)"/>
    <m/>
  </r>
  <r>
    <d v="2022-05-16T00:00:00"/>
    <n v="5"/>
    <x v="3"/>
    <s v="INV00000266"/>
    <s v="C00000003"/>
    <x v="2"/>
    <s v="RA Talcum Powder (25kg)"/>
    <n v="5"/>
    <s v="T45"/>
    <x v="1"/>
    <d v="2022-06-30T00:00:00"/>
    <n v="6"/>
    <n v="2022"/>
    <n v="325"/>
    <n v="-325"/>
    <n v="0"/>
    <n v="1411899.9500000002"/>
    <s v="Term"/>
    <s v="4/7/22cleared-RM1,336.00, RHB 00390 12/7/22cleared-RM2,000.00(partial)"/>
    <m/>
  </r>
  <r>
    <d v="2022-05-16T00:00:00"/>
    <n v="5"/>
    <x v="3"/>
    <s v="INV00000266"/>
    <s v="C00000003"/>
    <x v="2"/>
    <s v="RA Butanox M50 (5Kg)"/>
    <n v="6"/>
    <s v="T45"/>
    <x v="1"/>
    <d v="2022-06-30T00:00:00"/>
    <n v="6"/>
    <n v="2022"/>
    <n v="630"/>
    <n v="-630"/>
    <n v="0"/>
    <n v="1412529.9500000002"/>
    <s v="Term"/>
    <s v="RHB 00390 12/7/22cleared-RM2,000.00(partial)"/>
    <m/>
  </r>
  <r>
    <d v="2022-05-16T00:00:00"/>
    <n v="5"/>
    <x v="3"/>
    <s v="INV00000266"/>
    <s v="C00000003"/>
    <x v="2"/>
    <s v="RA Miracle Gloss Wax"/>
    <n v="1"/>
    <s v="T45"/>
    <x v="1"/>
    <d v="2022-06-30T00:00:00"/>
    <n v="6"/>
    <n v="2022"/>
    <n v="45"/>
    <n v="-45"/>
    <n v="0"/>
    <n v="1412574.9500000002"/>
    <s v="Term"/>
    <s v="RHB 00390 12/7/22cleared-RM2,000.00(partial)"/>
    <m/>
  </r>
  <r>
    <d v="2022-05-18T00:00:00"/>
    <n v="5"/>
    <x v="3"/>
    <s v="INV00000267"/>
    <s v="C00000020"/>
    <x v="19"/>
    <s v="RM Resin Nor 3317AW (220Kg)"/>
    <n v="2"/>
    <s v="Cash"/>
    <x v="0"/>
    <d v="2022-05-18T00:00:00"/>
    <n v="5"/>
    <n v="2022"/>
    <n v="4180"/>
    <n v="-4180"/>
    <n v="0"/>
    <n v="1416754.9500000002"/>
    <s v="Cash"/>
    <s v="Trsf 1/12/22 RM11,000.00"/>
    <m/>
  </r>
  <r>
    <d v="2022-05-18T00:00:00"/>
    <n v="5"/>
    <x v="3"/>
    <s v="INV00000267"/>
    <s v="C00000020"/>
    <x v="19"/>
    <s v="RM CSM 450 (60Kg) 64m(L) x 2080mm(W)"/>
    <n v="2"/>
    <s v="Cash"/>
    <x v="0"/>
    <d v="2022-05-18T00:00:00"/>
    <n v="5"/>
    <n v="2022"/>
    <n v="1176"/>
    <n v="-1176"/>
    <n v="0"/>
    <n v="1417930.9500000002"/>
    <s v="Cash"/>
    <s v="Trsf 1/12/22 RM11,000.00"/>
    <m/>
  </r>
  <r>
    <d v="2022-05-18T00:00:00"/>
    <n v="5"/>
    <x v="3"/>
    <s v="INV00000267"/>
    <s v="C00000020"/>
    <x v="19"/>
    <s v="RJ Woven Roving E-600gm 1000mm (40Kg)"/>
    <n v="3"/>
    <s v="Cash"/>
    <x v="0"/>
    <d v="2022-05-18T00:00:00"/>
    <n v="5"/>
    <n v="2022"/>
    <n v="936"/>
    <n v="-936"/>
    <n v="0"/>
    <n v="1418866.9500000002"/>
    <s v="Cash"/>
    <s v="Trsf 1/12/22 RM11,000.00"/>
    <m/>
  </r>
  <r>
    <d v="2022-05-18T00:00:00"/>
    <n v="5"/>
    <x v="3"/>
    <s v="INV00000267"/>
    <s v="C00000020"/>
    <x v="19"/>
    <s v="RA Talcum Powder (25kg)"/>
    <n v="2"/>
    <s v="Cash"/>
    <x v="0"/>
    <d v="2022-05-18T00:00:00"/>
    <n v="5"/>
    <n v="2022"/>
    <n v="125"/>
    <n v="-125"/>
    <n v="0"/>
    <n v="1418991.9500000002"/>
    <s v="Cash"/>
    <s v="Trsf 1/12/22 RM11,000.00"/>
    <m/>
  </r>
  <r>
    <d v="2022-05-18T00:00:00"/>
    <n v="5"/>
    <x v="3"/>
    <s v="INV00000267"/>
    <s v="C00000020"/>
    <x v="19"/>
    <s v="RM Pigment Smooth Cream (25kg)"/>
    <n v="2"/>
    <s v="Cash"/>
    <x v="0"/>
    <d v="2022-05-18T00:00:00"/>
    <n v="5"/>
    <n v="2022"/>
    <n v="2000"/>
    <n v="-2000"/>
    <n v="0"/>
    <n v="1420991.9500000002"/>
    <s v="Cash"/>
    <s v="Trsf 1/12/22 RM11,000.00(RM339.800partial), Trsf 5/12/22 RM50,000.00(RM1,660.20partial), "/>
    <m/>
  </r>
  <r>
    <d v="2022-05-19T00:00:00"/>
    <n v="5"/>
    <x v="3"/>
    <s v="INV00000268"/>
    <s v="C00000021"/>
    <x v="21"/>
    <s v="RM Resin 3317AW (220Kg)"/>
    <n v="1"/>
    <s v="Cash"/>
    <x v="0"/>
    <d v="2022-05-19T00:00:00"/>
    <n v="5"/>
    <n v="2022"/>
    <n v="2068"/>
    <n v="-2068"/>
    <n v="0"/>
    <n v="1423059.9500000002"/>
    <s v="Cash"/>
    <s v="Chq PBB 395365, cleared170822 RM3,484.00"/>
    <m/>
  </r>
  <r>
    <d v="2022-05-19T00:00:00"/>
    <n v="5"/>
    <x v="3"/>
    <s v="INV00000268"/>
    <s v="C00000021"/>
    <x v="21"/>
    <s v="RM CSM 450 64m(L) 1040mm(W) (30Kg)"/>
    <n v="3"/>
    <s v="Cash"/>
    <x v="0"/>
    <d v="2022-05-19T00:00:00"/>
    <n v="5"/>
    <n v="2022"/>
    <n v="864"/>
    <n v="-864"/>
    <n v="0"/>
    <n v="1423923.9500000002"/>
    <s v="Cash"/>
    <s v="Chq PBB 395365, cleared170822 RM3,484.00"/>
    <m/>
  </r>
  <r>
    <d v="2022-05-19T00:00:00"/>
    <n v="5"/>
    <x v="3"/>
    <s v="INV00000268"/>
    <s v="C00000021"/>
    <x v="21"/>
    <s v="RA Miracle Gloss Wax No. 8 (311g/Can)"/>
    <n v="12"/>
    <s v="Cash"/>
    <x v="0"/>
    <d v="2022-05-19T00:00:00"/>
    <n v="5"/>
    <n v="2022"/>
    <n v="552"/>
    <n v="-552"/>
    <n v="0"/>
    <n v="1424475.9500000002"/>
    <s v="Cash"/>
    <s v="Chq PBB 395365, cleared170822 RM3,484.00"/>
    <m/>
  </r>
  <r>
    <d v="2022-05-20T00:00:00"/>
    <n v="5"/>
    <x v="3"/>
    <s v="INV00000269"/>
    <s v="C00000020"/>
    <x v="19"/>
    <s v="RM Resin Nor 3317AW (220Kg)"/>
    <n v="4"/>
    <s v="Cash"/>
    <x v="0"/>
    <d v="2022-05-20T00:00:00"/>
    <n v="5"/>
    <n v="2022"/>
    <n v="8360"/>
    <n v="-8360"/>
    <n v="0"/>
    <n v="1432835.9500000002"/>
    <s v="Cash"/>
    <s v="Trsf 5/12/22 RM50,000.00"/>
    <m/>
  </r>
  <r>
    <d v="2022-05-20T00:00:00"/>
    <n v="5"/>
    <x v="3"/>
    <s v="INV00000269"/>
    <s v="C00000020"/>
    <x v="19"/>
    <s v="RM CSM 450 (60Kg) 64m(L) x 2080mm(W)"/>
    <n v="5"/>
    <s v="Cash"/>
    <x v="0"/>
    <d v="2022-05-20T00:00:00"/>
    <n v="5"/>
    <n v="2022"/>
    <n v="2940"/>
    <n v="-2940"/>
    <n v="0"/>
    <n v="1435775.9500000002"/>
    <s v="Cash"/>
    <s v="Trsf 5/12/22 RM50,000.00"/>
    <m/>
  </r>
  <r>
    <d v="2022-05-20T00:00:00"/>
    <n v="5"/>
    <x v="3"/>
    <s v="INV00000269"/>
    <s v="C00000020"/>
    <x v="19"/>
    <s v="RJ Woven Roving E-600gm 1000mm (40Kg)"/>
    <n v="5"/>
    <s v="Cash"/>
    <x v="0"/>
    <d v="2022-05-20T00:00:00"/>
    <n v="5"/>
    <n v="2022"/>
    <n v="1560"/>
    <n v="-1560"/>
    <n v="0"/>
    <n v="1437335.9500000002"/>
    <s v="Cash"/>
    <s v="Trsf 5/12/22 RM50,000.00"/>
    <m/>
  </r>
  <r>
    <d v="2022-05-20T00:00:00"/>
    <n v="5"/>
    <x v="3"/>
    <s v="INV00000269"/>
    <s v="C00000020"/>
    <x v="19"/>
    <s v="RA Talcum Powder (25kg)"/>
    <n v="4"/>
    <s v="Cash"/>
    <x v="0"/>
    <d v="2022-05-20T00:00:00"/>
    <n v="5"/>
    <n v="2022"/>
    <n v="250"/>
    <n v="-250"/>
    <n v="0"/>
    <n v="1437585.9500000002"/>
    <s v="Cash"/>
    <s v="Trsf 5/12/22 RM50,000.00"/>
    <m/>
  </r>
  <r>
    <d v="2022-05-21T00:00:00"/>
    <n v="5"/>
    <x v="3"/>
    <s v="INV00000270"/>
    <s v="C00000026"/>
    <x v="26"/>
    <s v="RM CSM 450 64m(L) X 1860mm(W) (54kg)"/>
    <n v="1"/>
    <s v="Cash"/>
    <x v="0"/>
    <d v="2022-05-21T00:00:00"/>
    <n v="5"/>
    <n v="2022"/>
    <n v="534.6"/>
    <n v="-534.6"/>
    <n v="0"/>
    <n v="1438120.5500000003"/>
    <s v="Cash"/>
    <s v="Trsf 24/5/22 RM1,239.60"/>
    <m/>
  </r>
  <r>
    <d v="2022-05-21T00:00:00"/>
    <n v="5"/>
    <x v="3"/>
    <s v="INV00000270"/>
    <s v="C00000026"/>
    <x v="26"/>
    <s v="RM Dark Gray (5Kg)"/>
    <n v="1"/>
    <s v="Cash"/>
    <x v="0"/>
    <d v="2022-05-21T00:00:00"/>
    <n v="5"/>
    <n v="2022"/>
    <n v="165"/>
    <n v="-165"/>
    <n v="0"/>
    <n v="1438285.5500000003"/>
    <s v="Cash"/>
    <s v="Trsf 24/5/22 RM1,239.60"/>
    <m/>
  </r>
  <r>
    <d v="2022-05-21T00:00:00"/>
    <n v="5"/>
    <x v="3"/>
    <s v="INV00000270"/>
    <s v="C00000026"/>
    <x v="26"/>
    <s v="RJ Mepoxe (5kg)"/>
    <n v="1"/>
    <s v="Cash"/>
    <x v="0"/>
    <d v="2022-05-21T00:00:00"/>
    <n v="5"/>
    <n v="2022"/>
    <n v="90"/>
    <n v="-90"/>
    <n v="0"/>
    <n v="1438375.5500000003"/>
    <s v="Cash"/>
    <s v="Trsf 24/5/22 RM1,239.60"/>
    <m/>
  </r>
  <r>
    <d v="2022-05-21T00:00:00"/>
    <n v="5"/>
    <x v="3"/>
    <s v="INV00000270"/>
    <s v="C00000026"/>
    <x v="26"/>
    <s v="RM Fume silica HJSIL 200(10Kg)"/>
    <n v="1"/>
    <s v="Cash"/>
    <x v="0"/>
    <d v="2022-05-21T00:00:00"/>
    <n v="5"/>
    <n v="2022"/>
    <n v="450"/>
    <n v="-450"/>
    <n v="0"/>
    <n v="1438825.5500000003"/>
    <s v="Cash"/>
    <s v="Trsf 24/5/22 RM1,239.60"/>
    <m/>
  </r>
  <r>
    <d v="2022-05-21T00:00:00"/>
    <n v="5"/>
    <x v="3"/>
    <s v="INV00000271"/>
    <s v="C00000020"/>
    <x v="19"/>
    <s v="RM Resin Nor 3317AW (220Kg)"/>
    <n v="4"/>
    <s v="Cash"/>
    <x v="0"/>
    <d v="2022-05-21T00:00:00"/>
    <n v="5"/>
    <n v="2022"/>
    <n v="8360"/>
    <n v="-8360"/>
    <n v="0"/>
    <n v="1447185.5500000003"/>
    <s v="Cash"/>
    <s v="Trsf 5/12/22 RM50,000.00"/>
    <m/>
  </r>
  <r>
    <d v="2022-05-21T00:00:00"/>
    <n v="5"/>
    <x v="3"/>
    <s v="INV00000271"/>
    <s v="C00000020"/>
    <x v="19"/>
    <s v="RM CSM 450 64m(L) 1040mm(W) (30Kg)"/>
    <n v="10"/>
    <s v="Cash"/>
    <x v="0"/>
    <d v="2022-05-21T00:00:00"/>
    <n v="5"/>
    <n v="2022"/>
    <n v="2940"/>
    <n v="-2940"/>
    <n v="0"/>
    <n v="1450125.5500000003"/>
    <s v="Cash"/>
    <s v="Trsf 5/12/22 RM50,000.00"/>
    <m/>
  </r>
  <r>
    <d v="2022-05-21T00:00:00"/>
    <n v="5"/>
    <x v="3"/>
    <s v="INV00000271"/>
    <s v="C00000020"/>
    <x v="19"/>
    <s v="RJ Woven Roving E-600gm 1000mm (40Kg)"/>
    <n v="5"/>
    <s v="Cash"/>
    <x v="0"/>
    <d v="2022-05-21T00:00:00"/>
    <n v="5"/>
    <n v="2022"/>
    <n v="1560"/>
    <n v="-1560"/>
    <n v="0"/>
    <n v="1451685.5500000003"/>
    <s v="Cash"/>
    <s v="Trsf 5/12/22 RM50,000.00"/>
    <m/>
  </r>
  <r>
    <d v="2022-05-21T00:00:00"/>
    <n v="5"/>
    <x v="3"/>
    <s v="INV00000271"/>
    <s v="C00000020"/>
    <x v="19"/>
    <s v="RA Talcum Powder (25kg)"/>
    <n v="4"/>
    <s v="Cash"/>
    <x v="0"/>
    <d v="2022-05-21T00:00:00"/>
    <n v="5"/>
    <n v="2022"/>
    <n v="250"/>
    <n v="-250"/>
    <n v="0"/>
    <n v="1451935.5500000003"/>
    <s v="Cash"/>
    <s v="Trsf 5/12/22 RM50,000.00"/>
    <m/>
  </r>
  <r>
    <d v="2022-05-23T00:00:00"/>
    <n v="5"/>
    <x v="3"/>
    <s v="INV00000272"/>
    <s v="C00000010"/>
    <x v="9"/>
    <s v="RM Resin 3338AW (220kg)"/>
    <n v="6"/>
    <s v="T120"/>
    <x v="4"/>
    <d v="2022-09-20T00:00:00"/>
    <n v="9"/>
    <n v="2022"/>
    <n v="11880"/>
    <n v="-11880"/>
    <n v="0"/>
    <n v="1463815.5500000003"/>
    <s v="Term"/>
    <s v="Trsf 23/8/22 RM14,715.00"/>
    <m/>
  </r>
  <r>
    <d v="2022-05-23T00:00:00"/>
    <n v="5"/>
    <x v="3"/>
    <s v="INV00000272"/>
    <s v="C00000010"/>
    <x v="9"/>
    <s v="RM CSM 450 64m(L) 1040mm(W) (30Kg)"/>
    <n v="5"/>
    <s v="T120"/>
    <x v="4"/>
    <d v="2022-09-20T00:00:00"/>
    <n v="9"/>
    <n v="2022"/>
    <n v="1425"/>
    <n v="-1425"/>
    <n v="0"/>
    <n v="1465240.5500000003"/>
    <s v="Term"/>
    <s v="Trsf 23/8/22 RM14,715.00"/>
    <m/>
  </r>
  <r>
    <d v="2022-05-23T00:00:00"/>
    <n v="5"/>
    <x v="3"/>
    <s v="INV00000272"/>
    <s v="C00000010"/>
    <x v="9"/>
    <s v="RM Talcum Powder (25kg)"/>
    <n v="10"/>
    <s v="T120"/>
    <x v="4"/>
    <d v="2022-09-20T00:00:00"/>
    <n v="9"/>
    <n v="2022"/>
    <n v="550"/>
    <n v="-550"/>
    <n v="0"/>
    <n v="1465790.5500000003"/>
    <s v="Term"/>
    <s v="Trsf 23/8/22 RM14,715.00"/>
    <m/>
  </r>
  <r>
    <d v="2022-05-23T00:00:00"/>
    <n v="5"/>
    <x v="3"/>
    <s v="INV00000272"/>
    <s v="C00000010"/>
    <x v="9"/>
    <s v="RA Butanox M50"/>
    <n v="4"/>
    <s v="T120"/>
    <x v="4"/>
    <d v="2022-09-20T00:00:00"/>
    <n v="9"/>
    <n v="2022"/>
    <n v="420"/>
    <n v="-420"/>
    <n v="0"/>
    <n v="1466210.5500000003"/>
    <s v="Term"/>
    <s v="Trsf 23/8/22 RM14,715.00"/>
    <m/>
  </r>
  <r>
    <d v="2022-05-23T00:00:00"/>
    <n v="5"/>
    <x v="3"/>
    <s v="INV00000272"/>
    <s v="C00000010"/>
    <x v="9"/>
    <s v="RM Fume silica HJSIL 200(10Kg)"/>
    <n v="1"/>
    <s v="T120"/>
    <x v="4"/>
    <d v="2022-09-20T00:00:00"/>
    <n v="9"/>
    <n v="2022"/>
    <n v="440"/>
    <n v="-440"/>
    <n v="0"/>
    <n v="1466650.5500000003"/>
    <s v="Term"/>
    <s v="Trsf 23/8/22 RM14,715.00"/>
    <m/>
  </r>
  <r>
    <d v="2022-05-23T00:00:00"/>
    <n v="5"/>
    <x v="3"/>
    <s v="INV00000273"/>
    <s v="C00000020"/>
    <x v="19"/>
    <s v="RM Resin Nor 3317AW (220Kg)"/>
    <n v="2"/>
    <s v="Cash"/>
    <x v="0"/>
    <d v="2022-05-23T00:00:00"/>
    <n v="5"/>
    <n v="2022"/>
    <n v="4180"/>
    <n v="-4180"/>
    <n v="0"/>
    <n v="1470830.5500000003"/>
    <s v="Cash"/>
    <s v="Trsf 5/12/22 RM50,000.00"/>
    <m/>
  </r>
  <r>
    <d v="2022-05-23T00:00:00"/>
    <n v="5"/>
    <x v="3"/>
    <s v="INV00000273"/>
    <s v="C00000020"/>
    <x v="19"/>
    <s v="RM CSM 450 64m(L) 1040mm(W) (30Kg)"/>
    <n v="5"/>
    <s v="Cash"/>
    <x v="0"/>
    <d v="2022-05-23T00:00:00"/>
    <n v="5"/>
    <n v="2022"/>
    <n v="1470"/>
    <n v="-1470"/>
    <n v="0"/>
    <n v="1472300.5500000003"/>
    <s v="Cash"/>
    <s v="Trsf 5/12/22 RM50,000.00"/>
    <m/>
  </r>
  <r>
    <d v="2022-05-23T00:00:00"/>
    <n v="5"/>
    <x v="3"/>
    <s v="INV00000273"/>
    <s v="C00000020"/>
    <x v="19"/>
    <s v="RJ Woven Roving E-600gm 1000mm (40Kg)"/>
    <n v="2"/>
    <s v="Cash"/>
    <x v="0"/>
    <d v="2022-05-23T00:00:00"/>
    <n v="5"/>
    <n v="2022"/>
    <n v="624"/>
    <n v="-624"/>
    <n v="0"/>
    <n v="1472924.5500000003"/>
    <s v="Cash"/>
    <s v="Trsf 5/12/22 RM50,000.00"/>
    <m/>
  </r>
  <r>
    <d v="2022-05-23T00:00:00"/>
    <n v="5"/>
    <x v="3"/>
    <s v="INV00000273"/>
    <s v="C00000020"/>
    <x v="19"/>
    <s v="RA  Woven Roing 600 1120mm (45kg)"/>
    <n v="1"/>
    <s v="Cash"/>
    <x v="0"/>
    <d v="2022-05-23T00:00:00"/>
    <n v="5"/>
    <n v="2022"/>
    <n v="351"/>
    <n v="-351"/>
    <n v="0"/>
    <n v="1473275.5500000003"/>
    <s v="Cash"/>
    <s v="Trsf 5/12/22 RM50,000.00"/>
    <m/>
  </r>
  <r>
    <d v="2022-05-23T00:00:00"/>
    <n v="5"/>
    <x v="3"/>
    <s v="INV00000273"/>
    <s v="C00000020"/>
    <x v="19"/>
    <s v="RM Talcum Powder (25kg)"/>
    <n v="2"/>
    <s v="Cash"/>
    <x v="0"/>
    <d v="2022-05-23T00:00:00"/>
    <n v="5"/>
    <n v="2022"/>
    <n v="125"/>
    <n v="-125"/>
    <n v="0"/>
    <n v="1473400.5500000003"/>
    <s v="Cash"/>
    <s v="Trsf 5/12/22 RM50,000.00"/>
    <m/>
  </r>
  <r>
    <d v="2022-05-23T00:00:00"/>
    <n v="5"/>
    <x v="3"/>
    <s v="INV00000274"/>
    <s v="C00000019"/>
    <x v="18"/>
    <s v="RM Nor 3338W (220Kg)"/>
    <n v="2"/>
    <s v="Cash"/>
    <x v="0"/>
    <d v="2022-05-23T00:00:00"/>
    <n v="5"/>
    <n v="2022"/>
    <n v="4136"/>
    <n v="-4136"/>
    <n v="0"/>
    <n v="1477536.5500000003"/>
    <s v="Cash"/>
    <s v="Trsf 24/5/22, RM6,201.10"/>
    <m/>
  </r>
  <r>
    <d v="2022-05-23T00:00:00"/>
    <n v="5"/>
    <x v="3"/>
    <s v="INV00000274"/>
    <s v="C00000019"/>
    <x v="18"/>
    <s v="RM CSM 450 64m(L) X 1860mm(W) (54kg)"/>
    <n v="2"/>
    <s v="Cash"/>
    <x v="0"/>
    <d v="2022-05-23T00:00:00"/>
    <n v="5"/>
    <n v="2022"/>
    <n v="1047.5999999999999"/>
    <n v="-1047.5999999999999"/>
    <n v="0"/>
    <n v="1478584.1500000004"/>
    <s v="Cash"/>
    <s v="Trsf 24/5/22, RM6,201.10"/>
    <m/>
  </r>
  <r>
    <d v="2022-05-23T00:00:00"/>
    <n v="5"/>
    <x v="3"/>
    <s v="INV00000274"/>
    <s v="C00000019"/>
    <x v="18"/>
    <s v="RM Talcum Powder (25kg)"/>
    <n v="3"/>
    <s v="Cash"/>
    <x v="0"/>
    <d v="2022-05-23T00:00:00"/>
    <n v="5"/>
    <n v="2022"/>
    <n v="187.5"/>
    <n v="-187.5"/>
    <n v="0"/>
    <n v="1478771.6500000004"/>
    <s v="Cash"/>
    <s v="Trsf 24/5/22, RM6,201.10"/>
    <m/>
  </r>
  <r>
    <d v="2022-05-23T00:00:00"/>
    <n v="5"/>
    <x v="3"/>
    <s v="INV00000274"/>
    <s v="C00000019"/>
    <x v="18"/>
    <s v="RE Frekote 770NC (1 Gallon)"/>
    <n v="1"/>
    <s v="Cash"/>
    <x v="0"/>
    <d v="2022-05-23T00:00:00"/>
    <n v="5"/>
    <n v="2022"/>
    <n v="390"/>
    <n v="-390"/>
    <n v="0"/>
    <n v="1479161.6500000004"/>
    <s v="Cash"/>
    <s v="Trsf 24/5/22, RM6,201.10"/>
    <m/>
  </r>
  <r>
    <d v="2022-05-23T00:00:00"/>
    <n v="5"/>
    <x v="3"/>
    <s v="INV00000274"/>
    <s v="C00000019"/>
    <x v="18"/>
    <s v="RM Fume silica HJSIL 200(10Kg)"/>
    <n v="1"/>
    <s v="Cash"/>
    <x v="0"/>
    <d v="2022-05-23T00:00:00"/>
    <n v="5"/>
    <n v="2022"/>
    <n v="440"/>
    <n v="-440"/>
    <n v="0"/>
    <n v="1479601.6500000004"/>
    <s v="Cash"/>
    <s v="Trsf 24/5/22, RM6,201.10"/>
    <m/>
  </r>
  <r>
    <d v="2022-05-24T00:00:00"/>
    <n v="5"/>
    <x v="3"/>
    <s v="INV00000275"/>
    <s v="C00000004"/>
    <x v="3"/>
    <s v="RM Nor 3338W (220Kg)"/>
    <n v="5"/>
    <s v="T120"/>
    <x v="4"/>
    <d v="2022-09-21T00:00:00"/>
    <n v="9"/>
    <n v="2022"/>
    <n v="10120"/>
    <n v="-10120"/>
    <n v="0"/>
    <n v="1489721.6500000004"/>
    <s v="Term"/>
    <s v="HLB012769Cleared20/09/22-RM10,120.00"/>
    <m/>
  </r>
  <r>
    <d v="2022-05-25T00:00:00"/>
    <n v="5"/>
    <x v="3"/>
    <s v="INV00000276"/>
    <s v="C00000020"/>
    <x v="19"/>
    <s v="RM Nor 3338W (220Kg)"/>
    <n v="4"/>
    <s v="Cash"/>
    <x v="0"/>
    <d v="2022-05-25T00:00:00"/>
    <n v="5"/>
    <n v="2022"/>
    <n v="8360"/>
    <n v="-8360"/>
    <n v="0"/>
    <n v="1498081.6500000004"/>
    <s v="Cash"/>
    <s v="Trsf 5/12/22 RM50,000.00"/>
    <m/>
  </r>
  <r>
    <d v="2022-05-25T00:00:00"/>
    <n v="5"/>
    <x v="3"/>
    <s v="INV00000276"/>
    <s v="C00000020"/>
    <x v="19"/>
    <s v="RM CSM 450 64m(L) 1040mm(W) (30Kg)"/>
    <n v="8"/>
    <s v="Cash"/>
    <x v="0"/>
    <d v="2022-05-25T00:00:00"/>
    <n v="5"/>
    <n v="2022"/>
    <n v="2352"/>
    <n v="-2352"/>
    <n v="0"/>
    <n v="1500433.6500000004"/>
    <s v="Cash"/>
    <s v="Trsf 5/12/22 RM50,000.00"/>
    <m/>
  </r>
  <r>
    <d v="2022-05-25T00:00:00"/>
    <n v="5"/>
    <x v="3"/>
    <s v="INV00000276"/>
    <s v="C00000020"/>
    <x v="19"/>
    <s v="RA  Woven Roing 600 1120mm (45kg)"/>
    <n v="6"/>
    <s v="Cash"/>
    <x v="0"/>
    <d v="2022-05-25T00:00:00"/>
    <n v="5"/>
    <n v="2022"/>
    <n v="2106"/>
    <n v="-2106"/>
    <n v="0"/>
    <n v="1502539.6500000004"/>
    <s v="Cash"/>
    <s v="Trsf 5/12/22 RM50,000.00"/>
    <m/>
  </r>
  <r>
    <d v="2022-05-25T00:00:00"/>
    <n v="5"/>
    <x v="3"/>
    <s v="INV00000276"/>
    <s v="C00000020"/>
    <x v="19"/>
    <s v="RM Talcum Powder (25kg)"/>
    <n v="4"/>
    <s v="Cash"/>
    <x v="0"/>
    <d v="2022-05-25T00:00:00"/>
    <n v="5"/>
    <n v="2022"/>
    <n v="250"/>
    <n v="-250"/>
    <n v="0"/>
    <n v="1502789.6500000004"/>
    <s v="Cash"/>
    <s v="Trsf 5/12/22 RM50,000.00"/>
    <m/>
  </r>
  <r>
    <d v="2022-05-25T00:00:00"/>
    <n v="5"/>
    <x v="3"/>
    <s v="INV00000276"/>
    <s v="C00000020"/>
    <x v="19"/>
    <s v="RM Pigment Smooth Cream (25kg)"/>
    <n v="1"/>
    <s v="Cash"/>
    <x v="0"/>
    <d v="2022-05-25T00:00:00"/>
    <n v="5"/>
    <n v="2022"/>
    <n v="1000"/>
    <n v="-1000"/>
    <n v="0"/>
    <n v="1503789.6500000004"/>
    <s v="Cash"/>
    <s v="Trsf 5/12/22 RM50,000.00"/>
    <m/>
  </r>
  <r>
    <d v="2022-05-28T00:00:00"/>
    <n v="5"/>
    <x v="3"/>
    <s v="INV00000277"/>
    <s v="C00000021"/>
    <x v="21"/>
    <s v="RM Resin 3317AW (220Kg)"/>
    <n v="1"/>
    <s v="Cash"/>
    <x v="0"/>
    <d v="2022-05-28T00:00:00"/>
    <n v="5"/>
    <n v="2022"/>
    <n v="2068"/>
    <n v="-2068"/>
    <n v="0"/>
    <n v="1505857.6500000004"/>
    <s v="Cash"/>
    <s v="Chq PBB 395366, cleared090922 RM3,241.00"/>
    <m/>
  </r>
  <r>
    <d v="2022-05-28T00:00:00"/>
    <n v="5"/>
    <x v="3"/>
    <s v="INV00000277"/>
    <s v="C00000021"/>
    <x v="21"/>
    <s v="RM CSM 450 64m(L) 1040mm(W) (30Kg)"/>
    <n v="3"/>
    <s v="Cash"/>
    <x v="0"/>
    <d v="2022-05-28T00:00:00"/>
    <n v="5"/>
    <n v="2022"/>
    <n v="864"/>
    <n v="-864"/>
    <n v="0"/>
    <n v="1506721.6500000004"/>
    <s v="Cash"/>
    <s v="Chq PBB 395366, cleared090922 RM3,241.00"/>
    <m/>
  </r>
  <r>
    <d v="2022-05-28T00:00:00"/>
    <n v="5"/>
    <x v="3"/>
    <s v="INV00000277"/>
    <s v="C00000021"/>
    <x v="21"/>
    <s v="RJ Mepoxe (5kg)"/>
    <n v="1"/>
    <s v="Cash"/>
    <x v="0"/>
    <d v="2022-05-28T00:00:00"/>
    <n v="5"/>
    <n v="2022"/>
    <n v="90"/>
    <n v="-90"/>
    <n v="0"/>
    <n v="1506811.6500000004"/>
    <s v="Cash"/>
    <s v="Chq PBB 395366, cleared090922 RM3,241.00"/>
    <m/>
  </r>
  <r>
    <d v="2022-05-28T00:00:00"/>
    <n v="5"/>
    <x v="3"/>
    <s v="INV00000277"/>
    <s v="C00000021"/>
    <x v="21"/>
    <s v="RA Sand Wheel 105 X 2 X 16 (30PC)"/>
    <n v="1"/>
    <s v="Cash"/>
    <x v="0"/>
    <d v="2022-05-28T00:00:00"/>
    <n v="5"/>
    <n v="2022"/>
    <n v="219"/>
    <n v="-219"/>
    <n v="0"/>
    <n v="1507030.6500000004"/>
    <s v="Cash"/>
    <s v="Chq PBB 395366, cleared090922 RM3,241.00"/>
    <m/>
  </r>
  <r>
    <d v="2022-06-02T00:00:00"/>
    <n v="6"/>
    <x v="3"/>
    <s v="INV00000278"/>
    <s v="C00000020"/>
    <x v="19"/>
    <s v="RM Resin 3317AW (220Kg)"/>
    <n v="4"/>
    <s v="Cash"/>
    <x v="0"/>
    <d v="2022-06-02T00:00:00"/>
    <n v="6"/>
    <n v="2022"/>
    <n v="8360"/>
    <n v="-8360"/>
    <n v="0"/>
    <n v="1515390.6500000004"/>
    <s v="Cash"/>
    <s v="Trsf 5/12/22 RM50,000.00(RM1,301.80partial), Trsf 22/12/22 RM10,000.00(RM7,058.20partial)"/>
    <m/>
  </r>
  <r>
    <d v="2022-06-02T00:00:00"/>
    <n v="6"/>
    <x v="3"/>
    <s v="INV00000278"/>
    <s v="C00000020"/>
    <x v="19"/>
    <s v="RM CSM 450 64m(L) 1040mm(W) (30Kg)"/>
    <n v="6"/>
    <s v="Cash"/>
    <x v="0"/>
    <d v="2022-06-02T00:00:00"/>
    <n v="6"/>
    <n v="2022"/>
    <n v="1764"/>
    <n v="-1764"/>
    <n v="0"/>
    <n v="1517154.6500000004"/>
    <s v="Cash"/>
    <s v="Trsf 22/12/22 RM10,000.00"/>
    <m/>
  </r>
  <r>
    <d v="2022-06-02T00:00:00"/>
    <n v="6"/>
    <x v="3"/>
    <s v="INV00000278"/>
    <s v="C00000020"/>
    <x v="19"/>
    <s v="RA  Woven Roing 600 1120mm (45kg)"/>
    <n v="3"/>
    <s v="Cash"/>
    <x v="0"/>
    <d v="2022-06-02T00:00:00"/>
    <n v="6"/>
    <n v="2022"/>
    <n v="1053"/>
    <n v="-1053"/>
    <n v="0"/>
    <n v="1518207.6500000004"/>
    <s v="Cash"/>
    <s v="Trsf 22/12/22 RM10,000.00"/>
    <m/>
  </r>
  <r>
    <d v="2022-06-02T00:00:00"/>
    <n v="6"/>
    <x v="3"/>
    <s v="INV00000278"/>
    <s v="C00000020"/>
    <x v="19"/>
    <s v="RM Talcum Powder (25kg)"/>
    <n v="4"/>
    <s v="Cash"/>
    <x v="0"/>
    <d v="2022-06-02T00:00:00"/>
    <n v="6"/>
    <n v="2022"/>
    <n v="250"/>
    <n v="-250"/>
    <n v="0"/>
    <n v="1518457.6500000004"/>
    <s v="Cash"/>
    <s v="Trsf 22/12/22 RM10,000.00(RM124,80), Trsf 23/12/22 RM10,000.00(RM125.20)"/>
    <m/>
  </r>
  <r>
    <d v="2022-06-02T00:00:00"/>
    <n v="6"/>
    <x v="3"/>
    <s v="INV00000278"/>
    <s v="C00000020"/>
    <x v="19"/>
    <s v="RM Pigment Smooth Cream (25kg)"/>
    <n v="1"/>
    <s v="Cash"/>
    <x v="0"/>
    <d v="2022-06-02T00:00:00"/>
    <n v="6"/>
    <n v="2022"/>
    <n v="1000"/>
    <n v="-1000"/>
    <n v="0"/>
    <n v="1519457.6500000004"/>
    <s v="Cash"/>
    <s v="Trsf 23/12/22 RM10,000.00"/>
    <m/>
  </r>
  <r>
    <d v="2022-06-03T00:00:00"/>
    <n v="6"/>
    <x v="3"/>
    <s v="INV00000279"/>
    <s v="C00000022"/>
    <x v="22"/>
    <s v="RA Nor 3338W (220Kg)"/>
    <n v="1"/>
    <s v="Cash"/>
    <x v="0"/>
    <d v="2022-06-03T00:00:00"/>
    <n v="6"/>
    <n v="2022"/>
    <n v="2112"/>
    <n v="-2112"/>
    <n v="0"/>
    <n v="1521569.6500000004"/>
    <s v="Cash"/>
    <s v="Trsf 25/9/22 RM3,000.00 RM1,682.10, Trsf 25/9/22 RM1,000.00 RM429.90"/>
    <m/>
  </r>
  <r>
    <d v="2022-06-04T00:00:00"/>
    <n v="6"/>
    <x v="3"/>
    <s v="INV00000280"/>
    <s v="C00000020"/>
    <x v="19"/>
    <s v="RM Resin 3317AW (220Kg)"/>
    <n v="2"/>
    <s v="Cash"/>
    <x v="0"/>
    <d v="2022-06-04T00:00:00"/>
    <n v="6"/>
    <n v="2022"/>
    <n v="4180"/>
    <n v="-4180"/>
    <n v="0"/>
    <n v="1525749.6500000004"/>
    <s v="Cash"/>
    <s v="Trsf 23/12/22 RM10,000.00"/>
    <m/>
  </r>
  <r>
    <d v="2022-06-04T00:00:00"/>
    <n v="6"/>
    <x v="3"/>
    <s v="INV00000280"/>
    <s v="C00000020"/>
    <x v="19"/>
    <s v="RM CSM 450 64m(L) 1040mm(W) (30Kg)"/>
    <n v="10"/>
    <s v="Cash"/>
    <x v="0"/>
    <d v="2022-06-04T00:00:00"/>
    <n v="6"/>
    <n v="2022"/>
    <n v="2940"/>
    <n v="-2940"/>
    <n v="0"/>
    <n v="1528689.6500000004"/>
    <s v="Cash"/>
    <s v="Trsf 23/12/22 RM10,000.00"/>
    <m/>
  </r>
  <r>
    <d v="2022-06-04T00:00:00"/>
    <n v="6"/>
    <x v="3"/>
    <s v="INV00000280"/>
    <s v="C00000020"/>
    <x v="19"/>
    <s v="RA  Woven Roing 600 1120mm (45kg)"/>
    <n v="5"/>
    <s v="Cash"/>
    <x v="0"/>
    <d v="2022-06-04T00:00:00"/>
    <n v="6"/>
    <n v="2022"/>
    <n v="1755"/>
    <n v="-1755"/>
    <n v="0"/>
    <n v="1530444.6500000004"/>
    <s v="Cash"/>
    <s v="Trsf 23/12/22 RM10,000.00(RM1,754.80partial), Trsf 27/12/22 RM5,000.00(RM0.20partial),"/>
    <m/>
  </r>
  <r>
    <d v="2022-06-04T00:00:00"/>
    <n v="6"/>
    <x v="3"/>
    <s v="INV00000280"/>
    <s v="C00000020"/>
    <x v="19"/>
    <s v="RM Talcum Powder (25kg)"/>
    <n v="2"/>
    <s v="Cash"/>
    <x v="0"/>
    <d v="2022-06-04T00:00:00"/>
    <n v="6"/>
    <n v="2022"/>
    <n v="125"/>
    <n v="-125"/>
    <n v="0"/>
    <n v="1530569.6500000004"/>
    <s v="Cash"/>
    <s v="Trsf 27/12/22 RM5,000.00"/>
    <m/>
  </r>
  <r>
    <d v="2022-06-07T00:00:00"/>
    <n v="6"/>
    <x v="3"/>
    <s v="INV00000281"/>
    <s v="C00000001"/>
    <x v="0"/>
    <s v="RM Resin 3317AW (220Kg)"/>
    <n v="1"/>
    <s v="Cash"/>
    <x v="0"/>
    <d v="2022-06-07T00:00:00"/>
    <n v="6"/>
    <n v="2022"/>
    <n v="2068"/>
    <n v="-2068"/>
    <n v="0"/>
    <n v="1532637.6500000004"/>
    <s v="Cash"/>
    <s v="Trsf 10/6/22 RM2,356.00"/>
    <m/>
  </r>
  <r>
    <d v="2022-06-07T00:00:00"/>
    <n v="6"/>
    <x v="3"/>
    <s v="INV00000281"/>
    <s v="C00000001"/>
    <x v="0"/>
    <s v="RM Woven Roving E-800 1000mm (40Kg)"/>
    <n v="1"/>
    <s v="Cash"/>
    <x v="0"/>
    <d v="2022-06-07T00:00:00"/>
    <n v="6"/>
    <n v="2022"/>
    <n v="288"/>
    <n v="-288"/>
    <n v="0"/>
    <n v="1532925.6500000004"/>
    <s v="Cash"/>
    <s v="Trsf 10/6/22 RM2,356.00"/>
    <m/>
  </r>
  <r>
    <d v="2022-06-09T00:00:00"/>
    <n v="6"/>
    <x v="3"/>
    <s v="INV00000282"/>
    <s v="C00000010"/>
    <x v="9"/>
    <s v="RM Resin 3338AW (220kg)"/>
    <n v="5"/>
    <s v="T120"/>
    <x v="4"/>
    <d v="2022-10-07T00:00:00"/>
    <n v="10"/>
    <n v="2022"/>
    <n v="9900"/>
    <n v="-9900"/>
    <n v="0"/>
    <n v="1542825.6500000004"/>
    <s v="Term"/>
    <s v="Trsf 23/9/22 RM31,205.00"/>
    <m/>
  </r>
  <r>
    <d v="2022-06-09T00:00:00"/>
    <n v="6"/>
    <x v="3"/>
    <s v="INV00000282"/>
    <s v="C00000010"/>
    <x v="9"/>
    <s v="RM CSM 450 64m(L) 1040mm(W) (30Kg)"/>
    <n v="5"/>
    <s v="T120"/>
    <x v="4"/>
    <d v="2022-10-07T00:00:00"/>
    <n v="10"/>
    <n v="2022"/>
    <n v="1425"/>
    <n v="-1425"/>
    <n v="0"/>
    <n v="1544250.6500000004"/>
    <s v="Term"/>
    <s v="Trsf 23/9/22 RM31,205.00"/>
    <m/>
  </r>
  <r>
    <d v="2022-06-09T00:00:00"/>
    <n v="6"/>
    <x v="3"/>
    <s v="INV00000282"/>
    <s v="C00000010"/>
    <x v="9"/>
    <s v="RM Talcum Powder (25kg)"/>
    <n v="10"/>
    <s v="T120"/>
    <x v="4"/>
    <d v="2022-10-07T00:00:00"/>
    <n v="10"/>
    <n v="2022"/>
    <n v="550"/>
    <n v="-550"/>
    <n v="0"/>
    <n v="1544800.6500000004"/>
    <s v="Term"/>
    <s v="Trsf 23/9/22 RM31,205.00"/>
    <m/>
  </r>
  <r>
    <d v="2022-06-09T00:00:00"/>
    <n v="6"/>
    <x v="3"/>
    <s v="INV00000282"/>
    <s v="C00000010"/>
    <x v="9"/>
    <s v="RA Butanox M50"/>
    <n v="4"/>
    <s v="T120"/>
    <x v="4"/>
    <d v="2022-10-07T00:00:00"/>
    <n v="10"/>
    <n v="2022"/>
    <n v="420"/>
    <n v="-420"/>
    <n v="0"/>
    <n v="1545220.6500000004"/>
    <s v="Term"/>
    <s v="Trsf 23/9/22 RM31,205.00"/>
    <m/>
  </r>
  <r>
    <d v="2022-06-09T00:00:00"/>
    <n v="6"/>
    <x v="3"/>
    <s v="INV00000282"/>
    <s v="C00000010"/>
    <x v="9"/>
    <s v="RH Bosny Wax (15Kg)"/>
    <n v="1"/>
    <s v="T120"/>
    <x v="4"/>
    <d v="2022-10-07T00:00:00"/>
    <n v="10"/>
    <n v="2022"/>
    <n v="395"/>
    <n v="-395"/>
    <n v="0"/>
    <n v="1545615.6500000004"/>
    <s v="Term"/>
    <s v="Trsf 23/9/22 RM31,205.00"/>
    <m/>
  </r>
  <r>
    <d v="2022-06-09T00:00:00"/>
    <n v="6"/>
    <x v="3"/>
    <s v="INV00000283"/>
    <s v="C00000022"/>
    <x v="22"/>
    <s v="RA Nor 3338W (220Kg)"/>
    <n v="1"/>
    <s v="Cash"/>
    <x v="0"/>
    <d v="2022-06-09T00:00:00"/>
    <n v="6"/>
    <n v="2022"/>
    <n v="2112"/>
    <n v="-2112"/>
    <n v="0"/>
    <n v="1547727.6500000004"/>
    <s v="Cash"/>
    <s v="Trsf 25/9/22 RM1,000.00(RM570.10),  Trsf 29/9/22 RM5,350.70(RM1,541.90)"/>
    <m/>
  </r>
  <r>
    <d v="2022-06-10T00:00:00"/>
    <n v="6"/>
    <x v="3"/>
    <s v="INV00000284"/>
    <s v="C00000021"/>
    <x v="21"/>
    <s v="RM Resin 3317AW (220Kg)"/>
    <n v="1"/>
    <s v="Cash"/>
    <x v="0"/>
    <d v="2022-06-10T00:00:00"/>
    <n v="6"/>
    <n v="2022"/>
    <n v="2068"/>
    <n v="-2068"/>
    <n v="0"/>
    <n v="1549795.6500000004"/>
    <s v="Cash"/>
    <s v="Chq PBB 395367, cleared230922 RM2,746.00"/>
    <m/>
  </r>
  <r>
    <d v="2022-06-10T00:00:00"/>
    <n v="6"/>
    <x v="3"/>
    <s v="INV00000284"/>
    <s v="C00000021"/>
    <x v="21"/>
    <s v="RM CSM 450 64m(L) 1040mm(W) (30Kg)"/>
    <n v="2"/>
    <s v="Cash"/>
    <x v="0"/>
    <d v="2022-06-10T00:00:00"/>
    <n v="6"/>
    <n v="2022"/>
    <n v="588"/>
    <n v="-588"/>
    <n v="0"/>
    <n v="1550383.6500000004"/>
    <s v="Cash"/>
    <s v="Chq PBB 395367, cleared230922 RM2,746.00"/>
    <m/>
  </r>
  <r>
    <d v="2022-06-10T00:00:00"/>
    <n v="6"/>
    <x v="3"/>
    <s v="INV00000284"/>
    <s v="C00000021"/>
    <x v="21"/>
    <s v="RJ Mepoxe (5kg)"/>
    <n v="1"/>
    <s v="Cash"/>
    <x v="0"/>
    <d v="2022-06-10T00:00:00"/>
    <n v="6"/>
    <n v="2022"/>
    <n v="90"/>
    <n v="-90"/>
    <n v="0"/>
    <n v="1550473.6500000004"/>
    <s v="Cash"/>
    <s v="Chq PBB 395367, cleared230922 RM2,746.00"/>
    <m/>
  </r>
  <r>
    <d v="2022-06-11T00:00:00"/>
    <n v="6"/>
    <x v="3"/>
    <s v="INV00000285"/>
    <s v="C00000020"/>
    <x v="19"/>
    <s v="RM Resin 3317AW (220Kg)"/>
    <n v="2"/>
    <s v="Cash"/>
    <x v="0"/>
    <d v="2022-06-11T00:00:00"/>
    <n v="6"/>
    <n v="2022"/>
    <n v="4180"/>
    <n v="-4180"/>
    <n v="0"/>
    <n v="1554653.6500000004"/>
    <s v="Cash"/>
    <s v="Trsf 27/12/22 RM5,000.00"/>
    <m/>
  </r>
  <r>
    <d v="2022-06-11T00:00:00"/>
    <n v="6"/>
    <x v="3"/>
    <s v="INV00000285"/>
    <s v="C00000020"/>
    <x v="19"/>
    <s v="RM CSM 450 64m(L) 1040mm(W) (30Kg)"/>
    <n v="1"/>
    <s v="Cash"/>
    <x v="0"/>
    <d v="2022-06-11T00:00:00"/>
    <n v="6"/>
    <n v="2022"/>
    <n v="294"/>
    <n v="-294"/>
    <n v="0"/>
    <n v="1554947.6500000004"/>
    <s v="Cash"/>
    <s v="Trsf 27/12/22 RM5,000.00"/>
    <m/>
  </r>
  <r>
    <d v="2022-06-11T00:00:00"/>
    <n v="6"/>
    <x v="3"/>
    <s v="INV00000285"/>
    <s v="C00000020"/>
    <x v="19"/>
    <s v="RA  Woven Roing 600 1120mm (45kg)"/>
    <n v="1"/>
    <s v="Cash"/>
    <x v="0"/>
    <d v="2022-06-11T00:00:00"/>
    <n v="6"/>
    <n v="2022"/>
    <n v="351"/>
    <n v="-351"/>
    <n v="0"/>
    <n v="1555298.6500000004"/>
    <s v="Cash"/>
    <s v="Trsf 27/12/22 RM5,000.00"/>
    <m/>
  </r>
  <r>
    <d v="2022-06-11T00:00:00"/>
    <n v="6"/>
    <x v="3"/>
    <s v="INV00000285"/>
    <s v="C00000020"/>
    <x v="19"/>
    <s v="RM Talcum Powder (25kg)"/>
    <n v="2"/>
    <s v="Cash"/>
    <x v="0"/>
    <d v="2022-06-11T00:00:00"/>
    <n v="6"/>
    <n v="2022"/>
    <n v="125"/>
    <n v="-125"/>
    <n v="0"/>
    <n v="1555423.6500000004"/>
    <s v="Cash"/>
    <s v="Trsf 28/12/22 RM30,000.00(RM75.20partial), "/>
    <m/>
  </r>
  <r>
    <d v="2022-06-13T00:00:00"/>
    <n v="6"/>
    <x v="3"/>
    <s v="INV00000286"/>
    <s v="C00000023"/>
    <x v="23"/>
    <s v="RA Resin 3317AW (25Kg)"/>
    <n v="4"/>
    <s v="Cash"/>
    <x v="0"/>
    <d v="2022-06-13T00:00:00"/>
    <n v="6"/>
    <n v="2022"/>
    <n v="1400"/>
    <n v="-1400"/>
    <n v="0"/>
    <n v="1556823.6500000004"/>
    <s v="Cash"/>
    <s v="Trsf 14/6/22 RM2,158.00"/>
    <m/>
  </r>
  <r>
    <d v="2022-06-13T00:00:00"/>
    <n v="6"/>
    <x v="3"/>
    <s v="INV00000286"/>
    <s v="C00000023"/>
    <x v="23"/>
    <s v="RM CSM 450 64m(L) 1040mm(W) (30Kg)"/>
    <n v="2"/>
    <s v="Cash"/>
    <x v="0"/>
    <d v="2022-06-13T00:00:00"/>
    <n v="6"/>
    <n v="2022"/>
    <n v="588"/>
    <n v="-588"/>
    <n v="0"/>
    <n v="1557411.6500000004"/>
    <s v="Cash"/>
    <s v="Trsf 14/6/22 RM2,158.00"/>
    <m/>
  </r>
  <r>
    <d v="2022-06-13T00:00:00"/>
    <n v="6"/>
    <x v="3"/>
    <s v="INV00000286"/>
    <s v="C00000023"/>
    <x v="23"/>
    <s v="RJ Mepoxe (5kg)"/>
    <n v="2"/>
    <s v="Cash"/>
    <x v="0"/>
    <d v="2022-06-13T00:00:00"/>
    <n v="6"/>
    <n v="2022"/>
    <n v="170"/>
    <n v="-170"/>
    <n v="0"/>
    <n v="1557581.6500000004"/>
    <s v="Cash"/>
    <s v="Trsf 14/6/22 RM2,158.00"/>
    <m/>
  </r>
  <r>
    <d v="2022-06-14T00:00:00"/>
    <n v="6"/>
    <x v="3"/>
    <s v="INV00000287"/>
    <s v="C00000009"/>
    <x v="8"/>
    <s v="RM Nor 3338W (220Kg)"/>
    <n v="2"/>
    <s v="T60"/>
    <x v="3"/>
    <d v="2022-08-13T00:00:00"/>
    <n v="8"/>
    <n v="2022"/>
    <n v="3960"/>
    <n v="-3960"/>
    <n v="0"/>
    <n v="1561541.6500000004"/>
    <s v="Term"/>
    <s v="Chq HL 016786 dd 27/12/22"/>
    <m/>
  </r>
  <r>
    <d v="2022-06-14T00:00:00"/>
    <n v="6"/>
    <x v="3"/>
    <s v="INV00000288"/>
    <s v="C00000001"/>
    <x v="0"/>
    <s v="RM Resin 3317AW (220Kg)"/>
    <n v="1"/>
    <s v="Cash"/>
    <x v="0"/>
    <d v="2022-06-14T00:00:00"/>
    <n v="6"/>
    <n v="2022"/>
    <n v="2068"/>
    <n v="-2068"/>
    <n v="0"/>
    <n v="1563609.6500000004"/>
    <s v="Cash"/>
    <s v="Trsf 23/6/22 RM3,232.00"/>
    <m/>
  </r>
  <r>
    <d v="2022-06-14T00:00:00"/>
    <n v="6"/>
    <x v="3"/>
    <s v="INV00000288"/>
    <s v="C00000001"/>
    <x v="0"/>
    <s v="RM CSM 450 64m(L) 1040mm(W) (30Kg)"/>
    <n v="4"/>
    <s v="Cash"/>
    <x v="0"/>
    <d v="2022-06-14T00:00:00"/>
    <n v="6"/>
    <n v="2022"/>
    <n v="1164"/>
    <n v="-1164"/>
    <n v="0"/>
    <n v="1564773.6500000004"/>
    <s v="Cash"/>
    <s v="Trsf 23/6/22 RM3,232.00"/>
    <m/>
  </r>
  <r>
    <d v="2022-06-18T00:00:00"/>
    <n v="6"/>
    <x v="3"/>
    <s v="INV00000289"/>
    <s v="C00000020"/>
    <x v="19"/>
    <s v="RA Nor 3338W (220Kg)"/>
    <n v="1"/>
    <s v="Cash"/>
    <x v="0"/>
    <d v="2022-06-18T00:00:00"/>
    <n v="6"/>
    <n v="2022"/>
    <n v="2090"/>
    <n v="-2090"/>
    <n v="0"/>
    <n v="1566863.6500000004"/>
    <s v="Cash"/>
    <s v="Trsf 28/12/22 RM30,000.00"/>
    <m/>
  </r>
  <r>
    <d v="2022-06-18T00:00:00"/>
    <n v="6"/>
    <x v="3"/>
    <s v="INV00000289"/>
    <s v="C00000020"/>
    <x v="19"/>
    <s v="RM CSM 450 64m(L) 1040mm(W) (30Kg)"/>
    <n v="2"/>
    <s v="Cash"/>
    <x v="0"/>
    <d v="2022-06-18T00:00:00"/>
    <n v="6"/>
    <n v="2022"/>
    <n v="588"/>
    <n v="-588"/>
    <n v="0"/>
    <n v="1567451.6500000004"/>
    <s v="Cash"/>
    <s v="Trsf 28/12/22 RM30,000.00"/>
    <m/>
  </r>
  <r>
    <d v="2022-06-18T00:00:00"/>
    <n v="6"/>
    <x v="3"/>
    <s v="INV00000289"/>
    <s v="C00000020"/>
    <x v="19"/>
    <s v="RA  Woven Roing 600 1120mm (45kg)"/>
    <n v="1"/>
    <s v="Cash"/>
    <x v="0"/>
    <d v="2022-06-18T00:00:00"/>
    <n v="6"/>
    <n v="2022"/>
    <n v="351"/>
    <n v="-351"/>
    <n v="0"/>
    <n v="1567802.6500000004"/>
    <s v="Cash"/>
    <s v="Trsf 28/12/22 RM30,000.00"/>
    <m/>
  </r>
  <r>
    <d v="2022-06-18T00:00:00"/>
    <n v="6"/>
    <x v="3"/>
    <s v="INV00000289"/>
    <s v="C00000020"/>
    <x v="19"/>
    <s v="RM Talcum Powder (25kg)"/>
    <n v="1"/>
    <s v="Cash"/>
    <x v="0"/>
    <d v="2022-06-18T00:00:00"/>
    <n v="6"/>
    <n v="2022"/>
    <n v="62.5"/>
    <n v="-62.5"/>
    <n v="0"/>
    <n v="1567865.1500000004"/>
    <s v="Cash"/>
    <s v="Trsf 28/12/22 RM30,000.00"/>
    <m/>
  </r>
  <r>
    <d v="2022-06-18T00:00:00"/>
    <n v="6"/>
    <x v="3"/>
    <s v="INV00000289"/>
    <s v="C00000020"/>
    <x v="19"/>
    <s v="RM Pigment Smooth Cream (25kg)"/>
    <n v="1"/>
    <s v="Cash"/>
    <x v="0"/>
    <d v="2022-06-18T00:00:00"/>
    <n v="6"/>
    <n v="2022"/>
    <n v="1000"/>
    <n v="-1000"/>
    <n v="0"/>
    <n v="1568865.1500000004"/>
    <s v="Cash"/>
    <s v="Trsf 28/12/22 RM30,000.00"/>
    <m/>
  </r>
  <r>
    <d v="2022-06-18T00:00:00"/>
    <n v="6"/>
    <x v="3"/>
    <s v="INV00000289"/>
    <s v="C00000020"/>
    <x v="19"/>
    <s v="RJ Mepoxe (5kg)"/>
    <n v="4"/>
    <s v="Cash"/>
    <x v="0"/>
    <d v="2022-06-18T00:00:00"/>
    <n v="6"/>
    <n v="2022"/>
    <n v="340"/>
    <n v="-340"/>
    <n v="0"/>
    <n v="1569205.1500000004"/>
    <s v="Cash"/>
    <s v="Trsf 28/12/22 RM30,000.00"/>
    <m/>
  </r>
  <r>
    <d v="2022-06-20T00:00:00"/>
    <n v="6"/>
    <x v="3"/>
    <s v="INV00000290"/>
    <s v="C00000006"/>
    <x v="5"/>
    <s v="RM Nor 3338W (220Kg)"/>
    <n v="1"/>
    <s v="Cash"/>
    <x v="0"/>
    <d v="2022-06-20T00:00:00"/>
    <n v="6"/>
    <n v="2022"/>
    <n v="2068"/>
    <n v="-2068"/>
    <n v="0"/>
    <n v="1571273.1500000004"/>
    <s v="Cash"/>
    <s v="RHB 934938 cleared18/8/22-RM2,068.00"/>
    <m/>
  </r>
  <r>
    <d v="2022-06-24T00:00:00"/>
    <n v="6"/>
    <x v="3"/>
    <s v="INV00000291"/>
    <s v="C00000021"/>
    <x v="21"/>
    <s v="RM Resin 3317AW (220Kg)"/>
    <n v="1"/>
    <s v="Cash"/>
    <x v="0"/>
    <d v="2022-06-24T00:00:00"/>
    <n v="6"/>
    <n v="2022"/>
    <n v="2090"/>
    <n v="-2090"/>
    <n v="0"/>
    <n v="1573363.1500000004"/>
    <s v="Cash"/>
    <s v="Chq PBB 395368, cleared061022 RM3,374.50"/>
    <m/>
  </r>
  <r>
    <d v="2022-06-24T00:00:00"/>
    <n v="6"/>
    <x v="3"/>
    <s v="INV00000291"/>
    <s v="C00000021"/>
    <x v="21"/>
    <s v="RM CSM 450 64m(L) 1040mm(W) (30Kg)"/>
    <n v="3"/>
    <s v="Cash"/>
    <x v="0"/>
    <d v="2022-06-24T00:00:00"/>
    <n v="6"/>
    <n v="2022"/>
    <n v="882"/>
    <n v="-882"/>
    <n v="0"/>
    <n v="1574245.1500000004"/>
    <s v="Cash"/>
    <s v="Chq PBB 395368, cleared061022 RM3,374.50"/>
    <m/>
  </r>
  <r>
    <d v="2022-06-24T00:00:00"/>
    <n v="6"/>
    <x v="3"/>
    <s v="INV00000291"/>
    <s v="C00000021"/>
    <x v="21"/>
    <s v="RJ Mepoxe (5kg)"/>
    <n v="1"/>
    <s v="Cash"/>
    <x v="0"/>
    <d v="2022-06-24T00:00:00"/>
    <n v="6"/>
    <n v="2022"/>
    <n v="90"/>
    <n v="-90"/>
    <n v="0"/>
    <n v="1574335.1500000004"/>
    <s v="Cash"/>
    <s v="Chq PBB 395368, cleared061022 RM3,374.50"/>
    <m/>
  </r>
  <r>
    <d v="2022-06-24T00:00:00"/>
    <n v="6"/>
    <x v="3"/>
    <s v="INV00000291"/>
    <s v="C00000021"/>
    <x v="21"/>
    <s v="RM Talcum Powder (25kg)"/>
    <n v="5"/>
    <s v="Cash"/>
    <x v="0"/>
    <d v="2022-06-24T00:00:00"/>
    <n v="6"/>
    <n v="2022"/>
    <n v="312.5"/>
    <n v="-312.5"/>
    <n v="0"/>
    <n v="1574647.6500000004"/>
    <s v="Cash"/>
    <s v="Chq PBB 395368, cleared061022 RM3,374.50"/>
    <m/>
  </r>
  <r>
    <d v="2022-06-24T00:00:00"/>
    <n v="6"/>
    <x v="3"/>
    <s v="INV00000292"/>
    <s v="C00000020"/>
    <x v="19"/>
    <s v="RA Nor 3338W (220Kg)"/>
    <n v="2"/>
    <s v="Cash"/>
    <x v="0"/>
    <d v="2022-06-24T00:00:00"/>
    <n v="6"/>
    <n v="2022"/>
    <n v="4180"/>
    <n v="-4180"/>
    <n v="0"/>
    <n v="1578827.6500000004"/>
    <s v="Cash"/>
    <s v="Trsf 28/12/22 RM30,000.00"/>
    <m/>
  </r>
  <r>
    <d v="2022-06-24T00:00:00"/>
    <n v="6"/>
    <x v="3"/>
    <s v="INV00000292"/>
    <s v="C00000020"/>
    <x v="19"/>
    <s v="RM CSM 450 64m(L) 1040mm(W) (30Kg)"/>
    <n v="3"/>
    <s v="Cash"/>
    <x v="0"/>
    <d v="2022-06-24T00:00:00"/>
    <n v="6"/>
    <n v="2022"/>
    <n v="882"/>
    <n v="-882"/>
    <n v="0"/>
    <n v="1579709.6500000004"/>
    <s v="Cash"/>
    <s v="Trsf 28/12/22 RM30,000.00"/>
    <m/>
  </r>
  <r>
    <d v="2022-06-24T00:00:00"/>
    <n v="6"/>
    <x v="3"/>
    <s v="INV00000292"/>
    <s v="C00000020"/>
    <x v="19"/>
    <s v="RA  Woven Roing 600 1120mm (45kg)"/>
    <n v="2"/>
    <s v="Cash"/>
    <x v="0"/>
    <d v="2022-06-24T00:00:00"/>
    <n v="6"/>
    <n v="2022"/>
    <n v="702"/>
    <n v="-702"/>
    <n v="0"/>
    <n v="1580411.6500000004"/>
    <s v="Cash"/>
    <s v="Trsf 28/12/22 RM30,000.00"/>
    <m/>
  </r>
  <r>
    <d v="2022-06-24T00:00:00"/>
    <n v="6"/>
    <x v="3"/>
    <s v="INV00000292"/>
    <s v="C00000020"/>
    <x v="19"/>
    <s v="RM Talcum Powder (25kg)"/>
    <n v="2"/>
    <s v="Cash"/>
    <x v="0"/>
    <d v="2022-06-24T00:00:00"/>
    <n v="6"/>
    <n v="2022"/>
    <n v="125"/>
    <n v="-125"/>
    <n v="0"/>
    <n v="1580536.6500000004"/>
    <s v="Cash"/>
    <s v="Trsf 28/12/22 RM30,000.00"/>
    <m/>
  </r>
  <r>
    <d v="2022-06-28T00:00:00"/>
    <n v="6"/>
    <x v="3"/>
    <s v="INV00000293"/>
    <s v="C00000019"/>
    <x v="18"/>
    <s v="RM Nor 3338W (220Kg)"/>
    <n v="2"/>
    <s v="Cash"/>
    <x v="0"/>
    <d v="2022-06-28T00:00:00"/>
    <n v="6"/>
    <n v="2022"/>
    <n v="4136"/>
    <n v="-4136"/>
    <n v="0"/>
    <n v="1584672.6500000004"/>
    <s v="Cash"/>
    <s v="Trsf 29/6/22, RM3,000.00, Trsf 30/6/22, RM3,223.60"/>
    <m/>
  </r>
  <r>
    <d v="2022-06-28T00:00:00"/>
    <n v="6"/>
    <x v="3"/>
    <s v="INV00000293"/>
    <s v="C00000019"/>
    <x v="18"/>
    <s v="RM CSM 450 64m(L) X 1860mm(W) (54kg)"/>
    <n v="2"/>
    <s v="Cash"/>
    <x v="0"/>
    <d v="2022-06-28T00:00:00"/>
    <n v="6"/>
    <n v="2022"/>
    <n v="1047.5999999999999"/>
    <n v="-1047.5999999999999"/>
    <n v="0"/>
    <n v="1585720.2500000005"/>
    <s v="Cash"/>
    <s v="Trsf 29/6/22, RM3,000.00, Trsf 30/6/22, RM3,223.60"/>
    <m/>
  </r>
  <r>
    <d v="2022-06-28T00:00:00"/>
    <n v="6"/>
    <x v="3"/>
    <s v="INV00000293"/>
    <s v="C00000019"/>
    <x v="18"/>
    <s v="RA Butanox M50 (5kg)"/>
    <n v="2"/>
    <s v="Cash"/>
    <x v="0"/>
    <d v="2022-06-28T00:00:00"/>
    <n v="6"/>
    <n v="2022"/>
    <n v="210"/>
    <n v="-210"/>
    <n v="0"/>
    <n v="1585930.2500000005"/>
    <s v="Cash"/>
    <s v="Trsf 29/6/22, RM3,000.00, Trsf 30/6/22, RM3,223.60"/>
    <m/>
  </r>
  <r>
    <d v="2022-06-28T00:00:00"/>
    <n v="6"/>
    <x v="3"/>
    <s v="INV00000293"/>
    <s v="C00000019"/>
    <x v="18"/>
    <s v="RE Frekote 770NC (1 Gallon)"/>
    <n v="1"/>
    <s v="Cash"/>
    <x v="0"/>
    <d v="2022-06-28T00:00:00"/>
    <n v="6"/>
    <n v="2022"/>
    <n v="390"/>
    <n v="-390"/>
    <n v="0"/>
    <n v="1586320.2500000005"/>
    <s v="Cash"/>
    <s v="Trsf 29/6/22, RM3,000.00, Trsf 30/6/22, RM3,223.60"/>
    <m/>
  </r>
  <r>
    <d v="2022-06-28T00:00:00"/>
    <n v="6"/>
    <x v="3"/>
    <s v="INV00000293"/>
    <s v="C00000019"/>
    <x v="18"/>
    <s v="RM Fume silica HJSIL 200(10Kg)"/>
    <n v="1"/>
    <s v="Cash"/>
    <x v="0"/>
    <d v="2022-06-28T00:00:00"/>
    <n v="6"/>
    <n v="2022"/>
    <n v="440"/>
    <n v="-440"/>
    <n v="0"/>
    <n v="1586760.2500000005"/>
    <s v="Cash"/>
    <s v="Trsf 29/6/22, RM3,000.00, Trsf 30/6/22, RM3,223.60"/>
    <m/>
  </r>
  <r>
    <d v="2022-06-29T00:00:00"/>
    <n v="6"/>
    <x v="3"/>
    <s v="INV00000294"/>
    <s v="C00000010"/>
    <x v="9"/>
    <s v="RM Resin 3338AW (220kg)"/>
    <n v="7"/>
    <s v="T120"/>
    <x v="4"/>
    <d v="2022-10-27T00:00:00"/>
    <n v="10"/>
    <n v="2022"/>
    <n v="13860"/>
    <n v="-13860"/>
    <n v="0"/>
    <n v="1600620.2500000005"/>
    <s v="Term"/>
    <s v="Trsf 23/9/22 RM31,205.00"/>
    <m/>
  </r>
  <r>
    <d v="2022-06-29T00:00:00"/>
    <n v="6"/>
    <x v="3"/>
    <s v="INV00000294"/>
    <s v="C00000010"/>
    <x v="9"/>
    <s v="RM CSM 450 64m(L) 1040mm(W) (30Kg)"/>
    <n v="10"/>
    <s v="T120"/>
    <x v="4"/>
    <d v="2022-10-27T00:00:00"/>
    <n v="10"/>
    <n v="2022"/>
    <n v="2850"/>
    <n v="-2850"/>
    <n v="0"/>
    <n v="1603470.2500000005"/>
    <s v="Term"/>
    <s v="Trsf 23/9/22 RM31,205.00"/>
    <m/>
  </r>
  <r>
    <d v="2022-06-29T00:00:00"/>
    <n v="6"/>
    <x v="3"/>
    <s v="INV00000294"/>
    <s v="C00000010"/>
    <x v="9"/>
    <s v="RM Talcum Powder (25kg)"/>
    <n v="10"/>
    <s v="T120"/>
    <x v="4"/>
    <d v="2022-10-27T00:00:00"/>
    <n v="10"/>
    <n v="2022"/>
    <n v="550"/>
    <n v="-550"/>
    <n v="0"/>
    <n v="1604020.2500000005"/>
    <s v="Term"/>
    <s v="Trsf 23/9/22 RM31,205.00"/>
    <m/>
  </r>
  <r>
    <d v="2022-06-29T00:00:00"/>
    <n v="6"/>
    <x v="3"/>
    <s v="INV00000294"/>
    <s v="C00000010"/>
    <x v="9"/>
    <s v="RA Butanox M50 (5kg)"/>
    <n v="4"/>
    <s v="T120"/>
    <x v="4"/>
    <d v="2022-10-27T00:00:00"/>
    <n v="10"/>
    <n v="2022"/>
    <n v="420"/>
    <n v="-420"/>
    <n v="0"/>
    <n v="1604440.2500000005"/>
    <s v="Term"/>
    <s v="Trsf 23/9/22 RM31,205.00"/>
    <m/>
  </r>
  <r>
    <d v="2022-06-29T00:00:00"/>
    <n v="6"/>
    <x v="3"/>
    <s v="INV00000294"/>
    <s v="C00000010"/>
    <x v="9"/>
    <s v="RH Bosny Wax (15Kg)"/>
    <n v="1"/>
    <s v="T120"/>
    <x v="4"/>
    <d v="2022-10-27T00:00:00"/>
    <n v="10"/>
    <n v="2022"/>
    <n v="395"/>
    <n v="-395"/>
    <n v="0"/>
    <n v="1604835.2500000005"/>
    <s v="Term"/>
    <s v="Trsf 23/9/22 RM31,205.00"/>
    <m/>
  </r>
  <r>
    <d v="2022-06-29T00:00:00"/>
    <n v="6"/>
    <x v="3"/>
    <s v="INV00000294"/>
    <s v="C00000010"/>
    <x v="9"/>
    <s v="RM Fume silica HJSIL 200(10Kg)"/>
    <n v="1"/>
    <s v="T120"/>
    <x v="4"/>
    <d v="2022-10-27T00:00:00"/>
    <n v="10"/>
    <n v="2022"/>
    <n v="440"/>
    <n v="-440"/>
    <n v="0"/>
    <n v="1605275.2500000005"/>
    <s v="Term"/>
    <s v="Trsf 23/9/22 RM31,205.00"/>
    <m/>
  </r>
  <r>
    <d v="2022-07-01T00:00:00"/>
    <n v="7"/>
    <x v="3"/>
    <s v="INV00000295"/>
    <s v="C00000009"/>
    <x v="8"/>
    <s v="RM CSM 450 64m(L) X 1860mm(W) (54kg)"/>
    <n v="3"/>
    <s v="T60"/>
    <x v="3"/>
    <d v="2022-08-30T00:00:00"/>
    <n v="8"/>
    <n v="2022"/>
    <n v="1539"/>
    <n v="-1539"/>
    <n v="0"/>
    <n v="1606814.2500000005"/>
    <s v="Term"/>
    <s v="Chq HL 016715 dd 16/11/22"/>
    <m/>
  </r>
  <r>
    <d v="2022-07-12T00:00:00"/>
    <n v="7"/>
    <x v="3"/>
    <s v="INV00000296"/>
    <s v="C00000019"/>
    <x v="18"/>
    <s v="RM Nor 3338W (220Kg)"/>
    <n v="2"/>
    <s v="Cash"/>
    <x v="0"/>
    <d v="2022-07-12T00:00:00"/>
    <n v="7"/>
    <n v="2022"/>
    <n v="4136"/>
    <n v="-4136"/>
    <n v="0"/>
    <n v="1610950.2500000005"/>
    <s v="Cash"/>
    <s v="Trsf 15/7/22, RM5,183.60"/>
    <m/>
  </r>
  <r>
    <d v="2022-07-12T00:00:00"/>
    <n v="7"/>
    <x v="3"/>
    <s v="INV00000296"/>
    <s v="C00000019"/>
    <x v="18"/>
    <s v="RM CSM 450 64m(L) X 1860mm(W) (54kg)"/>
    <n v="2"/>
    <s v="Cash"/>
    <x v="0"/>
    <d v="2022-07-12T00:00:00"/>
    <n v="7"/>
    <n v="2022"/>
    <n v="1047.5999999999999"/>
    <n v="-1047.5999999999999"/>
    <n v="0"/>
    <n v="1611997.8500000006"/>
    <s v="Cash"/>
    <s v="Trsf 15/7/22, RM5,183.60"/>
    <m/>
  </r>
  <r>
    <d v="2022-07-14T00:00:00"/>
    <n v="7"/>
    <x v="3"/>
    <s v="INV00000297"/>
    <s v="C00000020"/>
    <x v="19"/>
    <s v="RM Resin 3317AW (220Kg)"/>
    <n v="4"/>
    <s v="Cash"/>
    <x v="0"/>
    <d v="2022-07-14T00:00:00"/>
    <n v="7"/>
    <n v="2022"/>
    <n v="8272"/>
    <n v="-8272"/>
    <n v="0"/>
    <n v="1620269.8500000006"/>
    <s v="Cash"/>
    <s v="Trsf 28/12/22 RM30,000.00"/>
    <m/>
  </r>
  <r>
    <d v="2022-07-14T00:00:00"/>
    <n v="7"/>
    <x v="3"/>
    <s v="INV00000297"/>
    <s v="C00000020"/>
    <x v="19"/>
    <s v="RM CSM 450 64m(L) 1040mm(W) (30Kg)"/>
    <n v="9"/>
    <s v="Cash"/>
    <x v="0"/>
    <d v="2022-07-14T00:00:00"/>
    <n v="7"/>
    <n v="2022"/>
    <n v="2646"/>
    <n v="-2646"/>
    <n v="0"/>
    <n v="1622915.8500000006"/>
    <s v="Cash"/>
    <s v="Trsf 28/12/22 RM30,000.00"/>
    <m/>
  </r>
  <r>
    <d v="2022-07-14T00:00:00"/>
    <n v="7"/>
    <x v="3"/>
    <s v="INV00000297"/>
    <s v="C00000020"/>
    <x v="19"/>
    <s v="RA  Woven Roing 600 1120mm (45kg)"/>
    <n v="5"/>
    <s v="Cash"/>
    <x v="0"/>
    <d v="2022-07-14T00:00:00"/>
    <n v="7"/>
    <n v="2022"/>
    <n v="1687.5"/>
    <n v="-1687.5"/>
    <n v="0"/>
    <n v="1624603.3500000006"/>
    <s v="Cash"/>
    <s v="Trsf 28/12/22 RM30,000.00"/>
    <m/>
  </r>
  <r>
    <d v="2022-07-14T00:00:00"/>
    <n v="7"/>
    <x v="3"/>
    <s v="INV00000297"/>
    <s v="C00000020"/>
    <x v="19"/>
    <s v="RM Talcum Powder (25kg)"/>
    <n v="4"/>
    <s v="Cash"/>
    <x v="0"/>
    <d v="2022-07-14T00:00:00"/>
    <n v="7"/>
    <n v="2022"/>
    <n v="250"/>
    <n v="-250"/>
    <n v="0"/>
    <n v="1624853.3500000006"/>
    <s v="Cash"/>
    <s v="Trsf 28/12/22 RM30,000.00"/>
    <m/>
  </r>
  <r>
    <d v="2022-07-14T00:00:00"/>
    <n v="7"/>
    <x v="3"/>
    <s v="INV00000298"/>
    <s v="C00000027"/>
    <x v="27"/>
    <s v="RM Resin 3317AW (220Kg)"/>
    <n v="2"/>
    <s v="Cash"/>
    <x v="0"/>
    <d v="2022-07-14T00:00:00"/>
    <n v="7"/>
    <n v="2022"/>
    <n v="4004"/>
    <n v="-4004"/>
    <n v="0"/>
    <n v="1628857.3500000006"/>
    <s v="Cash"/>
    <s v="Bank Islam 159011 Cleared22/8/22, RM8,568.20"/>
    <m/>
  </r>
  <r>
    <d v="2022-07-14T00:00:00"/>
    <n v="7"/>
    <x v="3"/>
    <s v="INV00000298"/>
    <s v="C00000027"/>
    <x v="27"/>
    <s v="RM CSM 450 64m(L) X 1860mm(W) (54kg)"/>
    <n v="2"/>
    <s v="Cash"/>
    <x v="0"/>
    <d v="2022-07-14T00:00:00"/>
    <n v="7"/>
    <n v="2022"/>
    <n v="1015.2"/>
    <n v="-1015.2"/>
    <n v="0"/>
    <n v="1629872.5500000005"/>
    <s v="Cash"/>
    <s v="Bank Islam 159011 Cleared22/8/22, RM8,568.20"/>
    <m/>
  </r>
  <r>
    <d v="2022-07-14T00:00:00"/>
    <n v="7"/>
    <x v="3"/>
    <s v="INV00000298"/>
    <s v="C00000027"/>
    <x v="27"/>
    <s v="RA  Woven Roing 600 1120mm (45kg)"/>
    <n v="3"/>
    <s v="Cash"/>
    <x v="0"/>
    <d v="2022-07-14T00:00:00"/>
    <n v="7"/>
    <n v="2022"/>
    <n v="945"/>
    <n v="-945"/>
    <n v="0"/>
    <n v="1630817.5500000005"/>
    <s v="Cash"/>
    <s v="Bank Islam 159011 Cleared22/8/22, RM8,568.20"/>
    <m/>
  </r>
  <r>
    <d v="2022-07-14T00:00:00"/>
    <n v="7"/>
    <x v="3"/>
    <s v="INV00000298"/>
    <s v="C00000027"/>
    <x v="27"/>
    <s v="RA/RM Pigment Super White (5Kg)"/>
    <n v="2"/>
    <s v="Cash"/>
    <x v="0"/>
    <d v="2022-07-14T00:00:00"/>
    <n v="7"/>
    <n v="2022"/>
    <n v="320"/>
    <n v="-320"/>
    <n v="0"/>
    <n v="1631137.5500000005"/>
    <s v="Cash"/>
    <s v="Bank Islam 159011 Cleared22/8/22, RM8,568.20"/>
    <m/>
  </r>
  <r>
    <d v="2022-07-14T00:00:00"/>
    <n v="7"/>
    <x v="3"/>
    <s v="INV00000298"/>
    <s v="C00000027"/>
    <x v="27"/>
    <s v="RJ Mepoxe (5kg)"/>
    <n v="1"/>
    <s v="Cash"/>
    <x v="0"/>
    <d v="2022-07-14T00:00:00"/>
    <n v="7"/>
    <n v="2022"/>
    <n v="90"/>
    <n v="-90"/>
    <n v="0"/>
    <n v="1631227.5500000005"/>
    <s v="Cash"/>
    <s v="Bank Islam 159011 Cleared22/8/22, RM8,568.20"/>
    <m/>
  </r>
  <r>
    <d v="2022-07-14T00:00:00"/>
    <n v="7"/>
    <x v="3"/>
    <s v="INV00000298"/>
    <s v="C00000027"/>
    <x v="27"/>
    <s v="RM TR104 Hi Temp Wax (12Can)"/>
    <n v="1"/>
    <s v="Cash"/>
    <x v="0"/>
    <d v="2022-07-14T00:00:00"/>
    <n v="7"/>
    <n v="2022"/>
    <n v="500"/>
    <n v="-500"/>
    <n v="0"/>
    <n v="1631727.5500000005"/>
    <s v="Cash"/>
    <s v="Bank Islam 159011 Cleared22/8/22, RM8,568.20"/>
    <m/>
  </r>
  <r>
    <d v="2022-07-14T00:00:00"/>
    <n v="7"/>
    <x v="3"/>
    <s v="INV00000298"/>
    <s v="C00000027"/>
    <x v="27"/>
    <s v="RM PVA (5Kg)"/>
    <n v="1"/>
    <s v="Cash"/>
    <x v="0"/>
    <d v="2022-07-14T00:00:00"/>
    <n v="7"/>
    <n v="2022"/>
    <n v="170"/>
    <n v="-170"/>
    <n v="0"/>
    <n v="1631897.5500000005"/>
    <s v="Cash"/>
    <s v="Bank Islam 159011 Cleared22/8/22, RM8,568.20"/>
    <m/>
  </r>
  <r>
    <d v="2022-07-14T00:00:00"/>
    <n v="7"/>
    <x v="3"/>
    <s v="INV00000298"/>
    <s v="C00000027"/>
    <x v="27"/>
    <s v="RM Gelcoat GPH (20kg)"/>
    <n v="6"/>
    <s v="Cash"/>
    <x v="0"/>
    <d v="2022-07-14T00:00:00"/>
    <n v="7"/>
    <n v="2022"/>
    <n v="1524"/>
    <n v="-1524"/>
    <n v="0"/>
    <n v="1633421.5500000005"/>
    <s v="Cash"/>
    <s v="Bank Islam 159011 Cleared22/8/22, RM8,568.20"/>
    <m/>
  </r>
  <r>
    <d v="2022-07-18T00:00:00"/>
    <n v="7"/>
    <x v="3"/>
    <s v="INV00000299"/>
    <s v="C00000020"/>
    <x v="19"/>
    <s v="RM Resin 3317AW (220Kg)"/>
    <n v="2"/>
    <s v="Cash"/>
    <x v="0"/>
    <d v="2022-07-18T00:00:00"/>
    <n v="7"/>
    <n v="2022"/>
    <n v="4136"/>
    <n v="-4136"/>
    <n v="0"/>
    <n v="1637557.5500000005"/>
    <s v="Cash"/>
    <s v="Trsf 28/12/22 RM30,000.00"/>
    <m/>
  </r>
  <r>
    <d v="2022-07-18T00:00:00"/>
    <n v="7"/>
    <x v="3"/>
    <s v="INV00000299"/>
    <s v="C00000020"/>
    <x v="19"/>
    <s v="RM CSM 450 64m(L) 1040mm(W) (30Kg)"/>
    <n v="8"/>
    <s v="Cash"/>
    <x v="0"/>
    <d v="2022-07-18T00:00:00"/>
    <n v="7"/>
    <n v="2022"/>
    <n v="2352"/>
    <n v="-2352"/>
    <n v="0"/>
    <n v="1639909.5500000005"/>
    <s v="Cash"/>
    <s v="Trsf 28/12/22 RM30,000.00"/>
    <m/>
  </r>
  <r>
    <d v="2022-07-18T00:00:00"/>
    <n v="7"/>
    <x v="3"/>
    <s v="INV00000299"/>
    <s v="C00000020"/>
    <x v="19"/>
    <s v="RJ Woven Roving E-600gm 1000mm (40Kg)"/>
    <n v="4"/>
    <s v="Cash"/>
    <x v="0"/>
    <d v="2022-07-18T00:00:00"/>
    <n v="7"/>
    <n v="2022"/>
    <n v="1200"/>
    <n v="-1200"/>
    <n v="0"/>
    <n v="1641109.5500000005"/>
    <s v="Cash"/>
    <s v="Trsf 28/12/22 RM30,000.00(RM260.80), Trsf 29/12/22 RM5,000.00(RM939.20)"/>
    <m/>
  </r>
  <r>
    <d v="2022-07-18T00:00:00"/>
    <n v="7"/>
    <x v="3"/>
    <s v="INV00000299"/>
    <s v="C00000020"/>
    <x v="19"/>
    <s v="RM Talcum Powder (25kg)"/>
    <n v="2"/>
    <s v="Cash"/>
    <x v="0"/>
    <d v="2022-07-18T00:00:00"/>
    <n v="7"/>
    <n v="2022"/>
    <n v="125"/>
    <n v="-125"/>
    <n v="0"/>
    <n v="1641234.5500000005"/>
    <s v="Cash"/>
    <s v="Trsf 29/12/22 RM5,000.00"/>
    <m/>
  </r>
  <r>
    <d v="2022-07-18T00:00:00"/>
    <n v="7"/>
    <x v="3"/>
    <s v="INV00000299"/>
    <s v="C00000020"/>
    <x v="19"/>
    <s v="RM Pigment Smooth Cream (25kg)"/>
    <n v="1"/>
    <s v="Cash"/>
    <x v="0"/>
    <d v="2022-07-18T00:00:00"/>
    <n v="7"/>
    <n v="2022"/>
    <n v="1000"/>
    <n v="-1000"/>
    <n v="0"/>
    <n v="1642234.5500000005"/>
    <s v="Cash"/>
    <s v="Trsf 29/12/22 RM5,000.00"/>
    <m/>
  </r>
  <r>
    <d v="2022-07-18T00:00:00"/>
    <n v="7"/>
    <x v="3"/>
    <s v="INV00000299"/>
    <s v="C00000020"/>
    <x v="19"/>
    <s v="RJ Mepoxe (5kg)"/>
    <n v="4"/>
    <s v="Cash"/>
    <x v="0"/>
    <d v="2022-07-18T00:00:00"/>
    <n v="7"/>
    <n v="2022"/>
    <n v="340"/>
    <n v="-340"/>
    <n v="0"/>
    <n v="1642574.5500000005"/>
    <s v="Cash"/>
    <s v="Trsf 29/12/22 RM5,000.00"/>
    <m/>
  </r>
  <r>
    <d v="2022-07-20T00:00:00"/>
    <n v="7"/>
    <x v="3"/>
    <s v="INV00000300"/>
    <s v="C00000020"/>
    <x v="19"/>
    <s v="RM CSM 450 64m(L) 1040mm(W) (30Kg)"/>
    <n v="2"/>
    <s v="Cash"/>
    <x v="0"/>
    <d v="2022-07-20T00:00:00"/>
    <n v="7"/>
    <n v="2022"/>
    <n v="588"/>
    <n v="-588"/>
    <n v="0"/>
    <n v="1643162.5500000005"/>
    <s v="Cash"/>
    <s v="Trsf 29/12/22 RM5,000.00"/>
    <m/>
  </r>
  <r>
    <d v="2022-07-20T00:00:00"/>
    <n v="7"/>
    <x v="3"/>
    <s v="INV00000300"/>
    <s v="C00000020"/>
    <x v="19"/>
    <s v="RA  Woven Roing 600 1120mm (45kg)"/>
    <n v="1"/>
    <s v="Cash"/>
    <x v="0"/>
    <d v="2022-07-20T00:00:00"/>
    <n v="7"/>
    <n v="2022"/>
    <n v="337.5"/>
    <n v="-337.5"/>
    <n v="0"/>
    <n v="1643500.0500000005"/>
    <s v="Cash"/>
    <s v="Trsf 29/12/22 RM5,000.00"/>
    <m/>
  </r>
  <r>
    <d v="2022-07-23T00:00:00"/>
    <n v="7"/>
    <x v="3"/>
    <s v="INV00000301"/>
    <s v="C00000020"/>
    <x v="19"/>
    <s v="RM Nor 3338W (220Kg)"/>
    <n v="2"/>
    <s v="Cash"/>
    <x v="0"/>
    <d v="2022-07-23T00:00:00"/>
    <n v="7"/>
    <n v="2022"/>
    <n v="4136"/>
    <n v="-4136"/>
    <n v="0"/>
    <n v="1647636.0500000005"/>
    <s v="Cash"/>
    <s v="Trsf 29/12/22 RM5,000.00(RM1,670.30), Trsf 4/1/23 RM30,000.00(RM2,465.70partial)"/>
    <m/>
  </r>
  <r>
    <d v="2022-07-23T00:00:00"/>
    <n v="7"/>
    <x v="3"/>
    <s v="INV00000301"/>
    <s v="C00000020"/>
    <x v="19"/>
    <s v="RM CSM 450 64m(L) 1040mm(W) (30Kg)"/>
    <n v="6"/>
    <s v="Cash"/>
    <x v="0"/>
    <d v="2022-07-23T00:00:00"/>
    <n v="7"/>
    <n v="2022"/>
    <n v="1764"/>
    <n v="-1764"/>
    <n v="0"/>
    <n v="1649400.0500000005"/>
    <s v="Cash"/>
    <s v="Trsf 4/1/23 RM30,000.00"/>
    <m/>
  </r>
  <r>
    <d v="2022-07-23T00:00:00"/>
    <n v="7"/>
    <x v="3"/>
    <s v="INV00000301"/>
    <s v="C00000020"/>
    <x v="19"/>
    <s v="RJ Woven Roving E-600gm 1000mm (40Kg)"/>
    <n v="2"/>
    <s v="Cash"/>
    <x v="0"/>
    <d v="2022-07-23T00:00:00"/>
    <n v="7"/>
    <n v="2022"/>
    <n v="600"/>
    <n v="-600"/>
    <n v="0"/>
    <n v="1650000.0500000005"/>
    <s v="Cash"/>
    <s v="Trsf 4/1/23 RM30,000.00"/>
    <m/>
  </r>
  <r>
    <d v="2022-07-23T00:00:00"/>
    <n v="7"/>
    <x v="3"/>
    <s v="INV00000301"/>
    <s v="C00000020"/>
    <x v="19"/>
    <s v="RM Talcum Powder (25kg)"/>
    <n v="2"/>
    <s v="Cash"/>
    <x v="0"/>
    <d v="2022-07-23T00:00:00"/>
    <n v="7"/>
    <n v="2022"/>
    <n v="125"/>
    <n v="-125"/>
    <n v="0"/>
    <n v="1650125.0500000005"/>
    <s v="Cash"/>
    <s v="Trsf 4/1/23 RM30,000.00"/>
    <m/>
  </r>
  <r>
    <d v="2022-07-23T00:00:00"/>
    <n v="7"/>
    <x v="3"/>
    <s v="INV00000302"/>
    <s v="C00000001"/>
    <x v="0"/>
    <s v="RM Resin 3317AW (220Kg)"/>
    <n v="2"/>
    <s v="Cash"/>
    <x v="0"/>
    <d v="2022-07-23T00:00:00"/>
    <n v="7"/>
    <n v="2022"/>
    <n v="4092"/>
    <n v="-4092"/>
    <n v="0"/>
    <n v="1654217.0500000005"/>
    <s v="Cash"/>
    <s v="Trsf 29/7/22 RM4,092.00"/>
    <m/>
  </r>
  <r>
    <d v="2022-07-26T00:00:00"/>
    <n v="7"/>
    <x v="3"/>
    <s v="INV00000303"/>
    <s v="C00000010"/>
    <x v="9"/>
    <s v="RM Resin 3338AW (220kg)"/>
    <n v="5"/>
    <s v="T120"/>
    <x v="4"/>
    <d v="2022-11-23T00:00:00"/>
    <n v="11"/>
    <n v="2022"/>
    <n v="9900"/>
    <n v="-9900"/>
    <n v="0"/>
    <n v="1664117.0500000005"/>
    <s v="Term"/>
    <s v="Trsf 18/10/22 RM13,445.00"/>
    <m/>
  </r>
  <r>
    <d v="2022-07-26T00:00:00"/>
    <n v="7"/>
    <x v="3"/>
    <s v="INV00000303"/>
    <s v="C00000010"/>
    <x v="9"/>
    <s v="RM CSM 450 64m(L) 1040mm(W) (30Kg)"/>
    <n v="10"/>
    <s v="T120"/>
    <x v="4"/>
    <d v="2022-11-23T00:00:00"/>
    <n v="11"/>
    <n v="2022"/>
    <n v="2850"/>
    <n v="-2850"/>
    <n v="0"/>
    <n v="1666967.0500000005"/>
    <s v="Term"/>
    <s v="Trsf 18/10/22 RM13,445.00"/>
    <m/>
  </r>
  <r>
    <d v="2022-07-26T00:00:00"/>
    <n v="7"/>
    <x v="3"/>
    <s v="INV00000303"/>
    <s v="C00000010"/>
    <x v="9"/>
    <s v="RM Talcum Powder (25kg)"/>
    <n v="5"/>
    <s v="T120"/>
    <x v="4"/>
    <d v="2022-11-23T00:00:00"/>
    <n v="11"/>
    <n v="2022"/>
    <n v="275"/>
    <n v="-275"/>
    <n v="0"/>
    <n v="1667242.0500000005"/>
    <s v="Term"/>
    <s v="Trsf 18/10/22 RM13,445.00"/>
    <m/>
  </r>
  <r>
    <d v="2022-07-26T00:00:00"/>
    <n v="7"/>
    <x v="3"/>
    <s v="INV00000303"/>
    <s v="C00000010"/>
    <x v="9"/>
    <s v="RA Butanox M50 (5kg)"/>
    <n v="4"/>
    <s v="T120"/>
    <x v="4"/>
    <d v="2022-11-23T00:00:00"/>
    <n v="11"/>
    <n v="2022"/>
    <n v="420"/>
    <n v="-420"/>
    <n v="0"/>
    <n v="1667662.0500000005"/>
    <s v="Term"/>
    <s v="Trsf 18/10/22 RM13,445.00"/>
    <m/>
  </r>
  <r>
    <d v="2022-07-29T00:00:00"/>
    <n v="7"/>
    <x v="3"/>
    <s v="INV00000304"/>
    <s v="C00000021"/>
    <x v="21"/>
    <s v="RM Resin 3317AW (220Kg)"/>
    <n v="1"/>
    <s v="Cash"/>
    <x v="0"/>
    <d v="2022-07-29T00:00:00"/>
    <n v="7"/>
    <n v="2022"/>
    <n v="2090"/>
    <n v="-2090"/>
    <n v="0"/>
    <n v="1669752.0500000005"/>
    <s v="Cash"/>
    <s v="Chq PBB 395369, cleared201022 RM2,180.00"/>
    <m/>
  </r>
  <r>
    <d v="2022-07-29T00:00:00"/>
    <n v="7"/>
    <x v="3"/>
    <s v="INV00000304"/>
    <s v="C00000021"/>
    <x v="21"/>
    <s v="RJ Mepoxe (5kg)"/>
    <n v="1"/>
    <s v="Cash"/>
    <x v="0"/>
    <d v="2022-07-29T00:00:00"/>
    <n v="7"/>
    <n v="2022"/>
    <n v="90"/>
    <n v="-90"/>
    <n v="0"/>
    <n v="1669842.0500000005"/>
    <s v="Cash"/>
    <s v="Chq PBB 395369, cleared201022 RM2,180.00"/>
    <m/>
  </r>
  <r>
    <d v="2022-07-29T00:00:00"/>
    <n v="7"/>
    <x v="3"/>
    <s v="INV00000305"/>
    <s v="C00000009"/>
    <x v="8"/>
    <s v="RM Nor 3338W (220Kg)"/>
    <n v="2"/>
    <s v="T60"/>
    <x v="3"/>
    <d v="2022-09-27T00:00:00"/>
    <n v="9"/>
    <n v="2022"/>
    <n v="3960"/>
    <n v="-3960"/>
    <n v="0"/>
    <n v="1673802.0500000005"/>
    <s v="Term"/>
    <s v="Chq HL 016715 dd 16/11/22"/>
    <m/>
  </r>
  <r>
    <d v="2022-07-29T00:00:00"/>
    <n v="7"/>
    <x v="3"/>
    <s v="INV00000305"/>
    <s v="C00000009"/>
    <x v="8"/>
    <s v="RM CSM 450 Jushi 64m(L) X 1860mm(W) (67Kg)"/>
    <n v="1"/>
    <s v="T60"/>
    <x v="3"/>
    <d v="2022-09-27T00:00:00"/>
    <n v="9"/>
    <n v="2022"/>
    <n v="636.5"/>
    <n v="-636.5"/>
    <n v="0"/>
    <n v="1674438.5500000005"/>
    <s v="Term"/>
    <s v="Chq HL 016715 dd 16/11/22"/>
    <m/>
  </r>
  <r>
    <d v="2022-08-04T00:00:00"/>
    <n v="8"/>
    <x v="3"/>
    <s v="INV00000306"/>
    <s v="C00000027"/>
    <x v="27"/>
    <s v="RM Resin 3317AW (220Kg)"/>
    <n v="3"/>
    <s v="Cash"/>
    <x v="0"/>
    <d v="2022-08-04T00:00:00"/>
    <n v="8"/>
    <n v="2022"/>
    <n v="6006"/>
    <n v="-6006"/>
    <n v="0"/>
    <n v="1680444.5500000005"/>
    <s v="Cash"/>
    <s v="Bank Islam 0159032 Cleared28/9/22, RM12,643.00"/>
    <m/>
  </r>
  <r>
    <d v="2022-08-04T00:00:00"/>
    <n v="8"/>
    <x v="3"/>
    <s v="INV00000306"/>
    <s v="C00000027"/>
    <x v="27"/>
    <s v="RM CSM 450 Jushi 64m(L) X 1860mm(W) (67kg)"/>
    <n v="2"/>
    <s v="Cash"/>
    <x v="0"/>
    <d v="2022-08-04T00:00:00"/>
    <n v="8"/>
    <n v="2022"/>
    <n v="1259.5999999999999"/>
    <n v="-1259.5999999999999"/>
    <n v="0"/>
    <n v="1681704.1500000006"/>
    <s v="Cash"/>
    <s v="Bank Islamn0159032 Cleared28/9/22, RM12,643.00"/>
    <m/>
  </r>
  <r>
    <d v="2022-08-04T00:00:00"/>
    <n v="8"/>
    <x v="3"/>
    <s v="INV00000306"/>
    <s v="C00000027"/>
    <x v="27"/>
    <s v="RA CSM 300 96m(L) X 1860mm(W) (54Kg)"/>
    <n v="2"/>
    <s v="Cash"/>
    <x v="0"/>
    <d v="2022-08-04T00:00:00"/>
    <n v="8"/>
    <n v="2022"/>
    <n v="1015.2"/>
    <n v="-1015.2"/>
    <n v="0"/>
    <n v="1682719.3500000006"/>
    <s v="Cash"/>
    <s v="Bank Islam 0159032 Cleared28/9/22, RM12,643.00"/>
    <m/>
  </r>
  <r>
    <d v="2022-08-04T00:00:00"/>
    <n v="8"/>
    <x v="3"/>
    <s v="INV00000306"/>
    <s v="C00000027"/>
    <x v="27"/>
    <s v="RJ Woven Roving E-600gm 1000mm (40Kg)"/>
    <n v="2"/>
    <s v="Cash"/>
    <x v="0"/>
    <d v="2022-08-04T00:00:00"/>
    <n v="8"/>
    <n v="2022"/>
    <n v="560"/>
    <n v="-560"/>
    <n v="0"/>
    <n v="1683279.3500000006"/>
    <s v="Cash"/>
    <s v="Bank Islam 0159032 Cleared28/9/22, RM12,643.00"/>
    <m/>
  </r>
  <r>
    <d v="2022-08-04T00:00:00"/>
    <n v="8"/>
    <x v="3"/>
    <s v="INV00000306"/>
    <s v="C00000027"/>
    <x v="27"/>
    <s v="RM Pigment Super White (5Kg)"/>
    <n v="4"/>
    <s v="Cash"/>
    <x v="0"/>
    <d v="2022-08-04T00:00:00"/>
    <n v="8"/>
    <n v="2022"/>
    <n v="640"/>
    <n v="-640"/>
    <n v="0"/>
    <n v="1683919.3500000006"/>
    <s v="Cash"/>
    <s v="Bank Islam 0159032 Cleared28/9/22, RM12,643.00"/>
    <m/>
  </r>
  <r>
    <d v="2022-08-04T00:00:00"/>
    <n v="8"/>
    <x v="3"/>
    <s v="INV00000306"/>
    <s v="C00000027"/>
    <x v="27"/>
    <s v="RJ Mepoxe (5kg)"/>
    <n v="1"/>
    <s v="Cash"/>
    <x v="0"/>
    <d v="2022-08-04T00:00:00"/>
    <n v="8"/>
    <n v="2022"/>
    <n v="90"/>
    <n v="-90"/>
    <n v="0"/>
    <n v="1684009.3500000006"/>
    <s v="Cash"/>
    <s v="Bank Islam 0159032 Cleared28/9/22, RM12,643.00"/>
    <m/>
  </r>
  <r>
    <d v="2022-08-04T00:00:00"/>
    <n v="8"/>
    <x v="3"/>
    <s v="INV00000306"/>
    <s v="C00000027"/>
    <x v="27"/>
    <s v="RM Acetone (163Kg)"/>
    <n v="1"/>
    <s v="Cash"/>
    <x v="0"/>
    <d v="2022-08-04T00:00:00"/>
    <n v="8"/>
    <n v="2022"/>
    <n v="1108.4000000000001"/>
    <n v="-1108.4000000000001"/>
    <n v="0"/>
    <n v="1685117.7500000005"/>
    <s v="Cash"/>
    <s v="Bank Islam 0159032 Cleared28/9/22, RM12,643.00"/>
    <m/>
  </r>
  <r>
    <d v="2022-08-04T00:00:00"/>
    <n v="8"/>
    <x v="3"/>
    <s v="INV00000306"/>
    <s v="C00000027"/>
    <x v="27"/>
    <s v="RM Fume silica HJSIL 200(10Kg)"/>
    <n v="1"/>
    <s v="Cash"/>
    <x v="0"/>
    <d v="2022-08-04T00:00:00"/>
    <n v="8"/>
    <n v="2022"/>
    <n v="440"/>
    <n v="-440"/>
    <n v="0"/>
    <n v="1685557.7500000005"/>
    <s v="Cash"/>
    <s v="Bank Islam 0159032 Cleared28/9/22, RM12,643.00"/>
    <m/>
  </r>
  <r>
    <d v="2022-08-04T00:00:00"/>
    <n v="8"/>
    <x v="3"/>
    <s v="INV00000306"/>
    <s v="C00000027"/>
    <x v="27"/>
    <s v="RM Gelcoat GPH (20kg)"/>
    <n v="6"/>
    <s v="Cash"/>
    <x v="0"/>
    <d v="2022-08-04T00:00:00"/>
    <n v="8"/>
    <n v="2022"/>
    <n v="1524"/>
    <n v="-1523.8"/>
    <n v="0.20000000000004547"/>
    <n v="1687081.7500000005"/>
    <s v="Cash"/>
    <s v="Bank Islam 0159032 Cleared28/9/22, RM12,643.00"/>
    <m/>
  </r>
  <r>
    <d v="2022-08-06T00:00:00"/>
    <n v="8"/>
    <x v="3"/>
    <s v="INV00000307"/>
    <s v="C00000020"/>
    <x v="19"/>
    <s v="RM Resin 3317AW (220Kg)"/>
    <n v="1"/>
    <s v="Cash"/>
    <x v="0"/>
    <d v="2022-08-06T00:00:00"/>
    <n v="8"/>
    <n v="2022"/>
    <n v="2068"/>
    <n v="-2068"/>
    <n v="0"/>
    <n v="1689149.7500000005"/>
    <s v="Cash"/>
    <s v="Trsf 4/1/23 RM30,000.00"/>
    <m/>
  </r>
  <r>
    <d v="2022-08-06T00:00:00"/>
    <n v="8"/>
    <x v="3"/>
    <s v="INV00000307"/>
    <s v="C00000020"/>
    <x v="19"/>
    <s v="RA CSM 450 GSM JUSHI 79m(L) X 1040mm(W) (37kg)"/>
    <n v="6"/>
    <s v="Cash"/>
    <x v="0"/>
    <d v="2022-08-06T00:00:00"/>
    <n v="8"/>
    <n v="2022"/>
    <n v="2175.6000000000004"/>
    <n v="-2175.6000000000004"/>
    <n v="0"/>
    <n v="1691325.3500000006"/>
    <s v="Cash"/>
    <s v="Trsf 4/1/23 RM30,000.00"/>
    <m/>
  </r>
  <r>
    <d v="2022-08-06T00:00:00"/>
    <n v="8"/>
    <x v="3"/>
    <s v="INV00000307"/>
    <s v="C00000020"/>
    <x v="19"/>
    <s v="RJ Woven Roving E-600gm 1000mm (40Kg)"/>
    <n v="3"/>
    <s v="Cash"/>
    <x v="0"/>
    <d v="2022-08-06T00:00:00"/>
    <n v="8"/>
    <n v="2022"/>
    <n v="900"/>
    <n v="-900"/>
    <n v="0"/>
    <n v="1692225.3500000006"/>
    <s v="Cash"/>
    <s v="Trsf 4/1/23 RM30,000.00"/>
    <m/>
  </r>
  <r>
    <d v="2022-08-06T00:00:00"/>
    <n v="8"/>
    <x v="3"/>
    <s v="INV00000307"/>
    <s v="C00000020"/>
    <x v="19"/>
    <s v="RM Talcum Powder (25kg)"/>
    <n v="2"/>
    <s v="Cash"/>
    <x v="0"/>
    <d v="2022-08-06T00:00:00"/>
    <n v="8"/>
    <n v="2022"/>
    <n v="125"/>
    <n v="-125"/>
    <n v="0"/>
    <n v="1692350.3500000006"/>
    <s v="Cash"/>
    <s v="Trsf 4/1/23 RM30,000.00"/>
    <m/>
  </r>
  <r>
    <d v="2022-08-06T00:00:00"/>
    <n v="8"/>
    <x v="3"/>
    <s v="INV00000308"/>
    <s v="C00000001"/>
    <x v="0"/>
    <s v="RM Woven Roving E-800 1000mm (40Kg)"/>
    <n v="3"/>
    <s v="Cash"/>
    <x v="0"/>
    <d v="2022-08-06T00:00:00"/>
    <n v="8"/>
    <n v="2022"/>
    <n v="864"/>
    <n v="-864"/>
    <n v="0"/>
    <n v="1693214.3500000006"/>
    <s v="Cash"/>
    <s v="Trsf 13/8/22 RM864.00"/>
    <m/>
  </r>
  <r>
    <d v="2022-08-09T00:00:00"/>
    <n v="8"/>
    <x v="3"/>
    <s v="INV00000309"/>
    <s v="C00000026"/>
    <x v="26"/>
    <s v="RM Resin 3317AW (220Kg)"/>
    <n v="1"/>
    <s v="Cash"/>
    <x v="0"/>
    <d v="2022-08-09T00:00:00"/>
    <n v="8"/>
    <n v="2022"/>
    <n v="2068"/>
    <n v="-2068"/>
    <n v="0"/>
    <n v="1695282.3500000006"/>
    <s v="Cash"/>
    <s v="Trsf 9/8/22 RM2,068.00"/>
    <m/>
  </r>
  <r>
    <d v="2022-08-12T00:00:00"/>
    <n v="8"/>
    <x v="3"/>
    <s v="INV00000310"/>
    <s v="C00000020"/>
    <x v="19"/>
    <s v="RM Nor 3338W (220Kg)"/>
    <n v="1"/>
    <s v="Cash"/>
    <x v="0"/>
    <d v="2022-08-12T00:00:00"/>
    <n v="8"/>
    <n v="2022"/>
    <n v="2068"/>
    <n v="-2068"/>
    <n v="0"/>
    <n v="1697350.3500000006"/>
    <s v="Cash"/>
    <s v="Trsf 4/1/23 RM30,000.00"/>
    <m/>
  </r>
  <r>
    <d v="2022-08-12T00:00:00"/>
    <n v="8"/>
    <x v="3"/>
    <s v="INV00000310"/>
    <s v="C00000020"/>
    <x v="19"/>
    <s v="RM CSM 450 64m(L) 1040mm(W) (30Kg)"/>
    <n v="3"/>
    <s v="Cash"/>
    <x v="0"/>
    <d v="2022-08-12T00:00:00"/>
    <n v="8"/>
    <n v="2022"/>
    <n v="882"/>
    <n v="-882"/>
    <n v="0"/>
    <n v="1698232.3500000006"/>
    <s v="Cash"/>
    <s v="Trsf 4/1/23 RM30,000.00"/>
    <m/>
  </r>
  <r>
    <d v="2022-08-12T00:00:00"/>
    <n v="8"/>
    <x v="3"/>
    <s v="INV00000310"/>
    <s v="C00000020"/>
    <x v="19"/>
    <s v="RJ Woven Roving E-600gm 1000mm (40Kg)"/>
    <n v="1"/>
    <s v="Cash"/>
    <x v="0"/>
    <d v="2022-08-12T00:00:00"/>
    <n v="8"/>
    <n v="2022"/>
    <n v="300"/>
    <n v="-300"/>
    <n v="0"/>
    <n v="1698532.3500000006"/>
    <s v="Cash"/>
    <s v="Trsf 4/1/23 RM30,000.00"/>
    <m/>
  </r>
  <r>
    <d v="2022-08-12T00:00:00"/>
    <n v="8"/>
    <x v="3"/>
    <s v="INV00000310"/>
    <s v="C00000020"/>
    <x v="19"/>
    <s v="RM Talcum Powder (25kg)"/>
    <n v="1"/>
    <s v="Cash"/>
    <x v="0"/>
    <d v="2022-08-12T00:00:00"/>
    <n v="8"/>
    <n v="2022"/>
    <n v="62.5"/>
    <n v="-62.5"/>
    <n v="0"/>
    <n v="1698594.8500000006"/>
    <s v="Cash"/>
    <s v="Trsf 4/1/23 RM30,000.00"/>
    <m/>
  </r>
  <r>
    <d v="2022-08-12T00:00:00"/>
    <n v="8"/>
    <x v="3"/>
    <s v="INV00000310"/>
    <s v="C00000020"/>
    <x v="19"/>
    <s v="RM Pigment Smooth Cream (25kg)"/>
    <n v="1"/>
    <s v="Cash"/>
    <x v="0"/>
    <d v="2022-08-12T00:00:00"/>
    <n v="8"/>
    <n v="2022"/>
    <n v="1000"/>
    <n v="-1000"/>
    <n v="0"/>
    <n v="1699594.8500000006"/>
    <s v="Cash"/>
    <s v="Trsf 4/1/23 RM30,000.00"/>
    <m/>
  </r>
  <r>
    <d v="2022-08-15T00:00:00"/>
    <n v="8"/>
    <x v="3"/>
    <s v="INV00000311"/>
    <s v="CANCELLED INVOICE"/>
    <x v="28"/>
    <s v="-"/>
    <n v="0"/>
    <s v="-"/>
    <x v="0"/>
    <d v="2022-08-15T00:00:00"/>
    <n v="8"/>
    <n v="2022"/>
    <n v="0"/>
    <m/>
    <n v="0"/>
    <n v="1699594.8500000006"/>
    <s v="-"/>
    <m/>
    <m/>
  </r>
  <r>
    <d v="2022-08-15T00:00:00"/>
    <n v="8"/>
    <x v="3"/>
    <s v="INV00000312"/>
    <s v="C00000004"/>
    <x v="3"/>
    <s v="RM Resin Nor 3338W (220Kg)"/>
    <n v="5"/>
    <s v="T120"/>
    <x v="4"/>
    <d v="2022-12-13T00:00:00"/>
    <n v="12"/>
    <n v="2022"/>
    <n v="9570"/>
    <n v="-9570"/>
    <n v="0"/>
    <n v="1709164.8500000006"/>
    <s v="Term"/>
    <s v="HLB014947Cleared21/11/22-RM16,536.70"/>
    <m/>
  </r>
  <r>
    <d v="2022-08-15T00:00:00"/>
    <n v="8"/>
    <x v="3"/>
    <s v="INV00000312"/>
    <s v="C00000004"/>
    <x v="3"/>
    <s v="RM Resin 268BQTN (225Kg)"/>
    <n v="1"/>
    <s v="T120"/>
    <x v="4"/>
    <d v="2022-12-13T00:00:00"/>
    <n v="12"/>
    <n v="2022"/>
    <n v="1957.5"/>
    <n v="-1957.5"/>
    <n v="0"/>
    <n v="1711122.3500000006"/>
    <s v="Term"/>
    <s v="HLB014947Cleared21/11/22-RM16,536.70"/>
    <m/>
  </r>
  <r>
    <d v="2022-08-15T00:00:00"/>
    <n v="8"/>
    <x v="3"/>
    <s v="INV00000312"/>
    <s v="C00000004"/>
    <x v="3"/>
    <s v="RM CSM 450 Jushi 64m(L) X 1860mm(W) (67kg)"/>
    <n v="4"/>
    <s v="T120"/>
    <x v="4"/>
    <d v="2022-12-13T00:00:00"/>
    <n v="12"/>
    <n v="2022"/>
    <n v="2358.4"/>
    <n v="-2358.4"/>
    <n v="0"/>
    <n v="1713480.7500000005"/>
    <s v="Term"/>
    <s v="HLB014947Cleared21/11/22-RM16,536.70"/>
    <m/>
  </r>
  <r>
    <d v="2022-08-15T00:00:00"/>
    <n v="8"/>
    <x v="3"/>
    <s v="INV00000312"/>
    <s v="C00000004"/>
    <x v="3"/>
    <s v="RA CSM 300 TWL 54Kg 96m(L) X 1860mm(W)"/>
    <n v="4"/>
    <s v="T120"/>
    <x v="4"/>
    <d v="2022-12-13T00:00:00"/>
    <n v="12"/>
    <n v="2022"/>
    <n v="1900.8"/>
    <n v="-1900.8"/>
    <n v="0"/>
    <n v="1715381.5500000005"/>
    <s v="Term"/>
    <s v="HLB014947Cleared21/11/22-RM16,536.70"/>
    <m/>
  </r>
  <r>
    <d v="2022-08-15T00:00:00"/>
    <n v="8"/>
    <x v="3"/>
    <s v="INV00000312"/>
    <s v="C00000004"/>
    <x v="3"/>
    <s v="RJ Mepoxe (5kg)"/>
    <n v="4"/>
    <s v="T120"/>
    <x v="4"/>
    <d v="2022-12-13T00:00:00"/>
    <n v="12"/>
    <n v="2022"/>
    <n v="360"/>
    <n v="-360"/>
    <n v="0"/>
    <n v="1715741.5500000005"/>
    <s v="Term"/>
    <s v="HLB014947Cleared21/11/22-RM16,536.70"/>
    <m/>
  </r>
  <r>
    <d v="2022-08-15T00:00:00"/>
    <n v="8"/>
    <x v="3"/>
    <s v="INV00000312"/>
    <s v="C00000004"/>
    <x v="3"/>
    <s v="RM Cobalt 10% (5Kg)"/>
    <n v="1"/>
    <s v="T120"/>
    <x v="4"/>
    <d v="2022-12-13T00:00:00"/>
    <n v="12"/>
    <n v="2022"/>
    <n v="390"/>
    <n v="-390"/>
    <n v="0"/>
    <n v="1716131.5500000005"/>
    <s v="Term"/>
    <s v="HLB014947Cleared21/11/22-RM16,536.70"/>
    <m/>
  </r>
  <r>
    <d v="2022-08-15T00:00:00"/>
    <n v="8"/>
    <x v="3"/>
    <s v="INV00000313"/>
    <s v="C00000003"/>
    <x v="2"/>
    <s v="RA Resin 3317AW (220Kg)"/>
    <n v="3"/>
    <s v="T45"/>
    <x v="1"/>
    <d v="2022-09-29T00:00:00"/>
    <n v="9"/>
    <n v="2022"/>
    <n v="6336"/>
    <n v="-6336"/>
    <n v="0"/>
    <n v="1722467.5500000005"/>
    <s v="Term"/>
    <s v="RHB 00458 12/9/22cleared-RM2,000.00(partial), RHB 00459 19/9/22cleared-RM2,000.00(partial), RHB 00460 26/9/22cleared-RM2,000.00(partial), RHB 00461 11/10/22cleared-RM1,521.00(RM336.00partial)"/>
    <m/>
  </r>
  <r>
    <d v="2022-08-15T00:00:00"/>
    <n v="8"/>
    <x v="3"/>
    <s v="INV00000313"/>
    <s v="C00000003"/>
    <x v="2"/>
    <s v="RA Talcum Powder (25kg)"/>
    <n v="3"/>
    <s v="T45"/>
    <x v="1"/>
    <d v="2022-09-29T00:00:00"/>
    <n v="9"/>
    <n v="2022"/>
    <n v="195"/>
    <n v="-195"/>
    <n v="0"/>
    <n v="1722662.5500000005"/>
    <s v="Term"/>
    <s v="RHB 00461 11/10/22cleared-RM1,521.00(partial)"/>
    <m/>
  </r>
  <r>
    <d v="2022-08-15T00:00:00"/>
    <n v="8"/>
    <x v="3"/>
    <s v="INV00000313"/>
    <s v="C00000003"/>
    <x v="2"/>
    <s v="RA Butanox M50 (5Kg)"/>
    <n v="6"/>
    <s v="T45"/>
    <x v="1"/>
    <d v="2022-09-29T00:00:00"/>
    <n v="9"/>
    <n v="2022"/>
    <n v="630"/>
    <n v="-630"/>
    <n v="0"/>
    <n v="1723292.5500000005"/>
    <s v="Term"/>
    <s v="RHB 00461 11/10/22cleared-RM1,521.00(partial)"/>
    <m/>
  </r>
  <r>
    <d v="2022-08-15T00:00:00"/>
    <n v="8"/>
    <x v="3"/>
    <s v="INV00000313"/>
    <s v="C00000003"/>
    <x v="2"/>
    <s v="RA Miracle Gloss Wax"/>
    <n v="1"/>
    <s v="T45"/>
    <x v="1"/>
    <d v="2022-09-29T00:00:00"/>
    <n v="9"/>
    <n v="2022"/>
    <n v="45"/>
    <n v="-45"/>
    <n v="0"/>
    <n v="1723337.5500000005"/>
    <s v="Term"/>
    <s v="RHB 00461 11/10/22cleared-RM1,521.00(partial)"/>
    <m/>
  </r>
  <r>
    <d v="2022-08-15T00:00:00"/>
    <n v="8"/>
    <x v="3"/>
    <s v="INV00000313"/>
    <s v="C00000003"/>
    <x v="2"/>
    <s v="RA CSM 300 TWL 54Kg 96m(L) X 1860mm(W)"/>
    <n v="1"/>
    <s v="T45"/>
    <x v="1"/>
    <d v="2022-09-29T00:00:00"/>
    <n v="9"/>
    <n v="2022"/>
    <n v="315"/>
    <n v="-315"/>
    <n v="0"/>
    <n v="1723652.5500000005"/>
    <s v="Term"/>
    <s v="RHB 00461 11/10/22cleared-RM1,521.00(partial)"/>
    <m/>
  </r>
  <r>
    <d v="2022-08-16T00:00:00"/>
    <n v="8"/>
    <x v="3"/>
    <s v="INV00000314"/>
    <s v="C00000021"/>
    <x v="21"/>
    <s v="RM Resin 3317AW (220Kg)"/>
    <n v="1"/>
    <s v="Cash"/>
    <x v="0"/>
    <d v="2022-08-16T00:00:00"/>
    <n v="8"/>
    <n v="2022"/>
    <n v="2002"/>
    <n v="-2002"/>
    <n v="0"/>
    <n v="1725654.5500000005"/>
    <s v="Cash"/>
    <s v="Chq PBB 395370, cleared311022 RM3,459.00"/>
    <m/>
  </r>
  <r>
    <d v="2022-08-16T00:00:00"/>
    <n v="8"/>
    <x v="3"/>
    <s v="INV00000314"/>
    <s v="C00000021"/>
    <x v="21"/>
    <s v="RA CSM 450 Jushi 64m(L) x 1040mm(W) (37Kg)"/>
    <n v="3"/>
    <s v="Cash"/>
    <x v="0"/>
    <d v="2022-08-16T00:00:00"/>
    <n v="8"/>
    <n v="2022"/>
    <n v="1054.5"/>
    <n v="-1054.5"/>
    <n v="0"/>
    <n v="1726709.0500000005"/>
    <s v="Cash"/>
    <s v="Chq PBB 395370, cleared311022 RM3,459.00"/>
    <m/>
  </r>
  <r>
    <d v="2022-08-16T00:00:00"/>
    <n v="8"/>
    <x v="3"/>
    <s v="INV00000314"/>
    <s v="C00000021"/>
    <x v="21"/>
    <s v="RJ Mepoxe (5kg)"/>
    <n v="1"/>
    <s v="Cash"/>
    <x v="0"/>
    <d v="2022-08-16T00:00:00"/>
    <n v="8"/>
    <n v="2022"/>
    <n v="90"/>
    <n v="-90"/>
    <n v="0"/>
    <n v="1726799.0500000005"/>
    <s v="Cash"/>
    <s v="Chq PBB 395370, cleared311022 RM3,459.00"/>
    <m/>
  </r>
  <r>
    <d v="2022-08-16T00:00:00"/>
    <n v="8"/>
    <x v="3"/>
    <s v="INV00000314"/>
    <s v="C00000021"/>
    <x v="21"/>
    <s v="RA Talcum Powder (25kg)"/>
    <n v="5"/>
    <s v="Cash"/>
    <x v="0"/>
    <d v="2022-08-16T00:00:00"/>
    <n v="8"/>
    <n v="2022"/>
    <n v="312.5"/>
    <n v="-312.5"/>
    <n v="0"/>
    <n v="1727111.5500000005"/>
    <s v="Cash"/>
    <s v="Chq PBB 395370, cleared311022 RM3,459.00"/>
    <m/>
  </r>
  <r>
    <d v="2022-08-23T00:00:00"/>
    <n v="8"/>
    <x v="3"/>
    <s v="INV00000315"/>
    <s v="C00000027"/>
    <x v="27"/>
    <s v="RM Resin 3317AW (220Kg)"/>
    <n v="2"/>
    <s v="Cash"/>
    <x v="0"/>
    <d v="2022-08-23T00:00:00"/>
    <n v="8"/>
    <n v="2022"/>
    <n v="4004"/>
    <n v="-4004"/>
    <n v="0"/>
    <n v="1731115.5500000005"/>
    <s v="Cash"/>
    <s v="Bank Islam 0159046 Cleared27/10/22, RM11,846.00"/>
    <m/>
  </r>
  <r>
    <d v="2022-08-23T00:00:00"/>
    <n v="8"/>
    <x v="3"/>
    <s v="INV00000315"/>
    <s v="C00000027"/>
    <x v="27"/>
    <s v="RM Pigment Super White (5Kg)"/>
    <n v="4"/>
    <s v="Cash"/>
    <x v="0"/>
    <d v="2022-08-23T00:00:00"/>
    <n v="8"/>
    <n v="2022"/>
    <n v="640"/>
    <n v="-640"/>
    <n v="0"/>
    <n v="1731755.5500000005"/>
    <s v="Cash"/>
    <s v="Bank Islam 0159046 Cleared27/10/22, RM11,846.00"/>
    <m/>
  </r>
  <r>
    <d v="2022-08-23T00:00:00"/>
    <n v="8"/>
    <x v="3"/>
    <s v="INV00000315"/>
    <s v="C00000027"/>
    <x v="27"/>
    <s v="RJ Mepoxe (5kg)"/>
    <n v="2"/>
    <s v="Cash"/>
    <x v="0"/>
    <d v="2022-08-23T00:00:00"/>
    <n v="8"/>
    <n v="2022"/>
    <n v="180"/>
    <n v="-180"/>
    <n v="0"/>
    <n v="1731935.5500000005"/>
    <s v="Cash"/>
    <s v="Bank Islam 0159046 Cleared27/10/22, RM11,846.00"/>
    <m/>
  </r>
  <r>
    <d v="2022-08-23T00:00:00"/>
    <n v="8"/>
    <x v="3"/>
    <s v="INV00000315"/>
    <s v="C00000027"/>
    <x v="27"/>
    <s v="RM Gelcoat GPH (20kg)"/>
    <n v="4"/>
    <s v="Cash"/>
    <x v="0"/>
    <d v="2022-08-23T00:00:00"/>
    <n v="8"/>
    <n v="2022"/>
    <n v="1016"/>
    <n v="-1016"/>
    <n v="0"/>
    <n v="1732951.5500000005"/>
    <s v="Cash"/>
    <s v="Bank Islam 0159046 Cleared27/10/22, RM11,846.00"/>
    <m/>
  </r>
  <r>
    <d v="2022-08-23T00:00:00"/>
    <n v="8"/>
    <x v="3"/>
    <s v="INV00000316"/>
    <s v="C00000020"/>
    <x v="19"/>
    <s v="RM Nor 3338W (220Kg)"/>
    <n v="2"/>
    <s v="Cash"/>
    <x v="0"/>
    <d v="2022-08-23T00:00:00"/>
    <n v="8"/>
    <n v="2022"/>
    <n v="4092"/>
    <n v="-4092"/>
    <n v="0"/>
    <n v="1737043.5500000005"/>
    <s v="Cash"/>
    <s v="Trsf 4/1/23 RM30,000.00"/>
    <m/>
  </r>
  <r>
    <d v="2022-08-23T00:00:00"/>
    <n v="8"/>
    <x v="3"/>
    <s v="INV00000316"/>
    <s v="C00000020"/>
    <x v="19"/>
    <s v="RA CSM 450 Jushi 64m(L) x 1040mm(W) (37Kg)"/>
    <n v="5"/>
    <s v="Cash"/>
    <x v="0"/>
    <d v="2022-08-23T00:00:00"/>
    <n v="8"/>
    <n v="2022"/>
    <n v="1757.5"/>
    <n v="-1757.5"/>
    <n v="0"/>
    <n v="1738801.0500000005"/>
    <s v="Cash"/>
    <s v="Trsf 4/1/23 RM30,000.00"/>
    <m/>
  </r>
  <r>
    <d v="2022-08-23T00:00:00"/>
    <n v="8"/>
    <x v="3"/>
    <s v="INV00000316"/>
    <s v="C00000020"/>
    <x v="19"/>
    <s v="RJ Woven Roving E-600gm 1000mm (40Kg)"/>
    <n v="3"/>
    <s v="Cash"/>
    <x v="0"/>
    <d v="2022-08-23T00:00:00"/>
    <n v="8"/>
    <n v="2022"/>
    <n v="864"/>
    <n v="-864"/>
    <n v="0"/>
    <n v="1739665.0500000005"/>
    <s v="Cash"/>
    <s v="Trsf 4/1/23 RM30,000.00"/>
    <m/>
  </r>
  <r>
    <d v="2022-08-23T00:00:00"/>
    <n v="8"/>
    <x v="3"/>
    <s v="INV00000316"/>
    <s v="C00000020"/>
    <x v="19"/>
    <s v="RM Talcum Powder (25kg)"/>
    <n v="2"/>
    <s v="Cash"/>
    <x v="0"/>
    <d v="2022-08-23T00:00:00"/>
    <n v="8"/>
    <n v="2022"/>
    <n v="125"/>
    <n v="-125"/>
    <n v="0"/>
    <n v="1739790.0500000005"/>
    <s v="Cash"/>
    <s v="Trsf 4/1/23 RM30,000.00"/>
    <m/>
  </r>
  <r>
    <d v="2022-08-23T00:00:00"/>
    <n v="8"/>
    <x v="3"/>
    <s v="INV00000317"/>
    <s v="C00000009"/>
    <x v="8"/>
    <s v="RM Gelcoat GPH (20kg)"/>
    <n v="3"/>
    <s v="T60"/>
    <x v="3"/>
    <d v="2022-10-22T00:00:00"/>
    <n v="10"/>
    <n v="2022"/>
    <n v="762"/>
    <n v="-762"/>
    <n v="0"/>
    <n v="1740552.0500000005"/>
    <s v="Term"/>
    <s v="Chq HL 017917 dd 17/1/23"/>
    <m/>
  </r>
  <r>
    <d v="2022-08-25T00:00:00"/>
    <n v="8"/>
    <x v="3"/>
    <s v="INV00000318"/>
    <s v="C00000010"/>
    <x v="9"/>
    <s v="RM Resin 3338AW (220kg)"/>
    <n v="6"/>
    <s v="T120"/>
    <x v="4"/>
    <d v="2022-12-23T00:00:00"/>
    <n v="12"/>
    <n v="2022"/>
    <n v="11616"/>
    <n v="-11616"/>
    <n v="0"/>
    <n v="1752168.0500000005"/>
    <s v="Term"/>
    <s v="Trsf 25/11/22 RM15,671.00"/>
    <m/>
  </r>
  <r>
    <d v="2022-08-25T00:00:00"/>
    <n v="8"/>
    <x v="3"/>
    <s v="INV00000318"/>
    <s v="C00000010"/>
    <x v="9"/>
    <s v="RA CSM 450 64m(L) 1040mm(W) (30Kg)"/>
    <n v="10"/>
    <s v="T120"/>
    <x v="4"/>
    <d v="2022-12-23T00:00:00"/>
    <n v="12"/>
    <n v="2022"/>
    <n v="2670"/>
    <n v="-2670"/>
    <n v="0"/>
    <n v="1754838.0500000005"/>
    <s v="Term"/>
    <s v="Trsf 25/11/22 RM15,671.00"/>
    <m/>
  </r>
  <r>
    <d v="2022-08-25T00:00:00"/>
    <n v="8"/>
    <x v="3"/>
    <s v="INV00000318"/>
    <s v="C00000010"/>
    <x v="9"/>
    <s v="RM Talcum Powder (25kg)"/>
    <n v="10"/>
    <s v="T120"/>
    <x v="4"/>
    <d v="2022-12-23T00:00:00"/>
    <n v="12"/>
    <n v="2022"/>
    <n v="550"/>
    <n v="-550"/>
    <n v="0"/>
    <n v="1755388.0500000005"/>
    <s v="Term"/>
    <s v="Trsf 25/11/22 RM15,671.00"/>
    <m/>
  </r>
  <r>
    <d v="2022-08-25T00:00:00"/>
    <n v="8"/>
    <x v="3"/>
    <s v="INV00000318"/>
    <s v="C00000010"/>
    <x v="9"/>
    <s v="RM Fume silica HJSIL 200(10Kg)"/>
    <n v="1"/>
    <s v="T120"/>
    <x v="4"/>
    <d v="2022-12-23T00:00:00"/>
    <n v="12"/>
    <n v="2022"/>
    <n v="440"/>
    <n v="-440"/>
    <n v="0"/>
    <n v="1755828.0500000005"/>
    <s v="Term"/>
    <s v="Trsf 25/11/22 RM15,671.00"/>
    <m/>
  </r>
  <r>
    <d v="2022-08-25T00:00:00"/>
    <n v="8"/>
    <x v="3"/>
    <s v="INV00000318"/>
    <s v="C00000010"/>
    <x v="9"/>
    <s v="RH Bosny Wax (15Kg)"/>
    <n v="1"/>
    <s v="T120"/>
    <x v="4"/>
    <d v="2022-12-23T00:00:00"/>
    <n v="12"/>
    <n v="2022"/>
    <n v="395"/>
    <n v="-395"/>
    <n v="0"/>
    <n v="1756223.0500000005"/>
    <s v="Term"/>
    <s v="Trsf 25/11/22 RM15,671.00"/>
    <m/>
  </r>
  <r>
    <d v="2022-08-25T00:00:00"/>
    <n v="8"/>
    <x v="3"/>
    <s v="INV00000319"/>
    <s v="C00000027"/>
    <x v="27"/>
    <s v="RM Resin 3317AW (220Kg)"/>
    <n v="3"/>
    <s v="Cash"/>
    <x v="0"/>
    <d v="2022-08-25T00:00:00"/>
    <n v="8"/>
    <n v="2022"/>
    <n v="6006"/>
    <n v="-6006"/>
    <n v="0"/>
    <n v="1762229.0500000005"/>
    <s v="Cash"/>
    <s v="Bank Islam 0159046 Cleared27/10/22, RM11,846.00"/>
    <m/>
  </r>
  <r>
    <d v="2022-08-25T00:00:00"/>
    <n v="8"/>
    <x v="3"/>
    <s v="INV00000320"/>
    <s v="C00000019"/>
    <x v="18"/>
    <s v="RM Nor 3338W (220Kg)"/>
    <n v="2"/>
    <s v="Cash"/>
    <x v="0"/>
    <d v="2022-08-25T00:00:00"/>
    <n v="8"/>
    <n v="2022"/>
    <n v="4092"/>
    <n v="-4092"/>
    <n v="0"/>
    <n v="1766321.0500000005"/>
    <s v="Cash"/>
    <s v="Trsf 09/09/22 RM3,000.00, Trsf 23/09/22 RM1,000.00, Trsf 4/10/22 RM1,000.00(RM92.00partial)"/>
    <m/>
  </r>
  <r>
    <d v="2022-08-25T00:00:00"/>
    <n v="8"/>
    <x v="3"/>
    <s v="INV00000320"/>
    <s v="C00000019"/>
    <x v="18"/>
    <s v="RM CSM 450 Jushi 64m(L) X 1860mm(W) (67kg)"/>
    <n v="2"/>
    <s v="Cash"/>
    <x v="0"/>
    <d v="2022-08-25T00:00:00"/>
    <n v="8"/>
    <n v="2022"/>
    <n v="1299.8"/>
    <n v="-1299.8"/>
    <n v="0"/>
    <n v="1767620.8500000006"/>
    <s v="Cash"/>
    <s v="Trsf 4/10/22 RM1,000.00(RM908.00(partial), Trsf 7/10/22 RM1,136.80(RM391.80)"/>
    <m/>
  </r>
  <r>
    <d v="2022-08-25T00:00:00"/>
    <n v="8"/>
    <x v="3"/>
    <s v="INV00000320"/>
    <s v="C00000019"/>
    <x v="18"/>
    <s v="RA Butanox M50 (5kg)"/>
    <n v="1"/>
    <s v="Cash"/>
    <x v="0"/>
    <d v="2022-08-25T00:00:00"/>
    <n v="8"/>
    <n v="2022"/>
    <n v="105"/>
    <n v="-105"/>
    <n v="0"/>
    <n v="1767725.8500000006"/>
    <s v="Cash"/>
    <s v="Trsf 7/10/22 RM1,136.80(RM105.00)"/>
    <m/>
  </r>
  <r>
    <d v="2022-08-25T00:00:00"/>
    <n v="8"/>
    <x v="3"/>
    <s v="INV00000320"/>
    <s v="C00000019"/>
    <x v="18"/>
    <s v="RE Frekote 770NC (1 Gallon)"/>
    <n v="1"/>
    <s v="Cash"/>
    <x v="0"/>
    <d v="2022-08-25T00:00:00"/>
    <n v="8"/>
    <n v="2022"/>
    <n v="390"/>
    <n v="-390"/>
    <n v="0"/>
    <n v="1768115.8500000006"/>
    <s v="Cash"/>
    <s v="Trsf 7/10/22 RM1,136.80(RM390.00)"/>
    <m/>
  </r>
  <r>
    <d v="2022-08-26T00:00:00"/>
    <n v="8"/>
    <x v="3"/>
    <s v="INV00000320"/>
    <s v="C00000019"/>
    <x v="18"/>
    <s v="RA Talcum Powder (25kg)"/>
    <n v="4"/>
    <s v="Cash"/>
    <x v="0"/>
    <d v="2022-08-26T00:00:00"/>
    <n v="8"/>
    <n v="2022"/>
    <n v="250"/>
    <n v="-250"/>
    <n v="0"/>
    <n v="1768365.8500000006"/>
    <s v="Cash"/>
    <s v="Trsf 7/10/22 RM1,136.80(RM250.00)"/>
    <m/>
  </r>
  <r>
    <d v="2022-09-02T00:00:00"/>
    <n v="9"/>
    <x v="3"/>
    <s v="INV00000321"/>
    <s v="C00000020"/>
    <x v="19"/>
    <s v="RM Nor 3338W (220Kg)"/>
    <n v="3"/>
    <s v="Cash"/>
    <x v="0"/>
    <d v="2022-09-02T00:00:00"/>
    <n v="9"/>
    <n v="2022"/>
    <n v="5742"/>
    <n v="-5742"/>
    <n v="0"/>
    <n v="1774107.8500000006"/>
    <s v="Cash"/>
    <s v="Trsf 4/1/23 RM30,000.00"/>
    <m/>
  </r>
  <r>
    <d v="2022-09-02T00:00:00"/>
    <n v="9"/>
    <x v="3"/>
    <s v="INV00000321"/>
    <s v="C00000020"/>
    <x v="19"/>
    <s v="RM CSM 450 Jushi 64m(L) X 1860mm(W) (67kg)"/>
    <n v="4"/>
    <s v="Cash"/>
    <x v="0"/>
    <d v="2022-09-02T00:00:00"/>
    <n v="9"/>
    <n v="2022"/>
    <n v="2358.4"/>
    <n v="-2358.4"/>
    <n v="0"/>
    <n v="1776466.2500000005"/>
    <s v="Cash"/>
    <s v="Trsf 4/1/23 RM30,000.00"/>
    <m/>
  </r>
  <r>
    <d v="2022-09-02T00:00:00"/>
    <n v="9"/>
    <x v="3"/>
    <s v="INV00000321"/>
    <s v="C00000020"/>
    <x v="19"/>
    <s v="RJ Woven Roving E-600gm 1000mm (40Kg)"/>
    <n v="4"/>
    <s v="Cash"/>
    <x v="0"/>
    <d v="2022-09-02T00:00:00"/>
    <n v="9"/>
    <n v="2022"/>
    <n v="1056"/>
    <n v="-1056"/>
    <n v="0"/>
    <n v="1777522.2500000005"/>
    <s v="Cash"/>
    <s v="Trsf 4/1/22 RM30,000.00(RM525.30partial), Trsf 5/1/23 RM5,000.00(RM530.70partial)"/>
    <m/>
  </r>
  <r>
    <d v="2022-09-02T00:00:00"/>
    <n v="9"/>
    <x v="3"/>
    <s v="INV00000321"/>
    <s v="C00000020"/>
    <x v="19"/>
    <s v="RA Talcum Powder (25kg)"/>
    <n v="3"/>
    <s v="Cash"/>
    <x v="0"/>
    <d v="2022-09-02T00:00:00"/>
    <n v="9"/>
    <n v="2022"/>
    <n v="187.5"/>
    <n v="-187.5"/>
    <n v="0"/>
    <n v="1777709.7500000005"/>
    <s v="Cash"/>
    <s v="Trsf 5/1/23 RM5,000.00"/>
    <m/>
  </r>
  <r>
    <s v="5/9/2022"/>
    <n v="9"/>
    <x v="3"/>
    <s v="INV00000322"/>
    <s v="C00000009"/>
    <x v="8"/>
    <s v="RM Nor 3338W (220Kg)"/>
    <n v="2"/>
    <s v="T60"/>
    <x v="3"/>
    <d v="2022-11-04T00:00:00"/>
    <n v="11"/>
    <n v="2022"/>
    <n v="3784"/>
    <n v="-3784"/>
    <n v="0"/>
    <n v="1781493.7500000005"/>
    <s v="Term"/>
    <s v="Chq HL 017917 dd 17/1/23"/>
    <m/>
  </r>
  <r>
    <d v="2022-09-06T00:00:00"/>
    <n v="9"/>
    <x v="3"/>
    <s v="INV00000323"/>
    <s v="C00000020"/>
    <x v="19"/>
    <s v="RM Resin 3317AW (220Kg)"/>
    <n v="3"/>
    <s v="Cash"/>
    <x v="0"/>
    <d v="2022-09-06T00:00:00"/>
    <n v="9"/>
    <n v="2022"/>
    <n v="5742"/>
    <n v="-5742"/>
    <n v="0"/>
    <n v="1787235.7500000005"/>
    <s v="Cash"/>
    <s v="Trsf 5/1/23 RM5,000.00(RM4,281.80), Trsf 6/1/23 RM5,000.00(RM1,460.20partial)"/>
    <m/>
  </r>
  <r>
    <d v="2022-09-06T00:00:00"/>
    <n v="9"/>
    <x v="3"/>
    <s v="INV00000323"/>
    <s v="C00000020"/>
    <x v="19"/>
    <s v="RM CSM 450 Jushi 64m(L) X 1860mm(W) (67kg)"/>
    <n v="6"/>
    <s v="Cash"/>
    <x v="0"/>
    <d v="2022-09-06T00:00:00"/>
    <n v="9"/>
    <n v="2022"/>
    <n v="3537.6000000000004"/>
    <n v="-3537.6000000000004"/>
    <n v="0"/>
    <n v="1790773.3500000006"/>
    <s v="Cash"/>
    <s v="Trsf 6/1/23 RM5,000.00"/>
    <m/>
  </r>
  <r>
    <d v="2022-09-06T00:00:00"/>
    <n v="9"/>
    <x v="3"/>
    <s v="INV00000323"/>
    <s v="C00000020"/>
    <x v="19"/>
    <s v="RJ Woven Roving E-600gm 1000mm (40Kg)"/>
    <n v="6"/>
    <s v="Cash"/>
    <x v="0"/>
    <d v="2022-09-06T00:00:00"/>
    <n v="9"/>
    <n v="2022"/>
    <n v="1584"/>
    <n v="-1584"/>
    <n v="0"/>
    <n v="1792357.3500000006"/>
    <s v="Cash"/>
    <s v="Trsf 6/1/23 RM5,000.00(RM2.20partial), Trsf 6/1/23 RM10,000.00(RM1,581.80)"/>
    <m/>
  </r>
  <r>
    <d v="2022-09-06T00:00:00"/>
    <n v="9"/>
    <x v="3"/>
    <s v="INV00000323"/>
    <s v="C00000020"/>
    <x v="19"/>
    <s v="RA Talcum Powder (25kg)"/>
    <n v="4"/>
    <s v="Cash"/>
    <x v="0"/>
    <d v="2022-09-06T00:00:00"/>
    <n v="9"/>
    <n v="2022"/>
    <n v="250"/>
    <n v="-250"/>
    <n v="0"/>
    <n v="1792607.3500000006"/>
    <s v="Cash"/>
    <s v="Trsf 6/1/23 RM10,000.00"/>
    <m/>
  </r>
  <r>
    <d v="2022-09-06T00:00:00"/>
    <n v="9"/>
    <x v="3"/>
    <s v="INV00000323"/>
    <s v="C00000020"/>
    <x v="19"/>
    <s v="RJ Mepoxe (5kg)"/>
    <n v="4"/>
    <s v="Cash"/>
    <x v="0"/>
    <d v="2022-09-06T00:00:00"/>
    <n v="9"/>
    <n v="2022"/>
    <n v="340"/>
    <n v="-340"/>
    <n v="0"/>
    <n v="1792947.3500000006"/>
    <s v="Cash"/>
    <s v="Trsf 6/1/23 RM10,000.00"/>
    <m/>
  </r>
  <r>
    <d v="2022-09-09T00:00:00"/>
    <n v="9"/>
    <x v="3"/>
    <s v="INV00000324"/>
    <s v="C00000029"/>
    <x v="29"/>
    <s v="RJ Mepoxe (5kg)"/>
    <n v="4"/>
    <s v="Cash"/>
    <x v="0"/>
    <d v="2022-09-09T00:00:00"/>
    <n v="9"/>
    <n v="2022"/>
    <n v="340"/>
    <n v="-340"/>
    <n v="0"/>
    <n v="1793287.3500000006"/>
    <s v="Cash"/>
    <s v="Trsf 10/09/22 RM2,452.00"/>
    <m/>
  </r>
  <r>
    <d v="2022-09-09T00:00:00"/>
    <n v="9"/>
    <x v="3"/>
    <s v="INV00000324"/>
    <s v="C00000029"/>
    <x v="29"/>
    <s v="RA CSM 450 64m(L) 1040mm(W) (30Kg)"/>
    <n v="8"/>
    <s v="Cash"/>
    <x v="0"/>
    <d v="2022-09-09T00:00:00"/>
    <n v="9"/>
    <n v="2022"/>
    <n v="2112"/>
    <n v="-2112"/>
    <n v="0"/>
    <n v="1795399.3500000006"/>
    <s v="Cash"/>
    <s v="Trsf 10/09/22 RM2,452.00"/>
    <m/>
  </r>
  <r>
    <d v="2022-09-09T00:00:00"/>
    <n v="9"/>
    <x v="3"/>
    <s v="INV00000325"/>
    <s v="C00000020"/>
    <x v="19"/>
    <s v="RM Resin 3317AW (220Kg)"/>
    <n v="1"/>
    <s v="Cash"/>
    <x v="0"/>
    <d v="2022-09-09T00:00:00"/>
    <n v="9"/>
    <n v="2022"/>
    <n v="1914"/>
    <n v="-1914"/>
    <n v="0"/>
    <n v="1797313.3500000006"/>
    <s v="Cash"/>
    <s v="Trsf 6/1/23 RM10,000.00"/>
    <m/>
  </r>
  <r>
    <d v="2022-09-09T00:00:00"/>
    <n v="9"/>
    <x v="3"/>
    <s v="INV00000326"/>
    <s v="C00000021"/>
    <x v="21"/>
    <s v="RM Resin 3317AW (220Kg)"/>
    <n v="1"/>
    <s v="Cash"/>
    <x v="0"/>
    <d v="2022-09-09T00:00:00"/>
    <n v="9"/>
    <n v="2022"/>
    <n v="1936"/>
    <n v="-1936"/>
    <n v="0"/>
    <n v="1799249.3500000006"/>
    <s v="Cash"/>
    <s v="Chq PBB 395371, cleared161122 RM2,251.00"/>
    <m/>
  </r>
  <r>
    <d v="2022-09-09T00:00:00"/>
    <n v="9"/>
    <x v="3"/>
    <s v="INV00000326"/>
    <s v="C00000021"/>
    <x v="21"/>
    <s v="RJ Mepoxe (5kg)"/>
    <n v="1"/>
    <s v="Cash"/>
    <x v="0"/>
    <d v="2022-09-09T00:00:00"/>
    <n v="9"/>
    <n v="2022"/>
    <n v="90"/>
    <n v="-90"/>
    <n v="0"/>
    <n v="1799339.3500000006"/>
    <s v="Cash"/>
    <s v="Chq PBB 395371, cleared161122 RM2,251.00"/>
    <m/>
  </r>
  <r>
    <d v="2022-09-09T00:00:00"/>
    <n v="9"/>
    <x v="3"/>
    <s v="INV00000326"/>
    <s v="C00000021"/>
    <x v="21"/>
    <s v="RA Sand Wheel 105 X 2 X 16 (30PC)"/>
    <n v="1"/>
    <s v="Cash"/>
    <x v="0"/>
    <d v="2022-09-09T00:00:00"/>
    <n v="9"/>
    <n v="2022"/>
    <n v="225"/>
    <n v="-225"/>
    <n v="0"/>
    <n v="1799564.3500000006"/>
    <s v="Cash"/>
    <s v="Chq PBB 395371, cleared161122 RM2,251.00"/>
    <m/>
  </r>
  <r>
    <d v="2022-09-13T00:00:00"/>
    <n v="9"/>
    <x v="3"/>
    <s v="INV00000327"/>
    <s v="C00000020"/>
    <x v="19"/>
    <s v="RM Nor 3338W (220Kg)"/>
    <n v="4"/>
    <s v="Cash"/>
    <x v="0"/>
    <d v="2022-09-13T00:00:00"/>
    <n v="9"/>
    <n v="2022"/>
    <n v="7392"/>
    <n v="-7392"/>
    <n v="0"/>
    <n v="1806956.3500000006"/>
    <s v="Cash"/>
    <s v="Trsf 6/1/23 RM10,000.00(RM5,914.20), Trsf 20/1/23 RM20,000.00(RM1,477.80)"/>
    <m/>
  </r>
  <r>
    <d v="2022-09-13T00:00:00"/>
    <n v="9"/>
    <x v="3"/>
    <s v="INV00000327"/>
    <s v="C00000020"/>
    <x v="19"/>
    <s v="RM CSM 450 Jushi 64m(L) X 1860mm(W) (67kg)"/>
    <n v="5"/>
    <s v="Cash"/>
    <x v="0"/>
    <d v="2022-09-13T00:00:00"/>
    <n v="9"/>
    <n v="2022"/>
    <n v="2881"/>
    <n v="-2881"/>
    <n v="0"/>
    <n v="1809837.3500000006"/>
    <s v="Cash"/>
    <s v="Trsf 20/1/23 RM20,000.00"/>
    <m/>
  </r>
  <r>
    <d v="2022-09-13T00:00:00"/>
    <n v="9"/>
    <x v="3"/>
    <s v="INV00000327"/>
    <s v="C00000020"/>
    <x v="19"/>
    <s v="RJ Woven Roving E-600gm 1000mm (40Kg)"/>
    <n v="5"/>
    <s v="Cash"/>
    <x v="0"/>
    <d v="2022-09-13T00:00:00"/>
    <n v="9"/>
    <n v="2022"/>
    <n v="1300"/>
    <n v="-1300"/>
    <n v="0"/>
    <n v="1811137.3500000006"/>
    <s v="Cash"/>
    <s v="Trsf 20/1/23 RM20,000.00"/>
    <m/>
  </r>
  <r>
    <d v="2022-09-13T00:00:00"/>
    <n v="9"/>
    <x v="3"/>
    <s v="INV00000327"/>
    <s v="C00000020"/>
    <x v="19"/>
    <s v="RA Talcum Powder (25kg)"/>
    <n v="4"/>
    <s v="Cash"/>
    <x v="0"/>
    <d v="2022-09-13T00:00:00"/>
    <n v="9"/>
    <n v="2022"/>
    <n v="250"/>
    <n v="-250"/>
    <n v="0"/>
    <n v="1811387.3500000006"/>
    <s v="Cash"/>
    <s v="Trsf 20/1/23 RM20,000.00"/>
    <m/>
  </r>
  <r>
    <d v="2022-09-13T00:00:00"/>
    <n v="9"/>
    <x v="3"/>
    <s v="INV00000327"/>
    <s v="C00000020"/>
    <x v="19"/>
    <s v="RJ Mepoxe (5kg)"/>
    <n v="4"/>
    <s v="Cash"/>
    <x v="0"/>
    <d v="2022-09-13T00:00:00"/>
    <n v="9"/>
    <n v="2022"/>
    <n v="340"/>
    <n v="-340"/>
    <n v="0"/>
    <n v="1811727.3500000006"/>
    <s v="Cash"/>
    <s v="Trsf 20/1/23 RM20,000.00"/>
    <m/>
  </r>
  <r>
    <d v="2022-09-13T00:00:00"/>
    <n v="9"/>
    <x v="3"/>
    <s v="INV00000327"/>
    <s v="C00000020"/>
    <x v="19"/>
    <s v="RM Pigment Smooth Cream (25kg)"/>
    <n v="1"/>
    <s v="Cash"/>
    <x v="0"/>
    <d v="2022-09-13T00:00:00"/>
    <n v="9"/>
    <n v="2022"/>
    <n v="1000"/>
    <n v="-1000"/>
    <n v="0"/>
    <n v="1812727.3500000006"/>
    <s v="Cash"/>
    <s v="Trsf 20/1/23 RM20,000.00"/>
    <m/>
  </r>
  <r>
    <d v="2022-09-13T00:00:00"/>
    <n v="9"/>
    <x v="3"/>
    <s v="INV00000328"/>
    <s v="C00000020"/>
    <x v="19"/>
    <s v="RM Nor 3338W (220Kg)"/>
    <n v="4"/>
    <s v="Cash"/>
    <x v="0"/>
    <d v="2022-09-13T00:00:00"/>
    <n v="9"/>
    <n v="2022"/>
    <n v="7392"/>
    <n v="-7392"/>
    <n v="0"/>
    <n v="1820119.3500000006"/>
    <s v="Cash"/>
    <s v="Trsf 20/1/23 RM20,000.00"/>
    <m/>
  </r>
  <r>
    <d v="2022-09-13T00:00:00"/>
    <n v="9"/>
    <x v="3"/>
    <s v="INV00000328"/>
    <s v="C00000020"/>
    <x v="19"/>
    <s v="RM CSM 450 Jushi 64m(L) X 1860mm(W) (67kg)"/>
    <n v="5"/>
    <s v="Cash"/>
    <x v="0"/>
    <d v="2022-09-13T00:00:00"/>
    <n v="9"/>
    <n v="2022"/>
    <n v="2881"/>
    <n v="-2881"/>
    <n v="0"/>
    <n v="1823000.3500000006"/>
    <s v="Cash"/>
    <s v="Trsf 20/1/23 RM20,000.00"/>
    <m/>
  </r>
  <r>
    <d v="2022-09-13T00:00:00"/>
    <n v="9"/>
    <x v="3"/>
    <s v="INV00000328"/>
    <s v="C00000020"/>
    <x v="19"/>
    <s v="RJ Woven Roving E-600gm 1000mm (40Kg)"/>
    <n v="5"/>
    <s v="Cash"/>
    <x v="0"/>
    <d v="2022-09-13T00:00:00"/>
    <n v="9"/>
    <n v="2022"/>
    <n v="1300"/>
    <n v="-1300"/>
    <n v="0"/>
    <n v="1824300.3500000006"/>
    <s v="Cash"/>
    <s v="Trsf 20/1/23 RM20,000.00"/>
    <m/>
  </r>
  <r>
    <d v="2022-09-13T00:00:00"/>
    <n v="9"/>
    <x v="3"/>
    <s v="INV00000328"/>
    <s v="C00000020"/>
    <x v="19"/>
    <s v="RA Talcum Powder (25kg)"/>
    <n v="4"/>
    <s v="Cash"/>
    <x v="0"/>
    <d v="2022-09-13T00:00:00"/>
    <n v="9"/>
    <n v="2022"/>
    <n v="250"/>
    <n v="-250"/>
    <n v="0"/>
    <n v="1824550.3500000006"/>
    <s v="Cash"/>
    <s v="Trsf 20/1/23 RM20,000.00"/>
    <m/>
  </r>
  <r>
    <d v="2022-09-14T00:00:00"/>
    <n v="9"/>
    <x v="3"/>
    <s v="INV00000329"/>
    <s v="C00000001"/>
    <x v="0"/>
    <s v="RM Vinyl Ester Resin (20Kg)"/>
    <n v="4"/>
    <s v="Cash"/>
    <x v="0"/>
    <d v="2022-09-14T00:00:00"/>
    <n v="9"/>
    <n v="2022"/>
    <n v="1840"/>
    <n v="-1840"/>
    <n v="0"/>
    <n v="1826390.3500000006"/>
    <s v="Cash"/>
    <s v="Trsf 3/10/22 RM1,840.00"/>
    <m/>
  </r>
  <r>
    <d v="2022-09-15T00:00:00"/>
    <n v="9"/>
    <x v="3"/>
    <s v="INV00000330"/>
    <s v="C00000021"/>
    <x v="21"/>
    <s v="RM Resin 3317AW (220Kg)"/>
    <n v="1"/>
    <s v="Cash"/>
    <x v="0"/>
    <d v="2022-09-15T00:00:00"/>
    <n v="9"/>
    <n v="2022"/>
    <n v="1936"/>
    <n v="-1936"/>
    <n v="0"/>
    <n v="1828326.3500000006"/>
    <s v="Cash"/>
    <s v="Chq PBB 395372, cleared121222 RM3,655.70"/>
    <m/>
  </r>
  <r>
    <d v="2022-09-15T00:00:00"/>
    <n v="9"/>
    <x v="3"/>
    <s v="INV00000330"/>
    <s v="C00000021"/>
    <x v="21"/>
    <s v="RA CSM 450 Jushi 64m(L) x 1040mm(W) (37Kg)"/>
    <n v="4"/>
    <s v="Cash"/>
    <x v="0"/>
    <d v="2022-09-15T00:00:00"/>
    <n v="9"/>
    <n v="2022"/>
    <n v="1317.2"/>
    <n v="-1317.2"/>
    <n v="0"/>
    <n v="1829643.5500000005"/>
    <s v="Cash"/>
    <s v="Chq PBB 395372, cleared121222 RM3,655.70"/>
    <m/>
  </r>
  <r>
    <d v="2022-09-15T00:00:00"/>
    <n v="9"/>
    <x v="3"/>
    <s v="INV00000330"/>
    <s v="C00000021"/>
    <x v="21"/>
    <s v="RJ Mepoxe (5kg)"/>
    <n v="1"/>
    <s v="Cash"/>
    <x v="0"/>
    <d v="2022-09-15T00:00:00"/>
    <n v="9"/>
    <n v="2022"/>
    <n v="90"/>
    <n v="-90"/>
    <n v="0"/>
    <n v="1829733.5500000005"/>
    <s v="Cash"/>
    <s v="Chq PBB 395372, cleared121222 RM3,655.70"/>
    <m/>
  </r>
  <r>
    <d v="2022-09-15T00:00:00"/>
    <n v="9"/>
    <x v="3"/>
    <s v="INV00000330"/>
    <s v="C00000021"/>
    <x v="21"/>
    <s v="RA Talcum Powder (25kg)"/>
    <n v="5"/>
    <s v="Cash"/>
    <x v="0"/>
    <d v="2022-09-15T00:00:00"/>
    <n v="9"/>
    <n v="2022"/>
    <n v="312.5"/>
    <n v="-312.5"/>
    <n v="0"/>
    <n v="1830046.0500000005"/>
    <s v="Cash"/>
    <s v="Chq PBB 395372, cleared121222 RM3,655.70"/>
    <m/>
  </r>
  <r>
    <d v="2022-09-23T00:00:00"/>
    <n v="9"/>
    <x v="3"/>
    <s v="INV00000331"/>
    <s v="C00000019"/>
    <x v="18"/>
    <s v="RM Nor 3338W (220Kg)"/>
    <n v="1"/>
    <s v="Cash"/>
    <x v="0"/>
    <d v="2022-09-23T00:00:00"/>
    <n v="9"/>
    <n v="2022"/>
    <n v="1936"/>
    <n v="-1936"/>
    <n v="0"/>
    <n v="1831982.0500000005"/>
    <s v="Cash"/>
    <s v="Trsf 2/11/22 RM3,546.10"/>
    <m/>
  </r>
  <r>
    <d v="2022-09-23T00:00:00"/>
    <n v="9"/>
    <x v="3"/>
    <s v="INV00000331"/>
    <s v="C00000019"/>
    <x v="18"/>
    <s v="RM CSM 450 Jushi 64m(L) X 1860mm(W) (67kg)"/>
    <n v="2"/>
    <s v="Cash"/>
    <x v="0"/>
    <d v="2022-09-23T00:00:00"/>
    <n v="9"/>
    <n v="2022"/>
    <n v="1192.5999999999999"/>
    <n v="-1192.5999999999999"/>
    <n v="0"/>
    <n v="1833174.6500000006"/>
    <s v="Cash"/>
    <s v="Trsf 2/11/22 RM3,546.10"/>
    <m/>
  </r>
  <r>
    <d v="2022-09-23T00:00:00"/>
    <n v="9"/>
    <x v="3"/>
    <s v="INV00000331"/>
    <s v="C00000019"/>
    <x v="18"/>
    <s v="RA Butanox M50 (5kg)"/>
    <n v="1"/>
    <s v="Cash"/>
    <x v="0"/>
    <d v="2022-09-23T00:00:00"/>
    <n v="9"/>
    <n v="2022"/>
    <n v="105"/>
    <n v="-105"/>
    <n v="0"/>
    <n v="1833279.6500000006"/>
    <s v="Cash"/>
    <s v="Trsf 2/11/22 RM3,546.10"/>
    <m/>
  </r>
  <r>
    <d v="2022-09-23T00:00:00"/>
    <n v="9"/>
    <x v="3"/>
    <s v="INV00000331"/>
    <s v="C00000019"/>
    <x v="18"/>
    <s v="RA Talcum Powder (25kg)"/>
    <n v="5"/>
    <s v="Cash"/>
    <x v="0"/>
    <d v="2022-09-23T00:00:00"/>
    <n v="9"/>
    <n v="2022"/>
    <n v="312.5"/>
    <n v="-312.5"/>
    <n v="0"/>
    <n v="1833592.1500000006"/>
    <s v="Cash"/>
    <s v="Trsf 2/11/22 RM3,546.10"/>
    <m/>
  </r>
  <r>
    <d v="2022-09-24T00:00:00"/>
    <n v="9"/>
    <x v="3"/>
    <s v="INV00000332"/>
    <s v="C00000010"/>
    <x v="9"/>
    <s v="RA Resin 3338AW (220kg)"/>
    <n v="5"/>
    <s v="T120"/>
    <x v="4"/>
    <d v="2023-01-22T00:00:00"/>
    <n v="1"/>
    <n v="2023"/>
    <n v="9130"/>
    <n v="-9130"/>
    <n v="0"/>
    <n v="1842722.1500000006"/>
    <s v="Term"/>
    <s v="Trsf 23/12/22, RM11,757.50"/>
    <m/>
  </r>
  <r>
    <d v="2022-09-24T00:00:00"/>
    <n v="9"/>
    <x v="3"/>
    <s v="INV00000332"/>
    <s v="C00000010"/>
    <x v="9"/>
    <s v="RA CSM 450 64m(L) 1040mm(W) (30Kg)"/>
    <n v="5"/>
    <s v="T120"/>
    <x v="4"/>
    <d v="2023-01-22T00:00:00"/>
    <n v="1"/>
    <n v="2023"/>
    <n v="1260"/>
    <n v="-1260"/>
    <n v="0"/>
    <n v="1843982.1500000006"/>
    <s v="Term"/>
    <s v="Trsf 23/12/22, RM11,757.50"/>
    <m/>
  </r>
  <r>
    <d v="2022-09-24T00:00:00"/>
    <n v="9"/>
    <x v="3"/>
    <s v="INV00000332"/>
    <s v="C00000010"/>
    <x v="9"/>
    <s v="RA Talcum Powder (25kg)"/>
    <n v="5"/>
    <s v="T120"/>
    <x v="4"/>
    <d v="2023-01-22T00:00:00"/>
    <n v="1"/>
    <n v="2023"/>
    <n v="287.5"/>
    <n v="-287.5"/>
    <n v="0"/>
    <n v="1844269.6500000006"/>
    <s v="Term"/>
    <s v="Trsf 23/12/22, RM11,757.50"/>
    <m/>
  </r>
  <r>
    <d v="2022-09-24T00:00:00"/>
    <n v="9"/>
    <x v="3"/>
    <s v="INV00000332"/>
    <s v="C00000010"/>
    <x v="9"/>
    <s v="RM Fume Silica HJSIL 200(10Kg)"/>
    <n v="1"/>
    <s v="T120"/>
    <x v="4"/>
    <d v="2023-01-22T00:00:00"/>
    <n v="1"/>
    <n v="2023"/>
    <n v="440"/>
    <n v="-440"/>
    <n v="0"/>
    <n v="1844709.6500000006"/>
    <s v="Term"/>
    <s v="Trsf 23/12/22, RM11,757.50"/>
    <m/>
  </r>
  <r>
    <d v="2022-09-24T00:00:00"/>
    <n v="9"/>
    <x v="3"/>
    <s v="INV00000332"/>
    <s v="C00000010"/>
    <x v="9"/>
    <s v="RM Butanox M50 (5kg)"/>
    <n v="4"/>
    <s v="T120"/>
    <x v="4"/>
    <d v="2023-01-22T00:00:00"/>
    <n v="1"/>
    <n v="2023"/>
    <n v="420"/>
    <n v="-420"/>
    <n v="0"/>
    <n v="1845129.6500000006"/>
    <s v="Term"/>
    <s v="Trsf 23/12/22, RM11,757.50"/>
    <m/>
  </r>
  <r>
    <d v="2022-09-24T00:00:00"/>
    <n v="9"/>
    <x v="3"/>
    <s v="INV00000332"/>
    <s v="C00000010"/>
    <x v="9"/>
    <s v="RD Brush 3&quot; (12Pc)"/>
    <n v="4"/>
    <s v="T120"/>
    <x v="4"/>
    <d v="2023-01-22T00:00:00"/>
    <n v="1"/>
    <n v="2023"/>
    <n v="220"/>
    <n v="-220"/>
    <n v="0"/>
    <n v="1845349.6500000006"/>
    <s v="Term"/>
    <s v="Trsf 23/12/22, RM11,757.50"/>
    <m/>
  </r>
  <r>
    <d v="2022-09-26T00:00:00"/>
    <n v="9"/>
    <x v="3"/>
    <s v="INV00000333"/>
    <s v="C00000021"/>
    <x v="21"/>
    <s v="RA Resin 3317AW (220Kg)"/>
    <n v="1"/>
    <s v="Cash"/>
    <x v="0"/>
    <d v="2022-09-26T00:00:00"/>
    <n v="9"/>
    <n v="2022"/>
    <n v="1936"/>
    <n v="-1936"/>
    <n v="0"/>
    <n v="1847285.6500000006"/>
    <s v="Cash"/>
    <s v="Chq PBB 395373, cleared301222 RM3,595.60"/>
    <m/>
  </r>
  <r>
    <d v="2022-09-26T00:00:00"/>
    <n v="9"/>
    <x v="3"/>
    <s v="INV00000333"/>
    <s v="C00000021"/>
    <x v="21"/>
    <s v="RA CSM 450 Jushi 64m(L) x 1040mm(W) (37Kg)"/>
    <n v="2"/>
    <s v="Cash"/>
    <x v="0"/>
    <d v="2022-09-26T00:00:00"/>
    <n v="9"/>
    <n v="2022"/>
    <n v="658.6"/>
    <n v="-658.6"/>
    <n v="0"/>
    <n v="1847944.2500000007"/>
    <s v="Cash"/>
    <s v="Chq PBB 395373, cleared301222 RM3,595.60"/>
    <m/>
  </r>
  <r>
    <d v="2022-09-26T00:00:00"/>
    <n v="9"/>
    <x v="3"/>
    <s v="INV00000333"/>
    <s v="C00000021"/>
    <x v="21"/>
    <s v="RJ Butonox M50 (5kg)"/>
    <n v="1"/>
    <s v="Cash"/>
    <x v="0"/>
    <d v="2022-09-26T00:00:00"/>
    <n v="9"/>
    <n v="2022"/>
    <n v="100"/>
    <n v="-100"/>
    <n v="0"/>
    <n v="1848044.2500000007"/>
    <s v="Cash"/>
    <s v="Chq PBB 395373, cleared301222 RM3,595.60"/>
    <m/>
  </r>
  <r>
    <d v="2022-09-26T00:00:00"/>
    <n v="9"/>
    <x v="3"/>
    <s v="INV00000333"/>
    <s v="C00000021"/>
    <x v="21"/>
    <s v="RA Talcum Powder (25kg)"/>
    <n v="10"/>
    <s v="Cash"/>
    <x v="0"/>
    <d v="2022-09-26T00:00:00"/>
    <n v="9"/>
    <n v="2022"/>
    <n v="625"/>
    <n v="-625"/>
    <n v="0"/>
    <n v="1848669.2500000007"/>
    <s v="Cash"/>
    <s v="Chq PBB 395373, cleared301222 RM3,595.60"/>
    <m/>
  </r>
  <r>
    <d v="2022-09-26T00:00:00"/>
    <n v="9"/>
    <x v="3"/>
    <s v="INV00000333"/>
    <s v="C00000021"/>
    <x v="21"/>
    <s v="RM TR104 Hi Temp Wax"/>
    <n v="6"/>
    <s v="Cash"/>
    <x v="0"/>
    <d v="2022-09-26T00:00:00"/>
    <n v="9"/>
    <n v="2022"/>
    <n v="276"/>
    <n v="-276"/>
    <n v="0"/>
    <n v="1848945.2500000007"/>
    <s v="Cash"/>
    <s v="Chq PBB 395373, cleared301222 RM3,595.60"/>
    <m/>
  </r>
  <r>
    <d v="2022-09-26T00:00:00"/>
    <n v="9"/>
    <x v="3"/>
    <s v="INV00000334"/>
    <s v="C00000022"/>
    <x v="22"/>
    <s v="RA Nor 3338W (220Kg)"/>
    <n v="1"/>
    <s v="Cash"/>
    <x v="0"/>
    <d v="2022-09-26T00:00:00"/>
    <n v="9"/>
    <n v="2022"/>
    <n v="2024"/>
    <n v="-2024"/>
    <n v="0"/>
    <n v="1850969.2500000007"/>
    <s v="Cash"/>
    <s v="Trsf 29/9/22 RM5,350.70"/>
    <m/>
  </r>
  <r>
    <d v="2022-09-26T00:00:00"/>
    <n v="9"/>
    <x v="3"/>
    <s v="INV00000334"/>
    <s v="C00000022"/>
    <x v="22"/>
    <s v="RM CSM 450 Jushi 64m(L) X 1860mm(W) (67kg)"/>
    <n v="1"/>
    <s v="Cash"/>
    <x v="0"/>
    <d v="2022-09-26T00:00:00"/>
    <n v="9"/>
    <n v="2022"/>
    <n v="629.79999999999995"/>
    <n v="-629.79999999999995"/>
    <n v="0"/>
    <n v="1851599.0500000007"/>
    <s v="Cash"/>
    <s v="Trsf 29/9/22 RM5,350.70"/>
    <m/>
  </r>
  <r>
    <d v="2022-09-26T00:00:00"/>
    <n v="9"/>
    <x v="3"/>
    <s v="INV00000334"/>
    <s v="C00000022"/>
    <x v="22"/>
    <s v="RJ Woven Roving E-600 (42kg) 1120mm"/>
    <n v="1"/>
    <s v="Cash"/>
    <x v="0"/>
    <d v="2022-09-26T00:00:00"/>
    <n v="9"/>
    <n v="2022"/>
    <n v="315"/>
    <n v="-315"/>
    <n v="0"/>
    <n v="1851914.0500000007"/>
    <s v="Cash"/>
    <s v="Trsf 29/9/22 RM5,350.70"/>
    <m/>
  </r>
  <r>
    <d v="2022-09-26T00:00:00"/>
    <n v="9"/>
    <x v="3"/>
    <s v="INV00000335"/>
    <s v="C00000022"/>
    <x v="22"/>
    <s v="RJ Butonox M50 (5kg)"/>
    <n v="1"/>
    <s v="Cash"/>
    <x v="0"/>
    <d v="2022-09-26T00:00:00"/>
    <n v="9"/>
    <n v="2022"/>
    <n v="105"/>
    <n v="-105"/>
    <n v="0"/>
    <n v="1852019.0500000007"/>
    <s v="Cash"/>
    <s v="Trsf 29/9/22 RM5,350.70"/>
    <m/>
  </r>
  <r>
    <d v="2022-09-26T00:00:00"/>
    <n v="9"/>
    <x v="3"/>
    <s v="INV00000335"/>
    <s v="C00000022"/>
    <x v="22"/>
    <s v="RA CSM 300 (30Kg) 64m(L) x 1040mm(W)"/>
    <n v="1"/>
    <s v="Cash"/>
    <x v="0"/>
    <d v="2022-09-26T00:00:00"/>
    <n v="9"/>
    <n v="2022"/>
    <n v="285"/>
    <n v="-285"/>
    <n v="0"/>
    <n v="1852304.0500000007"/>
    <s v="Cash"/>
    <s v="Trsf 29/9/22 RM5,350.70"/>
    <m/>
  </r>
  <r>
    <d v="2022-09-26T00:00:00"/>
    <n v="9"/>
    <x v="3"/>
    <s v="INV00000335"/>
    <s v="C00000022"/>
    <x v="22"/>
    <s v="RE Frekote 770NC (1 Gallon)"/>
    <n v="1"/>
    <s v="Cash"/>
    <x v="0"/>
    <d v="2022-09-26T00:00:00"/>
    <n v="9"/>
    <n v="2022"/>
    <n v="450"/>
    <n v="-450"/>
    <n v="0"/>
    <n v="1852754.0500000007"/>
    <s v="Cash"/>
    <s v="Trsf 29/9/22 RM5,350.70"/>
    <m/>
  </r>
  <r>
    <d v="2022-09-28T00:00:00"/>
    <n v="9"/>
    <x v="3"/>
    <s v="INV00000336"/>
    <s v="C00000027"/>
    <x v="27"/>
    <s v="RM Resin 3317AW (220Kg)"/>
    <n v="3"/>
    <s v="Cash"/>
    <x v="0"/>
    <d v="2022-09-28T00:00:00"/>
    <n v="9"/>
    <n v="2022"/>
    <n v="6006"/>
    <n v="-6006"/>
    <n v="0"/>
    <n v="1858760.0500000007"/>
    <s v="Cash"/>
    <s v="Bank Islam 161778 Cleared23/2/23, RM11,266.80"/>
    <m/>
  </r>
  <r>
    <d v="2022-09-28T00:00:00"/>
    <n v="9"/>
    <x v="3"/>
    <s v="INV00000336"/>
    <s v="C00000027"/>
    <x v="27"/>
    <s v="RM CSM 450 Jushi 64m(L) X 1860mm(W) (67kg)"/>
    <n v="2"/>
    <s v="Cash"/>
    <x v="0"/>
    <d v="2022-09-28T00:00:00"/>
    <n v="9"/>
    <n v="2022"/>
    <n v="1259.5999999999999"/>
    <n v="-1259.5999999999999"/>
    <n v="0"/>
    <n v="1860019.6500000008"/>
    <s v="Cash"/>
    <s v="Bank Islam 161778 Cleared23/2/23, RM11,266.80"/>
    <m/>
  </r>
  <r>
    <d v="2022-09-28T00:00:00"/>
    <n v="9"/>
    <x v="3"/>
    <s v="INV00000336"/>
    <s v="C00000027"/>
    <x v="27"/>
    <s v="RA CSM 300 96m(L) X 1860mm(W) (54Kg)"/>
    <n v="2"/>
    <s v="Cash"/>
    <x v="0"/>
    <d v="2022-09-28T00:00:00"/>
    <n v="9"/>
    <n v="2022"/>
    <n v="1015.2"/>
    <n v="-1015.2"/>
    <n v="0"/>
    <n v="1861034.8500000008"/>
    <s v="Cash"/>
    <s v="Bank Islam 161778 Cleared23/2/23, RM11,266.80"/>
    <m/>
  </r>
  <r>
    <d v="2022-09-28T00:00:00"/>
    <n v="9"/>
    <x v="3"/>
    <s v="INV00000336"/>
    <s v="C00000027"/>
    <x v="27"/>
    <s v="RA Woven Roing 600 1120mm (45kg)"/>
    <n v="2"/>
    <s v="Cash"/>
    <x v="0"/>
    <d v="2022-09-28T00:00:00"/>
    <n v="9"/>
    <n v="2022"/>
    <n v="630"/>
    <n v="-630"/>
    <n v="0"/>
    <n v="1861664.8500000008"/>
    <s v="Cash"/>
    <s v="Bank Islam 161778 Cleared23/2/23, RM11,266.80"/>
    <m/>
  </r>
  <r>
    <d v="2022-09-28T00:00:00"/>
    <n v="9"/>
    <x v="3"/>
    <s v="INV00000336"/>
    <s v="C00000027"/>
    <x v="27"/>
    <s v="RM Pigment Super White (5Kg)"/>
    <n v="4"/>
    <s v="Cash"/>
    <x v="0"/>
    <d v="2022-09-28T00:00:00"/>
    <n v="9"/>
    <n v="2022"/>
    <n v="640"/>
    <n v="-640"/>
    <n v="0"/>
    <n v="1862304.8500000008"/>
    <s v="Cash"/>
    <s v="Bank Islam 161778 Cleared23/2/23, RM11,266.80"/>
    <m/>
  </r>
  <r>
    <d v="2022-09-28T00:00:00"/>
    <n v="9"/>
    <x v="3"/>
    <s v="INV00000336"/>
    <s v="C00000027"/>
    <x v="27"/>
    <s v="RJ Mepoxe (5kg)"/>
    <n v="1"/>
    <s v="Cash"/>
    <x v="0"/>
    <d v="2022-09-28T00:00:00"/>
    <n v="9"/>
    <n v="2022"/>
    <n v="90"/>
    <n v="-90"/>
    <n v="0"/>
    <n v="1862394.8500000008"/>
    <s v="Cash"/>
    <s v="Bank Islam 161778 Cleared23/2/23, RM11,266.80"/>
    <m/>
  </r>
  <r>
    <d v="2022-09-28T00:00:00"/>
    <n v="9"/>
    <x v="3"/>
    <s v="INV00000336"/>
    <s v="C00000027"/>
    <x v="27"/>
    <s v="RM PVA (5Kg)"/>
    <n v="1"/>
    <s v="Cash"/>
    <x v="0"/>
    <d v="2022-09-28T00:00:00"/>
    <n v="9"/>
    <n v="2022"/>
    <n v="170"/>
    <n v="-170"/>
    <n v="0"/>
    <n v="1862564.8500000008"/>
    <s v="Cash"/>
    <s v="Bank Islam 161778 Cleared23/2/23, RM11,266.80"/>
    <m/>
  </r>
  <r>
    <d v="2022-09-28T00:00:00"/>
    <n v="9"/>
    <x v="3"/>
    <s v="INV00000336"/>
    <s v="C00000027"/>
    <x v="27"/>
    <s v="RM Fume Silica HJSIL 200(10Kg)"/>
    <n v="1"/>
    <s v="Cash"/>
    <x v="0"/>
    <d v="2022-09-28T00:00:00"/>
    <n v="9"/>
    <n v="2022"/>
    <n v="440"/>
    <n v="-440"/>
    <n v="0"/>
    <n v="1863004.8500000008"/>
    <s v="Cash"/>
    <s v="Bank Islam 161778 Cleared23/2/23, RM11,266.80"/>
    <m/>
  </r>
  <r>
    <d v="2022-09-28T00:00:00"/>
    <n v="9"/>
    <x v="3"/>
    <s v="INV00000336"/>
    <s v="C00000027"/>
    <x v="27"/>
    <s v="RM Gelcoat GPH (20kg)"/>
    <n v="4"/>
    <s v="Cash"/>
    <x v="0"/>
    <d v="2022-09-28T00:00:00"/>
    <n v="9"/>
    <n v="2022"/>
    <n v="1016"/>
    <n v="-1016"/>
    <n v="0"/>
    <n v="1864020.8500000008"/>
    <s v="Cash"/>
    <s v="Bank Islam 161778 Cleared23/2/23, RM11,266.80"/>
    <m/>
  </r>
  <r>
    <d v="2022-09-28T00:00:00"/>
    <n v="9"/>
    <x v="3"/>
    <s v="INV00000337"/>
    <s v="C00000029"/>
    <x v="29"/>
    <s v="RA Resin 3317AW (220Kg)"/>
    <n v="1"/>
    <s v="Cash"/>
    <x v="0"/>
    <d v="2022-09-28T00:00:00"/>
    <n v="9"/>
    <n v="2022"/>
    <n v="1848"/>
    <n v="-1848"/>
    <n v="0"/>
    <n v="1865868.8500000008"/>
    <s v="Cash"/>
    <s v="Trsf 28/09/22 RM1,995.50"/>
    <m/>
  </r>
  <r>
    <d v="2022-09-28T00:00:00"/>
    <n v="9"/>
    <x v="3"/>
    <s v="INV00000337"/>
    <s v="C00000029"/>
    <x v="29"/>
    <s v="RJ Mepoxe (5kg)"/>
    <n v="1"/>
    <s v="Cash"/>
    <x v="0"/>
    <d v="2022-09-28T00:00:00"/>
    <n v="9"/>
    <n v="2022"/>
    <n v="85"/>
    <n v="-85"/>
    <n v="0"/>
    <n v="1865953.8500000008"/>
    <s v="Cash"/>
    <s v="Trsf 28/09/22 RM1,995.50"/>
    <m/>
  </r>
  <r>
    <d v="2022-09-28T00:00:00"/>
    <n v="9"/>
    <x v="3"/>
    <s v="INV00000337"/>
    <s v="C00000029"/>
    <x v="29"/>
    <s v="RA Talcum Powder (25kg)"/>
    <n v="1"/>
    <s v="Cash"/>
    <x v="0"/>
    <d v="2022-09-28T00:00:00"/>
    <n v="9"/>
    <n v="2022"/>
    <n v="62.5"/>
    <n v="-62.5"/>
    <n v="0"/>
    <n v="1866016.3500000008"/>
    <s v="Cash"/>
    <s v="Trsf 28/09/22 RM1,995.50"/>
    <m/>
  </r>
  <r>
    <d v="2022-10-01T00:00:00"/>
    <n v="10"/>
    <x v="3"/>
    <s v="INV00000338"/>
    <s v="C00000010"/>
    <x v="9"/>
    <s v="RA Resin 3338AW (220kg)"/>
    <n v="5"/>
    <s v="T120"/>
    <x v="4"/>
    <d v="2023-01-29T00:00:00"/>
    <n v="1"/>
    <n v="2023"/>
    <n v="9130"/>
    <n v="-9130"/>
    <n v="0"/>
    <n v="1875146.3500000008"/>
    <s v="Term"/>
    <s v="Trsf 19/1/23, RM24,940.00"/>
    <m/>
  </r>
  <r>
    <d v="2022-10-01T00:00:00"/>
    <n v="10"/>
    <x v="3"/>
    <s v="INV00000338"/>
    <s v="C00000010"/>
    <x v="9"/>
    <s v="RA CSM 450 64m(L) 1040mm(W) (30Kg)"/>
    <n v="10"/>
    <s v="T120"/>
    <x v="4"/>
    <d v="2023-01-29T00:00:00"/>
    <n v="1"/>
    <n v="2023"/>
    <n v="2520"/>
    <n v="-2520"/>
    <n v="0"/>
    <n v="1877666.3500000008"/>
    <s v="Term"/>
    <s v="Trsf 19/1/23, RM24,940.00"/>
    <m/>
  </r>
  <r>
    <d v="2022-10-01T00:00:00"/>
    <n v="10"/>
    <x v="3"/>
    <s v="INV00000338"/>
    <s v="C00000010"/>
    <x v="9"/>
    <s v="RA Talcum Powder (25kg)"/>
    <n v="10"/>
    <s v="T120"/>
    <x v="4"/>
    <d v="2023-01-29T00:00:00"/>
    <n v="1"/>
    <n v="2023"/>
    <n v="575"/>
    <n v="-575"/>
    <n v="0"/>
    <n v="1878241.3500000008"/>
    <s v="Term"/>
    <s v="Trsf 19/1/23, RM24,940.00"/>
    <m/>
  </r>
  <r>
    <d v="2022-10-01T00:00:00"/>
    <n v="10"/>
    <x v="3"/>
    <s v="INV00000338"/>
    <s v="C00000010"/>
    <x v="9"/>
    <s v="RM Fume Silica HJSIL 200(10Kg)"/>
    <n v="1"/>
    <s v="T120"/>
    <x v="4"/>
    <d v="2023-01-29T00:00:00"/>
    <n v="1"/>
    <n v="2023"/>
    <n v="420"/>
    <n v="-420"/>
    <n v="0"/>
    <n v="1878661.3500000008"/>
    <s v="Term"/>
    <s v="Trsf 19/1/23, RM24,940.00"/>
    <m/>
  </r>
  <r>
    <d v="2022-10-01T00:00:00"/>
    <n v="10"/>
    <x v="3"/>
    <s v="INV00000338"/>
    <s v="C00000010"/>
    <x v="9"/>
    <s v="RM Butanox M50 (5kg)"/>
    <n v="4"/>
    <s v="T120"/>
    <x v="4"/>
    <d v="2023-01-29T00:00:00"/>
    <n v="1"/>
    <n v="2023"/>
    <n v="420"/>
    <n v="-420"/>
    <n v="0"/>
    <n v="1879081.3500000008"/>
    <s v="Term"/>
    <s v="Trsf 19/1/23, RM24,940.00"/>
    <m/>
  </r>
  <r>
    <s v="3/10/2022"/>
    <n v="10"/>
    <x v="3"/>
    <s v="INV00000339"/>
    <s v="C00000020"/>
    <x v="19"/>
    <s v="RM Nor 3338W (220Kg)"/>
    <n v="15"/>
    <s v="Cash"/>
    <x v="0"/>
    <d v="2022-10-03T00:00:00"/>
    <n v="10"/>
    <n v="2022"/>
    <n v="27060"/>
    <n v="-27060"/>
    <n v="0"/>
    <n v="1906141.3500000008"/>
    <s v="Cash"/>
    <s v="Trsf 20/1/23 RM20,000.00(RM928.20), Trsf 7/2/23 RM9,700.00, Trsf 9/2/23 RM11,000.00, Trsf 13/2/23 RM9,500.00(RM5,431.80)"/>
    <m/>
  </r>
  <r>
    <s v="3/10/2022"/>
    <n v="10"/>
    <x v="3"/>
    <s v="INV00000339"/>
    <s v="C00000020"/>
    <x v="19"/>
    <s v="RA CSM 450 79m(L) x 1040mm(W) (30Kg)"/>
    <n v="45"/>
    <s v="Cash"/>
    <x v="0"/>
    <d v="2022-10-03T00:00:00"/>
    <n v="10"/>
    <n v="2022"/>
    <n v="11340"/>
    <n v="-11340"/>
    <n v="0"/>
    <n v="1917481.3500000008"/>
    <s v="Cash"/>
    <s v="Trsf 13/2/23 RM9,500.00(RM4,068.20),  Trsf 18/2/23 RM6,000.00, Trsf 24/2/23 RM22,000.00(RM1,271.80)"/>
    <m/>
  </r>
  <r>
    <s v="3/10/2022"/>
    <n v="10"/>
    <x v="3"/>
    <s v="INV00000339"/>
    <s v="C00000020"/>
    <x v="19"/>
    <s v="RA Woven Roving 600 1120mm (45kg)"/>
    <n v="22"/>
    <s v="Cash"/>
    <x v="0"/>
    <d v="2022-10-03T00:00:00"/>
    <n v="10"/>
    <n v="2022"/>
    <n v="6435"/>
    <n v="-6435"/>
    <n v="0"/>
    <n v="1923916.3500000008"/>
    <s v="Cash"/>
    <s v="Trsf 24/2/23 RM22,000.00"/>
    <m/>
  </r>
  <r>
    <s v="3/10/2022"/>
    <n v="10"/>
    <x v="3"/>
    <s v="INV00000339"/>
    <s v="C00000020"/>
    <x v="19"/>
    <s v="RA Talcum Powder (25kg)"/>
    <n v="15"/>
    <s v="Cash"/>
    <x v="0"/>
    <d v="2022-10-03T00:00:00"/>
    <n v="10"/>
    <n v="2022"/>
    <n v="937.5"/>
    <n v="-937.5"/>
    <n v="0"/>
    <n v="1924853.8500000008"/>
    <s v="Cash"/>
    <s v="Trsf 24/2/23 RM22,000.00"/>
    <m/>
  </r>
  <r>
    <s v="3/10/2022"/>
    <n v="10"/>
    <x v="3"/>
    <s v="INV00000339"/>
    <s v="C00000020"/>
    <x v="19"/>
    <s v="RM Pigment Paste Smooth Cream M19 (25kg)"/>
    <n v="2"/>
    <s v="Cash"/>
    <x v="0"/>
    <d v="2022-10-03T00:00:00"/>
    <n v="10"/>
    <n v="2022"/>
    <n v="2000"/>
    <n v="-2000"/>
    <n v="0"/>
    <n v="1926853.8500000008"/>
    <s v="Cash"/>
    <s v="Trsf 24/2/23 RM22,000.00"/>
    <m/>
  </r>
  <r>
    <s v="3/10/2022"/>
    <n v="10"/>
    <x v="3"/>
    <s v="INV00000339"/>
    <s v="C00000020"/>
    <x v="19"/>
    <s v="RJ Butanox M50 (5kg)"/>
    <n v="4"/>
    <s v="Cash"/>
    <x v="0"/>
    <d v="2022-10-03T00:00:00"/>
    <n v="10"/>
    <n v="2022"/>
    <n v="400"/>
    <n v="-400"/>
    <n v="0"/>
    <n v="1927253.8500000008"/>
    <s v="Cash"/>
    <s v="Trsf 24/2/23 RM22,000.00"/>
    <m/>
  </r>
  <r>
    <s v="1/10/2022"/>
    <n v="10"/>
    <x v="3"/>
    <s v="INV00000340"/>
    <s v="C00000021"/>
    <x v="21"/>
    <s v="RA Resin 3317AW (220Kg)"/>
    <n v="1"/>
    <s v="Cash"/>
    <x v="0"/>
    <d v="2022-10-01T00:00:00"/>
    <n v="10"/>
    <n v="2022"/>
    <n v="1936"/>
    <n v="-1936"/>
    <n v="0"/>
    <n v="1929189.8500000008"/>
    <s v="Cash"/>
    <s v="Chq PBB 395374, cleared160123 RM2,636.50"/>
    <m/>
  </r>
  <r>
    <s v="1/10/2022"/>
    <n v="10"/>
    <x v="3"/>
    <s v="INV00000340"/>
    <s v="C00000021"/>
    <x v="21"/>
    <s v="RJ Butonox M50 (5kg)"/>
    <n v="1"/>
    <s v="Cash"/>
    <x v="0"/>
    <d v="2022-10-01T00:00:00"/>
    <n v="10"/>
    <n v="2022"/>
    <n v="100"/>
    <n v="-100"/>
    <n v="0"/>
    <n v="1929289.8500000008"/>
    <s v="Cash"/>
    <s v="Chq PBB 395374, cleared160123 RM2,636.50"/>
    <m/>
  </r>
  <r>
    <s v="1/10/2022"/>
    <n v="10"/>
    <x v="3"/>
    <s v="INV00000340"/>
    <s v="C00000021"/>
    <x v="21"/>
    <s v="RA Talcum Powder (25kg)"/>
    <n v="5"/>
    <s v="Cash"/>
    <x v="0"/>
    <d v="2022-10-01T00:00:00"/>
    <n v="10"/>
    <n v="2022"/>
    <n v="312.5"/>
    <n v="-312.5"/>
    <n v="0"/>
    <n v="1929602.3500000008"/>
    <s v="Cash"/>
    <s v="Chq PBB 395374, cleared160123 RM2,636.50"/>
    <m/>
  </r>
  <r>
    <s v="1/10/2022"/>
    <n v="10"/>
    <x v="3"/>
    <s v="INV00000340"/>
    <s v="C00000021"/>
    <x v="21"/>
    <s v="RA Miracle Gloss Wax No. 8 (311g/Can)"/>
    <n v="6"/>
    <s v="Cash"/>
    <x v="0"/>
    <d v="2022-10-01T00:00:00"/>
    <n v="10"/>
    <n v="2022"/>
    <n v="288"/>
    <n v="-288"/>
    <n v="0"/>
    <n v="1929890.3500000008"/>
    <s v="Cash"/>
    <s v="Chq PBB 395374, cleared160123 RM2,636.50"/>
    <m/>
  </r>
  <r>
    <d v="2022-10-02T00:00:00"/>
    <n v="10"/>
    <x v="3"/>
    <s v="INV00000341"/>
    <s v="C00000003"/>
    <x v="2"/>
    <s v="RA Resin 3317AW (220Kg)"/>
    <n v="1"/>
    <s v="T45"/>
    <x v="1"/>
    <d v="2022-11-16T00:00:00"/>
    <n v="11"/>
    <n v="2022"/>
    <n v="2024"/>
    <n v="-2024"/>
    <n v="0"/>
    <n v="1931914.3500000008"/>
    <s v="Term"/>
    <s v="RHB 00552 12/12/22cleared-RM1,800.00, RHB 00553 19/12/22cleared-RM1,800.00(RM224.00partial)"/>
    <m/>
  </r>
  <r>
    <d v="2022-10-02T00:00:00"/>
    <n v="10"/>
    <x v="3"/>
    <s v="INV00000341"/>
    <s v="C00000003"/>
    <x v="2"/>
    <s v="RA Talcum Powder (25kg)"/>
    <n v="3"/>
    <s v="T45"/>
    <x v="1"/>
    <d v="2022-11-16T00:00:00"/>
    <n v="11"/>
    <n v="2022"/>
    <n v="195"/>
    <n v="-195"/>
    <n v="0"/>
    <n v="1932109.3500000008"/>
    <s v="Term"/>
    <s v="RHB 00553 19/12/22cleared-RM1,800.00(RM195.00partial)"/>
    <m/>
  </r>
  <r>
    <d v="2022-10-02T00:00:00"/>
    <n v="10"/>
    <x v="3"/>
    <s v="INV00000341"/>
    <s v="C00000003"/>
    <x v="2"/>
    <s v="RA Butanox M50 (5Kg)"/>
    <n v="6"/>
    <s v="T45"/>
    <x v="1"/>
    <d v="2022-11-16T00:00:00"/>
    <n v="11"/>
    <n v="2022"/>
    <n v="630"/>
    <n v="-630"/>
    <n v="0"/>
    <n v="1932739.3500000008"/>
    <s v="Term"/>
    <s v="RHB 00553 19/12/22cleared-RM1,800.00(RM630.00partial)"/>
    <m/>
  </r>
  <r>
    <d v="2022-10-02T00:00:00"/>
    <n v="10"/>
    <x v="3"/>
    <s v="INV00000342"/>
    <s v="C00000003"/>
    <x v="2"/>
    <s v="RA Resin 3317AW (220Kg)"/>
    <n v="2"/>
    <s v="T45"/>
    <x v="1"/>
    <d v="2022-11-16T00:00:00"/>
    <n v="11"/>
    <n v="2022"/>
    <n v="4048"/>
    <n v="-4048"/>
    <n v="0"/>
    <n v="1936787.3500000008"/>
    <s v="Term"/>
    <s v="RHB 00553 19/12/22cleared-RM1,800.00(RM751.00partial), RHB 00554 27/12/22cleared-RM1,800.00, RHB 00557 3/1/23cleared-RM1,497.00"/>
    <m/>
  </r>
  <r>
    <d v="2022-10-11T00:00:00"/>
    <n v="10"/>
    <x v="3"/>
    <s v="INV00000343"/>
    <s v="C00000006"/>
    <x v="5"/>
    <s v="RM Nor 3338W (220Kg)"/>
    <n v="1"/>
    <s v="Cash"/>
    <x v="0"/>
    <d v="2022-10-11T00:00:00"/>
    <n v="10"/>
    <n v="2022"/>
    <n v="1958"/>
    <n v="-1958"/>
    <n v="0"/>
    <n v="1938745.3500000008"/>
    <s v="Cash"/>
    <s v="RHB 934959 cleared24/11/22-RM2,237.00"/>
    <m/>
  </r>
  <r>
    <d v="2022-10-11T00:00:00"/>
    <n v="10"/>
    <x v="3"/>
    <s v="INV00000343"/>
    <s v="C00000006"/>
    <x v="5"/>
    <s v="RA CSM 300 (30Kg) 64m(L) x 1040mm(W)"/>
    <n v="1"/>
    <s v="Cash"/>
    <x v="0"/>
    <d v="2022-10-11T00:00:00"/>
    <n v="10"/>
    <n v="2022"/>
    <n v="279"/>
    <n v="-279"/>
    <n v="0"/>
    <n v="1939024.3500000008"/>
    <s v="Cash"/>
    <s v="RHB 934959 cleared24/11/22-RM2,237.00"/>
    <m/>
  </r>
  <r>
    <d v="2022-10-11T00:00:00"/>
    <n v="10"/>
    <x v="3"/>
    <s v="INV00000344"/>
    <s v="C00000019"/>
    <x v="18"/>
    <s v="RM Nor 3338W (220Kg)"/>
    <n v="1"/>
    <s v="Cash"/>
    <x v="0"/>
    <d v="2022-10-11T00:00:00"/>
    <n v="10"/>
    <n v="2022"/>
    <n v="1936"/>
    <n v="-1936"/>
    <n v="0"/>
    <n v="1940960.3500000008"/>
    <s v="Cash"/>
    <s v="Trsf 8/11/22 RM1,500.00, Trsf 14/11/22 RM1,637.30"/>
    <m/>
  </r>
  <r>
    <d v="2022-10-11T00:00:00"/>
    <n v="10"/>
    <x v="3"/>
    <s v="INV00000344"/>
    <s v="C00000019"/>
    <x v="18"/>
    <s v="RM CSM 450 Jushi 64m(L) X 1860mm(W) (67kg)"/>
    <n v="1"/>
    <s v="Cash"/>
    <x v="0"/>
    <d v="2022-10-11T00:00:00"/>
    <n v="10"/>
    <n v="2022"/>
    <n v="596.29999999999995"/>
    <n v="-596.29999999999995"/>
    <n v="0"/>
    <n v="1941556.6500000008"/>
    <s v="Cash"/>
    <s v="Trsf 8/11/22 RM1,500.00, Trsf 14/11/22 RM1,637.30"/>
    <m/>
  </r>
  <r>
    <d v="2022-10-11T00:00:00"/>
    <n v="10"/>
    <x v="3"/>
    <s v="INV00000344"/>
    <s v="C00000019"/>
    <x v="18"/>
    <s v="RM TR104 Hi Temp Wax"/>
    <n v="1"/>
    <s v="Cash"/>
    <x v="0"/>
    <d v="2022-10-11T00:00:00"/>
    <n v="10"/>
    <n v="2022"/>
    <n v="50"/>
    <n v="-50"/>
    <n v="0"/>
    <n v="1941606.6500000008"/>
    <s v="Cash"/>
    <s v="Trsf 8/11/22 RM1,500.00, Trsf 14/11/22 RM1,637.30"/>
    <m/>
  </r>
  <r>
    <d v="2022-10-11T00:00:00"/>
    <n v="10"/>
    <x v="3"/>
    <s v="INV00000344"/>
    <s v="C00000019"/>
    <x v="18"/>
    <s v="RA Butanox M50 (5kg)"/>
    <n v="1"/>
    <s v="Cash"/>
    <x v="0"/>
    <d v="2022-10-11T00:00:00"/>
    <n v="10"/>
    <n v="2022"/>
    <n v="105"/>
    <n v="-105"/>
    <n v="0"/>
    <n v="1941711.6500000008"/>
    <s v="Cash"/>
    <s v="Trsf 8/11/22 RM1,500.00, Trsf 14/11/22 RM1,637.30"/>
    <m/>
  </r>
  <r>
    <d v="2022-10-11T00:00:00"/>
    <n v="10"/>
    <x v="3"/>
    <s v="INV00000344"/>
    <s v="C00000019"/>
    <x v="18"/>
    <s v="RE Frekote 770NC (1 Gallon)"/>
    <n v="1"/>
    <s v="Cash"/>
    <x v="0"/>
    <d v="2022-10-11T00:00:00"/>
    <n v="10"/>
    <n v="2022"/>
    <n v="450"/>
    <n v="-450"/>
    <n v="0"/>
    <n v="1942161.6500000008"/>
    <s v="Cash"/>
    <s v="Trsf 8/11/22 RM1,500.00, Trsf 14/11/22 RM1,637.30"/>
    <m/>
  </r>
  <r>
    <d v="2022-10-13T00:00:00"/>
    <n v="10"/>
    <x v="3"/>
    <s v="INV00000345"/>
    <s v="C00000020"/>
    <x v="19"/>
    <s v="RM Nor 3338W (220Kg)"/>
    <n v="3"/>
    <s v="Cash"/>
    <x v="0"/>
    <d v="2022-10-13T00:00:00"/>
    <n v="10"/>
    <n v="2022"/>
    <n v="5412"/>
    <n v="-5412"/>
    <n v="0"/>
    <n v="1947573.6500000008"/>
    <s v="Cash"/>
    <s v="Trsf 24/2/23 RM22,000.00"/>
    <m/>
  </r>
  <r>
    <d v="2022-10-13T00:00:00"/>
    <n v="10"/>
    <x v="3"/>
    <s v="INV00000345"/>
    <s v="C00000020"/>
    <x v="19"/>
    <s v="RA CSM 450 79m(L) x 1040mm(W) (30Kg)"/>
    <n v="7"/>
    <s v="Cash"/>
    <x v="0"/>
    <d v="2022-10-13T00:00:00"/>
    <n v="10"/>
    <n v="2022"/>
    <n v="1764"/>
    <n v="-1764"/>
    <n v="0"/>
    <n v="1949337.6500000008"/>
    <s v="Cash"/>
    <s v="Trsf 24/2/23 RM22,000.00"/>
    <m/>
  </r>
  <r>
    <d v="2022-10-13T00:00:00"/>
    <n v="10"/>
    <x v="3"/>
    <s v="INV00000345"/>
    <s v="C00000020"/>
    <x v="19"/>
    <s v="RM CSM 450 Jushi 64m(L) X 1860mm(W) (67kg)"/>
    <n v="1"/>
    <s v="Cash"/>
    <x v="0"/>
    <d v="2022-10-13T00:00:00"/>
    <n v="10"/>
    <n v="2022"/>
    <n v="562.79999999999995"/>
    <n v="-562.79999999999995"/>
    <n v="0"/>
    <n v="1949900.4500000009"/>
    <s v="Cash"/>
    <s v="Trsf 24/2/23 RM22,000.00"/>
    <m/>
  </r>
  <r>
    <d v="2022-10-13T00:00:00"/>
    <n v="10"/>
    <x v="3"/>
    <s v="INV00000345"/>
    <s v="C00000020"/>
    <x v="19"/>
    <s v="RJ Woven Roving E-600gm 1000mm (40Kg)"/>
    <n v="4"/>
    <s v="Cash"/>
    <x v="0"/>
    <d v="2022-10-13T00:00:00"/>
    <n v="10"/>
    <n v="2022"/>
    <n v="1040"/>
    <n v="-1040"/>
    <n v="0"/>
    <n v="1950940.4500000009"/>
    <s v="Cash"/>
    <s v="Trsf 24/2/23 RM22,000.00"/>
    <m/>
  </r>
  <r>
    <d v="2022-10-13T00:00:00"/>
    <n v="10"/>
    <x v="3"/>
    <s v="INV00000345"/>
    <s v="C00000020"/>
    <x v="19"/>
    <s v="RA Talcum Powder (25kg)"/>
    <n v="3"/>
    <s v="Cash"/>
    <x v="0"/>
    <d v="2022-10-13T00:00:00"/>
    <n v="10"/>
    <n v="2022"/>
    <n v="187.5"/>
    <n v="-187.5"/>
    <n v="0"/>
    <n v="1951127.9500000009"/>
    <s v="Cash"/>
    <s v="Trsf 24/2/23 RM22,000.00"/>
    <m/>
  </r>
  <r>
    <d v="2022-10-13T00:00:00"/>
    <n v="10"/>
    <x v="3"/>
    <s v="INV00000345"/>
    <s v="C00000020"/>
    <x v="19"/>
    <s v="RM Pigment Paste Smooth Cream M19 (25kg)"/>
    <n v="1"/>
    <s v="Cash"/>
    <x v="0"/>
    <d v="2022-10-13T00:00:00"/>
    <n v="10"/>
    <n v="2022"/>
    <n v="1000"/>
    <n v="-1000"/>
    <n v="0"/>
    <n v="1952127.9500000009"/>
    <s v="Cash"/>
    <s v="Trsf 24/2/23 RM22,000.00"/>
    <m/>
  </r>
  <r>
    <d v="2022-10-13T00:00:00"/>
    <n v="10"/>
    <x v="3"/>
    <s v="INV00000345"/>
    <s v="C00000020"/>
    <x v="19"/>
    <s v="RJ Butanox M50 (5kg)"/>
    <n v="2"/>
    <s v="Cash"/>
    <x v="0"/>
    <d v="2022-10-13T00:00:00"/>
    <n v="10"/>
    <n v="2022"/>
    <n v="200"/>
    <n v="-200"/>
    <n v="0"/>
    <n v="1952327.9500000009"/>
    <s v="Cash"/>
    <s v="Trsf 24/2/23 RM22,000.00"/>
    <m/>
  </r>
  <r>
    <d v="2022-10-13T00:00:00"/>
    <n v="10"/>
    <x v="3"/>
    <s v="INV00000346"/>
    <s v="C00000021"/>
    <x v="21"/>
    <s v="RA Resin 3317AW (220Kg)"/>
    <n v="1"/>
    <s v="Cash"/>
    <x v="0"/>
    <d v="2022-10-13T00:00:00"/>
    <n v="10"/>
    <n v="2022"/>
    <n v="1936"/>
    <n v="-1936"/>
    <n v="0"/>
    <n v="1954263.9500000009"/>
    <s v="Cash"/>
    <s v="Chq PBB 395375, cleared160123 RM2,570.00"/>
    <m/>
  </r>
  <r>
    <d v="2022-10-13T00:00:00"/>
    <n v="10"/>
    <x v="3"/>
    <s v="INV00000346"/>
    <s v="C00000021"/>
    <x v="21"/>
    <s v="RA CSM 450 79m(L) x 1040mm(W) (30Kg)"/>
    <n v="2"/>
    <s v="Cash"/>
    <x v="0"/>
    <d v="2022-10-13T00:00:00"/>
    <n v="10"/>
    <n v="2022"/>
    <n v="534"/>
    <n v="-534"/>
    <n v="0"/>
    <n v="1954797.9500000009"/>
    <s v="Cash"/>
    <s v="Chq PBB 395375, cleared160123 RM2,570.00"/>
    <m/>
  </r>
  <r>
    <d v="2022-10-13T00:00:00"/>
    <n v="10"/>
    <x v="3"/>
    <s v="INV00000346"/>
    <s v="C00000021"/>
    <x v="21"/>
    <s v="RJ Butonox M50 (5kg)"/>
    <n v="1"/>
    <s v="Cash"/>
    <x v="0"/>
    <d v="2022-10-13T00:00:00"/>
    <n v="10"/>
    <n v="2022"/>
    <n v="100"/>
    <n v="-100"/>
    <n v="0"/>
    <n v="1954897.9500000009"/>
    <s v="Cash"/>
    <s v="Chq PBB 395375, cleared160123 RM2,570.00"/>
    <m/>
  </r>
  <r>
    <d v="2022-10-15T00:00:00"/>
    <n v="10"/>
    <x v="3"/>
    <s v="INV00000347"/>
    <s v="C00000010"/>
    <x v="9"/>
    <s v="RA Resin 3338AW (220kg)"/>
    <n v="5"/>
    <s v="T120"/>
    <x v="4"/>
    <d v="2023-02-12T00:00:00"/>
    <n v="2"/>
    <n v="2023"/>
    <n v="9020"/>
    <n v="-9020"/>
    <n v="0"/>
    <n v="1963917.9500000009"/>
    <s v="Term"/>
    <s v="Trsf 19/1/23, RM24,940.00"/>
    <m/>
  </r>
  <r>
    <d v="2022-10-15T00:00:00"/>
    <n v="10"/>
    <x v="3"/>
    <s v="INV00000347"/>
    <s v="C00000010"/>
    <x v="9"/>
    <s v="RA CSM 450 64m(L) 1040mm(W) (30Kg)"/>
    <n v="5"/>
    <s v="T120"/>
    <x v="4"/>
    <d v="2023-02-12T00:00:00"/>
    <n v="2"/>
    <n v="2023"/>
    <n v="1245"/>
    <n v="-1245"/>
    <n v="0"/>
    <n v="1965162.9500000009"/>
    <s v="Term"/>
    <s v="Trsf 19/1/23, RM24,940.00"/>
    <m/>
  </r>
  <r>
    <d v="2022-10-15T00:00:00"/>
    <n v="10"/>
    <x v="3"/>
    <s v="INV00000347"/>
    <s v="C00000010"/>
    <x v="9"/>
    <s v="RA Talcum Powder (25kg)"/>
    <n v="10"/>
    <s v="T120"/>
    <x v="4"/>
    <d v="2023-02-12T00:00:00"/>
    <n v="2"/>
    <n v="2023"/>
    <n v="575"/>
    <n v="-575"/>
    <n v="0"/>
    <n v="1965737.9500000009"/>
    <s v="Term"/>
    <s v="Trsf 19/1/23, RM24,940.00"/>
    <m/>
  </r>
  <r>
    <d v="2022-10-15T00:00:00"/>
    <n v="10"/>
    <x v="3"/>
    <s v="INV00000347"/>
    <s v="C00000010"/>
    <x v="9"/>
    <s v="RM Butanox M50 (5kg)"/>
    <n v="4"/>
    <s v="T120"/>
    <x v="4"/>
    <d v="2023-02-12T00:00:00"/>
    <n v="2"/>
    <n v="2023"/>
    <n v="420"/>
    <n v="-420"/>
    <n v="0"/>
    <n v="1966157.9500000009"/>
    <s v="Term"/>
    <s v="Trsf 19/1/23, RM24,940.00"/>
    <m/>
  </r>
  <r>
    <d v="2022-10-15T00:00:00"/>
    <n v="10"/>
    <x v="3"/>
    <s v="INV00000347"/>
    <s v="C00000010"/>
    <x v="9"/>
    <s v="RD Brush 3&quot; (12Pc)"/>
    <n v="4"/>
    <s v="T120"/>
    <x v="4"/>
    <d v="2023-02-12T00:00:00"/>
    <n v="2"/>
    <n v="2023"/>
    <n v="220"/>
    <n v="-220"/>
    <n v="0"/>
    <n v="1966377.9500000009"/>
    <s v="Term"/>
    <s v="Trsf 19/1/23, RM24,940.00"/>
    <m/>
  </r>
  <r>
    <d v="2022-10-17T00:00:00"/>
    <n v="10"/>
    <x v="3"/>
    <s v="INV00000348"/>
    <s v="C00000026"/>
    <x v="26"/>
    <s v="RM Resin 3317AW (220Kg)"/>
    <n v="1"/>
    <s v="Cash"/>
    <x v="0"/>
    <d v="2022-10-17T00:00:00"/>
    <n v="10"/>
    <n v="2022"/>
    <n v="1958"/>
    <n v="-1958"/>
    <n v="0"/>
    <n v="1968335.9500000009"/>
    <s v="Cash"/>
    <s v="Trsf 19/10/22 RM3,000.00, Trsf 20/10/22 RM600.00 "/>
    <m/>
  </r>
  <r>
    <d v="2022-10-17T00:00:00"/>
    <n v="10"/>
    <x v="3"/>
    <s v="INV00000348"/>
    <s v="C00000026"/>
    <x v="26"/>
    <s v="RM CSM 450 Jushi 64m(L) X 1860mm(W) (67kg)"/>
    <n v="1"/>
    <s v="Cash"/>
    <x v="0"/>
    <d v="2022-10-17T00:00:00"/>
    <n v="10"/>
    <n v="2022"/>
    <n v="603"/>
    <n v="-603"/>
    <n v="0"/>
    <n v="1968938.9500000009"/>
    <s v="Cash"/>
    <s v="Trsf 19/10/22 RM3,000.00, Trsf 20/10/22 RM600.00 "/>
    <m/>
  </r>
  <r>
    <d v="2022-10-17T00:00:00"/>
    <n v="10"/>
    <x v="3"/>
    <s v="INV00000348"/>
    <s v="C00000026"/>
    <x v="26"/>
    <s v="RM Gelcoat GPH (20kg)"/>
    <n v="1"/>
    <s v="Cash"/>
    <x v="0"/>
    <d v="2022-10-17T00:00:00"/>
    <n v="10"/>
    <n v="2022"/>
    <n v="254"/>
    <n v="-254"/>
    <n v="0"/>
    <n v="1969192.9500000009"/>
    <s v="Cash"/>
    <s v="Trsf 19/10/22 RM3,000.00, Trsf 20/10/22 RM600.00 "/>
    <m/>
  </r>
  <r>
    <d v="2022-10-17T00:00:00"/>
    <n v="10"/>
    <x v="3"/>
    <s v="INV00000348"/>
    <s v="C00000026"/>
    <x v="26"/>
    <s v="RD Brush 2&quot; (12Pc)"/>
    <n v="1"/>
    <s v="Cash"/>
    <x v="0"/>
    <d v="2022-10-17T00:00:00"/>
    <n v="10"/>
    <n v="2022"/>
    <n v="55"/>
    <n v="-55"/>
    <n v="0"/>
    <n v="1969247.9500000009"/>
    <s v="Cash"/>
    <s v="Trsf 19/10/22 RM3,000.00, Trsf 20/10/22 RM600.00 "/>
    <m/>
  </r>
  <r>
    <d v="2022-10-17T00:00:00"/>
    <n v="10"/>
    <x v="3"/>
    <s v="INV00000348"/>
    <s v="C00000026"/>
    <x v="26"/>
    <s v="RM Pigment Super White (5Kg)"/>
    <n v="1"/>
    <s v="Cash"/>
    <x v="0"/>
    <d v="2022-10-17T00:00:00"/>
    <n v="10"/>
    <n v="2022"/>
    <n v="160"/>
    <n v="-160"/>
    <n v="0"/>
    <n v="1969407.9500000009"/>
    <s v="Cash"/>
    <s v="Trsf 19/10/22 RM3,000.00, Trsf 20/10/22 RM600.00 "/>
    <m/>
  </r>
  <r>
    <d v="2022-10-17T00:00:00"/>
    <n v="10"/>
    <x v="3"/>
    <s v="INV00000348"/>
    <s v="C00000026"/>
    <x v="26"/>
    <s v="RM Pigment Orange (5Kg)"/>
    <n v="1"/>
    <s v="Cash"/>
    <x v="0"/>
    <d v="2022-10-17T00:00:00"/>
    <n v="10"/>
    <n v="2022"/>
    <n v="240"/>
    <n v="-240"/>
    <n v="0"/>
    <n v="1969647.9500000009"/>
    <s v="Cash"/>
    <s v="Trsf 19/10/22 RM3,000.00, Trsf 20/10/22 RM600.00 "/>
    <m/>
  </r>
  <r>
    <d v="2022-10-17T00:00:00"/>
    <n v="10"/>
    <x v="3"/>
    <s v="INV00000348"/>
    <s v="C00000026"/>
    <x v="26"/>
    <s v="RM Butanox M50 (5kg)"/>
    <n v="1"/>
    <s v="Cash"/>
    <x v="0"/>
    <d v="2022-10-17T00:00:00"/>
    <n v="10"/>
    <n v="2022"/>
    <n v="105"/>
    <n v="-105"/>
    <n v="0"/>
    <n v="1969752.9500000009"/>
    <s v="Cash"/>
    <s v="Trsf 19/10/22 RM3,000.00, Trsf 20/10/22 RM600.00 "/>
    <m/>
  </r>
  <r>
    <d v="2022-10-17T00:00:00"/>
    <n v="10"/>
    <x v="3"/>
    <s v="INV00000348"/>
    <s v="C00000026"/>
    <x v="26"/>
    <s v="RA Talcum Powder (25kg)"/>
    <n v="2"/>
    <s v="Cash"/>
    <x v="0"/>
    <d v="2022-10-17T00:00:00"/>
    <n v="10"/>
    <n v="2022"/>
    <n v="125"/>
    <n v="-125"/>
    <n v="0"/>
    <n v="1969877.9500000009"/>
    <s v="Cash"/>
    <s v="Trsf 19/10/22 RM3,000.00, Trsf 20/10/22 RM600.00 "/>
    <m/>
  </r>
  <r>
    <d v="2022-10-17T00:00:00"/>
    <n v="10"/>
    <x v="3"/>
    <s v="INV00000348"/>
    <s v="C00000026"/>
    <x v="26"/>
    <s v="RM TR104 Hi Temp Wax"/>
    <n v="2"/>
    <s v="Cash"/>
    <x v="0"/>
    <d v="2022-10-17T00:00:00"/>
    <n v="10"/>
    <n v="2022"/>
    <n v="100"/>
    <n v="-100"/>
    <n v="0"/>
    <n v="1969977.9500000009"/>
    <s v="Cash"/>
    <s v="Trsf 19/10/22 RM3,000.00, Trsf 20/10/22 RM600.00 "/>
    <m/>
  </r>
  <r>
    <d v="2022-10-17T00:00:00"/>
    <n v="10"/>
    <x v="3"/>
    <s v="INV00000349"/>
    <s v="C00000010"/>
    <x v="9"/>
    <s v="RH Bosny Wax (15Kg)"/>
    <n v="1"/>
    <s v="T120"/>
    <x v="4"/>
    <d v="2023-02-14T00:00:00"/>
    <n v="2"/>
    <n v="2023"/>
    <n v="395"/>
    <n v="-395"/>
    <n v="0"/>
    <n v="1970372.9500000009"/>
    <s v="Term"/>
    <s v="Trsf 19/1/23, RM24,940.00"/>
    <m/>
  </r>
  <r>
    <d v="2022-10-18T00:00:00"/>
    <n v="10"/>
    <x v="3"/>
    <s v="INV00000350"/>
    <s v="C00000009"/>
    <x v="8"/>
    <s v="RM CSM 450 Jushi 64m(L) X 1860mm(W) (67kg)"/>
    <n v="2"/>
    <s v="T60"/>
    <x v="3"/>
    <d v="2022-12-17T00:00:00"/>
    <n v="12"/>
    <n v="2022"/>
    <n v="1085.4000000000001"/>
    <n v="-1085.4000000000001"/>
    <n v="0"/>
    <n v="1971458.3500000008"/>
    <s v="Term"/>
    <s v="Chq HL 019025 dd 27/3/23"/>
    <m/>
  </r>
  <r>
    <d v="2022-10-18T00:00:00"/>
    <n v="10"/>
    <x v="3"/>
    <s v="INV00000350"/>
    <s v="C00000009"/>
    <x v="8"/>
    <s v="RA CSM 300 96m(L) X 1860mm(W) (54Kg)"/>
    <n v="2"/>
    <s v="T60"/>
    <x v="3"/>
    <d v="2022-12-17T00:00:00"/>
    <n v="12"/>
    <n v="2022"/>
    <n v="874.8"/>
    <n v="-874.8"/>
    <n v="0"/>
    <n v="1972333.1500000008"/>
    <s v="Term"/>
    <s v="Chq HL 019025 dd 27/3/23"/>
    <m/>
  </r>
  <r>
    <d v="2022-10-20T00:00:00"/>
    <n v="10"/>
    <x v="3"/>
    <s v="INV00000351"/>
    <s v="C00000004"/>
    <x v="3"/>
    <s v="RM Nor 3338W (220Kg)"/>
    <n v="6"/>
    <s v="T120"/>
    <x v="4"/>
    <d v="2023-02-17T00:00:00"/>
    <n v="2"/>
    <n v="2023"/>
    <n v="10824"/>
    <n v="-10824"/>
    <n v="0"/>
    <n v="1983157.1500000008"/>
    <s v="Term"/>
    <s v="HLB016114Cleared22/2/23-RM15,677.20"/>
    <m/>
  </r>
  <r>
    <d v="2022-10-20T00:00:00"/>
    <n v="10"/>
    <x v="3"/>
    <s v="INV00000351"/>
    <s v="C00000004"/>
    <x v="3"/>
    <s v="RM Nor 3338NW (220Kg)"/>
    <n v="1"/>
    <s v="T120"/>
    <x v="4"/>
    <d v="2023-02-17T00:00:00"/>
    <n v="2"/>
    <n v="2023"/>
    <n v="1804"/>
    <n v="-1804"/>
    <n v="0"/>
    <n v="1984961.1500000008"/>
    <s v="Term"/>
    <s v="HLB016114Cleared22/2/23-RM15,677.20"/>
    <m/>
  </r>
  <r>
    <d v="2022-10-20T00:00:00"/>
    <n v="10"/>
    <x v="3"/>
    <s v="INV00000351"/>
    <s v="C00000004"/>
    <x v="3"/>
    <s v="RM CSM 450 64m(L) X 1860mm(W) (54kg)"/>
    <n v="3"/>
    <s v="T120"/>
    <x v="4"/>
    <d v="2023-02-17T00:00:00"/>
    <n v="2"/>
    <n v="2023"/>
    <n v="1344.6"/>
    <n v="-1344.6"/>
    <n v="0"/>
    <n v="1986305.7500000009"/>
    <s v="Term"/>
    <s v="HLB016114Cleared22/2/23-RM15,677.20"/>
    <m/>
  </r>
  <r>
    <d v="2022-10-20T00:00:00"/>
    <n v="10"/>
    <x v="3"/>
    <s v="INV00000351"/>
    <s v="C00000004"/>
    <x v="3"/>
    <s v="RM CSM 300 96m(L) X 1860mm(W) (54Kg)"/>
    <n v="3"/>
    <s v="T120"/>
    <x v="4"/>
    <d v="2023-02-17T00:00:00"/>
    <n v="2"/>
    <n v="2023"/>
    <n v="1344.6"/>
    <n v="-1344.6"/>
    <n v="0"/>
    <n v="1987650.350000001"/>
    <s v="Term"/>
    <s v="HLB016114Cleared22/2/23-RM15,677.20"/>
    <m/>
  </r>
  <r>
    <d v="2022-10-20T00:00:00"/>
    <n v="10"/>
    <x v="3"/>
    <s v="INV00000351"/>
    <s v="C00000004"/>
    <x v="3"/>
    <s v="RJ Mepoxe (5kg)"/>
    <n v="4"/>
    <s v="T120"/>
    <x v="4"/>
    <d v="2023-02-17T00:00:00"/>
    <n v="2"/>
    <n v="2023"/>
    <n v="360"/>
    <n v="-360"/>
    <n v="0"/>
    <n v="1988010.350000001"/>
    <s v="Term"/>
    <s v="HLB016114Cleared22/2/23-RM15,677.20"/>
    <m/>
  </r>
  <r>
    <d v="2022-10-21T00:00:00"/>
    <n v="10"/>
    <x v="3"/>
    <s v="INV00000352"/>
    <s v="C00000001"/>
    <x v="0"/>
    <s v="RM Resin 3317AW (220Kg)"/>
    <n v="1"/>
    <s v="Cash"/>
    <x v="0"/>
    <d v="2022-10-21T00:00:00"/>
    <n v="10"/>
    <n v="2022"/>
    <n v="1936"/>
    <n v="-1936"/>
    <n v="0"/>
    <n v="1989946.350000001"/>
    <s v="Cash"/>
    <s v="Trsf 1/11/22 RM3,004.00"/>
    <m/>
  </r>
  <r>
    <d v="2022-10-21T00:00:00"/>
    <n v="10"/>
    <x v="3"/>
    <s v="INV00000352"/>
    <s v="C00000001"/>
    <x v="0"/>
    <s v="RM CSM 450 64m(L) 1040mm(W) (30Kg)"/>
    <n v="4"/>
    <s v="Cash"/>
    <x v="0"/>
    <d v="2022-10-21T00:00:00"/>
    <n v="10"/>
    <n v="2022"/>
    <n v="1068"/>
    <n v="-1068"/>
    <n v="0"/>
    <n v="1991014.350000001"/>
    <s v="Cash"/>
    <s v="Trsf 1/11/22 RM3,004.00"/>
    <m/>
  </r>
  <r>
    <d v="2022-10-22T00:00:00"/>
    <n v="10"/>
    <x v="3"/>
    <s v="INV00000353"/>
    <s v="C00000020"/>
    <x v="19"/>
    <s v="RM Resin 3317AW (220Kg)"/>
    <n v="2"/>
    <s v="Cash"/>
    <x v="0"/>
    <d v="2022-10-22T00:00:00"/>
    <n v="10"/>
    <n v="2022"/>
    <n v="3608"/>
    <n v="-3608"/>
    <n v="0"/>
    <n v="1994622.350000001"/>
    <s v="Cash"/>
    <s v="Trsf 21/10/22 RM7,590.50"/>
    <m/>
  </r>
  <r>
    <d v="2022-10-22T00:00:00"/>
    <n v="10"/>
    <x v="3"/>
    <s v="INV00000353"/>
    <s v="C00000020"/>
    <x v="19"/>
    <s v="RA CSM 450 79m(L) x 1040mm(W) (30Kg)"/>
    <n v="10"/>
    <s v="Cash"/>
    <x v="0"/>
    <d v="2022-10-22T00:00:00"/>
    <n v="10"/>
    <n v="2022"/>
    <n v="2520"/>
    <n v="-2520"/>
    <n v="0"/>
    <n v="1997142.350000001"/>
    <s v="Cash"/>
    <s v="Trsf 21/10/22 RM7,590.50"/>
    <m/>
  </r>
  <r>
    <d v="2022-10-22T00:00:00"/>
    <n v="10"/>
    <x v="3"/>
    <s v="INV00000353"/>
    <s v="C00000020"/>
    <x v="19"/>
    <s v="RA  Woven Roing 600 1120mm (45kg)"/>
    <n v="5"/>
    <s v="Cash"/>
    <x v="0"/>
    <d v="2022-10-22T00:00:00"/>
    <n v="10"/>
    <n v="2022"/>
    <n v="1462.5"/>
    <n v="-1462.5"/>
    <n v="0"/>
    <n v="1998604.850000001"/>
    <s v="Cash"/>
    <s v="Trsf 21/10/22 RM7,590.50"/>
    <m/>
  </r>
  <r>
    <d v="2022-10-22T00:00:00"/>
    <n v="10"/>
    <x v="3"/>
    <s v="INV00000354"/>
    <s v="C00000021"/>
    <x v="21"/>
    <s v="RA Resin 3317AW (220Kg)"/>
    <n v="1"/>
    <s v="Cash"/>
    <x v="0"/>
    <d v="2022-10-22T00:00:00"/>
    <n v="10"/>
    <n v="2022"/>
    <n v="1936"/>
    <n v="-1936"/>
    <n v="0"/>
    <n v="2000540.850000001"/>
    <s v="Cash"/>
    <s v="Chq PBB 395376, cleared070223 RM2,837.00"/>
    <m/>
  </r>
  <r>
    <d v="2022-10-22T00:00:00"/>
    <n v="10"/>
    <x v="3"/>
    <s v="INV00000354"/>
    <s v="C00000021"/>
    <x v="21"/>
    <s v="RA CSM 450 79m(L) x 1040mm(W) (30Kg)"/>
    <n v="3"/>
    <s v="Cash"/>
    <x v="0"/>
    <d v="2022-10-22T00:00:00"/>
    <n v="10"/>
    <n v="2022"/>
    <n v="801"/>
    <n v="-801"/>
    <n v="0"/>
    <n v="2001341.850000001"/>
    <s v="Cash"/>
    <s v="Chq PBB 395376, cleared070223 RM2,837.00"/>
    <m/>
  </r>
  <r>
    <d v="2022-10-22T00:00:00"/>
    <n v="10"/>
    <x v="3"/>
    <s v="INV00000354"/>
    <s v="C00000021"/>
    <x v="21"/>
    <s v="RJ Butonox M50 (5kg)"/>
    <n v="1"/>
    <s v="Cash"/>
    <x v="0"/>
    <d v="2022-10-22T00:00:00"/>
    <n v="10"/>
    <n v="2022"/>
    <n v="100"/>
    <n v="-100"/>
    <n v="0"/>
    <n v="2001441.850000001"/>
    <s v="Cash"/>
    <s v="Chq PBB 395376, cleared070223 RM2,837.00"/>
    <m/>
  </r>
  <r>
    <d v="2022-10-27T00:00:00"/>
    <n v="10"/>
    <x v="3"/>
    <s v="INV00000355"/>
    <s v="C00000020"/>
    <x v="19"/>
    <s v="RA Talcum Powder (25kg)"/>
    <n v="4"/>
    <s v="Cash"/>
    <x v="0"/>
    <d v="2022-10-27T00:00:00"/>
    <n v="10"/>
    <n v="2022"/>
    <n v="250"/>
    <n v="-250"/>
    <n v="0"/>
    <n v="2001691.850000001"/>
    <s v="Cash"/>
    <s v="Trsf 27/10/22 RM250.00"/>
    <m/>
  </r>
  <r>
    <d v="2022-10-31T00:00:00"/>
    <n v="10"/>
    <x v="3"/>
    <s v="INV00000356"/>
    <s v="C00000020"/>
    <x v="19"/>
    <s v="RM Nor 3338W (220Kg)"/>
    <n v="15"/>
    <s v="Cash"/>
    <x v="0"/>
    <d v="2022-10-31T00:00:00"/>
    <n v="10"/>
    <n v="2022"/>
    <n v="27060"/>
    <n v="-27060"/>
    <n v="0"/>
    <n v="2028751.850000001"/>
    <s v="Cash"/>
    <s v="Trsf 24/2/23 RM22,000.00(RM789.40), Trsf 27/2/23 RM11,000.00, Trsf 23/3/23 RM10,000.00, Trsf 29/3/23 RM34,000.00(RM5,270.60)"/>
    <m/>
  </r>
  <r>
    <d v="2022-10-31T00:00:00"/>
    <n v="10"/>
    <x v="3"/>
    <s v="INV00000356"/>
    <s v="C00000020"/>
    <x v="19"/>
    <s v="RA CSM 450 79m(L) x 1040mm(W) (30Kg)"/>
    <n v="45"/>
    <s v="Cash"/>
    <x v="0"/>
    <d v="2022-10-31T00:00:00"/>
    <n v="10"/>
    <n v="2022"/>
    <n v="11340"/>
    <n v="-11340"/>
    <n v="0"/>
    <n v="2040091.850000001"/>
    <s v="Cash"/>
    <s v="Trsf 29/3/23 RM34,000.00"/>
    <m/>
  </r>
  <r>
    <d v="2022-10-31T00:00:00"/>
    <n v="10"/>
    <x v="3"/>
    <s v="INV00000356"/>
    <s v="C00000020"/>
    <x v="19"/>
    <s v="RA Woven Roving 600 1120mm (45kg)"/>
    <n v="7"/>
    <s v="Cash"/>
    <x v="0"/>
    <d v="2022-10-31T00:00:00"/>
    <n v="10"/>
    <n v="2022"/>
    <n v="2047.5"/>
    <n v="-2047.5"/>
    <n v="0"/>
    <n v="2042139.350000001"/>
    <s v="Cash"/>
    <s v="Trsf 29/3/23 RM34,000.00"/>
    <m/>
  </r>
  <r>
    <d v="2022-10-31T00:00:00"/>
    <n v="10"/>
    <x v="3"/>
    <s v="INV00000356"/>
    <s v="C00000020"/>
    <x v="19"/>
    <s v="RA Woven Roving 600 1000mm (40kg)"/>
    <n v="15"/>
    <s v="Cash"/>
    <x v="0"/>
    <d v="2022-10-31T00:00:00"/>
    <n v="10"/>
    <n v="2022"/>
    <n v="3900"/>
    <n v="-3900"/>
    <n v="0"/>
    <n v="2046039.350000001"/>
    <s v="Cash"/>
    <s v="Trsf 29/3/23 RM34,000.00"/>
    <m/>
  </r>
  <r>
    <d v="2022-10-31T00:00:00"/>
    <n v="10"/>
    <x v="3"/>
    <s v="INV00000356"/>
    <s v="C00000020"/>
    <x v="19"/>
    <s v="RA Talcum Powder (25kg)"/>
    <n v="15"/>
    <s v="Cash"/>
    <x v="0"/>
    <d v="2022-10-31T00:00:00"/>
    <n v="10"/>
    <n v="2022"/>
    <n v="937.5"/>
    <n v="-937.5"/>
    <n v="0"/>
    <n v="2046976.850000001"/>
    <s v="Cash"/>
    <s v="Trsf 29/3/23 RM34,000.00"/>
    <m/>
  </r>
  <r>
    <d v="2022-10-31T00:00:00"/>
    <n v="10"/>
    <x v="3"/>
    <s v="INV00000356"/>
    <s v="C00000020"/>
    <x v="19"/>
    <s v="RM Pigment Paste Smooth Cream M19 (25kg)"/>
    <n v="2"/>
    <s v="Cash"/>
    <x v="0"/>
    <d v="2022-10-31T00:00:00"/>
    <n v="10"/>
    <n v="2022"/>
    <n v="2000"/>
    <n v="-2000"/>
    <n v="0"/>
    <n v="2048976.850000001"/>
    <s v="Cash"/>
    <s v="Trsf 29/3/23 RM34,000.00"/>
    <m/>
  </r>
  <r>
    <d v="2022-10-31T00:00:00"/>
    <n v="10"/>
    <x v="3"/>
    <s v="INV00000356"/>
    <s v="C00000020"/>
    <x v="19"/>
    <s v="RJ Butanox M50 (5kg)"/>
    <n v="4"/>
    <s v="Cash"/>
    <x v="0"/>
    <d v="2022-10-31T00:00:00"/>
    <n v="10"/>
    <n v="2022"/>
    <n v="400"/>
    <n v="-400"/>
    <n v="0"/>
    <n v="2049376.850000001"/>
    <s v="Cash"/>
    <s v="Trsf 29/3/23 RM34,000.00"/>
    <m/>
  </r>
  <r>
    <d v="2022-10-31T00:00:00"/>
    <n v="10"/>
    <x v="3"/>
    <s v="INV00000357"/>
    <s v="C00000021"/>
    <x v="21"/>
    <s v="RA Resin 3317AW (220Kg)"/>
    <n v="1"/>
    <s v="Cash"/>
    <x v="0"/>
    <d v="2022-10-31T00:00:00"/>
    <n v="10"/>
    <n v="2022"/>
    <n v="1936"/>
    <n v="-1936"/>
    <n v="0"/>
    <n v="2051312.850000001"/>
    <s v="Cash"/>
    <s v="Chq PBB 395377, cleared160223 RM3,095.00)"/>
    <m/>
  </r>
  <r>
    <d v="2022-10-31T00:00:00"/>
    <n v="10"/>
    <x v="3"/>
    <s v="INV00000357"/>
    <s v="C00000021"/>
    <x v="21"/>
    <s v="RM CSM 450 64m(L) 1040mm(W) (30Kg)"/>
    <n v="3"/>
    <s v="Cash"/>
    <x v="0"/>
    <d v="2022-10-31T00:00:00"/>
    <n v="10"/>
    <n v="2022"/>
    <n v="801"/>
    <n v="-801"/>
    <n v="0"/>
    <n v="2052113.850000001"/>
    <s v="Cash"/>
    <s v="Chq PBB 395377, cleared160223 RM3,095.00)"/>
    <m/>
  </r>
  <r>
    <d v="2022-10-31T00:00:00"/>
    <n v="10"/>
    <x v="3"/>
    <s v="INV00000357"/>
    <s v="C00000021"/>
    <x v="21"/>
    <s v="RJ Butanox M50 (5kg)"/>
    <n v="1"/>
    <s v="Cash"/>
    <x v="0"/>
    <d v="2022-10-31T00:00:00"/>
    <n v="10"/>
    <n v="2022"/>
    <n v="100"/>
    <n v="-100"/>
    <n v="0"/>
    <n v="2052213.850000001"/>
    <s v="Cash"/>
    <s v="Chq PBB 395377, cleared160223 RM3,095.00)"/>
    <m/>
  </r>
  <r>
    <d v="2022-10-31T00:00:00"/>
    <n v="10"/>
    <x v="3"/>
    <s v="INV00000357"/>
    <s v="C00000021"/>
    <x v="21"/>
    <s v="RM Gelcoat GSH (20Kg)"/>
    <n v="1"/>
    <s v="Cash"/>
    <x v="0"/>
    <d v="2022-10-31T00:00:00"/>
    <n v="10"/>
    <n v="2022"/>
    <n v="258"/>
    <n v="-258"/>
    <n v="0"/>
    <n v="2052471.850000001"/>
    <s v="Cash"/>
    <s v="Chq PBB 395377, cleared160223 RM3,095.00)"/>
    <m/>
  </r>
  <r>
    <d v="2022-11-01T00:00:00"/>
    <n v="11"/>
    <x v="3"/>
    <s v="INV00000358"/>
    <s v="C00000004"/>
    <x v="3"/>
    <s v="RM Nor 3338W (220Kg)"/>
    <n v="5"/>
    <s v="T120"/>
    <x v="4"/>
    <d v="2023-03-01T00:00:00"/>
    <n v="3"/>
    <n v="2023"/>
    <n v="9020"/>
    <n v="-9020"/>
    <n v="0"/>
    <n v="2061491.850000001"/>
    <s v="Term"/>
    <s v="HLB016115leared22/2/23-RM10,824.00"/>
    <m/>
  </r>
  <r>
    <d v="2022-11-01T00:00:00"/>
    <n v="11"/>
    <x v="3"/>
    <s v="INV00000358"/>
    <s v="C00000004"/>
    <x v="3"/>
    <s v="RM Nor 3338NW (220Kg)"/>
    <n v="1"/>
    <s v="T120"/>
    <x v="4"/>
    <d v="2023-03-01T00:00:00"/>
    <n v="3"/>
    <n v="2023"/>
    <n v="1804"/>
    <n v="-1804"/>
    <n v="0"/>
    <n v="2063295.850000001"/>
    <s v="Term"/>
    <s v="HLB016115leared22/2/23-RM10,824.00"/>
    <m/>
  </r>
  <r>
    <d v="2022-11-01T00:00:00"/>
    <n v="11"/>
    <x v="3"/>
    <s v="INV00000359"/>
    <s v="C00000010"/>
    <x v="9"/>
    <s v="RA Resin 3338AW (220kg)"/>
    <n v="5"/>
    <s v="T120"/>
    <x v="4"/>
    <d v="2023-03-01T00:00:00"/>
    <n v="3"/>
    <n v="2023"/>
    <n v="9020"/>
    <n v="-9020"/>
    <n v="0"/>
    <n v="2072315.850000001"/>
    <s v="Term"/>
    <s v="Trsf 24/2/23, RM22,670.50"/>
    <m/>
  </r>
  <r>
    <d v="2022-11-01T00:00:00"/>
    <n v="11"/>
    <x v="3"/>
    <s v="INV00000359"/>
    <s v="C00000010"/>
    <x v="9"/>
    <s v="RA CSM 450 64m(L) 1040mm(W) (30Kg)"/>
    <n v="5"/>
    <s v="T120"/>
    <x v="4"/>
    <d v="2023-03-01T00:00:00"/>
    <n v="3"/>
    <n v="2023"/>
    <n v="1245"/>
    <n v="-1245"/>
    <n v="0"/>
    <n v="2073560.850000001"/>
    <s v="Term"/>
    <s v="Trsf 24/2/23, RM22,670.50"/>
    <m/>
  </r>
  <r>
    <d v="2022-11-01T00:00:00"/>
    <n v="11"/>
    <x v="3"/>
    <s v="INV00000359"/>
    <s v="C00000010"/>
    <x v="9"/>
    <s v="RA Talcum Powder (25kg)"/>
    <n v="10"/>
    <s v="T120"/>
    <x v="4"/>
    <d v="2023-03-01T00:00:00"/>
    <n v="3"/>
    <n v="2023"/>
    <n v="575"/>
    <n v="-575"/>
    <n v="0"/>
    <n v="2074135.850000001"/>
    <s v="Term"/>
    <s v="Trsf 24/2/23, RM22,670.50"/>
    <m/>
  </r>
  <r>
    <d v="2022-11-01T00:00:00"/>
    <n v="11"/>
    <x v="3"/>
    <s v="INV00000359"/>
    <s v="C00000010"/>
    <x v="9"/>
    <s v="RM Butanox M50 (5kg)"/>
    <n v="4"/>
    <s v="T120"/>
    <x v="4"/>
    <d v="2023-03-01T00:00:00"/>
    <n v="3"/>
    <n v="2023"/>
    <n v="420"/>
    <n v="-420"/>
    <n v="0"/>
    <n v="2074555.850000001"/>
    <s v="Term"/>
    <s v="Trsf 24/2/23, RM22,670.50"/>
    <m/>
  </r>
  <r>
    <d v="2022-11-03T00:00:00"/>
    <n v="11"/>
    <x v="3"/>
    <s v="INV00000360"/>
    <s v="C00000009"/>
    <x v="8"/>
    <s v="RM Nor 3338W (220Kg)"/>
    <n v="2"/>
    <s v="T60"/>
    <x v="3"/>
    <d v="2023-01-02T00:00:00"/>
    <n v="1"/>
    <n v="2023"/>
    <n v="3608"/>
    <n v="-3608"/>
    <n v="0"/>
    <n v="2078163.850000001"/>
    <s v="Term"/>
    <s v="Chq HL 019025 dd 27/3/23"/>
    <m/>
  </r>
  <r>
    <d v="2022-11-03T00:00:00"/>
    <n v="11"/>
    <x v="3"/>
    <s v="INV00000360"/>
    <s v="C00000009"/>
    <x v="8"/>
    <s v="RM CSM 450 64m(L) X 1860mm(W) (54kg)"/>
    <n v="1"/>
    <s v="T60"/>
    <x v="3"/>
    <d v="2023-01-02T00:00:00"/>
    <n v="1"/>
    <n v="2023"/>
    <n v="437.4"/>
    <n v="-437.4"/>
    <n v="0"/>
    <n v="2078601.2500000009"/>
    <s v="Term"/>
    <s v="Chq HL 019025 dd 27/3/23"/>
    <m/>
  </r>
  <r>
    <d v="2022-11-03T00:00:00"/>
    <n v="11"/>
    <x v="3"/>
    <s v="INV00000360"/>
    <s v="C00000009"/>
    <x v="8"/>
    <s v="RA CSM 300 96m(L) X 1860mm(W) (54Kg)"/>
    <n v="1"/>
    <s v="T60"/>
    <x v="3"/>
    <d v="2023-01-02T00:00:00"/>
    <n v="1"/>
    <n v="2023"/>
    <n v="437.4"/>
    <n v="-437.4"/>
    <n v="0"/>
    <n v="2079038.6500000008"/>
    <s v="Term"/>
    <s v="Chq HL 019025 dd 27/3/23"/>
    <m/>
  </r>
  <r>
    <d v="2022-11-04T00:00:00"/>
    <n v="11"/>
    <x v="3"/>
    <s v="INV00000361"/>
    <s v="C00000020"/>
    <x v="19"/>
    <s v="RJ Mepoxe (5kg)"/>
    <n v="4"/>
    <s v="Cash"/>
    <x v="0"/>
    <d v="2022-11-04T00:00:00"/>
    <n v="11"/>
    <n v="2022"/>
    <n v="360"/>
    <n v="-360"/>
    <n v="0"/>
    <n v="2079398.6500000008"/>
    <s v="Cash"/>
    <s v="Trsf 4/11/22 RM403.80"/>
    <m/>
  </r>
  <r>
    <d v="2022-11-04T00:00:00"/>
    <n v="11"/>
    <x v="3"/>
    <s v="INV00000361"/>
    <s v="C00000020"/>
    <x v="19"/>
    <s v="Transportation fee "/>
    <n v="1"/>
    <s v="Cash"/>
    <x v="0"/>
    <d v="2022-11-04T00:00:00"/>
    <n v="11"/>
    <n v="2022"/>
    <n v="43.8"/>
    <n v="-43.8"/>
    <n v="0"/>
    <n v="2079442.4500000009"/>
    <s v="Cash"/>
    <s v="Trsf 4/11/22 RM403.80"/>
    <m/>
  </r>
  <r>
    <d v="2022-11-05T00:00:00"/>
    <n v="11"/>
    <x v="3"/>
    <s v="INV00000362"/>
    <s v="C00000031"/>
    <x v="30"/>
    <s v="RM Nor 3338W (20Kg)"/>
    <n v="1"/>
    <s v="Cash"/>
    <x v="0"/>
    <d v="2022-11-05T00:00:00"/>
    <n v="11"/>
    <n v="2022"/>
    <n v="260"/>
    <n v="-260"/>
    <n v="0"/>
    <n v="2079702.4500000009"/>
    <s v="Cash"/>
    <s v="Bank in Cash RM892.60 - 9/11/22"/>
    <m/>
  </r>
  <r>
    <d v="2022-11-05T00:00:00"/>
    <n v="11"/>
    <x v="3"/>
    <s v="INV00000362"/>
    <s v="C00000031"/>
    <x v="30"/>
    <s v="RM CSM 450 64m(L) X 1860mm(W) (54kg)"/>
    <n v="1"/>
    <s v="Cash"/>
    <x v="0"/>
    <d v="2022-11-05T00:00:00"/>
    <n v="11"/>
    <n v="2022"/>
    <n v="534.6"/>
    <n v="-534.6"/>
    <n v="0"/>
    <n v="2080237.050000001"/>
    <s v="Cash"/>
    <s v="Bank in Cash RM892.60 - 9/11/22"/>
    <m/>
  </r>
  <r>
    <d v="2022-11-05T00:00:00"/>
    <n v="11"/>
    <x v="3"/>
    <s v="INV00000362"/>
    <s v="C00000031"/>
    <x v="30"/>
    <s v="RJ Mepoxe (5kg)"/>
    <n v="1"/>
    <s v="Cash"/>
    <x v="0"/>
    <d v="2022-11-05T00:00:00"/>
    <n v="11"/>
    <n v="2022"/>
    <n v="98"/>
    <n v="-98"/>
    <n v="0"/>
    <n v="2080335.050000001"/>
    <s v="Cash"/>
    <s v="Bank in Cash RM892.60 - 9/11/22"/>
    <m/>
  </r>
  <r>
    <d v="2022-11-07T00:00:00"/>
    <n v="11"/>
    <x v="3"/>
    <s v="INV00000363"/>
    <s v="C00000022"/>
    <x v="22"/>
    <s v="RM Acetone (163Kg)"/>
    <n v="1"/>
    <s v="Cash"/>
    <x v="0"/>
    <d v="2022-11-07T00:00:00"/>
    <n v="11"/>
    <n v="2022"/>
    <n v="1141"/>
    <n v="-1141"/>
    <n v="0"/>
    <n v="2081476.050000001"/>
    <s v="Cash"/>
    <s v="Trsf 20/12/22 RM1,409.00"/>
    <m/>
  </r>
  <r>
    <d v="2022-11-07T00:00:00"/>
    <n v="11"/>
    <x v="3"/>
    <s v="INV00000363"/>
    <s v="C00000022"/>
    <x v="22"/>
    <s v="RM Pigment Super Black (5Kg)"/>
    <n v="1"/>
    <s v="Cash"/>
    <x v="0"/>
    <d v="2022-11-07T00:00:00"/>
    <n v="11"/>
    <n v="2022"/>
    <n v="175"/>
    <n v="-175"/>
    <n v="0"/>
    <n v="2081651.050000001"/>
    <s v="Cash"/>
    <s v="Trsf 20/12/22 RM1,409.00"/>
    <m/>
  </r>
  <r>
    <d v="2022-11-08T00:00:00"/>
    <n v="11"/>
    <x v="3"/>
    <s v="INV00000364"/>
    <s v="C00000031"/>
    <x v="31"/>
    <s v="RM Resin 3338W (22.50kg)"/>
    <n v="4"/>
    <s v="Cash"/>
    <x v="0"/>
    <d v="2022-11-08T00:00:00"/>
    <n v="11"/>
    <n v="2022"/>
    <n v="1170"/>
    <n v="-1170"/>
    <n v="0"/>
    <n v="2082821.050000001"/>
    <s v="Cash"/>
    <s v="Trsf 9/11/22 RM4,373.00"/>
    <m/>
  </r>
  <r>
    <d v="2022-11-08T00:00:00"/>
    <n v="11"/>
    <x v="3"/>
    <s v="INV00000364"/>
    <s v="C00000031"/>
    <x v="31"/>
    <s v="RM VE Resin (22.50kg)"/>
    <n v="4"/>
    <s v="Cash"/>
    <x v="0"/>
    <d v="2022-11-08T00:00:00"/>
    <n v="11"/>
    <n v="2022"/>
    <n v="2250"/>
    <n v="-2250"/>
    <n v="0"/>
    <n v="2085071.050000001"/>
    <s v="Cash"/>
    <s v="Trsf 9/11/22 RM4,373.00"/>
    <m/>
  </r>
  <r>
    <d v="2022-11-08T00:00:00"/>
    <n v="11"/>
    <x v="3"/>
    <s v="INV00000364"/>
    <s v="C00000031"/>
    <x v="31"/>
    <s v="RM CSM 450 GSM 1040mm (30kg)"/>
    <n v="3"/>
    <s v="Cash"/>
    <x v="0"/>
    <d v="2022-11-08T00:00:00"/>
    <n v="11"/>
    <n v="2022"/>
    <n v="855"/>
    <n v="-855"/>
    <n v="0"/>
    <n v="2085926.050000001"/>
    <s v="Cash"/>
    <s v="Trsf 9/11/22 RM4,373.00"/>
    <m/>
  </r>
  <r>
    <d v="2022-11-08T00:00:00"/>
    <n v="11"/>
    <x v="3"/>
    <s v="INV00000364"/>
    <s v="C00000031"/>
    <x v="31"/>
    <s v="RA Mepoxe (5kg)"/>
    <n v="1"/>
    <s v="Cash"/>
    <x v="0"/>
    <d v="2022-11-08T00:00:00"/>
    <n v="11"/>
    <n v="2022"/>
    <n v="98"/>
    <n v="-98"/>
    <n v="0"/>
    <n v="2086024.050000001"/>
    <s v="Cash"/>
    <s v="Trsf 9/11/22 RM4,373.00"/>
    <m/>
  </r>
  <r>
    <d v="2022-11-09T00:00:00"/>
    <n v="11"/>
    <x v="3"/>
    <s v="INV00000365"/>
    <s v="C00000021"/>
    <x v="21"/>
    <s v="RA Resin 3317AW (220Kg)"/>
    <n v="1"/>
    <s v="Cash"/>
    <x v="0"/>
    <d v="2022-11-09T00:00:00"/>
    <n v="11"/>
    <n v="2022"/>
    <n v="1936"/>
    <n v="-1936"/>
    <n v="0"/>
    <n v="2087960.050000001"/>
    <s v="Cash"/>
    <s v="Chq PBB 395378, cleared100323 RM3,094.00)"/>
    <m/>
  </r>
  <r>
    <d v="2022-11-09T00:00:00"/>
    <n v="11"/>
    <x v="3"/>
    <s v="INV00000365"/>
    <s v="C00000021"/>
    <x v="21"/>
    <s v="RM CSM 450 64m(L) 1040mm(W) (30Kg)"/>
    <n v="4"/>
    <s v="Cash"/>
    <x v="0"/>
    <d v="2022-11-09T00:00:00"/>
    <n v="11"/>
    <n v="2022"/>
    <n v="1068"/>
    <n v="-1068"/>
    <n v="0"/>
    <n v="2089028.050000001"/>
    <s v="Cash"/>
    <s v="Chq PBB 395378, cleared100323 RM3,094.00)"/>
    <m/>
  </r>
  <r>
    <d v="2022-11-09T00:00:00"/>
    <n v="11"/>
    <x v="3"/>
    <s v="INV00000365"/>
    <s v="C00000021"/>
    <x v="21"/>
    <s v="RJ Mepoxe (5kg)"/>
    <n v="1"/>
    <s v="Cash"/>
    <x v="0"/>
    <d v="2022-11-09T00:00:00"/>
    <n v="11"/>
    <n v="2022"/>
    <n v="90"/>
    <n v="-90"/>
    <n v="0"/>
    <n v="2089118.050000001"/>
    <s v="Cash"/>
    <s v="Chq PBB 395378, cleared100323 RM3,094.00)"/>
    <m/>
  </r>
  <r>
    <d v="2022-11-11T00:00:00"/>
    <n v="11"/>
    <x v="3"/>
    <s v="INV00000366"/>
    <s v="C00000020"/>
    <x v="19"/>
    <s v="RM Nor 3338W (220Kg)"/>
    <n v="5"/>
    <s v="Cash"/>
    <x v="0"/>
    <d v="2022-11-11T00:00:00"/>
    <n v="11"/>
    <n v="2022"/>
    <n v="9020"/>
    <n v="-9020"/>
    <n v="0"/>
    <n v="2098138.0500000007"/>
    <s v="Cash"/>
    <s v="Trsf 29/3/23 RM34,000.00(RM8,104.40), Trsf 14/4/23 RM5,000.00(RM915.60)"/>
    <m/>
  </r>
  <r>
    <d v="2022-11-11T00:00:00"/>
    <n v="11"/>
    <x v="3"/>
    <s v="INV00000366"/>
    <s v="C00000020"/>
    <x v="19"/>
    <s v="RA CSM 450 79m(L) x 1040mm(W) (30Kg)"/>
    <n v="12"/>
    <s v="Cash"/>
    <x v="0"/>
    <d v="2022-11-11T00:00:00"/>
    <n v="11"/>
    <n v="2022"/>
    <n v="3024"/>
    <n v="-3024"/>
    <n v="0"/>
    <n v="2101162.0500000007"/>
    <s v="Cash"/>
    <s v="Trsf 14/4/23 RM5,000.00(RM3,024.00)"/>
    <m/>
  </r>
  <r>
    <d v="2022-11-11T00:00:00"/>
    <n v="11"/>
    <x v="3"/>
    <s v="INV00000366"/>
    <s v="C00000020"/>
    <x v="19"/>
    <s v="RA Woven Roving 600 1120mm (45kg)"/>
    <n v="4"/>
    <s v="Cash"/>
    <x v="0"/>
    <d v="2022-11-11T00:00:00"/>
    <n v="11"/>
    <n v="2022"/>
    <n v="1170"/>
    <n v="-1170"/>
    <n v="0"/>
    <n v="2102332.0500000007"/>
    <s v="Cash"/>
    <s v="Trsf 14/4/23 RM5,000.00(RM1,060.40), Trsf 17/4/23 RM15,000.00(RM109.60)"/>
    <m/>
  </r>
  <r>
    <d v="2022-11-11T00:00:00"/>
    <n v="11"/>
    <x v="3"/>
    <s v="INV00000366"/>
    <s v="C00000020"/>
    <x v="19"/>
    <s v="RA Talcum Powder (25kg)"/>
    <n v="5"/>
    <s v="Cash"/>
    <x v="0"/>
    <d v="2022-11-11T00:00:00"/>
    <n v="11"/>
    <n v="2022"/>
    <n v="312.5"/>
    <n v="-312.5"/>
    <n v="0"/>
    <n v="2102644.5500000007"/>
    <s v="Cash"/>
    <s v="Trsf 17/4/23 RM15,000.00(RM312.50)"/>
    <m/>
  </r>
  <r>
    <d v="2022-11-11T00:00:00"/>
    <n v="11"/>
    <x v="3"/>
    <s v="INV00000366"/>
    <s v="C00000020"/>
    <x v="19"/>
    <s v="RM Pigment Paste Smooth Cream M19 (25kg)"/>
    <n v="1"/>
    <s v="Cash"/>
    <x v="0"/>
    <d v="2022-11-11T00:00:00"/>
    <n v="11"/>
    <n v="2022"/>
    <n v="1000"/>
    <n v="-1000"/>
    <n v="0"/>
    <n v="2103644.5500000007"/>
    <s v="Cash"/>
    <s v="Trsf 17/4/23 RM15,000.00(RM1,000.00)"/>
    <m/>
  </r>
  <r>
    <d v="2022-11-11T00:00:00"/>
    <n v="11"/>
    <x v="3"/>
    <s v="INV00000366"/>
    <s v="C00000020"/>
    <x v="19"/>
    <s v="RJ Mepoxe (5kg)"/>
    <n v="4"/>
    <s v="Cash"/>
    <x v="0"/>
    <d v="2022-11-11T00:00:00"/>
    <n v="11"/>
    <n v="2022"/>
    <n v="360"/>
    <n v="-360"/>
    <n v="0"/>
    <n v="2104004.5500000007"/>
    <s v="Cash"/>
    <s v="Trsf 17/4/23 RM15,000.00(RM360.00)"/>
    <m/>
  </r>
  <r>
    <d v="2022-11-14T00:00:00"/>
    <n v="11"/>
    <x v="3"/>
    <s v="INV00000367"/>
    <s v="C00000027"/>
    <x v="27"/>
    <s v="RM Resin 3317AW (220Kg)"/>
    <n v="4"/>
    <s v="Cash"/>
    <x v="0"/>
    <d v="2022-11-14T00:00:00"/>
    <n v="11"/>
    <n v="2022"/>
    <n v="7920"/>
    <n v="-7920"/>
    <n v="0"/>
    <n v="2111924.5500000007"/>
    <s v="Cash"/>
    <s v="Bank Islam 164701 Cleared 4/4/23, RM14,564.60"/>
    <m/>
  </r>
  <r>
    <d v="2022-11-14T00:00:00"/>
    <n v="11"/>
    <x v="3"/>
    <s v="INV00000367"/>
    <s v="C00000027"/>
    <x v="27"/>
    <s v="RM CSM 450 64m(L) X 1860mm(W) (54kg)"/>
    <n v="2"/>
    <s v="Cash"/>
    <x v="0"/>
    <d v="2022-11-14T00:00:00"/>
    <n v="11"/>
    <n v="2022"/>
    <n v="993.6"/>
    <n v="-993.6"/>
    <n v="0"/>
    <n v="2112918.1500000008"/>
    <s v="Cash"/>
    <s v="Bank Islam 164701 Cleared 4/4/23, RM14,564.60"/>
    <m/>
  </r>
  <r>
    <d v="2022-11-14T00:00:00"/>
    <n v="11"/>
    <x v="3"/>
    <s v="INV00000367"/>
    <s v="C00000027"/>
    <x v="27"/>
    <s v="RM CSM 300 96m(L) X 1860mm(W) (54Kg)"/>
    <n v="2"/>
    <s v="Cash"/>
    <x v="0"/>
    <d v="2022-11-14T00:00:00"/>
    <n v="11"/>
    <n v="2022"/>
    <n v="993.6"/>
    <n v="-993.6"/>
    <n v="0"/>
    <n v="2113911.7500000009"/>
    <s v="Cash"/>
    <s v="Bank Islam 164701 Cleared 4/4/23, RM14,564.60"/>
    <m/>
  </r>
  <r>
    <d v="2022-11-14T00:00:00"/>
    <n v="11"/>
    <x v="3"/>
    <s v="INV00000367"/>
    <s v="C00000027"/>
    <x v="27"/>
    <s v="RA Woven Roing 600 1120mm (45kg)"/>
    <n v="1"/>
    <s v="Cash"/>
    <x v="0"/>
    <d v="2022-11-14T00:00:00"/>
    <n v="11"/>
    <n v="2022"/>
    <n v="315"/>
    <n v="-315"/>
    <n v="0"/>
    <n v="2114226.7500000009"/>
    <s v="Cash"/>
    <s v="Bank Islam 164701 Cleared 4/4/23, RM14,564.60"/>
    <m/>
  </r>
  <r>
    <d v="2022-11-14T00:00:00"/>
    <n v="11"/>
    <x v="3"/>
    <s v="INV00000367"/>
    <s v="C00000027"/>
    <x v="27"/>
    <s v="RM Pigment Super White (5Kg)"/>
    <n v="4"/>
    <s v="Cash"/>
    <x v="0"/>
    <d v="2022-11-14T00:00:00"/>
    <n v="11"/>
    <n v="2022"/>
    <n v="640"/>
    <n v="-640"/>
    <n v="0"/>
    <n v="2114866.7500000009"/>
    <s v="Cash"/>
    <s v="Bank Islam 164701 Cleared 4/4/23, RM14,564.60"/>
    <m/>
  </r>
  <r>
    <d v="2022-11-14T00:00:00"/>
    <n v="11"/>
    <x v="3"/>
    <s v="INV00000367"/>
    <s v="C00000027"/>
    <x v="27"/>
    <s v="RJ Mepoxe (5kg)"/>
    <n v="4"/>
    <s v="Cash"/>
    <x v="0"/>
    <d v="2022-11-14T00:00:00"/>
    <n v="11"/>
    <n v="2022"/>
    <n v="360"/>
    <n v="-360"/>
    <n v="0"/>
    <n v="2115226.7500000009"/>
    <s v="Cash"/>
    <s v="Bank Islam 164701 Cleared 4/4/23, RM14,564.60"/>
    <m/>
  </r>
  <r>
    <d v="2022-11-14T00:00:00"/>
    <n v="11"/>
    <x v="3"/>
    <s v="INV00000367"/>
    <s v="C00000027"/>
    <x v="27"/>
    <s v="RM TR104 Hi Temp Wax (12Can)"/>
    <n v="6"/>
    <s v="Cash"/>
    <x v="0"/>
    <d v="2022-11-14T00:00:00"/>
    <n v="11"/>
    <n v="2022"/>
    <n v="270"/>
    <n v="-270"/>
    <n v="0"/>
    <n v="2115496.7500000009"/>
    <s v="Cash"/>
    <s v="Bank Islam 164701 Cleared 4/4/23, RM14,564.60"/>
    <m/>
  </r>
  <r>
    <d v="2022-11-14T00:00:00"/>
    <n v="11"/>
    <x v="3"/>
    <s v="INV00000367"/>
    <s v="C00000027"/>
    <x v="27"/>
    <s v="RM Fume Silica HJSIL 200(10Kg)"/>
    <n v="1"/>
    <s v="Cash"/>
    <x v="0"/>
    <d v="2022-11-14T00:00:00"/>
    <n v="11"/>
    <n v="2022"/>
    <n v="440"/>
    <n v="-440"/>
    <n v="0"/>
    <n v="2115936.7500000009"/>
    <s v="Cash"/>
    <s v="Bank Islam 164701 Cleared 4/4/23, RM14,564.60"/>
    <m/>
  </r>
  <r>
    <d v="2022-11-14T00:00:00"/>
    <n v="11"/>
    <x v="3"/>
    <s v="INV00000367"/>
    <s v="C00000027"/>
    <x v="27"/>
    <s v="RM Gelcoat GPH (20kg)"/>
    <n v="6"/>
    <s v="Cash"/>
    <x v="0"/>
    <d v="2022-11-14T00:00:00"/>
    <n v="11"/>
    <n v="2022"/>
    <n v="1524"/>
    <n v="-1524"/>
    <n v="0"/>
    <n v="2117460.7500000009"/>
    <s v="Cash"/>
    <s v="Bank Islam 164701 Cleared 4/4/23, RM14,564.60"/>
    <m/>
  </r>
  <r>
    <d v="2022-11-14T00:00:00"/>
    <n v="11"/>
    <x v="3"/>
    <s v="INV00000367"/>
    <s v="C00000027"/>
    <x v="27"/>
    <s v="RM Acetone (163Kg)"/>
    <n v="1"/>
    <s v="Cash"/>
    <x v="0"/>
    <d v="2022-11-14T00:00:00"/>
    <n v="11"/>
    <n v="2022"/>
    <n v="1108.4000000000001"/>
    <n v="-1108.4000000000001"/>
    <n v="0"/>
    <n v="2118569.1500000008"/>
    <s v="Cash"/>
    <s v="Bank Islam 164701 Cleared 4/4/23, RM14,564.60"/>
    <m/>
  </r>
  <r>
    <d v="2022-11-15T00:00:00"/>
    <n v="11"/>
    <x v="3"/>
    <s v="INV00000368"/>
    <s v="C00000019"/>
    <x v="18"/>
    <s v="RM Nor 3338W (220Kg)"/>
    <n v="2"/>
    <s v="Cash"/>
    <x v="0"/>
    <d v="2022-11-15T00:00:00"/>
    <n v="11"/>
    <n v="2022"/>
    <n v="3872"/>
    <n v="-3872"/>
    <n v="0"/>
    <n v="2122441.1500000008"/>
    <s v="Cash"/>
    <s v="Trsf 14/12/22 RM1,500.00, Trsf 21/12/22 RM1,500.00,  Trsf 15/1/23 RM2,000.00(RM872.00)"/>
    <m/>
  </r>
  <r>
    <d v="2022-11-15T00:00:00"/>
    <n v="11"/>
    <x v="3"/>
    <s v="INV00000368"/>
    <s v="C00000019"/>
    <x v="18"/>
    <s v="RM CSM 450 64m(L) X 1860mm(W) (54kg)"/>
    <n v="2"/>
    <s v="Cash"/>
    <x v="0"/>
    <d v="2022-11-15T00:00:00"/>
    <n v="11"/>
    <n v="2022"/>
    <n v="961.2"/>
    <n v="-961.2"/>
    <n v="0"/>
    <n v="2123402.350000001"/>
    <s v="Cash"/>
    <s v="Trsf 15/1/23 RM2,000.00"/>
    <m/>
  </r>
  <r>
    <d v="2022-11-15T00:00:00"/>
    <n v="11"/>
    <x v="3"/>
    <s v="INV00000368"/>
    <s v="C00000019"/>
    <x v="18"/>
    <s v="RE Frekote 770NC (1 Gallon)"/>
    <n v="1"/>
    <s v="Cash"/>
    <x v="0"/>
    <d v="2022-11-15T00:00:00"/>
    <n v="11"/>
    <n v="2022"/>
    <n v="450"/>
    <n v="-450"/>
    <n v="0"/>
    <n v="2123852.350000001"/>
    <s v="Cash"/>
    <s v="Trsf 15/1/23 RM2,000.00(RM166.80),  Trsf 20/1/23 RM2,000.00(RM283.20)"/>
    <m/>
  </r>
  <r>
    <s v="17/11/2022"/>
    <n v="11"/>
    <x v="3"/>
    <s v="INV00000369"/>
    <s v="C00000019"/>
    <x v="18"/>
    <s v="RA Butanox M50 (5kg)"/>
    <n v="1"/>
    <s v="Cash"/>
    <x v="0"/>
    <d v="2022-11-17T00:00:00"/>
    <n v="11"/>
    <n v="2022"/>
    <n v="105"/>
    <n v="-105"/>
    <n v="0"/>
    <n v="2123957.350000001"/>
    <s v="Cash"/>
    <s v="Trsf 20/1/23 RM2,000.00"/>
    <m/>
  </r>
  <r>
    <s v="22/11/2022"/>
    <n v="11"/>
    <x v="3"/>
    <s v="INV00000370"/>
    <s v="C00000001"/>
    <x v="0"/>
    <s v="RM Resin 3317AW (220Kg)"/>
    <n v="1"/>
    <s v="Cash"/>
    <x v="0"/>
    <d v="2022-11-22T00:00:00"/>
    <n v="11"/>
    <n v="2022"/>
    <n v="1936"/>
    <n v="-1936"/>
    <n v="0"/>
    <n v="2125893.350000001"/>
    <s v="Cash"/>
    <s v="Trsf 2/12/22"/>
    <m/>
  </r>
  <r>
    <s v="22/11/2022"/>
    <n v="11"/>
    <x v="3"/>
    <s v="INV00000371"/>
    <s v="C00000031"/>
    <x v="30"/>
    <s v="RM Nor 3338W (20Kg)"/>
    <n v="3"/>
    <s v="Cash"/>
    <x v="0"/>
    <d v="2022-11-22T00:00:00"/>
    <n v="11"/>
    <n v="2022"/>
    <n v="780"/>
    <n v="-780"/>
    <n v="0"/>
    <n v="2126673.350000001"/>
    <s v="Cash"/>
    <s v="Bank in Cash RM780.00 - 23/11/22"/>
    <m/>
  </r>
  <r>
    <s v="22/11/2022"/>
    <n v="11"/>
    <x v="3"/>
    <s v="INV00000372"/>
    <s v="C00000020"/>
    <x v="19"/>
    <s v="RM Nor 3338W (220Kg)"/>
    <n v="6"/>
    <s v="Cash"/>
    <x v="0"/>
    <d v="2022-11-22T00:00:00"/>
    <n v="11"/>
    <n v="2022"/>
    <n v="10824"/>
    <n v="-10824"/>
    <n v="0"/>
    <n v="2137497.350000001"/>
    <s v="Cash"/>
    <s v="Trsf 17/4/23 RM15,000.00(RM10,824.00)"/>
    <m/>
  </r>
  <r>
    <s v="22/11/2022"/>
    <n v="11"/>
    <x v="3"/>
    <s v="INV00000372"/>
    <s v="C00000020"/>
    <x v="19"/>
    <s v="RA CSM 450 79m(L) x 1040mm(W) (30Kg)"/>
    <n v="12"/>
    <s v="Cash"/>
    <x v="0"/>
    <d v="2022-11-22T00:00:00"/>
    <n v="11"/>
    <n v="2022"/>
    <n v="3024"/>
    <n v="-3024"/>
    <n v="0"/>
    <n v="2140521.350000001"/>
    <s v="Cash"/>
    <s v="Trsf 17/4/23 RM15,000.00(RM2,393.90), Trsf 20/4/23 RM10,000.00(RM630.10)"/>
    <m/>
  </r>
  <r>
    <s v="22/11/2022"/>
    <n v="11"/>
    <x v="3"/>
    <s v="INV00000372"/>
    <s v="C00000020"/>
    <x v="19"/>
    <s v="RM Woven Roving 600 1000mm (40Kg)"/>
    <n v="6"/>
    <s v="Cash"/>
    <x v="0"/>
    <d v="2022-11-22T00:00:00"/>
    <n v="11"/>
    <n v="2022"/>
    <n v="1560"/>
    <n v="-1560"/>
    <n v="0"/>
    <n v="2142081.350000001"/>
    <s v="Cash"/>
    <s v="Trsf 20/4/23 RM10,000.00(RM1,560.00)"/>
    <m/>
  </r>
  <r>
    <s v="22/11/2022"/>
    <n v="11"/>
    <x v="3"/>
    <s v="INV00000372"/>
    <s v="C00000020"/>
    <x v="19"/>
    <s v="RA Talcum Powder (25Kg)"/>
    <n v="6"/>
    <s v="Cash"/>
    <x v="0"/>
    <d v="2022-11-22T00:00:00"/>
    <n v="11"/>
    <n v="2022"/>
    <n v="375"/>
    <n v="-375"/>
    <n v="0"/>
    <n v="2142456.350000001"/>
    <s v="Cash"/>
    <s v="Trsf 20/4/23 RM10,000.00(RM375.00)"/>
    <m/>
  </r>
  <r>
    <s v="22/11/2022"/>
    <n v="11"/>
    <x v="3"/>
    <s v="INV00000372"/>
    <s v="C00000020"/>
    <x v="19"/>
    <s v="RM Pigment Paste Smooth Cream M19 (25Kg)"/>
    <n v="1"/>
    <s v="Cash"/>
    <x v="0"/>
    <d v="2022-11-22T00:00:00"/>
    <n v="11"/>
    <n v="2022"/>
    <n v="1000"/>
    <n v="-1000"/>
    <n v="0"/>
    <n v="2143456.350000001"/>
    <s v="Cash"/>
    <s v="Trsf 20/4/23 RM10,000.00(RM1,000.00)"/>
    <m/>
  </r>
  <r>
    <s v="22/11/2022"/>
    <n v="11"/>
    <x v="3"/>
    <s v="INV00000372"/>
    <s v="C00000020"/>
    <x v="19"/>
    <s v="RM MEKP-9 (3.6Kg)"/>
    <n v="6"/>
    <s v="Cash"/>
    <x v="0"/>
    <d v="2022-11-22T00:00:00"/>
    <n v="11"/>
    <n v="2022"/>
    <n v="453.59999999999997"/>
    <n v="-453.59999999999997"/>
    <n v="0"/>
    <n v="2143909.9500000011"/>
    <s v="Cash"/>
    <s v="Trsf 20/4/23 RM10,000.00(RM453.60)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00">
  <r>
    <x v="0"/>
    <x v="0"/>
    <x v="0"/>
    <x v="0"/>
    <s v="C00000001"/>
    <x v="0"/>
    <x v="0"/>
    <n v="1"/>
    <s v="Cash"/>
    <x v="0"/>
    <d v="2019-12-23T00:00:00"/>
    <x v="0"/>
    <x v="0"/>
    <n v="1530"/>
    <n v="-1530"/>
    <n v="0"/>
    <n v="1530"/>
    <s v="Trsf"/>
    <s v="Trsf 29/5"/>
    <m/>
  </r>
  <r>
    <x v="0"/>
    <x v="0"/>
    <x v="0"/>
    <x v="0"/>
    <s v="C00000001"/>
    <x v="0"/>
    <x v="1"/>
    <n v="6"/>
    <s v="Cash"/>
    <x v="0"/>
    <d v="2019-12-23T00:00:00"/>
    <x v="0"/>
    <x v="0"/>
    <n v="1443"/>
    <n v="-1443"/>
    <n v="0"/>
    <n v="2973"/>
    <s v="Trsf"/>
    <s v="Trsf 29/5"/>
    <m/>
  </r>
  <r>
    <x v="1"/>
    <x v="1"/>
    <x v="1"/>
    <x v="1"/>
    <s v="C00000001"/>
    <x v="0"/>
    <x v="2"/>
    <n v="2"/>
    <s v="Cash"/>
    <x v="0"/>
    <d v="2020-06-02T00:00:00"/>
    <x v="1"/>
    <x v="1"/>
    <n v="480"/>
    <n v="-480"/>
    <n v="0"/>
    <n v="3453"/>
    <s v="Trsf"/>
    <s v="Trsf 24/6"/>
    <m/>
  </r>
  <r>
    <x v="2"/>
    <x v="1"/>
    <x v="1"/>
    <x v="2"/>
    <s v="C00000002"/>
    <x v="1"/>
    <x v="0"/>
    <n v="1"/>
    <s v="Cash"/>
    <x v="0"/>
    <d v="2020-06-11T00:00:00"/>
    <x v="1"/>
    <x v="1"/>
    <n v="1395"/>
    <n v="-1395"/>
    <n v="0"/>
    <n v="4848"/>
    <s v="Chq"/>
    <s v="Chq 13/6"/>
    <m/>
  </r>
  <r>
    <x v="2"/>
    <x v="1"/>
    <x v="1"/>
    <x v="2"/>
    <s v="C00000002"/>
    <x v="1"/>
    <x v="3"/>
    <n v="1"/>
    <s v="Cash"/>
    <x v="0"/>
    <d v="2020-06-11T00:00:00"/>
    <x v="1"/>
    <x v="1"/>
    <n v="672"/>
    <n v="-672"/>
    <n v="0"/>
    <n v="5520"/>
    <s v="Chq"/>
    <s v="Chq 13/6"/>
    <m/>
  </r>
  <r>
    <x v="3"/>
    <x v="1"/>
    <x v="1"/>
    <x v="3"/>
    <s v="C00000001"/>
    <x v="0"/>
    <x v="0"/>
    <n v="1"/>
    <s v="Cash"/>
    <x v="0"/>
    <d v="2020-06-17T00:00:00"/>
    <x v="1"/>
    <x v="1"/>
    <n v="1530"/>
    <n v="-1530"/>
    <n v="0"/>
    <n v="7050"/>
    <s v="Trsf"/>
    <s v="Trsf 24/6"/>
    <m/>
  </r>
  <r>
    <x v="3"/>
    <x v="1"/>
    <x v="1"/>
    <x v="3"/>
    <s v="C00000001"/>
    <x v="0"/>
    <x v="1"/>
    <n v="3"/>
    <s v="Cash"/>
    <x v="0"/>
    <d v="2020-06-17T00:00:00"/>
    <x v="1"/>
    <x v="1"/>
    <n v="720"/>
    <n v="-720"/>
    <n v="0"/>
    <n v="7770"/>
    <s v="Trsf"/>
    <s v="Trsf 24/6"/>
    <m/>
  </r>
  <r>
    <x v="3"/>
    <x v="1"/>
    <x v="1"/>
    <x v="3"/>
    <s v="C00000001"/>
    <x v="0"/>
    <x v="4"/>
    <n v="2"/>
    <s v="Cash"/>
    <x v="0"/>
    <d v="2020-06-17T00:00:00"/>
    <x v="1"/>
    <x v="1"/>
    <n v="185"/>
    <n v="-185"/>
    <n v="0"/>
    <n v="7955"/>
    <s v="Trsf"/>
    <s v="Trsf 24/6"/>
    <m/>
  </r>
  <r>
    <x v="4"/>
    <x v="1"/>
    <x v="1"/>
    <x v="4"/>
    <s v="C00000003"/>
    <x v="2"/>
    <x v="0"/>
    <n v="1"/>
    <n v="45"/>
    <x v="1"/>
    <d v="2020-08-06T00:00:00"/>
    <x v="2"/>
    <x v="1"/>
    <n v="1642.5"/>
    <n v="-1642.5"/>
    <n v="0"/>
    <n v="9597.5"/>
    <s v="PD Chq"/>
    <s v="PD chq 8/8, RM1,827.00 &amp; Cash RM0.50"/>
    <m/>
  </r>
  <r>
    <x v="4"/>
    <x v="1"/>
    <x v="1"/>
    <x v="4"/>
    <s v="C00000003"/>
    <x v="2"/>
    <x v="4"/>
    <n v="2"/>
    <n v="45"/>
    <x v="1"/>
    <d v="2020-08-06T00:00:00"/>
    <x v="2"/>
    <x v="1"/>
    <n v="185"/>
    <n v="-185"/>
    <n v="0"/>
    <n v="9782.5"/>
    <s v="PD Chq"/>
    <s v="PD chq 8/8, RM1,827.00 &amp; Cash RM0.50"/>
    <m/>
  </r>
  <r>
    <x v="5"/>
    <x v="2"/>
    <x v="1"/>
    <x v="5"/>
    <s v="C00000004"/>
    <x v="3"/>
    <x v="5"/>
    <n v="9"/>
    <n v="120"/>
    <x v="2"/>
    <d v="2020-10-29T00:00:00"/>
    <x v="3"/>
    <x v="1"/>
    <n v="1836"/>
    <n v="-1836"/>
    <n v="0"/>
    <n v="11618.5"/>
    <s v="Chq"/>
    <s v="Chq 16/11/2020"/>
    <m/>
  </r>
  <r>
    <x v="6"/>
    <x v="2"/>
    <x v="1"/>
    <x v="6"/>
    <s v="C00000003"/>
    <x v="2"/>
    <x v="6"/>
    <n v="1"/>
    <n v="45"/>
    <x v="1"/>
    <d v="2020-08-28T00:00:00"/>
    <x v="2"/>
    <x v="1"/>
    <n v="1200"/>
    <n v="-1200"/>
    <n v="0"/>
    <n v="12818.5"/>
    <s v="PD Chq"/>
    <s v="PD chq 16/8"/>
    <m/>
  </r>
  <r>
    <x v="7"/>
    <x v="2"/>
    <x v="1"/>
    <x v="7"/>
    <s v="C00000001"/>
    <x v="0"/>
    <x v="7"/>
    <n v="1"/>
    <s v="Cash"/>
    <x v="0"/>
    <d v="2020-07-15T00:00:00"/>
    <x v="4"/>
    <x v="1"/>
    <n v="1496"/>
    <n v="-1496"/>
    <n v="0"/>
    <n v="14314.5"/>
    <s v="Trsf"/>
    <s v="Trsf 28/7"/>
    <m/>
  </r>
  <r>
    <x v="7"/>
    <x v="2"/>
    <x v="1"/>
    <x v="7"/>
    <s v="C00000001"/>
    <x v="0"/>
    <x v="4"/>
    <n v="4"/>
    <s v="Cash"/>
    <x v="0"/>
    <d v="2020-07-15T00:00:00"/>
    <x v="4"/>
    <x v="1"/>
    <n v="370"/>
    <n v="-370"/>
    <n v="0"/>
    <n v="14684.5"/>
    <s v="Trsf"/>
    <s v="Trsf 28/7"/>
    <m/>
  </r>
  <r>
    <x v="7"/>
    <x v="2"/>
    <x v="1"/>
    <x v="7"/>
    <s v="C00000001"/>
    <x v="0"/>
    <x v="8"/>
    <n v="1"/>
    <s v="Cash"/>
    <x v="0"/>
    <d v="2020-07-15T00:00:00"/>
    <x v="4"/>
    <x v="1"/>
    <n v="232"/>
    <n v="-232"/>
    <n v="0"/>
    <n v="14916.5"/>
    <s v="Trsf"/>
    <s v="Trsf 28/7"/>
    <s v="Delivered 22/7/20"/>
  </r>
  <r>
    <x v="8"/>
    <x v="3"/>
    <x v="1"/>
    <x v="8"/>
    <s v="C00000004"/>
    <x v="3"/>
    <x v="7"/>
    <n v="2"/>
    <n v="120"/>
    <x v="2"/>
    <d v="2020-11-29T00:00:00"/>
    <x v="5"/>
    <x v="1"/>
    <n v="2508"/>
    <n v="-2508"/>
    <n v="0"/>
    <n v="17424.5"/>
    <s v="Chq"/>
    <s v="Chq 1/12/2020"/>
    <m/>
  </r>
  <r>
    <x v="9"/>
    <x v="3"/>
    <x v="1"/>
    <x v="9"/>
    <s v="C00000004"/>
    <x v="3"/>
    <x v="7"/>
    <n v="2"/>
    <n v="120"/>
    <x v="2"/>
    <d v="2020-12-06T00:00:00"/>
    <x v="0"/>
    <x v="1"/>
    <n v="2508"/>
    <n v="-2508"/>
    <n v="0"/>
    <n v="19932.5"/>
    <s v="Chq"/>
    <s v="Chq 1/12/2020"/>
    <m/>
  </r>
  <r>
    <x v="9"/>
    <x v="3"/>
    <x v="1"/>
    <x v="10"/>
    <s v="C00000004"/>
    <x v="3"/>
    <x v="9"/>
    <n v="2"/>
    <n v="120"/>
    <x v="2"/>
    <d v="2020-12-06T00:00:00"/>
    <x v="0"/>
    <x v="1"/>
    <n v="324"/>
    <n v="-324"/>
    <n v="0"/>
    <n v="20256.5"/>
    <s v="Chq"/>
    <s v="Chq 1/12/2020"/>
    <m/>
  </r>
  <r>
    <x v="10"/>
    <x v="3"/>
    <x v="1"/>
    <x v="11"/>
    <s v="C00000005"/>
    <x v="4"/>
    <x v="7"/>
    <n v="1"/>
    <s v="Cash"/>
    <x v="0"/>
    <d v="2020-08-10T00:00:00"/>
    <x v="2"/>
    <x v="1"/>
    <n v="1496"/>
    <n v="-1496"/>
    <n v="0"/>
    <n v="21752.5"/>
    <s v="Chq"/>
    <s v="Chq 10/8"/>
    <m/>
  </r>
  <r>
    <x v="10"/>
    <x v="3"/>
    <x v="1"/>
    <x v="11"/>
    <s v="C00000005"/>
    <x v="4"/>
    <x v="4"/>
    <n v="1"/>
    <s v="Cash"/>
    <x v="0"/>
    <d v="2020-08-10T00:00:00"/>
    <x v="2"/>
    <x v="1"/>
    <n v="90"/>
    <n v="-90"/>
    <n v="0"/>
    <n v="21842.5"/>
    <s v="Chq"/>
    <s v="Chq 10/8"/>
    <m/>
  </r>
  <r>
    <x v="10"/>
    <x v="3"/>
    <x v="1"/>
    <x v="12"/>
    <s v="C00000003"/>
    <x v="2"/>
    <x v="7"/>
    <n v="2"/>
    <n v="45"/>
    <x v="1"/>
    <d v="2020-09-24T00:00:00"/>
    <x v="6"/>
    <x v="1"/>
    <n v="3036"/>
    <n v="-3036"/>
    <n v="0"/>
    <n v="24878.5"/>
    <s v="PD Chq"/>
    <s v="PD chq 13/9, RM1,700/- &amp; 20/9, RM1,706/-"/>
    <m/>
  </r>
  <r>
    <x v="10"/>
    <x v="3"/>
    <x v="1"/>
    <x v="12"/>
    <s v="C00000003"/>
    <x v="2"/>
    <x v="4"/>
    <n v="4"/>
    <n v="45"/>
    <x v="1"/>
    <d v="2020-09-24T00:00:00"/>
    <x v="6"/>
    <x v="1"/>
    <n v="370"/>
    <n v="-370"/>
    <n v="0"/>
    <n v="25248.5"/>
    <s v="PD Chq"/>
    <s v="PD chq 13/9, RM1,700/- &amp; 20/9, RM1,706/-"/>
    <m/>
  </r>
  <r>
    <x v="11"/>
    <x v="3"/>
    <x v="1"/>
    <x v="13"/>
    <s v="C00000001"/>
    <x v="0"/>
    <x v="7"/>
    <n v="1"/>
    <s v="Cash"/>
    <x v="0"/>
    <d v="2020-08-12T00:00:00"/>
    <x v="2"/>
    <x v="1"/>
    <n v="1496"/>
    <n v="-1496"/>
    <n v="0"/>
    <n v="26744.5"/>
    <s v="Trsf"/>
    <s v="Trsf 23/8"/>
    <m/>
  </r>
  <r>
    <x v="11"/>
    <x v="3"/>
    <x v="1"/>
    <x v="13"/>
    <s v="C00000001"/>
    <x v="0"/>
    <x v="1"/>
    <n v="4"/>
    <s v="Cash"/>
    <x v="0"/>
    <d v="2020-08-12T00:00:00"/>
    <x v="2"/>
    <x v="1"/>
    <n v="962"/>
    <n v="-962"/>
    <n v="0"/>
    <n v="27706.5"/>
    <s v="Trsf"/>
    <s v="Trsf 23/8"/>
    <m/>
  </r>
  <r>
    <x v="11"/>
    <x v="3"/>
    <x v="1"/>
    <x v="13"/>
    <s v="C00000001"/>
    <x v="0"/>
    <x v="8"/>
    <n v="2"/>
    <s v="Cash"/>
    <x v="0"/>
    <d v="2020-08-12T00:00:00"/>
    <x v="2"/>
    <x v="1"/>
    <n v="464"/>
    <n v="-464"/>
    <n v="0"/>
    <n v="28170.5"/>
    <s v="Trsf"/>
    <s v="Trsf 23/8"/>
    <m/>
  </r>
  <r>
    <x v="12"/>
    <x v="3"/>
    <x v="1"/>
    <x v="14"/>
    <s v="C00000001"/>
    <x v="0"/>
    <x v="2"/>
    <n v="4"/>
    <s v="Cash"/>
    <x v="0"/>
    <d v="2020-08-13T00:00:00"/>
    <x v="2"/>
    <x v="1"/>
    <n v="960"/>
    <n v="-960"/>
    <n v="0"/>
    <n v="29130.5"/>
    <s v="Trsf"/>
    <s v="Trsf 23/8"/>
    <m/>
  </r>
  <r>
    <x v="13"/>
    <x v="3"/>
    <x v="1"/>
    <x v="15"/>
    <s v="C00000003"/>
    <x v="2"/>
    <x v="10"/>
    <n v="1"/>
    <n v="45"/>
    <x v="1"/>
    <d v="2020-10-03T00:00:00"/>
    <x v="3"/>
    <x v="1"/>
    <n v="367.2"/>
    <n v="-367.2"/>
    <n v="0"/>
    <n v="29497.7"/>
    <s v="PD Chq"/>
    <s v="PD Chq 27/9, RM1,270.20"/>
    <m/>
  </r>
  <r>
    <x v="13"/>
    <x v="3"/>
    <x v="1"/>
    <x v="16"/>
    <s v="C00000006"/>
    <x v="5"/>
    <x v="7"/>
    <n v="1"/>
    <s v="Cash"/>
    <x v="0"/>
    <d v="2020-08-19T00:00:00"/>
    <x v="2"/>
    <x v="1"/>
    <n v="1496"/>
    <n v="-1496"/>
    <n v="0"/>
    <n v="30993.7"/>
    <s v="Chq"/>
    <s v="Chq 19/8"/>
    <m/>
  </r>
  <r>
    <x v="13"/>
    <x v="3"/>
    <x v="1"/>
    <x v="16"/>
    <s v="C00000006"/>
    <x v="5"/>
    <x v="5"/>
    <n v="1"/>
    <s v="Cash"/>
    <x v="0"/>
    <d v="2020-08-19T00:00:00"/>
    <x v="2"/>
    <x v="1"/>
    <n v="210"/>
    <n v="-210"/>
    <n v="0"/>
    <n v="31203.7"/>
    <s v="Chq"/>
    <s v="Chq 19/8"/>
    <m/>
  </r>
  <r>
    <x v="14"/>
    <x v="3"/>
    <x v="1"/>
    <x v="17"/>
    <s v="C00000007"/>
    <x v="6"/>
    <x v="10"/>
    <n v="4"/>
    <s v="Cash"/>
    <x v="0"/>
    <d v="2020-08-22T00:00:00"/>
    <x v="2"/>
    <x v="1"/>
    <n v="1296"/>
    <n v="-1296"/>
    <n v="0"/>
    <n v="32499.7"/>
    <s v="Trsf"/>
    <s v="Due 30/9/2020, Trsf IBG 1/10/2020"/>
    <m/>
  </r>
  <r>
    <x v="14"/>
    <x v="3"/>
    <x v="1"/>
    <x v="17"/>
    <s v="C00000007"/>
    <x v="6"/>
    <x v="5"/>
    <n v="4"/>
    <s v="Cash"/>
    <x v="0"/>
    <d v="2020-08-22T00:00:00"/>
    <x v="2"/>
    <x v="1"/>
    <n v="840"/>
    <n v="-840"/>
    <n v="0"/>
    <n v="33339.699999999997"/>
    <s v="Trsf"/>
    <s v="Due 30/9/2020, Trsf IBG 1/10/2020"/>
    <m/>
  </r>
  <r>
    <x v="14"/>
    <x v="3"/>
    <x v="1"/>
    <x v="17"/>
    <s v="C00000007"/>
    <x v="6"/>
    <x v="11"/>
    <n v="2"/>
    <s v="Cash"/>
    <x v="0"/>
    <d v="2020-08-22T00:00:00"/>
    <x v="2"/>
    <x v="1"/>
    <n v="460"/>
    <n v="-460"/>
    <n v="0"/>
    <n v="33799.699999999997"/>
    <s v="Trsf"/>
    <s v="Due 30/9/2020, Trsf IBG 1/10/2020"/>
    <m/>
  </r>
  <r>
    <x v="14"/>
    <x v="3"/>
    <x v="1"/>
    <x v="17"/>
    <s v="C00000007"/>
    <x v="6"/>
    <x v="4"/>
    <n v="4"/>
    <s v="Cash"/>
    <x v="0"/>
    <d v="2020-08-22T00:00:00"/>
    <x v="2"/>
    <x v="1"/>
    <n v="360"/>
    <n v="-360"/>
    <n v="0"/>
    <n v="34159.699999999997"/>
    <s v="Trsf"/>
    <s v="Due 30/9/2020, Trsf IBG 1/10/2020"/>
    <m/>
  </r>
  <r>
    <x v="14"/>
    <x v="3"/>
    <x v="1"/>
    <x v="18"/>
    <s v="C00000008"/>
    <x v="7"/>
    <x v="7"/>
    <n v="1"/>
    <s v="Cash"/>
    <x v="0"/>
    <d v="2020-08-22T00:00:00"/>
    <x v="2"/>
    <x v="1"/>
    <n v="1452"/>
    <n v="-1452"/>
    <n v="0"/>
    <n v="35611.699999999997"/>
    <s v="Trsf"/>
    <s v="Trsf 24/8"/>
    <m/>
  </r>
  <r>
    <x v="15"/>
    <x v="3"/>
    <x v="1"/>
    <x v="19"/>
    <s v="C00000003"/>
    <x v="2"/>
    <x v="7"/>
    <n v="1"/>
    <n v="45"/>
    <x v="1"/>
    <d v="2020-10-08T00:00:00"/>
    <x v="3"/>
    <x v="1"/>
    <n v="1518"/>
    <n v="-1518"/>
    <n v="0"/>
    <n v="37129.699999999997"/>
    <s v="PD Chq"/>
    <s v="PD Chq 27/9, RM1,270.20 &amp; 11/10, RM1,000.00"/>
    <m/>
  </r>
  <r>
    <x v="15"/>
    <x v="3"/>
    <x v="1"/>
    <x v="19"/>
    <s v="C00000003"/>
    <x v="2"/>
    <x v="12"/>
    <n v="4"/>
    <n v="45"/>
    <x v="1"/>
    <d v="2020-10-08T00:00:00"/>
    <x v="3"/>
    <x v="1"/>
    <n v="200"/>
    <n v="-200"/>
    <n v="0"/>
    <n v="37329.699999999997"/>
    <s v="PD Chq"/>
    <s v="PD Chq 11/10, RM1,000/-"/>
    <m/>
  </r>
  <r>
    <x v="15"/>
    <x v="3"/>
    <x v="1"/>
    <x v="19"/>
    <s v="C00000003"/>
    <x v="2"/>
    <x v="4"/>
    <n v="2"/>
    <n v="45"/>
    <x v="1"/>
    <d v="2020-10-08T00:00:00"/>
    <x v="3"/>
    <x v="1"/>
    <n v="185"/>
    <n v="-185"/>
    <n v="0"/>
    <n v="37514.699999999997"/>
    <s v="PD Chq"/>
    <s v="PD Chq 11/10, RM1,000/-"/>
    <m/>
  </r>
  <r>
    <x v="16"/>
    <x v="3"/>
    <x v="1"/>
    <x v="20"/>
    <s v="C00000009"/>
    <x v="8"/>
    <x v="7"/>
    <n v="1"/>
    <n v="60"/>
    <x v="3"/>
    <d v="2020-10-24T00:00:00"/>
    <x v="3"/>
    <x v="1"/>
    <n v="1276"/>
    <n v="-1276"/>
    <n v="0"/>
    <n v="38790.699999999997"/>
    <s v="Chq"/>
    <s v="HLIB Chq No 008781, 28/11/20"/>
    <m/>
  </r>
  <r>
    <x v="16"/>
    <x v="3"/>
    <x v="1"/>
    <x v="20"/>
    <s v="C00000009"/>
    <x v="8"/>
    <x v="13"/>
    <n v="1"/>
    <n v="60"/>
    <x v="3"/>
    <d v="2020-10-24T00:00:00"/>
    <x v="3"/>
    <x v="1"/>
    <n v="1276"/>
    <n v="-1276"/>
    <n v="0"/>
    <n v="40066.699999999997"/>
    <s v="Chq"/>
    <s v="HLIB Chq No 008781, 28/11/20"/>
    <m/>
  </r>
  <r>
    <x v="16"/>
    <x v="3"/>
    <x v="1"/>
    <x v="21"/>
    <s v="C00000001"/>
    <x v="0"/>
    <x v="7"/>
    <n v="1"/>
    <s v="Cash"/>
    <x v="0"/>
    <d v="2020-08-25T00:00:00"/>
    <x v="2"/>
    <x v="1"/>
    <n v="1496"/>
    <n v="-1496"/>
    <n v="0"/>
    <n v="41562.699999999997"/>
    <s v="Trsf"/>
    <s v="Trsf 1/9/2020"/>
    <m/>
  </r>
  <r>
    <x v="17"/>
    <x v="3"/>
    <x v="1"/>
    <x v="22"/>
    <s v="C00000010"/>
    <x v="9"/>
    <x v="7"/>
    <n v="4"/>
    <n v="120"/>
    <x v="2"/>
    <d v="2020-12-25T00:00:00"/>
    <x v="0"/>
    <x v="1"/>
    <n v="5280"/>
    <n v="-5280"/>
    <n v="0"/>
    <n v="46842.7"/>
    <s v="Trsf"/>
    <s v="Trsf 23/12/2020"/>
    <m/>
  </r>
  <r>
    <x v="17"/>
    <x v="3"/>
    <x v="1"/>
    <x v="22"/>
    <s v="C00000010"/>
    <x v="9"/>
    <x v="1"/>
    <n v="2"/>
    <n v="120"/>
    <x v="2"/>
    <d v="2020-12-25T00:00:00"/>
    <x v="0"/>
    <x v="1"/>
    <n v="444"/>
    <n v="-444"/>
    <n v="0"/>
    <n v="47286.7"/>
    <s v="Trsf"/>
    <s v="Trsf 23/12/2020"/>
    <m/>
  </r>
  <r>
    <x v="17"/>
    <x v="3"/>
    <x v="1"/>
    <x v="22"/>
    <s v="C00000010"/>
    <x v="9"/>
    <x v="12"/>
    <n v="5"/>
    <n v="120"/>
    <x v="2"/>
    <d v="2020-12-25T00:00:00"/>
    <x v="0"/>
    <x v="1"/>
    <n v="275"/>
    <n v="-275"/>
    <n v="0"/>
    <n v="47561.7"/>
    <s v="Trsf"/>
    <s v="Trsf 23/12/2020"/>
    <m/>
  </r>
  <r>
    <x v="17"/>
    <x v="3"/>
    <x v="1"/>
    <x v="22"/>
    <s v="C00000010"/>
    <x v="9"/>
    <x v="4"/>
    <n v="4"/>
    <n v="120"/>
    <x v="2"/>
    <d v="2020-12-25T00:00:00"/>
    <x v="0"/>
    <x v="1"/>
    <n v="360"/>
    <n v="-360"/>
    <n v="0"/>
    <n v="47921.7"/>
    <s v="Trsf"/>
    <s v="Trsf 23/12/2020"/>
    <m/>
  </r>
  <r>
    <x v="17"/>
    <x v="3"/>
    <x v="1"/>
    <x v="22"/>
    <s v="C00000010"/>
    <x v="9"/>
    <x v="14"/>
    <n v="1"/>
    <n v="120"/>
    <x v="2"/>
    <d v="2020-12-25T00:00:00"/>
    <x v="0"/>
    <x v="1"/>
    <n v="375"/>
    <n v="-375"/>
    <n v="0"/>
    <n v="48296.7"/>
    <s v="Trsf"/>
    <s v="Trsf 23/12/2020"/>
    <m/>
  </r>
  <r>
    <x v="18"/>
    <x v="4"/>
    <x v="1"/>
    <x v="23"/>
    <s v="C00000008"/>
    <x v="7"/>
    <x v="15"/>
    <n v="2"/>
    <s v="Cash"/>
    <x v="0"/>
    <d v="2020-09-01T00:00:00"/>
    <x v="6"/>
    <x v="1"/>
    <n v="2948"/>
    <n v="-2948"/>
    <n v="0"/>
    <n v="51244.7"/>
    <s v="Trsf"/>
    <s v="Trsf 7/9/2020"/>
    <m/>
  </r>
  <r>
    <x v="18"/>
    <x v="4"/>
    <x v="1"/>
    <x v="23"/>
    <s v="C00000008"/>
    <x v="7"/>
    <x v="5"/>
    <n v="4"/>
    <s v="Cash"/>
    <x v="0"/>
    <d v="2020-09-01T00:00:00"/>
    <x v="6"/>
    <x v="1"/>
    <n v="840"/>
    <n v="-840"/>
    <n v="0"/>
    <n v="52084.7"/>
    <s v="Trsf"/>
    <s v="Trsf 7/9/2020"/>
    <m/>
  </r>
  <r>
    <x v="18"/>
    <x v="4"/>
    <x v="1"/>
    <x v="23"/>
    <s v="C00000008"/>
    <x v="7"/>
    <x v="4"/>
    <n v="2"/>
    <s v="Cash"/>
    <x v="0"/>
    <d v="2020-09-01T00:00:00"/>
    <x v="6"/>
    <x v="1"/>
    <n v="180"/>
    <n v="-180"/>
    <n v="0"/>
    <n v="52264.7"/>
    <s v="Trsf"/>
    <s v="Trsf 7/9/2020"/>
    <m/>
  </r>
  <r>
    <x v="19"/>
    <x v="4"/>
    <x v="1"/>
    <x v="24"/>
    <s v="C00000001"/>
    <x v="0"/>
    <x v="6"/>
    <n v="1"/>
    <s v="Cash"/>
    <x v="0"/>
    <d v="2020-09-02T00:00:00"/>
    <x v="6"/>
    <x v="1"/>
    <n v="1250"/>
    <n v="-1250"/>
    <n v="0"/>
    <n v="53514.7"/>
    <s v="Trsf"/>
    <s v="Trsf 5/9/2020"/>
    <s v="Delived on 3/9/2020"/>
  </r>
  <r>
    <x v="20"/>
    <x v="4"/>
    <x v="1"/>
    <x v="25"/>
    <s v="C00000001"/>
    <x v="0"/>
    <x v="15"/>
    <n v="1"/>
    <s v="Cash"/>
    <x v="0"/>
    <d v="2020-09-05T00:00:00"/>
    <x v="6"/>
    <x v="1"/>
    <n v="1496"/>
    <n v="-1496"/>
    <n v="0"/>
    <n v="55010.7"/>
    <s v="Trsf"/>
    <s v="Trsf 5/9/2020"/>
    <m/>
  </r>
  <r>
    <x v="20"/>
    <x v="4"/>
    <x v="1"/>
    <x v="25"/>
    <s v="C00000001"/>
    <x v="0"/>
    <x v="1"/>
    <n v="4"/>
    <s v="Cash"/>
    <x v="0"/>
    <d v="2020-09-05T00:00:00"/>
    <x v="6"/>
    <x v="1"/>
    <n v="962"/>
    <n v="-962"/>
    <n v="0"/>
    <n v="55972.7"/>
    <s v="Trsf"/>
    <s v="Trsf 5/9/2020"/>
    <m/>
  </r>
  <r>
    <x v="21"/>
    <x v="4"/>
    <x v="1"/>
    <x v="26"/>
    <s v="C00000004"/>
    <x v="3"/>
    <x v="7"/>
    <n v="5"/>
    <n v="120"/>
    <x v="2"/>
    <d v="2021-01-15T00:00:00"/>
    <x v="7"/>
    <x v="2"/>
    <n v="6270"/>
    <n v="-6270"/>
    <n v="0"/>
    <n v="62242.7"/>
    <s v="Chq"/>
    <s v="PD HLB 004649, 25/1/2021"/>
    <m/>
  </r>
  <r>
    <x v="21"/>
    <x v="4"/>
    <x v="1"/>
    <x v="26"/>
    <s v="C00000004"/>
    <x v="3"/>
    <x v="13"/>
    <n v="1"/>
    <n v="120"/>
    <x v="2"/>
    <d v="2021-01-15T00:00:00"/>
    <x v="7"/>
    <x v="2"/>
    <n v="1254"/>
    <n v="-1254"/>
    <n v="0"/>
    <n v="63496.7"/>
    <s v="Chq"/>
    <s v="PD HLB 004649, 25/1/2021"/>
    <m/>
  </r>
  <r>
    <x v="21"/>
    <x v="4"/>
    <x v="1"/>
    <x v="26"/>
    <s v="C00000004"/>
    <x v="3"/>
    <x v="10"/>
    <n v="3"/>
    <n v="120"/>
    <x v="2"/>
    <d v="2021-01-15T00:00:00"/>
    <x v="7"/>
    <x v="2"/>
    <n v="874.80000000000007"/>
    <n v="-874.80000000000007"/>
    <n v="0"/>
    <n v="64371.5"/>
    <s v="Chq"/>
    <s v="PD HLB 004649, 25/1/2021"/>
    <m/>
  </r>
  <r>
    <x v="21"/>
    <x v="4"/>
    <x v="1"/>
    <x v="26"/>
    <s v="C00000004"/>
    <x v="3"/>
    <x v="16"/>
    <n v="3"/>
    <n v="120"/>
    <x v="2"/>
    <d v="2021-01-15T00:00:00"/>
    <x v="7"/>
    <x v="2"/>
    <n v="874.80000000000007"/>
    <n v="-874.80000000000007"/>
    <n v="0"/>
    <n v="65246.3"/>
    <s v="Chq"/>
    <s v="PD HLB 004649, 25/1/2021"/>
    <m/>
  </r>
  <r>
    <x v="21"/>
    <x v="4"/>
    <x v="1"/>
    <x v="26"/>
    <s v="C00000004"/>
    <x v="3"/>
    <x v="5"/>
    <n v="6"/>
    <n v="120"/>
    <x v="2"/>
    <d v="2021-01-15T00:00:00"/>
    <x v="7"/>
    <x v="2"/>
    <n v="1224"/>
    <n v="-1224"/>
    <n v="0"/>
    <n v="66470.3"/>
    <s v="Chq"/>
    <s v="PD HLB 004649, 25/1/2021"/>
    <m/>
  </r>
  <r>
    <x v="21"/>
    <x v="4"/>
    <x v="1"/>
    <x v="26"/>
    <s v="C00000004"/>
    <x v="3"/>
    <x v="4"/>
    <n v="4"/>
    <n v="120"/>
    <x v="2"/>
    <d v="2021-01-15T00:00:00"/>
    <x v="7"/>
    <x v="2"/>
    <n v="360"/>
    <n v="-360"/>
    <n v="0"/>
    <n v="66830.3"/>
    <s v="Chq"/>
    <s v="PD HLB 004649, 25/1/2021"/>
    <m/>
  </r>
  <r>
    <x v="21"/>
    <x v="4"/>
    <x v="1"/>
    <x v="26"/>
    <s v="C00000004"/>
    <x v="3"/>
    <x v="17"/>
    <n v="1"/>
    <n v="120"/>
    <x v="2"/>
    <d v="2021-01-15T00:00:00"/>
    <x v="7"/>
    <x v="2"/>
    <n v="390"/>
    <n v="-390"/>
    <n v="0"/>
    <n v="67220.3"/>
    <s v="Chq"/>
    <s v="PD HLB 004649, 25/1/2021"/>
    <m/>
  </r>
  <r>
    <x v="21"/>
    <x v="4"/>
    <x v="1"/>
    <x v="27"/>
    <s v="C00000001"/>
    <x v="0"/>
    <x v="15"/>
    <n v="1"/>
    <s v="Cash"/>
    <x v="0"/>
    <d v="2020-09-17T00:00:00"/>
    <x v="6"/>
    <x v="1"/>
    <n v="1496"/>
    <n v="-1496"/>
    <n v="0"/>
    <n v="68716.3"/>
    <s v="Trsf"/>
    <s v="Trst 22/9/2020"/>
    <m/>
  </r>
  <r>
    <x v="21"/>
    <x v="4"/>
    <x v="1"/>
    <x v="27"/>
    <s v="C00000001"/>
    <x v="0"/>
    <x v="1"/>
    <n v="2"/>
    <s v="Cash"/>
    <x v="0"/>
    <d v="2020-09-17T00:00:00"/>
    <x v="6"/>
    <x v="1"/>
    <n v="481"/>
    <n v="-481"/>
    <n v="0"/>
    <n v="69197.3"/>
    <s v="Trsf"/>
    <s v="Trst 22/9/2020"/>
    <m/>
  </r>
  <r>
    <x v="22"/>
    <x v="4"/>
    <x v="1"/>
    <x v="28"/>
    <s v="C00000004"/>
    <x v="3"/>
    <x v="7"/>
    <n v="5"/>
    <n v="120"/>
    <x v="2"/>
    <d v="2021-01-20T00:00:00"/>
    <x v="7"/>
    <x v="2"/>
    <n v="6270"/>
    <n v="-6270"/>
    <n v="0"/>
    <n v="75467.3"/>
    <s v="Chq"/>
    <s v="PD HLB 004649, 25/1/2021"/>
    <m/>
  </r>
  <r>
    <x v="22"/>
    <x v="4"/>
    <x v="1"/>
    <x v="28"/>
    <s v="C00000004"/>
    <x v="3"/>
    <x v="13"/>
    <n v="1"/>
    <n v="120"/>
    <x v="2"/>
    <d v="2021-01-20T00:00:00"/>
    <x v="7"/>
    <x v="2"/>
    <n v="1254"/>
    <n v="-1254"/>
    <n v="0"/>
    <n v="76721.3"/>
    <s v="Chq"/>
    <s v="PD HLB 004649, 25/1/2021"/>
    <m/>
  </r>
  <r>
    <x v="22"/>
    <x v="4"/>
    <x v="1"/>
    <x v="28"/>
    <s v="C00000004"/>
    <x v="3"/>
    <x v="10"/>
    <n v="5"/>
    <n v="120"/>
    <x v="2"/>
    <d v="2021-01-20T00:00:00"/>
    <x v="7"/>
    <x v="2"/>
    <n v="1458"/>
    <n v="-1458"/>
    <n v="0"/>
    <n v="78179.3"/>
    <s v="Chq"/>
    <s v="PD HLB 004649, 25/1/2021"/>
    <m/>
  </r>
  <r>
    <x v="22"/>
    <x v="4"/>
    <x v="1"/>
    <x v="28"/>
    <s v="C00000004"/>
    <x v="3"/>
    <x v="16"/>
    <n v="2"/>
    <n v="120"/>
    <x v="2"/>
    <d v="2021-01-20T00:00:00"/>
    <x v="7"/>
    <x v="2"/>
    <n v="583.20000000000005"/>
    <n v="-583.20000000000005"/>
    <n v="0"/>
    <n v="78762.5"/>
    <s v="Chq"/>
    <s v="PD HLB 004649, 25/1/2021"/>
    <m/>
  </r>
  <r>
    <x v="22"/>
    <x v="4"/>
    <x v="1"/>
    <x v="28"/>
    <s v="C00000004"/>
    <x v="3"/>
    <x v="5"/>
    <n v="10"/>
    <n v="120"/>
    <x v="2"/>
    <d v="2021-01-20T00:00:00"/>
    <x v="7"/>
    <x v="2"/>
    <n v="2040"/>
    <n v="-2040"/>
    <n v="0"/>
    <n v="80802.5"/>
    <s v="Chq"/>
    <s v="PD HLB 004649, 25/1/2021"/>
    <m/>
  </r>
  <r>
    <x v="23"/>
    <x v="4"/>
    <x v="1"/>
    <x v="29"/>
    <s v="C00000010"/>
    <x v="9"/>
    <x v="7"/>
    <n v="5"/>
    <n v="120"/>
    <x v="2"/>
    <d v="2021-01-21T00:00:00"/>
    <x v="7"/>
    <x v="2"/>
    <n v="6600"/>
    <n v="-6600"/>
    <n v="0"/>
    <n v="87402.5"/>
    <s v="Trsf"/>
    <s v="Trsf 20/1/2021"/>
    <m/>
  </r>
  <r>
    <x v="23"/>
    <x v="4"/>
    <x v="1"/>
    <x v="29"/>
    <s v="C00000010"/>
    <x v="9"/>
    <x v="1"/>
    <n v="4"/>
    <n v="120"/>
    <x v="2"/>
    <d v="2021-01-21T00:00:00"/>
    <x v="7"/>
    <x v="2"/>
    <n v="888"/>
    <n v="-888"/>
    <n v="0"/>
    <n v="88290.5"/>
    <s v="Trsf"/>
    <s v="Trsf 20/1/2021"/>
    <m/>
  </r>
  <r>
    <x v="23"/>
    <x v="4"/>
    <x v="1"/>
    <x v="29"/>
    <s v="C00000010"/>
    <x v="9"/>
    <x v="12"/>
    <n v="5"/>
    <n v="120"/>
    <x v="2"/>
    <d v="2021-01-21T00:00:00"/>
    <x v="7"/>
    <x v="2"/>
    <n v="275"/>
    <n v="-275"/>
    <n v="0"/>
    <n v="88565.5"/>
    <s v="Trsf"/>
    <s v="Trsf 20/1/2021"/>
    <m/>
  </r>
  <r>
    <x v="23"/>
    <x v="4"/>
    <x v="1"/>
    <x v="29"/>
    <s v="C00000010"/>
    <x v="9"/>
    <x v="4"/>
    <n v="4"/>
    <n v="120"/>
    <x v="2"/>
    <d v="2021-01-21T00:00:00"/>
    <x v="7"/>
    <x v="2"/>
    <n v="360"/>
    <n v="-360"/>
    <n v="0"/>
    <n v="88925.5"/>
    <s v="Trsf"/>
    <s v="Trsf 20/1/2021"/>
    <m/>
  </r>
  <r>
    <x v="23"/>
    <x v="4"/>
    <x v="1"/>
    <x v="30"/>
    <s v="C00000001"/>
    <x v="0"/>
    <x v="8"/>
    <n v="6"/>
    <s v="Cash"/>
    <x v="0"/>
    <d v="2020-09-23T00:00:00"/>
    <x v="6"/>
    <x v="1"/>
    <n v="1392"/>
    <n v="-1392"/>
    <n v="0"/>
    <n v="90317.5"/>
    <s v="Trsf"/>
    <s v="Trst 01/10/2020"/>
    <m/>
  </r>
  <r>
    <x v="24"/>
    <x v="4"/>
    <x v="1"/>
    <x v="31"/>
    <s v="C00000001"/>
    <x v="0"/>
    <x v="7"/>
    <n v="1"/>
    <s v="Cash"/>
    <x v="0"/>
    <d v="2020-09-26T00:00:00"/>
    <x v="6"/>
    <x v="1"/>
    <n v="1496"/>
    <n v="-1496"/>
    <n v="0"/>
    <n v="91813.5"/>
    <s v="Trsf"/>
    <s v="Trst 01/10/2020"/>
    <m/>
  </r>
  <r>
    <x v="25"/>
    <x v="5"/>
    <x v="1"/>
    <x v="32"/>
    <s v="C00000005"/>
    <x v="4"/>
    <x v="15"/>
    <n v="1"/>
    <s v="Cash"/>
    <x v="0"/>
    <d v="2020-10-05T00:00:00"/>
    <x v="3"/>
    <x v="1"/>
    <n v="1496"/>
    <n v="-1496"/>
    <n v="0"/>
    <n v="93309.5"/>
    <s v="Chq"/>
    <s v="Chq 5/10 (Bank in 19/10/2020)"/>
    <m/>
  </r>
  <r>
    <x v="25"/>
    <x v="5"/>
    <x v="1"/>
    <x v="33"/>
    <s v="C00000003"/>
    <x v="2"/>
    <x v="15"/>
    <n v="3"/>
    <n v="45"/>
    <x v="1"/>
    <d v="2020-11-19T00:00:00"/>
    <x v="5"/>
    <x v="1"/>
    <n v="4554"/>
    <n v="-4554"/>
    <n v="0"/>
    <n v="97863.5"/>
    <s v="PD Chq"/>
    <s v="PD Chq 14/11, RM2,713/-"/>
    <m/>
  </r>
  <r>
    <x v="25"/>
    <x v="5"/>
    <x v="1"/>
    <x v="33"/>
    <s v="C00000003"/>
    <x v="2"/>
    <x v="12"/>
    <n v="8"/>
    <n v="45"/>
    <x v="1"/>
    <d v="2020-11-19T00:00:00"/>
    <x v="5"/>
    <x v="1"/>
    <n v="400"/>
    <n v="-400"/>
    <n v="0"/>
    <n v="98263.5"/>
    <s v="PD Chq"/>
    <s v="PD Chq 21/11, RM1,500/-"/>
    <m/>
  </r>
  <r>
    <x v="25"/>
    <x v="5"/>
    <x v="1"/>
    <x v="33"/>
    <s v="C00000003"/>
    <x v="2"/>
    <x v="4"/>
    <n v="6"/>
    <n v="45"/>
    <x v="1"/>
    <d v="2020-11-19T00:00:00"/>
    <x v="5"/>
    <x v="1"/>
    <n v="555"/>
    <n v="-555"/>
    <n v="0"/>
    <n v="98818.5"/>
    <s v="PD Chq"/>
    <s v="PD Chq 29/11, RM1,500/-"/>
    <m/>
  </r>
  <r>
    <x v="25"/>
    <x v="5"/>
    <x v="1"/>
    <x v="33"/>
    <s v="C00000003"/>
    <x v="2"/>
    <x v="9"/>
    <n v="1"/>
    <n v="45"/>
    <x v="1"/>
    <d v="2020-11-19T00:00:00"/>
    <x v="5"/>
    <x v="1"/>
    <n v="204"/>
    <n v="-204"/>
    <n v="0"/>
    <n v="99022.5"/>
    <s v="PD Chq"/>
    <s v="PD Chq 29/11, RM1,500/-"/>
    <m/>
  </r>
  <r>
    <x v="26"/>
    <x v="5"/>
    <x v="1"/>
    <x v="34"/>
    <s v="C00000004"/>
    <x v="3"/>
    <x v="7"/>
    <n v="5"/>
    <n v="120"/>
    <x v="2"/>
    <d v="2021-02-05T00:00:00"/>
    <x v="8"/>
    <x v="2"/>
    <n v="6270"/>
    <n v="-6270"/>
    <n v="0"/>
    <n v="105292.5"/>
    <s v="Chq"/>
    <s v="PD HLB 5704, 22/2/2021"/>
    <m/>
  </r>
  <r>
    <x v="26"/>
    <x v="5"/>
    <x v="1"/>
    <x v="34"/>
    <s v="C00000004"/>
    <x v="3"/>
    <x v="13"/>
    <n v="1"/>
    <n v="120"/>
    <x v="2"/>
    <d v="2021-02-05T00:00:00"/>
    <x v="8"/>
    <x v="2"/>
    <n v="1254"/>
    <n v="-1254"/>
    <n v="0"/>
    <n v="106546.5"/>
    <s v="Chq"/>
    <s v="PD HLB 5704, 22/2/2021"/>
    <m/>
  </r>
  <r>
    <x v="26"/>
    <x v="5"/>
    <x v="1"/>
    <x v="34"/>
    <s v="C00000004"/>
    <x v="3"/>
    <x v="16"/>
    <n v="3"/>
    <n v="120"/>
    <x v="2"/>
    <d v="2021-02-05T00:00:00"/>
    <x v="8"/>
    <x v="2"/>
    <n v="874.80000000000007"/>
    <n v="-874.80000000000007"/>
    <n v="0"/>
    <n v="107421.3"/>
    <s v="Chq"/>
    <s v="PD HLB 5704, 22/2/2021"/>
    <m/>
  </r>
  <r>
    <x v="26"/>
    <x v="5"/>
    <x v="1"/>
    <x v="34"/>
    <s v="C00000004"/>
    <x v="3"/>
    <x v="5"/>
    <n v="10"/>
    <n v="120"/>
    <x v="2"/>
    <d v="2021-02-05T00:00:00"/>
    <x v="8"/>
    <x v="2"/>
    <n v="2040"/>
    <n v="-2040"/>
    <n v="0"/>
    <n v="109461.3"/>
    <s v="Chq"/>
    <s v="PD HLB 5704, 22/2/2021"/>
    <m/>
  </r>
  <r>
    <x v="26"/>
    <x v="5"/>
    <x v="1"/>
    <x v="34"/>
    <s v="C00000004"/>
    <x v="3"/>
    <x v="4"/>
    <n v="2"/>
    <n v="120"/>
    <x v="2"/>
    <d v="2021-02-05T00:00:00"/>
    <x v="8"/>
    <x v="2"/>
    <n v="180"/>
    <n v="-180"/>
    <n v="0"/>
    <n v="109641.3"/>
    <s v="Chq"/>
    <s v="PD HLB 5704, 22/2/2021"/>
    <m/>
  </r>
  <r>
    <x v="27"/>
    <x v="5"/>
    <x v="1"/>
    <x v="35"/>
    <s v="C00000004"/>
    <x v="3"/>
    <x v="7"/>
    <n v="6"/>
    <n v="120"/>
    <x v="2"/>
    <d v="2021-02-09T00:00:00"/>
    <x v="8"/>
    <x v="2"/>
    <n v="7524"/>
    <n v="-7524"/>
    <n v="0"/>
    <n v="117165.3"/>
    <s v="Chq"/>
    <s v="PD HLB 5704, 22/2/2021"/>
    <m/>
  </r>
  <r>
    <x v="27"/>
    <x v="5"/>
    <x v="1"/>
    <x v="35"/>
    <s v="C00000004"/>
    <x v="3"/>
    <x v="13"/>
    <n v="1"/>
    <n v="120"/>
    <x v="2"/>
    <d v="2021-02-09T00:00:00"/>
    <x v="8"/>
    <x v="2"/>
    <n v="1254"/>
    <n v="-1254"/>
    <n v="0"/>
    <n v="118419.3"/>
    <s v="Chq"/>
    <s v="PD HLB 5704, 22/2/2021"/>
    <m/>
  </r>
  <r>
    <x v="27"/>
    <x v="5"/>
    <x v="1"/>
    <x v="36"/>
    <s v="C00000001"/>
    <x v="0"/>
    <x v="15"/>
    <n v="1"/>
    <s v="Cash"/>
    <x v="0"/>
    <d v="2020-10-12T00:00:00"/>
    <x v="3"/>
    <x v="1"/>
    <n v="1496"/>
    <n v="-1496"/>
    <n v="0"/>
    <n v="119915.3"/>
    <s v="Trsf"/>
    <s v="Trsf 19/10/2020"/>
    <m/>
  </r>
  <r>
    <x v="27"/>
    <x v="5"/>
    <x v="1"/>
    <x v="36"/>
    <s v="C00000001"/>
    <x v="0"/>
    <x v="1"/>
    <n v="4"/>
    <s v="Cash"/>
    <x v="0"/>
    <d v="2020-10-12T00:00:00"/>
    <x v="3"/>
    <x v="1"/>
    <n v="962"/>
    <n v="-962"/>
    <n v="0"/>
    <n v="120877.3"/>
    <s v="Trsf"/>
    <s v="Trsf 19/10/2020"/>
    <m/>
  </r>
  <r>
    <x v="28"/>
    <x v="5"/>
    <x v="1"/>
    <x v="37"/>
    <s v="C00000007"/>
    <x v="6"/>
    <x v="5"/>
    <n v="7"/>
    <s v="Cash"/>
    <x v="0"/>
    <d v="2020-10-14T00:00:00"/>
    <x v="3"/>
    <x v="1"/>
    <n v="1470"/>
    <n v="-1470"/>
    <n v="0"/>
    <n v="122347.3"/>
    <s v="Trsf"/>
    <s v="Due 30/11/2020"/>
    <m/>
  </r>
  <r>
    <x v="28"/>
    <x v="5"/>
    <x v="1"/>
    <x v="37"/>
    <s v="C00000007"/>
    <x v="6"/>
    <x v="4"/>
    <n v="8"/>
    <s v="Cash"/>
    <x v="0"/>
    <d v="2020-10-14T00:00:00"/>
    <x v="3"/>
    <x v="1"/>
    <n v="720"/>
    <n v="-720"/>
    <n v="0"/>
    <n v="123067.3"/>
    <s v="Trsf"/>
    <s v="Due 30/11/2020"/>
    <m/>
  </r>
  <r>
    <x v="29"/>
    <x v="5"/>
    <x v="1"/>
    <x v="37"/>
    <s v="C00000007"/>
    <x v="6"/>
    <x v="11"/>
    <n v="2"/>
    <s v="Cash"/>
    <x v="0"/>
    <d v="2020-10-19T00:00:00"/>
    <x v="3"/>
    <x v="1"/>
    <n v="460"/>
    <n v="-460"/>
    <n v="0"/>
    <n v="123527.3"/>
    <s v="Trsf"/>
    <s v="Due 30/11/2020"/>
    <m/>
  </r>
  <r>
    <x v="30"/>
    <x v="5"/>
    <x v="1"/>
    <x v="38"/>
    <s v="C00000003"/>
    <x v="2"/>
    <x v="18"/>
    <n v="4"/>
    <n v="45"/>
    <x v="1"/>
    <d v="2020-12-01T00:00:00"/>
    <x v="0"/>
    <x v="1"/>
    <n v="180"/>
    <n v="-180"/>
    <n v="0"/>
    <n v="123707.3"/>
    <s v="PD Chq"/>
    <s v="PD Chq 22/10, RM384/-"/>
    <m/>
  </r>
  <r>
    <x v="30"/>
    <x v="5"/>
    <x v="1"/>
    <x v="39"/>
    <s v="C00000003"/>
    <x v="2"/>
    <x v="9"/>
    <n v="1"/>
    <n v="45"/>
    <x v="1"/>
    <d v="2020-12-01T00:00:00"/>
    <x v="0"/>
    <x v="1"/>
    <n v="204"/>
    <n v="-204"/>
    <n v="0"/>
    <n v="123911.3"/>
    <s v="PD Chq"/>
    <s v="PD Chq 22/10, RM384/-"/>
    <m/>
  </r>
  <r>
    <x v="29"/>
    <x v="5"/>
    <x v="1"/>
    <x v="40"/>
    <s v="C00000001"/>
    <x v="0"/>
    <x v="2"/>
    <n v="4"/>
    <s v="Cash"/>
    <x v="0"/>
    <d v="2020-10-19T00:00:00"/>
    <x v="3"/>
    <x v="1"/>
    <n v="960"/>
    <n v="-960"/>
    <n v="0"/>
    <n v="124871.3"/>
    <s v="Trsf"/>
    <s v="Trsf 9/11/2020"/>
    <m/>
  </r>
  <r>
    <x v="29"/>
    <x v="5"/>
    <x v="1"/>
    <x v="40"/>
    <s v="C00000001"/>
    <x v="0"/>
    <x v="19"/>
    <n v="1"/>
    <s v="Cash"/>
    <x v="0"/>
    <d v="2020-10-19T00:00:00"/>
    <x v="3"/>
    <x v="1"/>
    <n v="625"/>
    <n v="-625"/>
    <n v="0"/>
    <n v="125496.3"/>
    <s v="Trsf"/>
    <s v="Trsf 9/11/2020"/>
    <m/>
  </r>
  <r>
    <x v="29"/>
    <x v="5"/>
    <x v="1"/>
    <x v="40"/>
    <s v="C00000001"/>
    <x v="0"/>
    <x v="20"/>
    <n v="1"/>
    <s v="Cash"/>
    <x v="0"/>
    <d v="2020-10-19T00:00:00"/>
    <x v="3"/>
    <x v="1"/>
    <n v="60"/>
    <n v="-60"/>
    <n v="0"/>
    <n v="125556.3"/>
    <s v="Trsf"/>
    <s v="Trsf 9/11/2020"/>
    <m/>
  </r>
  <r>
    <x v="29"/>
    <x v="5"/>
    <x v="1"/>
    <x v="41"/>
    <s v="C00000005"/>
    <x v="4"/>
    <x v="4"/>
    <n v="1"/>
    <s v="Cash"/>
    <x v="0"/>
    <d v="2020-10-19T00:00:00"/>
    <x v="3"/>
    <x v="1"/>
    <n v="90"/>
    <n v="-90"/>
    <n v="0"/>
    <n v="125646.3"/>
    <s v="Chq"/>
    <s v="Chq CIMB 000054 28/10/2019"/>
    <m/>
  </r>
  <r>
    <x v="31"/>
    <x v="5"/>
    <x v="1"/>
    <x v="42"/>
    <s v="C00000005"/>
    <x v="4"/>
    <x v="15"/>
    <n v="1"/>
    <s v="Cash"/>
    <x v="0"/>
    <d v="2020-10-21T00:00:00"/>
    <x v="3"/>
    <x v="1"/>
    <n v="1496"/>
    <n v="-1496"/>
    <n v="0"/>
    <n v="127142.3"/>
    <s v="Chq"/>
    <s v="Chq CIMB 000050 21/10/2020"/>
    <m/>
  </r>
  <r>
    <x v="31"/>
    <x v="5"/>
    <x v="1"/>
    <x v="43"/>
    <s v="C00000010"/>
    <x v="9"/>
    <x v="7"/>
    <n v="5"/>
    <n v="120"/>
    <x v="2"/>
    <d v="2021-02-18T00:00:00"/>
    <x v="8"/>
    <x v="2"/>
    <n v="6600"/>
    <n v="-6600"/>
    <n v="0"/>
    <n v="133742.29999999999"/>
    <s v="Trsf"/>
    <s v="Trsf 19/3/2021"/>
    <m/>
  </r>
  <r>
    <x v="31"/>
    <x v="5"/>
    <x v="1"/>
    <x v="43"/>
    <s v="C00000010"/>
    <x v="9"/>
    <x v="1"/>
    <n v="4"/>
    <n v="120"/>
    <x v="2"/>
    <d v="2021-02-18T00:00:00"/>
    <x v="8"/>
    <x v="2"/>
    <n v="888"/>
    <n v="-888"/>
    <n v="0"/>
    <n v="134630.29999999999"/>
    <s v="Trsf"/>
    <s v="Trsf 19/3/2021"/>
    <m/>
  </r>
  <r>
    <x v="31"/>
    <x v="5"/>
    <x v="1"/>
    <x v="43"/>
    <s v="C00000010"/>
    <x v="9"/>
    <x v="12"/>
    <n v="5"/>
    <n v="120"/>
    <x v="2"/>
    <d v="2021-02-18T00:00:00"/>
    <x v="8"/>
    <x v="2"/>
    <n v="275"/>
    <n v="-275"/>
    <n v="0"/>
    <n v="134905.29999999999"/>
    <s v="Trsf"/>
    <s v="Trsf 19/3/2021"/>
    <m/>
  </r>
  <r>
    <x v="31"/>
    <x v="5"/>
    <x v="1"/>
    <x v="43"/>
    <s v="C00000010"/>
    <x v="9"/>
    <x v="4"/>
    <n v="4"/>
    <n v="120"/>
    <x v="2"/>
    <d v="2021-02-18T00:00:00"/>
    <x v="8"/>
    <x v="2"/>
    <n v="360"/>
    <n v="-360"/>
    <n v="0"/>
    <n v="135265.29999999999"/>
    <s v="Trsf"/>
    <s v="Trsf 19/3/2021"/>
    <m/>
  </r>
  <r>
    <x v="32"/>
    <x v="5"/>
    <x v="1"/>
    <x v="44"/>
    <s v="C00000003"/>
    <x v="2"/>
    <x v="15"/>
    <n v="3"/>
    <n v="45"/>
    <x v="1"/>
    <d v="2020-12-10T00:00:00"/>
    <x v="0"/>
    <x v="1"/>
    <n v="4554"/>
    <n v="-4554"/>
    <n v="0"/>
    <n v="139819.29999999999"/>
    <s v="PD Chq"/>
    <s v="PD Chq 12/10, 19/10 &amp; 26/10 "/>
    <m/>
  </r>
  <r>
    <x v="32"/>
    <x v="5"/>
    <x v="1"/>
    <x v="44"/>
    <s v="C00000003"/>
    <x v="2"/>
    <x v="4"/>
    <n v="6"/>
    <n v="45"/>
    <x v="1"/>
    <d v="2020-12-10T00:00:00"/>
    <x v="0"/>
    <x v="1"/>
    <n v="555"/>
    <n v="-555"/>
    <n v="0"/>
    <n v="140374.29999999999"/>
    <s v="PD Chq"/>
    <s v="RM1,700/-, RM1,700/- &amp; RM1,709/-"/>
    <m/>
  </r>
  <r>
    <x v="33"/>
    <x v="5"/>
    <x v="1"/>
    <x v="45"/>
    <s v="C00000001"/>
    <x v="0"/>
    <x v="15"/>
    <n v="1"/>
    <s v="Cash"/>
    <x v="0"/>
    <d v="2020-10-31T00:00:00"/>
    <x v="3"/>
    <x v="1"/>
    <n v="1496"/>
    <n v="-1496"/>
    <n v="0"/>
    <n v="141870.29999999999"/>
    <s v="Trsf"/>
    <s v="Trsf 9/11/2020"/>
    <m/>
  </r>
  <r>
    <x v="33"/>
    <x v="5"/>
    <x v="1"/>
    <x v="45"/>
    <s v="C00000001"/>
    <x v="0"/>
    <x v="1"/>
    <n v="4"/>
    <s v="Cash"/>
    <x v="0"/>
    <d v="2020-10-31T00:00:00"/>
    <x v="3"/>
    <x v="1"/>
    <n v="962"/>
    <n v="-962"/>
    <n v="0"/>
    <n v="142832.29999999999"/>
    <s v="Trsf"/>
    <s v="Trsf 9/11/2020"/>
    <m/>
  </r>
  <r>
    <x v="33"/>
    <x v="5"/>
    <x v="1"/>
    <x v="46"/>
    <s v="C00000005"/>
    <x v="4"/>
    <x v="15"/>
    <n v="1"/>
    <s v="Cash"/>
    <x v="0"/>
    <d v="2020-10-31T00:00:00"/>
    <x v="3"/>
    <x v="1"/>
    <n v="1496"/>
    <n v="-1496"/>
    <n v="0"/>
    <n v="144328.29999999999"/>
    <s v="Chq"/>
    <s v="Chq CIMB 000056, 31/10/2020"/>
    <m/>
  </r>
  <r>
    <x v="34"/>
    <x v="6"/>
    <x v="1"/>
    <x v="47"/>
    <s v="C00000006"/>
    <x v="5"/>
    <x v="7"/>
    <n v="1"/>
    <s v="Cash"/>
    <x v="0"/>
    <d v="2020-11-09T00:00:00"/>
    <x v="5"/>
    <x v="1"/>
    <n v="1584"/>
    <n v="-1584"/>
    <n v="0"/>
    <n v="145912.29999999999"/>
    <s v="Chq"/>
    <s v="Bank in 16/12/2020"/>
    <m/>
  </r>
  <r>
    <x v="34"/>
    <x v="6"/>
    <x v="1"/>
    <x v="47"/>
    <s v="C00000006"/>
    <x v="5"/>
    <x v="5"/>
    <n v="1"/>
    <s v="Cash"/>
    <x v="0"/>
    <d v="2020-11-09T00:00:00"/>
    <x v="5"/>
    <x v="1"/>
    <n v="210"/>
    <n v="-210"/>
    <n v="0"/>
    <n v="146122.29999999999"/>
    <s v="Chq"/>
    <s v="Bank in 16/12/2020"/>
    <m/>
  </r>
  <r>
    <x v="34"/>
    <x v="6"/>
    <x v="1"/>
    <x v="47"/>
    <s v="C00000006"/>
    <x v="5"/>
    <x v="16"/>
    <n v="1"/>
    <s v="Cash"/>
    <x v="0"/>
    <d v="2020-11-09T00:00:00"/>
    <x v="5"/>
    <x v="1"/>
    <n v="378"/>
    <n v="-378"/>
    <n v="0"/>
    <n v="146500.29999999999"/>
    <s v="Chq"/>
    <s v="Bank in 16/12/2020"/>
    <m/>
  </r>
  <r>
    <x v="34"/>
    <x v="6"/>
    <x v="1"/>
    <x v="47"/>
    <s v="C00000006"/>
    <x v="5"/>
    <x v="21"/>
    <n v="1"/>
    <s v="Cash"/>
    <x v="0"/>
    <d v="2020-11-09T00:00:00"/>
    <x v="5"/>
    <x v="1"/>
    <n v="130"/>
    <n v="-130"/>
    <n v="0"/>
    <n v="146630.29999999999"/>
    <s v="Chq"/>
    <s v="Bank in 16/12/2020"/>
    <m/>
  </r>
  <r>
    <x v="35"/>
    <x v="6"/>
    <x v="1"/>
    <x v="48"/>
    <s v="C00000001"/>
    <x v="0"/>
    <x v="15"/>
    <n v="1"/>
    <s v="Cash"/>
    <x v="0"/>
    <d v="2020-11-10T00:00:00"/>
    <x v="5"/>
    <x v="1"/>
    <n v="1584"/>
    <n v="-1584"/>
    <n v="0"/>
    <n v="148214.29999999999"/>
    <s v="Trsf"/>
    <s v="Trsf 20/11/2020"/>
    <m/>
  </r>
  <r>
    <x v="35"/>
    <x v="6"/>
    <x v="1"/>
    <x v="48"/>
    <s v="C00000001"/>
    <x v="0"/>
    <x v="4"/>
    <n v="4"/>
    <s v="Cash"/>
    <x v="0"/>
    <d v="2020-11-10T00:00:00"/>
    <x v="5"/>
    <x v="1"/>
    <n v="370"/>
    <n v="-370"/>
    <n v="0"/>
    <n v="148584.29999999999"/>
    <s v="Trsf"/>
    <s v="Trsf 20/11/2020"/>
    <m/>
  </r>
  <r>
    <x v="35"/>
    <x v="6"/>
    <x v="1"/>
    <x v="49"/>
    <s v="C00000005"/>
    <x v="4"/>
    <x v="15"/>
    <n v="1"/>
    <s v="Cash"/>
    <x v="0"/>
    <d v="2020-11-10T00:00:00"/>
    <x v="5"/>
    <x v="1"/>
    <n v="1540"/>
    <n v="-1540"/>
    <n v="0"/>
    <n v="150124.29999999999"/>
    <s v="Chq"/>
    <s v="Chq CIMB 000058 10/11/20, Banked in 22/11/20"/>
    <m/>
  </r>
  <r>
    <x v="35"/>
    <x v="6"/>
    <x v="1"/>
    <x v="49"/>
    <s v="C00000005"/>
    <x v="4"/>
    <x v="4"/>
    <n v="1"/>
    <s v="Cash"/>
    <x v="0"/>
    <d v="2020-11-10T00:00:00"/>
    <x v="5"/>
    <x v="1"/>
    <n v="90"/>
    <n v="-90"/>
    <n v="0"/>
    <n v="150214.29999999999"/>
    <s v="Chq"/>
    <s v="Chq CIMB 000058 10/11/20, Banked in 22/11/20"/>
    <m/>
  </r>
  <r>
    <x v="36"/>
    <x v="6"/>
    <x v="1"/>
    <x v="50"/>
    <s v="C00000009"/>
    <x v="8"/>
    <x v="10"/>
    <n v="3"/>
    <n v="60"/>
    <x v="3"/>
    <d v="2021-01-10T00:00:00"/>
    <x v="7"/>
    <x v="2"/>
    <n v="923.4"/>
    <n v="-923.4"/>
    <n v="0"/>
    <n v="151137.69999999998"/>
    <s v="Chq"/>
    <s v="Chq HL 009828, dd 6/2/21, Banked in 7/2/21"/>
    <m/>
  </r>
  <r>
    <x v="36"/>
    <x v="6"/>
    <x v="1"/>
    <x v="50"/>
    <s v="C00000009"/>
    <x v="8"/>
    <x v="16"/>
    <n v="1"/>
    <n v="60"/>
    <x v="3"/>
    <d v="2021-01-10T00:00:00"/>
    <x v="7"/>
    <x v="2"/>
    <n v="307.8"/>
    <n v="-307.8"/>
    <n v="0"/>
    <n v="151445.49999999997"/>
    <s v="Chq"/>
    <s v="Chq HL 009828, dd 6/2/21, Banked in 7/2/21"/>
    <m/>
  </r>
  <r>
    <x v="37"/>
    <x v="6"/>
    <x v="1"/>
    <x v="51"/>
    <s v="C00000001"/>
    <x v="0"/>
    <x v="15"/>
    <n v="1"/>
    <s v="Cash"/>
    <x v="0"/>
    <d v="2020-11-18T00:00:00"/>
    <x v="5"/>
    <x v="1"/>
    <n v="1584"/>
    <n v="-1584"/>
    <n v="0"/>
    <n v="153029.49999999997"/>
    <s v="Trsf"/>
    <s v="Trsf 20/11/2020"/>
    <m/>
  </r>
  <r>
    <x v="38"/>
    <x v="6"/>
    <x v="1"/>
    <x v="52"/>
    <s v="C00000001"/>
    <x v="0"/>
    <x v="8"/>
    <n v="2"/>
    <s v="Cash"/>
    <x v="0"/>
    <d v="2020-11-24T00:00:00"/>
    <x v="5"/>
    <x v="1"/>
    <n v="520"/>
    <n v="-520"/>
    <n v="0"/>
    <n v="153549.49999999997"/>
    <s v="Trsf"/>
    <s v="Trsf 5/12/2020"/>
    <m/>
  </r>
  <r>
    <x v="39"/>
    <x v="6"/>
    <x v="1"/>
    <x v="53"/>
    <s v="C00000010"/>
    <x v="9"/>
    <x v="22"/>
    <n v="3"/>
    <n v="120"/>
    <x v="2"/>
    <d v="2021-03-20T00:00:00"/>
    <x v="9"/>
    <x v="2"/>
    <n v="4050"/>
    <n v="-4050"/>
    <n v="0"/>
    <n v="157599.49999999997"/>
    <s v="Trsf"/>
    <s v="Due 28/2/2020"/>
    <m/>
  </r>
  <r>
    <x v="39"/>
    <x v="6"/>
    <x v="1"/>
    <x v="53"/>
    <s v="C00000010"/>
    <x v="9"/>
    <x v="7"/>
    <n v="2"/>
    <n v="120"/>
    <x v="2"/>
    <d v="2021-03-20T00:00:00"/>
    <x v="9"/>
    <x v="2"/>
    <n v="2640"/>
    <n v="-2640"/>
    <n v="0"/>
    <n v="160239.49999999997"/>
    <s v="Trsf"/>
    <s v="Due 28/2/2020"/>
    <m/>
  </r>
  <r>
    <x v="39"/>
    <x v="6"/>
    <x v="1"/>
    <x v="53"/>
    <s v="C00000010"/>
    <x v="9"/>
    <x v="1"/>
    <n v="8"/>
    <n v="120"/>
    <x v="2"/>
    <d v="2021-03-20T00:00:00"/>
    <x v="9"/>
    <x v="2"/>
    <n v="1776"/>
    <n v="-1776"/>
    <n v="0"/>
    <n v="162015.49999999997"/>
    <s v="Trsf"/>
    <s v="Due 28/2/2020"/>
    <m/>
  </r>
  <r>
    <x v="39"/>
    <x v="6"/>
    <x v="1"/>
    <x v="53"/>
    <s v="C00000010"/>
    <x v="9"/>
    <x v="12"/>
    <n v="5"/>
    <n v="120"/>
    <x v="2"/>
    <d v="2021-03-20T00:00:00"/>
    <x v="9"/>
    <x v="2"/>
    <n v="275"/>
    <n v="-275"/>
    <n v="0"/>
    <n v="162290.49999999997"/>
    <s v="Trsf"/>
    <s v="Due 28/2/2020"/>
    <m/>
  </r>
  <r>
    <x v="39"/>
    <x v="6"/>
    <x v="1"/>
    <x v="53"/>
    <s v="C00000010"/>
    <x v="9"/>
    <x v="4"/>
    <n v="2"/>
    <n v="120"/>
    <x v="2"/>
    <d v="2021-03-20T00:00:00"/>
    <x v="9"/>
    <x v="2"/>
    <n v="180"/>
    <n v="-180"/>
    <n v="0"/>
    <n v="162470.49999999997"/>
    <s v="Trsf"/>
    <s v="Due 28/2/2020"/>
    <m/>
  </r>
  <r>
    <x v="39"/>
    <x v="6"/>
    <x v="1"/>
    <x v="53"/>
    <s v="C00000010"/>
    <x v="9"/>
    <x v="14"/>
    <n v="1"/>
    <n v="120"/>
    <x v="2"/>
    <d v="2021-03-20T00:00:00"/>
    <x v="9"/>
    <x v="2"/>
    <n v="375"/>
    <n v="-375"/>
    <n v="0"/>
    <n v="162845.49999999997"/>
    <s v="Trsf"/>
    <s v="Due 28/2/2020"/>
    <m/>
  </r>
  <r>
    <x v="40"/>
    <x v="6"/>
    <x v="1"/>
    <x v="54"/>
    <s v="C00000008"/>
    <x v="7"/>
    <x v="7"/>
    <n v="1"/>
    <s v="Cash"/>
    <x v="0"/>
    <d v="2020-11-21T00:00:00"/>
    <x v="5"/>
    <x v="1"/>
    <n v="1584"/>
    <n v="-1584"/>
    <n v="0"/>
    <n v="164429.49999999997"/>
    <s v="Trsf"/>
    <m/>
    <m/>
  </r>
  <r>
    <x v="40"/>
    <x v="6"/>
    <x v="1"/>
    <x v="54"/>
    <s v="C00000008"/>
    <x v="7"/>
    <x v="5"/>
    <n v="2"/>
    <s v="Cash"/>
    <x v="0"/>
    <d v="2020-11-21T00:00:00"/>
    <x v="5"/>
    <x v="1"/>
    <n v="420"/>
    <n v="-420"/>
    <n v="0"/>
    <n v="164849.49999999997"/>
    <s v="Trsf"/>
    <m/>
    <m/>
  </r>
  <r>
    <x v="40"/>
    <x v="6"/>
    <x v="1"/>
    <x v="54"/>
    <s v="C00000008"/>
    <x v="7"/>
    <x v="4"/>
    <n v="1"/>
    <s v="Cash"/>
    <x v="0"/>
    <d v="2020-11-21T00:00:00"/>
    <x v="5"/>
    <x v="1"/>
    <n v="90"/>
    <n v="-90"/>
    <n v="0"/>
    <n v="164939.49999999997"/>
    <s v="Trsf"/>
    <m/>
    <m/>
  </r>
  <r>
    <x v="40"/>
    <x v="6"/>
    <x v="1"/>
    <x v="54"/>
    <s v="C00000008"/>
    <x v="7"/>
    <x v="1"/>
    <n v="2"/>
    <s v="Cash"/>
    <x v="0"/>
    <d v="2020-11-21T00:00:00"/>
    <x v="5"/>
    <x v="1"/>
    <n v="518"/>
    <n v="-518"/>
    <n v="0"/>
    <n v="165457.49999999997"/>
    <s v="Trsf"/>
    <m/>
    <m/>
  </r>
  <r>
    <x v="41"/>
    <x v="6"/>
    <x v="1"/>
    <x v="55"/>
    <s v="C00000005"/>
    <x v="4"/>
    <x v="15"/>
    <n v="1"/>
    <s v="Cash"/>
    <x v="0"/>
    <d v="2020-11-23T00:00:00"/>
    <x v="5"/>
    <x v="1"/>
    <n v="1540"/>
    <n v="-1540"/>
    <n v="0"/>
    <n v="166997.49999999997"/>
    <s v="Chq"/>
    <s v="Chq CIMB 000060 24/11/20, Banked in 30/11/20"/>
    <m/>
  </r>
  <r>
    <x v="38"/>
    <x v="6"/>
    <x v="1"/>
    <x v="56"/>
    <s v="C00000011"/>
    <x v="10"/>
    <x v="23"/>
    <n v="3"/>
    <s v="Cash"/>
    <x v="0"/>
    <d v="2020-11-24T00:00:00"/>
    <x v="5"/>
    <x v="1"/>
    <n v="982.80000000000007"/>
    <n v="-982.80000000000007"/>
    <n v="0"/>
    <n v="167980.29999999996"/>
    <s v="Trsf"/>
    <s v="Trsf 23/11/2020"/>
    <m/>
  </r>
  <r>
    <x v="38"/>
    <x v="6"/>
    <x v="1"/>
    <x v="56"/>
    <s v="C00000011"/>
    <x v="10"/>
    <x v="24"/>
    <n v="1"/>
    <s v="Cash"/>
    <x v="0"/>
    <d v="2020-11-24T00:00:00"/>
    <x v="5"/>
    <x v="1"/>
    <n v="100"/>
    <n v="-100"/>
    <n v="0"/>
    <n v="168080.29999999996"/>
    <s v="Trsf"/>
    <s v="Trsf 23/11/2020"/>
    <m/>
  </r>
  <r>
    <x v="38"/>
    <x v="6"/>
    <x v="1"/>
    <x v="57"/>
    <s v="C00000003"/>
    <x v="2"/>
    <x v="15"/>
    <n v="1"/>
    <n v="45"/>
    <x v="1"/>
    <d v="2021-01-08T00:00:00"/>
    <x v="7"/>
    <x v="2"/>
    <n v="1628"/>
    <n v="-1628"/>
    <n v="0"/>
    <n v="169708.29999999996"/>
    <s v="PD Chq"/>
    <s v="PD Chq 10/1/21, RM2,008/-"/>
    <m/>
  </r>
  <r>
    <x v="38"/>
    <x v="6"/>
    <x v="1"/>
    <x v="57"/>
    <s v="C00000003"/>
    <x v="2"/>
    <x v="12"/>
    <n v="3"/>
    <n v="45"/>
    <x v="1"/>
    <d v="2021-01-08T00:00:00"/>
    <x v="7"/>
    <x v="2"/>
    <n v="150"/>
    <n v="-150"/>
    <n v="0"/>
    <n v="169858.29999999996"/>
    <s v="PD Chq"/>
    <s v="PD Chq 10/1/21, RM2,008/-"/>
    <m/>
  </r>
  <r>
    <x v="38"/>
    <x v="6"/>
    <x v="1"/>
    <x v="57"/>
    <s v="C00000003"/>
    <x v="2"/>
    <x v="4"/>
    <n v="2"/>
    <n v="45"/>
    <x v="1"/>
    <d v="2021-01-08T00:00:00"/>
    <x v="7"/>
    <x v="2"/>
    <n v="185"/>
    <n v="-185"/>
    <n v="0"/>
    <n v="170043.29999999996"/>
    <s v="PD Chq"/>
    <s v="PD Chq 10/1/21, RM2,008/-"/>
    <m/>
  </r>
  <r>
    <x v="38"/>
    <x v="6"/>
    <x v="1"/>
    <x v="57"/>
    <s v="C00000003"/>
    <x v="2"/>
    <x v="25"/>
    <n v="1"/>
    <n v="45"/>
    <x v="1"/>
    <d v="2021-01-08T00:00:00"/>
    <x v="7"/>
    <x v="2"/>
    <n v="45"/>
    <n v="-45"/>
    <n v="0"/>
    <n v="170088.29999999996"/>
    <s v="PD Chq"/>
    <s v="PD Chq 10/1/21, RM2,008/-"/>
    <m/>
  </r>
  <r>
    <x v="42"/>
    <x v="6"/>
    <x v="1"/>
    <x v="58"/>
    <s v="C00000001"/>
    <x v="0"/>
    <x v="7"/>
    <n v="1"/>
    <s v="Cash"/>
    <x v="0"/>
    <d v="2020-11-27T00:00:00"/>
    <x v="5"/>
    <x v="1"/>
    <n v="1584"/>
    <n v="-1584"/>
    <n v="0"/>
    <n v="171672.29999999996"/>
    <s v="Trsf"/>
    <s v="Trsf 5/12/2020"/>
    <m/>
  </r>
  <r>
    <x v="42"/>
    <x v="6"/>
    <x v="1"/>
    <x v="58"/>
    <s v="C00000001"/>
    <x v="0"/>
    <x v="26"/>
    <n v="4"/>
    <s v="Cash"/>
    <x v="0"/>
    <d v="2020-11-27T00:00:00"/>
    <x v="5"/>
    <x v="1"/>
    <n v="840"/>
    <n v="-840"/>
    <n v="0"/>
    <n v="172512.29999999996"/>
    <s v="Trsf"/>
    <s v="Trsf 5/12/2020"/>
    <m/>
  </r>
  <r>
    <x v="43"/>
    <x v="6"/>
    <x v="1"/>
    <x v="59"/>
    <s v="C00000009"/>
    <x v="8"/>
    <x v="5"/>
    <n v="2"/>
    <n v="60"/>
    <x v="3"/>
    <d v="2021-01-27T00:00:00"/>
    <x v="7"/>
    <x v="2"/>
    <n v="408"/>
    <n v="-408"/>
    <n v="0"/>
    <n v="172920.29999999996"/>
    <s v="Chq"/>
    <s v="Chq HL 009828, dd 6/2/21, Banked in 7/2/21"/>
    <m/>
  </r>
  <r>
    <x v="44"/>
    <x v="6"/>
    <x v="1"/>
    <x v="60"/>
    <s v="C00000008"/>
    <x v="7"/>
    <x v="5"/>
    <n v="5"/>
    <s v="Cash"/>
    <x v="0"/>
    <d v="2020-11-30T00:00:00"/>
    <x v="5"/>
    <x v="1"/>
    <n v="1050"/>
    <n v="-1050"/>
    <n v="0"/>
    <n v="173970.29999999996"/>
    <s v="Trsf"/>
    <m/>
    <m/>
  </r>
  <r>
    <x v="44"/>
    <x v="6"/>
    <x v="1"/>
    <x v="61"/>
    <s v="C00000010"/>
    <x v="9"/>
    <x v="7"/>
    <n v="5"/>
    <n v="120"/>
    <x v="2"/>
    <d v="2021-03-30T00:00:00"/>
    <x v="9"/>
    <x v="2"/>
    <n v="6600"/>
    <n v="-6600"/>
    <n v="0"/>
    <n v="180570.29999999996"/>
    <s v="Trsf"/>
    <s v="Due 28/2/2020"/>
    <m/>
  </r>
  <r>
    <x v="44"/>
    <x v="6"/>
    <x v="1"/>
    <x v="61"/>
    <s v="C00000010"/>
    <x v="9"/>
    <x v="26"/>
    <n v="4"/>
    <n v="120"/>
    <x v="2"/>
    <d v="2021-03-30T00:00:00"/>
    <x v="9"/>
    <x v="2"/>
    <n v="720"/>
    <n v="-720"/>
    <n v="0"/>
    <n v="181290.29999999996"/>
    <s v="Trsf"/>
    <s v="Due 28/2/2020"/>
    <m/>
  </r>
  <r>
    <x v="44"/>
    <x v="6"/>
    <x v="1"/>
    <x v="61"/>
    <s v="C00000010"/>
    <x v="9"/>
    <x v="12"/>
    <n v="5"/>
    <n v="120"/>
    <x v="2"/>
    <d v="2021-03-30T00:00:00"/>
    <x v="9"/>
    <x v="2"/>
    <n v="275"/>
    <n v="-275"/>
    <n v="0"/>
    <n v="181565.29999999996"/>
    <s v="Trsf"/>
    <s v="Due 28/2/2020"/>
    <m/>
  </r>
  <r>
    <x v="44"/>
    <x v="6"/>
    <x v="1"/>
    <x v="61"/>
    <s v="C00000010"/>
    <x v="9"/>
    <x v="4"/>
    <n v="2"/>
    <n v="120"/>
    <x v="2"/>
    <d v="2021-03-30T00:00:00"/>
    <x v="9"/>
    <x v="2"/>
    <n v="180"/>
    <n v="-180"/>
    <n v="0"/>
    <n v="181745.29999999996"/>
    <s v="Trsf"/>
    <s v="Due 28/2/2020"/>
    <m/>
  </r>
  <r>
    <x v="44"/>
    <x v="6"/>
    <x v="1"/>
    <x v="62"/>
    <s v="C00000010"/>
    <x v="9"/>
    <x v="12"/>
    <n v="5"/>
    <n v="120"/>
    <x v="2"/>
    <d v="2021-03-30T00:00:00"/>
    <x v="9"/>
    <x v="2"/>
    <n v="275"/>
    <n v="-275"/>
    <n v="0"/>
    <n v="182020.29999999996"/>
    <s v="Trsf"/>
    <s v="Due 28/2/2020"/>
    <m/>
  </r>
  <r>
    <x v="45"/>
    <x v="0"/>
    <x v="1"/>
    <x v="63"/>
    <e v="#N/A"/>
    <x v="11"/>
    <x v="10"/>
    <n v="2"/>
    <e v="#N/A"/>
    <x v="4"/>
    <e v="#N/A"/>
    <x v="10"/>
    <x v="3"/>
    <n v="799.2"/>
    <n v="-799.2"/>
    <n v="0"/>
    <n v="182819.49999999997"/>
    <e v="#N/A"/>
    <s v="Trsf 5/12/2020"/>
    <m/>
  </r>
  <r>
    <x v="46"/>
    <x v="0"/>
    <x v="1"/>
    <x v="64"/>
    <s v="C00000001"/>
    <x v="0"/>
    <x v="15"/>
    <n v="1"/>
    <s v="Cash"/>
    <x v="0"/>
    <d v="2020-12-15T00:00:00"/>
    <x v="0"/>
    <x v="1"/>
    <n v="1716"/>
    <n v="-1716"/>
    <n v="0"/>
    <n v="184535.49999999997"/>
    <s v="Trsf"/>
    <s v="Trsf 18/12/2020"/>
    <m/>
  </r>
  <r>
    <x v="46"/>
    <x v="0"/>
    <x v="1"/>
    <x v="64"/>
    <s v="C00000001"/>
    <x v="0"/>
    <x v="2"/>
    <n v="2"/>
    <s v="Cash"/>
    <x v="0"/>
    <d v="2020-12-15T00:00:00"/>
    <x v="0"/>
    <x v="1"/>
    <n v="512"/>
    <n v="-512"/>
    <n v="0"/>
    <n v="185047.49999999997"/>
    <s v="Trsf"/>
    <s v="Trsf 18/12/2020"/>
    <m/>
  </r>
  <r>
    <x v="47"/>
    <x v="0"/>
    <x v="1"/>
    <x v="65"/>
    <s v="C00000004"/>
    <x v="3"/>
    <x v="13"/>
    <n v="2"/>
    <n v="120"/>
    <x v="2"/>
    <d v="2021-04-25T00:00:00"/>
    <x v="11"/>
    <x v="2"/>
    <n v="2860"/>
    <n v="-2860"/>
    <n v="0"/>
    <n v="187907.49999999997"/>
    <s v="Chq"/>
    <s v="HL005820, 200321 (clear on 30/3/2021)"/>
    <m/>
  </r>
  <r>
    <x v="48"/>
    <x v="0"/>
    <x v="1"/>
    <x v="66"/>
    <s v="C00000003"/>
    <x v="2"/>
    <x v="15"/>
    <n v="3"/>
    <n v="45"/>
    <x v="1"/>
    <d v="2021-02-13T00:00:00"/>
    <x v="8"/>
    <x v="2"/>
    <n v="5148"/>
    <n v="-5148"/>
    <m/>
    <n v="193055.49999999997"/>
    <s v="PD Chq"/>
    <s v="PD Chq 13/2, 16/2, 20/2, 27/2 (RM1,500.00, RM1,608.00, RM1,500.00 &amp; RM1,500.00)"/>
    <m/>
  </r>
  <r>
    <x v="48"/>
    <x v="0"/>
    <x v="1"/>
    <x v="66"/>
    <s v="C00000003"/>
    <x v="2"/>
    <x v="10"/>
    <n v="1"/>
    <n v="45"/>
    <x v="1"/>
    <d v="2021-02-13T00:00:00"/>
    <x v="8"/>
    <x v="2"/>
    <n v="405"/>
    <n v="-405"/>
    <n v="0"/>
    <n v="193460.49999999997"/>
    <s v="PD Chq"/>
    <s v="PD Chq 13/2, 16/2, 20/2, 27/2 (RM1,500.00, RM1,608.00, RM1,500.00 &amp; RM1,500.00)"/>
    <m/>
  </r>
  <r>
    <x v="48"/>
    <x v="0"/>
    <x v="1"/>
    <x v="66"/>
    <s v="C00000003"/>
    <x v="2"/>
    <x v="4"/>
    <n v="6"/>
    <n v="45"/>
    <x v="1"/>
    <d v="2021-02-13T00:00:00"/>
    <x v="8"/>
    <x v="2"/>
    <n v="555"/>
    <n v="-555"/>
    <n v="0"/>
    <n v="194015.49999999997"/>
    <s v="PD Chq"/>
    <s v="PD Chq 13/2, 16/2, 20/2, 27/2 (RM1,500.00, RM1,608.00, RM1,500.00 &amp; RM1,500.00)"/>
    <m/>
  </r>
  <r>
    <x v="49"/>
    <x v="0"/>
    <x v="1"/>
    <x v="67"/>
    <s v="C00000010"/>
    <x v="9"/>
    <x v="27"/>
    <n v="5"/>
    <n v="120"/>
    <x v="2"/>
    <d v="2021-04-30T00:00:00"/>
    <x v="11"/>
    <x v="2"/>
    <n v="7700"/>
    <n v="-7700"/>
    <n v="0"/>
    <n v="201715.49999999997"/>
    <s v="Trsf"/>
    <s v="Trsf 20/04/21"/>
    <m/>
  </r>
  <r>
    <x v="49"/>
    <x v="0"/>
    <x v="1"/>
    <x v="67"/>
    <s v="C00000010"/>
    <x v="9"/>
    <x v="28"/>
    <n v="8"/>
    <n v="120"/>
    <x v="2"/>
    <d v="2021-04-30T00:00:00"/>
    <x v="11"/>
    <x v="2"/>
    <n v="1680"/>
    <n v="-1680"/>
    <n v="0"/>
    <n v="203395.49999999997"/>
    <s v="Trsf"/>
    <s v="Trsf 20/04/21"/>
    <m/>
  </r>
  <r>
    <x v="49"/>
    <x v="0"/>
    <x v="1"/>
    <x v="67"/>
    <s v="C00000010"/>
    <x v="9"/>
    <x v="12"/>
    <n v="10"/>
    <n v="120"/>
    <x v="2"/>
    <d v="2021-04-30T00:00:00"/>
    <x v="11"/>
    <x v="2"/>
    <n v="550"/>
    <n v="-550"/>
    <n v="0"/>
    <n v="203945.49999999997"/>
    <s v="Trsf"/>
    <s v="Trsf 20/04/21"/>
    <m/>
  </r>
  <r>
    <x v="49"/>
    <x v="0"/>
    <x v="1"/>
    <x v="67"/>
    <s v="C00000010"/>
    <x v="9"/>
    <x v="4"/>
    <n v="2"/>
    <n v="120"/>
    <x v="2"/>
    <d v="2021-04-30T00:00:00"/>
    <x v="11"/>
    <x v="2"/>
    <n v="190"/>
    <n v="-190"/>
    <n v="0"/>
    <n v="204135.49999999997"/>
    <s v="Trsf"/>
    <s v="Trsf 20/04/21"/>
    <m/>
  </r>
  <r>
    <x v="50"/>
    <x v="7"/>
    <x v="2"/>
    <x v="68"/>
    <s v="C00000013"/>
    <x v="12"/>
    <x v="29"/>
    <n v="2"/>
    <s v="Cash"/>
    <x v="0"/>
    <d v="2021-01-04T00:00:00"/>
    <x v="7"/>
    <x v="2"/>
    <n v="1540"/>
    <n v="-1540"/>
    <n v="0"/>
    <n v="205675.49999999997"/>
    <s v="Chq"/>
    <s v="Bank in 2-5/1/2021"/>
    <m/>
  </r>
  <r>
    <x v="50"/>
    <x v="7"/>
    <x v="2"/>
    <x v="68"/>
    <s v="C00000013"/>
    <x v="12"/>
    <x v="30"/>
    <n v="2"/>
    <s v="Cash"/>
    <x v="0"/>
    <d v="2021-01-04T00:00:00"/>
    <x v="7"/>
    <x v="2"/>
    <n v="810"/>
    <n v="-810"/>
    <n v="0"/>
    <n v="206485.49999999997"/>
    <s v="Chq"/>
    <s v="Bank in 2-5/1/2021"/>
    <m/>
  </r>
  <r>
    <x v="50"/>
    <x v="7"/>
    <x v="2"/>
    <x v="68"/>
    <s v="C00000013"/>
    <x v="12"/>
    <x v="16"/>
    <n v="1"/>
    <s v="Cash"/>
    <x v="0"/>
    <d v="2021-01-04T00:00:00"/>
    <x v="7"/>
    <x v="2"/>
    <n v="405"/>
    <n v="-405"/>
    <n v="0"/>
    <n v="206890.49999999997"/>
    <s v="Chq"/>
    <s v="Bank in 2-5/1/2021"/>
    <m/>
  </r>
  <r>
    <x v="50"/>
    <x v="7"/>
    <x v="2"/>
    <x v="68"/>
    <s v="C00000013"/>
    <x v="12"/>
    <x v="31"/>
    <n v="2"/>
    <s v="Cash"/>
    <x v="0"/>
    <d v="2021-01-04T00:00:00"/>
    <x v="7"/>
    <x v="2"/>
    <n v="5920"/>
    <n v="-5920"/>
    <n v="0"/>
    <n v="212810.49999999997"/>
    <s v="Chq"/>
    <s v="Bank in 2-5/1/2021"/>
    <m/>
  </r>
  <r>
    <x v="50"/>
    <x v="7"/>
    <x v="2"/>
    <x v="68"/>
    <s v="C00000013"/>
    <x v="12"/>
    <x v="32"/>
    <n v="3"/>
    <s v="Cash"/>
    <x v="0"/>
    <d v="2021-01-04T00:00:00"/>
    <x v="7"/>
    <x v="2"/>
    <n v="135"/>
    <n v="-135"/>
    <n v="0"/>
    <n v="212945.49999999997"/>
    <s v="Chq"/>
    <s v="Bank in 2-5/1/2021"/>
    <m/>
  </r>
  <r>
    <x v="50"/>
    <x v="7"/>
    <x v="2"/>
    <x v="68"/>
    <s v="C00000013"/>
    <x v="12"/>
    <x v="33"/>
    <n v="1"/>
    <s v="Cash"/>
    <x v="0"/>
    <d v="2021-01-04T00:00:00"/>
    <x v="7"/>
    <x v="2"/>
    <n v="130"/>
    <n v="-130"/>
    <n v="0"/>
    <n v="213075.49999999997"/>
    <s v="Chq"/>
    <s v="Bank in 2-5/1/2021"/>
    <m/>
  </r>
  <r>
    <x v="50"/>
    <x v="7"/>
    <x v="2"/>
    <x v="68"/>
    <s v="C00000013"/>
    <x v="12"/>
    <x v="34"/>
    <n v="1"/>
    <s v="Cash"/>
    <x v="0"/>
    <d v="2021-01-04T00:00:00"/>
    <x v="7"/>
    <x v="2"/>
    <n v="380"/>
    <n v="-380"/>
    <n v="0"/>
    <n v="213455.49999999997"/>
    <s v="Chq"/>
    <s v="Bank in 2-5/1/2021"/>
    <m/>
  </r>
  <r>
    <x v="50"/>
    <x v="7"/>
    <x v="2"/>
    <x v="68"/>
    <s v="C00000013"/>
    <x v="12"/>
    <x v="35"/>
    <n v="1"/>
    <s v="Cash"/>
    <x v="0"/>
    <d v="2021-01-04T00:00:00"/>
    <x v="7"/>
    <x v="2"/>
    <n v="180"/>
    <n v="-180"/>
    <n v="0"/>
    <n v="213635.49999999997"/>
    <s v="Chq"/>
    <s v="Bank in 2-5/1/2021"/>
    <m/>
  </r>
  <r>
    <x v="50"/>
    <x v="7"/>
    <x v="2"/>
    <x v="68"/>
    <s v="C00000013"/>
    <x v="12"/>
    <x v="36"/>
    <n v="3"/>
    <s v="Cash"/>
    <x v="0"/>
    <d v="2021-01-04T00:00:00"/>
    <x v="7"/>
    <x v="2"/>
    <n v="144"/>
    <n v="-144"/>
    <n v="0"/>
    <n v="213779.49999999997"/>
    <s v="Chq"/>
    <s v="Bank in 2-5/1/2021"/>
    <m/>
  </r>
  <r>
    <x v="50"/>
    <x v="7"/>
    <x v="2"/>
    <x v="68"/>
    <s v="C00000013"/>
    <x v="12"/>
    <x v="37"/>
    <n v="1"/>
    <s v="Cash"/>
    <x v="0"/>
    <d v="2021-01-04T00:00:00"/>
    <x v="7"/>
    <x v="2"/>
    <n v="360"/>
    <n v="-360"/>
    <n v="0"/>
    <n v="214139.49999999997"/>
    <s v="Chq"/>
    <s v="Bank in 2-5/1/2021"/>
    <m/>
  </r>
  <r>
    <x v="50"/>
    <x v="7"/>
    <x v="2"/>
    <x v="68"/>
    <s v="C00000013"/>
    <x v="12"/>
    <x v="4"/>
    <n v="1"/>
    <s v="Cash"/>
    <x v="0"/>
    <d v="2021-01-04T00:00:00"/>
    <x v="7"/>
    <x v="2"/>
    <n v="95"/>
    <n v="-95"/>
    <n v="0"/>
    <n v="214234.49999999997"/>
    <s v="Chq"/>
    <s v="Bank in 2-5/1/2021"/>
    <m/>
  </r>
  <r>
    <x v="50"/>
    <x v="7"/>
    <x v="2"/>
    <x v="68"/>
    <s v="C00000013"/>
    <x v="12"/>
    <x v="38"/>
    <n v="1"/>
    <s v="Cash"/>
    <x v="0"/>
    <d v="2021-01-04T00:00:00"/>
    <x v="7"/>
    <x v="2"/>
    <n v="300"/>
    <n v="-300"/>
    <n v="0"/>
    <n v="214534.49999999997"/>
    <s v="Chq"/>
    <s v="Bank in 2-5/1/2021"/>
    <m/>
  </r>
  <r>
    <x v="51"/>
    <x v="7"/>
    <x v="2"/>
    <x v="69"/>
    <s v="C00000010"/>
    <x v="9"/>
    <x v="39"/>
    <n v="1"/>
    <n v="120"/>
    <x v="2"/>
    <d v="2021-05-11T00:00:00"/>
    <x v="12"/>
    <x v="2"/>
    <n v="0"/>
    <n v="0"/>
    <n v="0"/>
    <n v="214534.49999999997"/>
    <s v="Trsf"/>
    <s v="FOC"/>
    <m/>
  </r>
  <r>
    <x v="52"/>
    <x v="7"/>
    <x v="2"/>
    <x v="70"/>
    <s v="C00000013"/>
    <x v="12"/>
    <x v="40"/>
    <n v="3"/>
    <s v="Cash"/>
    <x v="0"/>
    <d v="2021-01-08T00:00:00"/>
    <x v="7"/>
    <x v="2"/>
    <n v="49"/>
    <n v="-49"/>
    <n v="0"/>
    <n v="214583.49999999997"/>
    <s v="Chq"/>
    <s v="Bank in 18-19/1/2021"/>
    <m/>
  </r>
  <r>
    <x v="53"/>
    <x v="7"/>
    <x v="2"/>
    <x v="71"/>
    <s v="C00000003"/>
    <x v="2"/>
    <x v="12"/>
    <n v="5"/>
    <n v="45"/>
    <x v="1"/>
    <d v="2021-02-23T00:00:00"/>
    <x v="8"/>
    <x v="2"/>
    <n v="250"/>
    <n v="-250"/>
    <n v="0"/>
    <n v="214833.49999999997"/>
    <s v="PD Chq"/>
    <s v="Cash 9/1/2021"/>
    <m/>
  </r>
  <r>
    <x v="53"/>
    <x v="7"/>
    <x v="2"/>
    <x v="71"/>
    <s v="C00000003"/>
    <x v="2"/>
    <x v="25"/>
    <n v="2"/>
    <n v="45"/>
    <x v="1"/>
    <d v="2021-02-23T00:00:00"/>
    <x v="8"/>
    <x v="2"/>
    <n v="90"/>
    <n v="-90"/>
    <n v="0"/>
    <n v="214923.49999999997"/>
    <s v="PD Chq"/>
    <s v="Cash 9/1/2021"/>
    <m/>
  </r>
  <r>
    <x v="54"/>
    <x v="7"/>
    <x v="2"/>
    <x v="72"/>
    <s v="C00000013"/>
    <x v="12"/>
    <x v="5"/>
    <n v="2"/>
    <s v="Cash"/>
    <x v="0"/>
    <d v="2021-01-18T00:00:00"/>
    <x v="7"/>
    <x v="2"/>
    <n v="472"/>
    <n v="-472"/>
    <n v="0"/>
    <n v="215395.49999999997"/>
    <s v="Chq"/>
    <s v="Bank in 18-19/1/2021"/>
    <m/>
  </r>
  <r>
    <x v="54"/>
    <x v="7"/>
    <x v="2"/>
    <x v="72"/>
    <s v="C00000013"/>
    <x v="12"/>
    <x v="30"/>
    <n v="1"/>
    <s v="Cash"/>
    <x v="0"/>
    <d v="2021-01-18T00:00:00"/>
    <x v="7"/>
    <x v="2"/>
    <n v="405"/>
    <n v="-405"/>
    <n v="0"/>
    <n v="215800.49999999997"/>
    <s v="Chq"/>
    <s v="Bank in 18-19/1/2021"/>
    <m/>
  </r>
  <r>
    <x v="54"/>
    <x v="7"/>
    <x v="2"/>
    <x v="72"/>
    <s v="C00000013"/>
    <x v="12"/>
    <x v="16"/>
    <n v="1"/>
    <s v="Cash"/>
    <x v="0"/>
    <d v="2021-01-18T00:00:00"/>
    <x v="7"/>
    <x v="2"/>
    <n v="405"/>
    <n v="-405"/>
    <n v="0"/>
    <n v="216205.49999999997"/>
    <s v="Chq"/>
    <s v="Bank in 18-19/1/2021"/>
    <m/>
  </r>
  <r>
    <x v="54"/>
    <x v="7"/>
    <x v="2"/>
    <x v="72"/>
    <s v="C00000013"/>
    <x v="12"/>
    <x v="33"/>
    <n v="1"/>
    <s v="Cash"/>
    <x v="0"/>
    <d v="2021-01-18T00:00:00"/>
    <x v="7"/>
    <x v="2"/>
    <n v="130"/>
    <n v="-130"/>
    <n v="0"/>
    <n v="216335.49999999997"/>
    <s v="Chq"/>
    <s v="Bank in 18-19/1/2021"/>
    <m/>
  </r>
  <r>
    <x v="54"/>
    <x v="7"/>
    <x v="2"/>
    <x v="72"/>
    <s v="C00000013"/>
    <x v="12"/>
    <x v="25"/>
    <n v="2"/>
    <s v="Cash"/>
    <x v="0"/>
    <d v="2021-01-18T00:00:00"/>
    <x v="7"/>
    <x v="2"/>
    <n v="90"/>
    <n v="-90"/>
    <n v="0"/>
    <n v="216425.49999999997"/>
    <s v="Chq"/>
    <s v="Bank in 18-19/1/2021"/>
    <m/>
  </r>
  <r>
    <x v="54"/>
    <x v="7"/>
    <x v="2"/>
    <x v="72"/>
    <s v="C00000013"/>
    <x v="12"/>
    <x v="4"/>
    <n v="2"/>
    <s v="Cash"/>
    <x v="0"/>
    <d v="2021-01-18T00:00:00"/>
    <x v="7"/>
    <x v="2"/>
    <n v="190"/>
    <n v="-190"/>
    <n v="0"/>
    <n v="216615.49999999997"/>
    <s v="Chq"/>
    <s v="Bank in 18-19/1/2021"/>
    <m/>
  </r>
  <r>
    <x v="54"/>
    <x v="7"/>
    <x v="2"/>
    <x v="72"/>
    <s v="C00000013"/>
    <x v="12"/>
    <x v="27"/>
    <n v="1"/>
    <s v="Cash"/>
    <x v="0"/>
    <d v="2021-01-18T00:00:00"/>
    <x v="7"/>
    <x v="2"/>
    <n v="1716"/>
    <n v="-1716"/>
    <n v="0"/>
    <n v="218331.49999999997"/>
    <s v="Chq"/>
    <s v="Bank in 18-19/1/2021"/>
    <m/>
  </r>
  <r>
    <x v="55"/>
    <x v="7"/>
    <x v="2"/>
    <x v="73"/>
    <s v="C00000003"/>
    <x v="2"/>
    <x v="15"/>
    <n v="3"/>
    <n v="45"/>
    <x v="1"/>
    <d v="2021-03-13T00:00:00"/>
    <x v="9"/>
    <x v="2"/>
    <n v="5082"/>
    <n v="-5082"/>
    <n v="0"/>
    <n v="223413.49999999997"/>
    <s v="PD Chq"/>
    <s v="PD Chq 14/3, 21/3, 28/3, 31/3,  (RM1,500.00, RM1,500.00, RM1,500.00 &amp; RM1,387.00)"/>
    <m/>
  </r>
  <r>
    <x v="55"/>
    <x v="7"/>
    <x v="2"/>
    <x v="73"/>
    <s v="C00000003"/>
    <x v="2"/>
    <x v="12"/>
    <n v="5"/>
    <n v="45"/>
    <x v="1"/>
    <d v="2021-03-13T00:00:00"/>
    <x v="9"/>
    <x v="2"/>
    <n v="250"/>
    <n v="-250"/>
    <n v="0"/>
    <n v="223663.49999999997"/>
    <s v="PD Chq"/>
    <s v="PD Chq 14/3, 21/3, 28/3, 31/3,  (RM1,500.00, RM1,500.00, RM1,500.00 &amp; RM1,387.00)"/>
    <m/>
  </r>
  <r>
    <x v="55"/>
    <x v="7"/>
    <x v="2"/>
    <x v="73"/>
    <s v="C00000003"/>
    <x v="2"/>
    <x v="4"/>
    <n v="6"/>
    <n v="45"/>
    <x v="1"/>
    <d v="2021-03-13T00:00:00"/>
    <x v="9"/>
    <x v="2"/>
    <n v="555"/>
    <n v="-555"/>
    <n v="0"/>
    <n v="224218.49999999997"/>
    <s v="PD Chq"/>
    <s v="PD Chq 14/3, 21/3, 28/3, 31/3,  (RM1,500.00, RM1,500.00, RM1,500.00 &amp; RM1,387.00)"/>
    <m/>
  </r>
  <r>
    <x v="56"/>
    <x v="7"/>
    <x v="2"/>
    <x v="74"/>
    <s v="C00000001"/>
    <x v="0"/>
    <x v="7"/>
    <n v="1"/>
    <s v="Cash"/>
    <x v="0"/>
    <d v="2021-01-29T00:00:00"/>
    <x v="7"/>
    <x v="2"/>
    <n v="1694"/>
    <n v="-1694"/>
    <n v="0"/>
    <n v="225912.49999999997"/>
    <s v="Trsf"/>
    <s v="Trsf 1/2/2021"/>
    <m/>
  </r>
  <r>
    <x v="56"/>
    <x v="7"/>
    <x v="2"/>
    <x v="74"/>
    <s v="C00000001"/>
    <x v="0"/>
    <x v="26"/>
    <n v="4"/>
    <s v="Cash"/>
    <x v="0"/>
    <d v="2021-01-29T00:00:00"/>
    <x v="7"/>
    <x v="2"/>
    <n v="900"/>
    <n v="-900"/>
    <n v="0"/>
    <n v="226812.49999999997"/>
    <s v="Trsf"/>
    <s v="Trsf 1/2/2021"/>
    <m/>
  </r>
  <r>
    <x v="56"/>
    <x v="7"/>
    <x v="2"/>
    <x v="74"/>
    <s v="C00000001"/>
    <x v="0"/>
    <x v="8"/>
    <n v="1"/>
    <s v="Cash"/>
    <x v="0"/>
    <d v="2021-01-29T00:00:00"/>
    <x v="7"/>
    <x v="2"/>
    <n v="272"/>
    <n v="-272"/>
    <n v="0"/>
    <n v="227084.49999999997"/>
    <s v="Trsf"/>
    <s v="Trsf 1/2/2021"/>
    <m/>
  </r>
  <r>
    <x v="56"/>
    <x v="7"/>
    <x v="2"/>
    <x v="75"/>
    <s v="C00000010"/>
    <x v="9"/>
    <x v="27"/>
    <n v="5"/>
    <n v="120"/>
    <x v="2"/>
    <d v="2021-05-29T00:00:00"/>
    <x v="12"/>
    <x v="2"/>
    <n v="7700"/>
    <n v="-7700"/>
    <n v="0"/>
    <n v="234784.49999999997"/>
    <s v="Trsf"/>
    <s v="Trsf 21/5/2021"/>
    <m/>
  </r>
  <r>
    <x v="56"/>
    <x v="7"/>
    <x v="2"/>
    <x v="75"/>
    <s v="C00000010"/>
    <x v="9"/>
    <x v="28"/>
    <n v="8"/>
    <n v="120"/>
    <x v="2"/>
    <d v="2021-05-29T00:00:00"/>
    <x v="12"/>
    <x v="2"/>
    <n v="1680"/>
    <n v="-1680"/>
    <n v="0"/>
    <n v="236464.49999999997"/>
    <s v="Trsf"/>
    <s v="Trsf 21/5/2021"/>
    <m/>
  </r>
  <r>
    <x v="56"/>
    <x v="7"/>
    <x v="2"/>
    <x v="75"/>
    <s v="C00000010"/>
    <x v="9"/>
    <x v="12"/>
    <n v="10"/>
    <n v="120"/>
    <x v="2"/>
    <d v="2021-05-29T00:00:00"/>
    <x v="12"/>
    <x v="2"/>
    <n v="550"/>
    <n v="-550"/>
    <n v="0"/>
    <n v="237014.49999999997"/>
    <s v="Trsf"/>
    <s v="Trsf 21/5/2021"/>
    <m/>
  </r>
  <r>
    <x v="56"/>
    <x v="7"/>
    <x v="2"/>
    <x v="75"/>
    <s v="C00000010"/>
    <x v="9"/>
    <x v="4"/>
    <n v="4"/>
    <n v="120"/>
    <x v="2"/>
    <d v="2021-05-29T00:00:00"/>
    <x v="12"/>
    <x v="2"/>
    <n v="380"/>
    <n v="-380"/>
    <n v="0"/>
    <n v="237394.49999999997"/>
    <s v="Trsf"/>
    <s v="Trsf 21/5/2021"/>
    <m/>
  </r>
  <r>
    <x v="57"/>
    <x v="8"/>
    <x v="2"/>
    <x v="76"/>
    <s v="C00000014"/>
    <x v="13"/>
    <x v="15"/>
    <n v="2"/>
    <s v="Cash"/>
    <x v="0"/>
    <d v="2021-02-03T00:00:00"/>
    <x v="8"/>
    <x v="2"/>
    <n v="3344"/>
    <n v="-3344"/>
    <n v="0"/>
    <n v="240738.49999999997"/>
    <s v="Cash"/>
    <s v="Cash 3/2/2021"/>
    <m/>
  </r>
  <r>
    <x v="57"/>
    <x v="8"/>
    <x v="2"/>
    <x v="76"/>
    <s v="C00000014"/>
    <x v="13"/>
    <x v="26"/>
    <n v="5"/>
    <s v="Cash"/>
    <x v="0"/>
    <d v="2021-02-03T00:00:00"/>
    <x v="8"/>
    <x v="2"/>
    <n v="1125"/>
    <n v="-1125"/>
    <n v="0"/>
    <n v="241863.49999999997"/>
    <s v="Cash"/>
    <s v="Cash 3/2/2021"/>
    <m/>
  </r>
  <r>
    <x v="57"/>
    <x v="8"/>
    <x v="2"/>
    <x v="76"/>
    <s v="C00000014"/>
    <x v="13"/>
    <x v="41"/>
    <n v="1"/>
    <s v="Cash"/>
    <x v="0"/>
    <d v="2021-02-03T00:00:00"/>
    <x v="8"/>
    <x v="2"/>
    <n v="280"/>
    <n v="-280"/>
    <n v="0"/>
    <n v="242143.49999999997"/>
    <s v="Cash"/>
    <s v="Cash 3/2/2021"/>
    <m/>
  </r>
  <r>
    <x v="57"/>
    <x v="8"/>
    <x v="2"/>
    <x v="76"/>
    <s v="C00000014"/>
    <x v="13"/>
    <x v="4"/>
    <n v="2"/>
    <s v="Cash"/>
    <x v="0"/>
    <d v="2021-02-03T00:00:00"/>
    <x v="8"/>
    <x v="2"/>
    <n v="195"/>
    <n v="-195"/>
    <n v="0"/>
    <n v="242338.49999999997"/>
    <s v="Cash"/>
    <s v="Cash 3/2/2021"/>
    <m/>
  </r>
  <r>
    <x v="57"/>
    <x v="8"/>
    <x v="2"/>
    <x v="76"/>
    <s v="C00000014"/>
    <x v="13"/>
    <x v="25"/>
    <n v="4"/>
    <s v="Cash"/>
    <x v="0"/>
    <d v="2021-02-03T00:00:00"/>
    <x v="8"/>
    <x v="2"/>
    <n v="180"/>
    <n v="-180"/>
    <n v="0"/>
    <n v="242518.49999999997"/>
    <s v="Cash"/>
    <s v="Cash 3/2/2021"/>
    <m/>
  </r>
  <r>
    <x v="57"/>
    <x v="8"/>
    <x v="2"/>
    <x v="76"/>
    <s v="C00000014"/>
    <x v="13"/>
    <x v="5"/>
    <n v="1"/>
    <s v="Cash"/>
    <x v="0"/>
    <d v="2021-02-03T00:00:00"/>
    <x v="8"/>
    <x v="2"/>
    <n v="232"/>
    <n v="-232"/>
    <n v="0"/>
    <n v="242750.49999999997"/>
    <s v="Cash"/>
    <s v="Cash 3/2/2021"/>
    <m/>
  </r>
  <r>
    <x v="58"/>
    <x v="8"/>
    <x v="2"/>
    <x v="77"/>
    <s v="C00000005"/>
    <x v="4"/>
    <x v="15"/>
    <n v="1"/>
    <s v="Cash"/>
    <x v="0"/>
    <d v="2021-02-02T00:00:00"/>
    <x v="8"/>
    <x v="2"/>
    <n v="1650"/>
    <n v="-1650"/>
    <n v="0"/>
    <n v="244400.49999999997"/>
    <s v="Chq"/>
    <s v="Chq CIMB 000070 2/2/21, Banked in 3/2/21"/>
    <m/>
  </r>
  <r>
    <x v="58"/>
    <x v="8"/>
    <x v="2"/>
    <x v="77"/>
    <s v="C00000005"/>
    <x v="4"/>
    <x v="4"/>
    <n v="1"/>
    <s v="Cash"/>
    <x v="0"/>
    <d v="2021-02-02T00:00:00"/>
    <x v="8"/>
    <x v="2"/>
    <n v="100"/>
    <n v="-100"/>
    <n v="0"/>
    <n v="244500.49999999997"/>
    <s v="Chq"/>
    <s v="Chq CIMB 000070 2/2/21, Banked in 3/2/21"/>
    <m/>
  </r>
  <r>
    <x v="59"/>
    <x v="8"/>
    <x v="2"/>
    <x v="78"/>
    <s v="C00000014"/>
    <x v="13"/>
    <x v="42"/>
    <n v="1"/>
    <s v="Cash"/>
    <x v="0"/>
    <d v="2021-02-06T00:00:00"/>
    <x v="8"/>
    <x v="2"/>
    <n v="130"/>
    <n v="-130"/>
    <n v="0"/>
    <n v="244630.49999999997"/>
    <s v="Cash"/>
    <s v="Cash 3/2/2021"/>
    <m/>
  </r>
  <r>
    <x v="60"/>
    <x v="8"/>
    <x v="2"/>
    <x v="79"/>
    <s v="C00000013"/>
    <x v="12"/>
    <x v="34"/>
    <n v="1"/>
    <s v="Cash"/>
    <x v="0"/>
    <d v="2021-02-09T00:00:00"/>
    <x v="8"/>
    <x v="2"/>
    <n v="380"/>
    <n v="-380"/>
    <n v="0"/>
    <n v="245010.49999999997"/>
    <s v="Chq"/>
    <s v="Trsf 8/2/2021"/>
    <m/>
  </r>
  <r>
    <x v="60"/>
    <x v="8"/>
    <x v="2"/>
    <x v="79"/>
    <s v="C00000013"/>
    <x v="12"/>
    <x v="5"/>
    <n v="2"/>
    <s v="Cash"/>
    <x v="0"/>
    <d v="2021-02-09T00:00:00"/>
    <x v="8"/>
    <x v="2"/>
    <n v="472"/>
    <n v="-472"/>
    <n v="0"/>
    <n v="245482.49999999997"/>
    <s v="Chq"/>
    <s v="Trsf 8/2/2021"/>
    <m/>
  </r>
  <r>
    <x v="60"/>
    <x v="8"/>
    <x v="2"/>
    <x v="79"/>
    <s v="C00000013"/>
    <x v="12"/>
    <x v="15"/>
    <n v="1"/>
    <s v="Cash"/>
    <x v="0"/>
    <d v="2021-02-09T00:00:00"/>
    <x v="8"/>
    <x v="2"/>
    <n v="1716"/>
    <n v="-1716"/>
    <n v="0"/>
    <n v="247198.49999999997"/>
    <s v="Chq"/>
    <s v="Trsf 8/2/2021"/>
    <m/>
  </r>
  <r>
    <x v="60"/>
    <x v="8"/>
    <x v="2"/>
    <x v="79"/>
    <s v="C00000013"/>
    <x v="12"/>
    <x v="30"/>
    <n v="1"/>
    <s v="Cash"/>
    <x v="0"/>
    <d v="2021-02-09T00:00:00"/>
    <x v="8"/>
    <x v="2"/>
    <n v="405"/>
    <n v="-405"/>
    <n v="0"/>
    <n v="247603.49999999997"/>
    <s v="Chq"/>
    <s v="Trsf 8/2/2021"/>
    <m/>
  </r>
  <r>
    <x v="60"/>
    <x v="8"/>
    <x v="2"/>
    <x v="79"/>
    <s v="C00000013"/>
    <x v="12"/>
    <x v="4"/>
    <n v="1"/>
    <s v="Cash"/>
    <x v="0"/>
    <d v="2021-02-09T00:00:00"/>
    <x v="8"/>
    <x v="2"/>
    <n v="95"/>
    <n v="-95"/>
    <n v="0"/>
    <n v="247698.49999999997"/>
    <s v="Chq"/>
    <s v="Trsf 9/2/2021"/>
    <m/>
  </r>
  <r>
    <x v="60"/>
    <x v="8"/>
    <x v="2"/>
    <x v="79"/>
    <s v="C00000013"/>
    <x v="12"/>
    <x v="33"/>
    <n v="1"/>
    <s v="Cash"/>
    <x v="0"/>
    <d v="2021-02-09T00:00:00"/>
    <x v="8"/>
    <x v="2"/>
    <n v="130"/>
    <n v="-130"/>
    <n v="0"/>
    <n v="247828.49999999997"/>
    <s v="Chq"/>
    <s v="Trsf 9/2/2021"/>
    <m/>
  </r>
  <r>
    <x v="61"/>
    <x v="8"/>
    <x v="2"/>
    <x v="80"/>
    <s v="C00000005"/>
    <x v="4"/>
    <x v="26"/>
    <n v="1"/>
    <s v="Cash"/>
    <x v="0"/>
    <d v="2021-02-17T00:00:00"/>
    <x v="8"/>
    <x v="2"/>
    <n v="225"/>
    <n v="-225"/>
    <n v="0"/>
    <n v="248053.49999999997"/>
    <s v="Chq"/>
    <m/>
    <m/>
  </r>
  <r>
    <x v="62"/>
    <x v="8"/>
    <x v="2"/>
    <x v="81"/>
    <s v="C00000001"/>
    <x v="0"/>
    <x v="15"/>
    <n v="1"/>
    <s v="Cash"/>
    <x v="0"/>
    <d v="2021-02-19T00:00:00"/>
    <x v="8"/>
    <x v="2"/>
    <n v="1694"/>
    <n v="-1694"/>
    <n v="0"/>
    <n v="249747.49999999997"/>
    <s v="Trsf"/>
    <s v="Trsf 26/2/2021"/>
    <m/>
  </r>
  <r>
    <x v="63"/>
    <x v="8"/>
    <x v="2"/>
    <x v="82"/>
    <s v="C00000004"/>
    <x v="3"/>
    <x v="7"/>
    <n v="5"/>
    <n v="120"/>
    <x v="2"/>
    <d v="2021-06-24T00:00:00"/>
    <x v="1"/>
    <x v="2"/>
    <n v="7370"/>
    <n v="-7370"/>
    <n v="0"/>
    <n v="257117.49999999997"/>
    <s v="Chq"/>
    <s v="Chq Cleared 2/8/2021"/>
    <m/>
  </r>
  <r>
    <x v="63"/>
    <x v="8"/>
    <x v="2"/>
    <x v="82"/>
    <s v="C00000004"/>
    <x v="3"/>
    <x v="30"/>
    <n v="3"/>
    <n v="120"/>
    <x v="2"/>
    <d v="2021-06-24T00:00:00"/>
    <x v="1"/>
    <x v="2"/>
    <n v="1069.2"/>
    <n v="-1069.2"/>
    <n v="0"/>
    <n v="258186.69999999998"/>
    <s v="Chq"/>
    <s v="Chq Cleared 2/8/2021"/>
    <m/>
  </r>
  <r>
    <x v="63"/>
    <x v="8"/>
    <x v="2"/>
    <x v="82"/>
    <s v="C00000004"/>
    <x v="3"/>
    <x v="4"/>
    <n v="1"/>
    <n v="120"/>
    <x v="2"/>
    <d v="2021-06-24T00:00:00"/>
    <x v="1"/>
    <x v="2"/>
    <n v="360"/>
    <n v="-360"/>
    <n v="0"/>
    <n v="258546.69999999998"/>
    <s v="Chq"/>
    <s v="Chq Cleared 2/8/2021"/>
    <m/>
  </r>
  <r>
    <x v="63"/>
    <x v="8"/>
    <x v="2"/>
    <x v="82"/>
    <s v="C00000004"/>
    <x v="3"/>
    <x v="38"/>
    <n v="1"/>
    <n v="120"/>
    <x v="2"/>
    <d v="2021-06-24T00:00:00"/>
    <x v="1"/>
    <x v="2"/>
    <n v="312"/>
    <n v="-312"/>
    <n v="0"/>
    <n v="258858.69999999998"/>
    <s v="Chq"/>
    <s v="Chq Cleared 2/8/2021"/>
    <m/>
  </r>
  <r>
    <x v="64"/>
    <x v="8"/>
    <x v="2"/>
    <x v="83"/>
    <s v="C00000008"/>
    <x v="7"/>
    <x v="5"/>
    <n v="4"/>
    <s v="Cash"/>
    <x v="0"/>
    <d v="2021-02-23T00:00:00"/>
    <x v="8"/>
    <x v="2"/>
    <n v="920"/>
    <n v="-920"/>
    <n v="0"/>
    <n v="259778.69999999998"/>
    <s v="Trsf"/>
    <s v="Trsf 11/3/3021"/>
    <m/>
  </r>
  <r>
    <x v="64"/>
    <x v="8"/>
    <x v="2"/>
    <x v="83"/>
    <s v="C00000008"/>
    <x v="7"/>
    <x v="4"/>
    <n v="1"/>
    <s v="Cash"/>
    <x v="0"/>
    <d v="2021-02-23T00:00:00"/>
    <x v="8"/>
    <x v="2"/>
    <n v="100"/>
    <n v="-100"/>
    <n v="0"/>
    <n v="259878.69999999998"/>
    <s v="Trsf"/>
    <s v="Trsf 11/3/3021"/>
    <m/>
  </r>
  <r>
    <x v="64"/>
    <x v="8"/>
    <x v="2"/>
    <x v="83"/>
    <s v="C00000008"/>
    <x v="7"/>
    <x v="20"/>
    <n v="3"/>
    <s v="Cash"/>
    <x v="0"/>
    <d v="2021-02-23T00:00:00"/>
    <x v="8"/>
    <x v="2"/>
    <n v="180"/>
    <n v="-180"/>
    <n v="0"/>
    <n v="260058.69999999998"/>
    <s v="Trsf"/>
    <s v="Trsf 11/3/3021"/>
    <m/>
  </r>
  <r>
    <x v="65"/>
    <x v="8"/>
    <x v="2"/>
    <x v="84"/>
    <s v="C00000015"/>
    <x v="14"/>
    <x v="7"/>
    <n v="1"/>
    <s v="Cash"/>
    <x v="0"/>
    <d v="2021-02-26T00:00:00"/>
    <x v="8"/>
    <x v="2"/>
    <n v="1694"/>
    <n v="-1694"/>
    <n v="0"/>
    <n v="261752.69999999998"/>
    <s v="Trsf"/>
    <s v="Trsf 27/2/2021"/>
    <m/>
  </r>
  <r>
    <x v="65"/>
    <x v="8"/>
    <x v="2"/>
    <x v="84"/>
    <s v="C00000015"/>
    <x v="14"/>
    <x v="26"/>
    <n v="1"/>
    <s v="Cash"/>
    <x v="0"/>
    <d v="2021-02-26T00:00:00"/>
    <x v="8"/>
    <x v="2"/>
    <n v="228"/>
    <n v="-228"/>
    <n v="0"/>
    <n v="261980.69999999998"/>
    <s v="Trsf"/>
    <s v="Trsf 27/2/2021"/>
    <m/>
  </r>
  <r>
    <x v="65"/>
    <x v="8"/>
    <x v="2"/>
    <x v="84"/>
    <s v="C00000015"/>
    <x v="14"/>
    <x v="4"/>
    <n v="1"/>
    <s v="Cash"/>
    <x v="0"/>
    <d v="2021-02-26T00:00:00"/>
    <x v="8"/>
    <x v="2"/>
    <n v="100"/>
    <n v="-100"/>
    <n v="0"/>
    <n v="262080.69999999998"/>
    <s v="Trsf"/>
    <s v="Trsf 27/2/2021"/>
    <m/>
  </r>
  <r>
    <x v="66"/>
    <x v="9"/>
    <x v="2"/>
    <x v="85"/>
    <s v="C00000004"/>
    <x v="3"/>
    <x v="7"/>
    <n v="6"/>
    <n v="120"/>
    <x v="2"/>
    <d v="2021-07-06T00:00:00"/>
    <x v="4"/>
    <x v="2"/>
    <n v="8976"/>
    <n v="-8976"/>
    <n v="0"/>
    <n v="271056.69999999995"/>
    <s v="Chq"/>
    <s v="Chq Cleared 13/9/2021"/>
    <m/>
  </r>
  <r>
    <x v="66"/>
    <x v="9"/>
    <x v="2"/>
    <x v="85"/>
    <s v="C00000004"/>
    <x v="3"/>
    <x v="43"/>
    <n v="1"/>
    <n v="120"/>
    <x v="2"/>
    <d v="2021-07-06T00:00:00"/>
    <x v="4"/>
    <x v="2"/>
    <n v="1496"/>
    <n v="-1496"/>
    <n v="0"/>
    <n v="272552.69999999995"/>
    <s v="Chq"/>
    <s v="Chq Cleared 13/9/2021"/>
    <m/>
  </r>
  <r>
    <x v="66"/>
    <x v="9"/>
    <x v="2"/>
    <x v="85"/>
    <s v="C00000004"/>
    <x v="3"/>
    <x v="10"/>
    <n v="7"/>
    <n v="120"/>
    <x v="2"/>
    <d v="2021-07-06T00:00:00"/>
    <x v="4"/>
    <x v="2"/>
    <n v="2532.6"/>
    <n v="-2532.6"/>
    <n v="0"/>
    <n v="275085.29999999993"/>
    <s v="Chq"/>
    <s v="Chq Cleared 13/9/2021"/>
    <m/>
  </r>
  <r>
    <x v="66"/>
    <x v="9"/>
    <x v="2"/>
    <x v="85"/>
    <s v="C00000004"/>
    <x v="3"/>
    <x v="16"/>
    <n v="5"/>
    <n v="120"/>
    <x v="2"/>
    <d v="2021-07-06T00:00:00"/>
    <x v="4"/>
    <x v="2"/>
    <n v="1809"/>
    <n v="-1809"/>
    <n v="0"/>
    <n v="276894.29999999993"/>
    <s v="Chq"/>
    <s v="Chq Cleared 13/9/2021"/>
    <m/>
  </r>
  <r>
    <x v="67"/>
    <x v="9"/>
    <x v="2"/>
    <x v="86"/>
    <s v="C00000016"/>
    <x v="15"/>
    <x v="7"/>
    <n v="2"/>
    <s v="Cash"/>
    <x v="0"/>
    <d v="2021-03-10T00:00:00"/>
    <x v="9"/>
    <x v="2"/>
    <n v="3058"/>
    <n v="-3058"/>
    <n v="0"/>
    <n v="279952.29999999993"/>
    <s v="Trsf"/>
    <s v="Trsf 10/3/2021"/>
    <m/>
  </r>
  <r>
    <x v="67"/>
    <x v="9"/>
    <x v="2"/>
    <x v="86"/>
    <s v="C00000016"/>
    <x v="15"/>
    <x v="15"/>
    <n v="2"/>
    <s v="Cash"/>
    <x v="0"/>
    <d v="2021-03-10T00:00:00"/>
    <x v="9"/>
    <x v="2"/>
    <n v="3058"/>
    <n v="-3058"/>
    <n v="0"/>
    <n v="283010.29999999993"/>
    <s v="Trsf"/>
    <s v="Trsf 10/3/2021"/>
    <m/>
  </r>
  <r>
    <x v="67"/>
    <x v="9"/>
    <x v="2"/>
    <x v="86"/>
    <s v="C00000016"/>
    <x v="15"/>
    <x v="44"/>
    <n v="3"/>
    <s v="Cash"/>
    <x v="0"/>
    <d v="2021-03-10T00:00:00"/>
    <x v="9"/>
    <x v="2"/>
    <n v="4691.25"/>
    <n v="-4691.25"/>
    <n v="0"/>
    <n v="287701.54999999993"/>
    <s v="Trsf"/>
    <s v="Trsf 10/3/2021"/>
    <m/>
  </r>
  <r>
    <x v="68"/>
    <x v="9"/>
    <x v="2"/>
    <x v="87"/>
    <s v="C00000009"/>
    <x v="8"/>
    <x v="43"/>
    <n v="2"/>
    <n v="60"/>
    <x v="3"/>
    <d v="2021-05-10T00:00:00"/>
    <x v="12"/>
    <x v="2"/>
    <n v="3212"/>
    <n v="-3212"/>
    <n v="0"/>
    <n v="290913.54999999993"/>
    <s v="Chq"/>
    <s v="Chq HL 012137 dd 20/10/21"/>
    <m/>
  </r>
  <r>
    <x v="68"/>
    <x v="9"/>
    <x v="2"/>
    <x v="87"/>
    <s v="C00000009"/>
    <x v="8"/>
    <x v="43"/>
    <n v="1"/>
    <n v="60"/>
    <x v="3"/>
    <d v="2021-05-10T00:00:00"/>
    <x v="12"/>
    <x v="2"/>
    <n v="1606"/>
    <n v="-1606"/>
    <n v="0"/>
    <n v="292519.54999999993"/>
    <s v="Chq"/>
    <s v="Chq HL 012137 dd 20/10/21"/>
    <m/>
  </r>
  <r>
    <x v="68"/>
    <x v="9"/>
    <x v="2"/>
    <x v="87"/>
    <s v="C00000009"/>
    <x v="8"/>
    <x v="10"/>
    <n v="2"/>
    <n v="60"/>
    <x v="3"/>
    <d v="2021-05-10T00:00:00"/>
    <x v="12"/>
    <x v="2"/>
    <n v="820.8"/>
    <n v="-820.8"/>
    <n v="0"/>
    <n v="293340.34999999992"/>
    <s v="Chq"/>
    <s v="Chq HL 012137 dd 20/10/21"/>
    <m/>
  </r>
  <r>
    <x v="68"/>
    <x v="9"/>
    <x v="2"/>
    <x v="87"/>
    <s v="C00000009"/>
    <x v="8"/>
    <x v="16"/>
    <n v="2"/>
    <n v="60"/>
    <x v="3"/>
    <d v="2021-05-10T00:00:00"/>
    <x v="12"/>
    <x v="2"/>
    <n v="820.8"/>
    <n v="-820.8"/>
    <n v="0"/>
    <n v="294161.14999999991"/>
    <s v="Chq"/>
    <s v="Chq HL 012137 dd 20/10/21"/>
    <m/>
  </r>
  <r>
    <x v="69"/>
    <x v="9"/>
    <x v="2"/>
    <x v="88"/>
    <s v="C00000004"/>
    <x v="3"/>
    <x v="7"/>
    <n v="5"/>
    <n v="120"/>
    <x v="2"/>
    <d v="2021-07-21T00:00:00"/>
    <x v="4"/>
    <x v="2"/>
    <n v="8140"/>
    <n v="-8140"/>
    <n v="0"/>
    <n v="302301.14999999991"/>
    <s v="Chq"/>
    <s v="Chq Cleared 13/9/2021"/>
    <m/>
  </r>
  <r>
    <x v="69"/>
    <x v="9"/>
    <x v="2"/>
    <x v="88"/>
    <s v="C00000004"/>
    <x v="3"/>
    <x v="10"/>
    <n v="4"/>
    <n v="120"/>
    <x v="2"/>
    <d v="2021-07-21T00:00:00"/>
    <x v="4"/>
    <x v="2"/>
    <n v="1641.6"/>
    <n v="-1641.6"/>
    <n v="0"/>
    <n v="303942.74999999988"/>
    <s v="Chq"/>
    <s v="Chq Cleared 13/9/2021"/>
    <m/>
  </r>
  <r>
    <x v="69"/>
    <x v="9"/>
    <x v="2"/>
    <x v="88"/>
    <s v="C00000004"/>
    <x v="3"/>
    <x v="16"/>
    <n v="4"/>
    <n v="120"/>
    <x v="2"/>
    <d v="2021-07-21T00:00:00"/>
    <x v="4"/>
    <x v="2"/>
    <n v="1641.6"/>
    <n v="-1641.6"/>
    <n v="0"/>
    <n v="305584.34999999986"/>
    <s v="Chq"/>
    <s v="Chq Cleared 13/9/2021"/>
    <m/>
  </r>
  <r>
    <x v="69"/>
    <x v="9"/>
    <x v="2"/>
    <x v="88"/>
    <s v="C00000004"/>
    <x v="3"/>
    <x v="4"/>
    <n v="4"/>
    <n v="120"/>
    <x v="2"/>
    <d v="2021-07-21T00:00:00"/>
    <x v="4"/>
    <x v="2"/>
    <n v="380"/>
    <n v="-380"/>
    <n v="0"/>
    <n v="305964.34999999986"/>
    <s v="Chq"/>
    <s v="Chq Cleared 13/9/2021"/>
    <m/>
  </r>
  <r>
    <x v="70"/>
    <x v="9"/>
    <x v="2"/>
    <x v="89"/>
    <s v="C00000009"/>
    <x v="8"/>
    <x v="25"/>
    <n v="2"/>
    <n v="60"/>
    <x v="3"/>
    <d v="2021-05-23T00:00:00"/>
    <x v="12"/>
    <x v="2"/>
    <n v="90"/>
    <n v="-90"/>
    <n v="0"/>
    <n v="306054.34999999986"/>
    <s v="Chq"/>
    <s v="Chq HL 012137 dd 20/10/21"/>
    <m/>
  </r>
  <r>
    <x v="70"/>
    <x v="9"/>
    <x v="2"/>
    <x v="90"/>
    <s v="C00000010"/>
    <x v="9"/>
    <x v="45"/>
    <n v="5"/>
    <n v="120"/>
    <x v="2"/>
    <d v="2021-07-22T00:00:00"/>
    <x v="4"/>
    <x v="2"/>
    <n v="8250"/>
    <n v="-8250"/>
    <n v="0"/>
    <n v="314304.34999999986"/>
    <s v="Trsf"/>
    <s v="Trsf 26/7/21"/>
    <m/>
  </r>
  <r>
    <x v="70"/>
    <x v="9"/>
    <x v="2"/>
    <x v="90"/>
    <s v="C00000010"/>
    <x v="9"/>
    <x v="28"/>
    <n v="5"/>
    <n v="120"/>
    <x v="2"/>
    <d v="2021-07-22T00:00:00"/>
    <x v="4"/>
    <x v="2"/>
    <n v="1170"/>
    <n v="-1170"/>
    <n v="0"/>
    <n v="315474.34999999986"/>
    <s v="Trsf"/>
    <s v="Trsf 26/7/21"/>
    <m/>
  </r>
  <r>
    <x v="70"/>
    <x v="9"/>
    <x v="2"/>
    <x v="90"/>
    <s v="C00000010"/>
    <x v="9"/>
    <x v="12"/>
    <n v="5"/>
    <n v="120"/>
    <x v="2"/>
    <d v="2021-07-22T00:00:00"/>
    <x v="4"/>
    <x v="2"/>
    <n v="275"/>
    <n v="-275"/>
    <n v="0"/>
    <n v="315749.34999999986"/>
    <s v="Trsf"/>
    <s v="Trsf 26/7/21"/>
    <m/>
  </r>
  <r>
    <x v="70"/>
    <x v="9"/>
    <x v="2"/>
    <x v="90"/>
    <s v="C00000010"/>
    <x v="9"/>
    <x v="4"/>
    <n v="4"/>
    <n v="120"/>
    <x v="2"/>
    <d v="2021-07-22T00:00:00"/>
    <x v="4"/>
    <x v="2"/>
    <n v="380"/>
    <n v="-380"/>
    <n v="0"/>
    <n v="316129.34999999986"/>
    <s v="Trsf"/>
    <s v="Trsf 26/7/21"/>
    <m/>
  </r>
  <r>
    <x v="71"/>
    <x v="9"/>
    <x v="2"/>
    <x v="91"/>
    <s v="C00000014"/>
    <x v="13"/>
    <x v="5"/>
    <n v="1"/>
    <s v="Cash"/>
    <x v="0"/>
    <d v="2021-03-25T00:00:00"/>
    <x v="9"/>
    <x v="2"/>
    <n v="240"/>
    <n v="-240"/>
    <n v="0"/>
    <n v="316369.34999999986"/>
    <s v="Cash"/>
    <s v="Bank in Cash 18/4/2021"/>
    <m/>
  </r>
  <r>
    <x v="72"/>
    <x v="9"/>
    <x v="2"/>
    <x v="92"/>
    <s v="C00000004"/>
    <x v="3"/>
    <x v="46"/>
    <n v="2"/>
    <n v="120"/>
    <x v="2"/>
    <d v="2021-07-28T00:00:00"/>
    <x v="4"/>
    <x v="2"/>
    <n v="3510"/>
    <n v="-3510"/>
    <n v="0"/>
    <n v="319879.34999999986"/>
    <s v="Chq"/>
    <s v="Chq Cleared 13/9/2021"/>
    <m/>
  </r>
  <r>
    <x v="73"/>
    <x v="10"/>
    <x v="2"/>
    <x v="93"/>
    <s v="C00000003"/>
    <x v="2"/>
    <x v="15"/>
    <n v="3"/>
    <n v="45"/>
    <x v="1"/>
    <d v="2021-05-16T00:00:00"/>
    <x v="12"/>
    <x v="2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x v="73"/>
    <x v="10"/>
    <x v="2"/>
    <x v="93"/>
    <s v="C00000003"/>
    <x v="2"/>
    <x v="16"/>
    <n v="1"/>
    <n v="45"/>
    <x v="1"/>
    <d v="2021-05-16T00:00:00"/>
    <x v="12"/>
    <x v="2"/>
    <n v="459"/>
    <n v="-459"/>
    <n v="0"/>
    <n v="325750.34999999986"/>
    <s v="PD Chq"/>
    <s v="Chq dd 11/6 - RHB 001313 (RM1,521.00), changed new chq RHB 001441 18/9/21"/>
    <m/>
  </r>
  <r>
    <x v="73"/>
    <x v="10"/>
    <x v="2"/>
    <x v="93"/>
    <s v="C00000003"/>
    <x v="2"/>
    <x v="12"/>
    <n v="5"/>
    <n v="45"/>
    <x v="1"/>
    <d v="2021-05-16T00:00:00"/>
    <x v="12"/>
    <x v="2"/>
    <n v="250"/>
    <n v="-250"/>
    <n v="0"/>
    <n v="326000.34999999986"/>
    <s v="PD Chq"/>
    <s v="Chq dd 11/6 - RHB 001313 (RM1,521.00), changed new chq RHB 001441 18/9/21"/>
    <m/>
  </r>
  <r>
    <x v="73"/>
    <x v="10"/>
    <x v="2"/>
    <x v="93"/>
    <s v="C00000003"/>
    <x v="2"/>
    <x v="4"/>
    <n v="5"/>
    <n v="45"/>
    <x v="1"/>
    <d v="2021-05-16T00:00:00"/>
    <x v="12"/>
    <x v="2"/>
    <n v="500"/>
    <n v="-500"/>
    <n v="0"/>
    <n v="326500.34999999986"/>
    <s v="PD Chq"/>
    <s v="Chq dd 11/6 - RHB 001313 (RM1,521.00), changed new chq RHB 001441 18/9/21"/>
    <m/>
  </r>
  <r>
    <x v="73"/>
    <x v="10"/>
    <x v="2"/>
    <x v="94"/>
    <s v="C00000003"/>
    <x v="2"/>
    <x v="25"/>
    <n v="2"/>
    <n v="45"/>
    <x v="1"/>
    <d v="2021-05-16T00:00:00"/>
    <x v="12"/>
    <x v="2"/>
    <n v="90"/>
    <n v="-90"/>
    <n v="0"/>
    <n v="326590.34999999986"/>
    <s v="PD Chq"/>
    <s v="Bank in Cash 18/4/2021"/>
    <m/>
  </r>
  <r>
    <x v="74"/>
    <x v="10"/>
    <x v="2"/>
    <x v="95"/>
    <s v="C00000015"/>
    <x v="14"/>
    <x v="7"/>
    <n v="1"/>
    <s v="Cash"/>
    <x v="0"/>
    <d v="2021-04-08T00:00:00"/>
    <x v="11"/>
    <x v="2"/>
    <n v="1870"/>
    <n v="-1870"/>
    <n v="0"/>
    <n v="328460.34999999986"/>
    <s v="Trsf"/>
    <s v="Trsf 13/4/2021"/>
    <m/>
  </r>
  <r>
    <x v="74"/>
    <x v="10"/>
    <x v="2"/>
    <x v="95"/>
    <s v="C00000015"/>
    <x v="14"/>
    <x v="26"/>
    <n v="1"/>
    <s v="Cash"/>
    <x v="0"/>
    <d v="2021-04-08T00:00:00"/>
    <x v="11"/>
    <x v="2"/>
    <n v="255"/>
    <n v="-255"/>
    <n v="0"/>
    <n v="328715.34999999986"/>
    <s v="Trsf"/>
    <s v="Trsf 13/4/2021"/>
    <m/>
  </r>
  <r>
    <x v="74"/>
    <x v="10"/>
    <x v="2"/>
    <x v="95"/>
    <s v="C00000015"/>
    <x v="14"/>
    <x v="4"/>
    <n v="1"/>
    <s v="Cash"/>
    <x v="0"/>
    <d v="2021-04-08T00:00:00"/>
    <x v="11"/>
    <x v="2"/>
    <n v="100"/>
    <n v="-100"/>
    <n v="0"/>
    <n v="328815.34999999986"/>
    <s v="Trsf"/>
    <s v="Trsf 13/4/2021"/>
    <m/>
  </r>
  <r>
    <x v="74"/>
    <x v="10"/>
    <x v="2"/>
    <x v="96"/>
    <s v="C00000010"/>
    <x v="9"/>
    <x v="45"/>
    <n v="5"/>
    <n v="120"/>
    <x v="2"/>
    <d v="2021-08-06T00:00:00"/>
    <x v="2"/>
    <x v="2"/>
    <n v="8690"/>
    <n v="-8690"/>
    <n v="0"/>
    <n v="337505.34999999986"/>
    <s v="Trsf"/>
    <s v="Trsf 17/8/2021"/>
    <m/>
  </r>
  <r>
    <x v="74"/>
    <x v="10"/>
    <x v="2"/>
    <x v="96"/>
    <s v="C00000010"/>
    <x v="9"/>
    <x v="1"/>
    <n v="6"/>
    <n v="120"/>
    <x v="2"/>
    <d v="2021-08-06T00:00:00"/>
    <x v="2"/>
    <x v="2"/>
    <n v="1731.6000000000001"/>
    <n v="-1731.6000000000001"/>
    <n v="0"/>
    <n v="339236.94999999984"/>
    <s v="Trsf"/>
    <s v="Trsf 17/8/2021"/>
    <m/>
  </r>
  <r>
    <x v="74"/>
    <x v="10"/>
    <x v="2"/>
    <x v="96"/>
    <s v="C00000010"/>
    <x v="9"/>
    <x v="12"/>
    <n v="10"/>
    <n v="120"/>
    <x v="2"/>
    <d v="2021-08-06T00:00:00"/>
    <x v="2"/>
    <x v="2"/>
    <n v="550"/>
    <n v="-550"/>
    <n v="0"/>
    <n v="339786.94999999984"/>
    <s v="Trsf"/>
    <s v="Trsf 17/8/2021"/>
    <m/>
  </r>
  <r>
    <x v="74"/>
    <x v="10"/>
    <x v="2"/>
    <x v="96"/>
    <s v="C00000010"/>
    <x v="9"/>
    <x v="4"/>
    <n v="2"/>
    <n v="120"/>
    <x v="2"/>
    <d v="2021-08-06T00:00:00"/>
    <x v="2"/>
    <x v="2"/>
    <n v="190"/>
    <n v="-190"/>
    <n v="0"/>
    <n v="339976.94999999984"/>
    <s v="Trsf"/>
    <s v="Trsf 17/8/2021"/>
    <m/>
  </r>
  <r>
    <x v="74"/>
    <x v="10"/>
    <x v="2"/>
    <x v="96"/>
    <s v="C00000010"/>
    <x v="9"/>
    <x v="37"/>
    <n v="2"/>
    <n v="120"/>
    <x v="2"/>
    <d v="2021-08-06T00:00:00"/>
    <x v="2"/>
    <x v="2"/>
    <n v="720"/>
    <n v="-720"/>
    <n v="0"/>
    <n v="340696.94999999984"/>
    <s v="Trsf"/>
    <s v="Trsf 17/8/2021"/>
    <m/>
  </r>
  <r>
    <x v="74"/>
    <x v="10"/>
    <x v="2"/>
    <x v="96"/>
    <s v="C00000010"/>
    <x v="9"/>
    <x v="47"/>
    <n v="4"/>
    <n v="120"/>
    <x v="2"/>
    <d v="2021-08-06T00:00:00"/>
    <x v="2"/>
    <x v="2"/>
    <n v="220"/>
    <n v="-220"/>
    <n v="0"/>
    <n v="340916.94999999984"/>
    <s v="Trsf"/>
    <s v="Trsf 17/8/2021"/>
    <m/>
  </r>
  <r>
    <x v="75"/>
    <x v="10"/>
    <x v="2"/>
    <x v="97"/>
    <s v="C00000001"/>
    <x v="0"/>
    <x v="2"/>
    <n v="2"/>
    <s v="Cash"/>
    <x v="0"/>
    <d v="2021-04-09T00:00:00"/>
    <x v="11"/>
    <x v="2"/>
    <n v="520"/>
    <n v="-520"/>
    <n v="0"/>
    <n v="341436.94999999984"/>
    <s v="Trsf"/>
    <s v="Trsf 9/4/21"/>
    <m/>
  </r>
  <r>
    <x v="76"/>
    <x v="10"/>
    <x v="2"/>
    <x v="98"/>
    <s v="C00000009"/>
    <x v="8"/>
    <x v="7"/>
    <n v="2"/>
    <n v="60"/>
    <x v="3"/>
    <d v="2021-06-26T00:00:00"/>
    <x v="1"/>
    <x v="2"/>
    <n v="3476"/>
    <n v="-3476"/>
    <n v="0"/>
    <n v="344912.94999999984"/>
    <s v="Chq"/>
    <s v="HLB 012122, dd101121"/>
    <m/>
  </r>
  <r>
    <x v="76"/>
    <x v="10"/>
    <x v="2"/>
    <x v="98"/>
    <s v="C00000009"/>
    <x v="8"/>
    <x v="43"/>
    <n v="1"/>
    <n v="60"/>
    <x v="3"/>
    <d v="2021-06-26T00:00:00"/>
    <x v="1"/>
    <x v="2"/>
    <n v="1738"/>
    <n v="-1738"/>
    <n v="0"/>
    <n v="346650.94999999984"/>
    <s v="Chq"/>
    <s v="HLB 012122, dd101121"/>
    <m/>
  </r>
  <r>
    <x v="76"/>
    <x v="10"/>
    <x v="2"/>
    <x v="98"/>
    <s v="C00000009"/>
    <x v="8"/>
    <x v="10"/>
    <n v="5"/>
    <n v="60"/>
    <x v="3"/>
    <d v="2021-06-26T00:00:00"/>
    <x v="1"/>
    <x v="2"/>
    <n v="2268"/>
    <n v="-2268"/>
    <n v="0"/>
    <n v="348918.94999999984"/>
    <s v="Chq"/>
    <s v="HLB 012122, dd101121"/>
    <m/>
  </r>
  <r>
    <x v="77"/>
    <x v="10"/>
    <x v="2"/>
    <x v="99"/>
    <s v="C00000010"/>
    <x v="9"/>
    <x v="45"/>
    <n v="5"/>
    <n v="120"/>
    <x v="2"/>
    <d v="2021-08-27T00:00:00"/>
    <x v="2"/>
    <x v="2"/>
    <n v="8690"/>
    <n v="-8690"/>
    <n v="0"/>
    <n v="357608.94999999984"/>
    <s v="Trsf"/>
    <s v="Trsf 17/8/2021"/>
    <m/>
  </r>
  <r>
    <x v="77"/>
    <x v="10"/>
    <x v="2"/>
    <x v="99"/>
    <s v="C00000010"/>
    <x v="9"/>
    <x v="28"/>
    <n v="5"/>
    <n v="120"/>
    <x v="2"/>
    <d v="2021-08-27T00:00:00"/>
    <x v="2"/>
    <x v="2"/>
    <n v="1230"/>
    <n v="-1230"/>
    <n v="0"/>
    <n v="358838.94999999984"/>
    <s v="Trsf"/>
    <s v="Trsf 17/8/2021"/>
    <m/>
  </r>
  <r>
    <x v="77"/>
    <x v="10"/>
    <x v="2"/>
    <x v="99"/>
    <s v="C00000010"/>
    <x v="9"/>
    <x v="12"/>
    <n v="10"/>
    <n v="120"/>
    <x v="2"/>
    <d v="2021-08-27T00:00:00"/>
    <x v="2"/>
    <x v="2"/>
    <n v="550"/>
    <n v="-550"/>
    <n v="0"/>
    <n v="359388.94999999984"/>
    <s v="Trsf"/>
    <s v="Trsf 17/8/2021"/>
    <m/>
  </r>
  <r>
    <x v="77"/>
    <x v="10"/>
    <x v="2"/>
    <x v="99"/>
    <s v="C00000010"/>
    <x v="9"/>
    <x v="4"/>
    <n v="4"/>
    <n v="120"/>
    <x v="2"/>
    <d v="2021-08-27T00:00:00"/>
    <x v="2"/>
    <x v="2"/>
    <n v="380"/>
    <n v="-380"/>
    <n v="0"/>
    <n v="359768.94999999984"/>
    <s v="Trsf"/>
    <s v="Trsf 17/8/2021"/>
    <m/>
  </r>
  <r>
    <x v="77"/>
    <x v="10"/>
    <x v="2"/>
    <x v="99"/>
    <s v="C00000010"/>
    <x v="9"/>
    <x v="37"/>
    <n v="1"/>
    <n v="120"/>
    <x v="2"/>
    <d v="2021-08-27T00:00:00"/>
    <x v="2"/>
    <x v="2"/>
    <n v="360"/>
    <n v="-360"/>
    <n v="0"/>
    <n v="360128.94999999984"/>
    <s v="Trsf"/>
    <s v="Trsf 17/8/2021"/>
    <m/>
  </r>
  <r>
    <x v="77"/>
    <x v="10"/>
    <x v="2"/>
    <x v="99"/>
    <s v="C00000010"/>
    <x v="9"/>
    <x v="48"/>
    <n v="1"/>
    <n v="120"/>
    <x v="2"/>
    <d v="2021-08-27T00:00:00"/>
    <x v="2"/>
    <x v="2"/>
    <n v="375"/>
    <n v="-554.4"/>
    <n v="-179.39999999999998"/>
    <n v="360503.94999999984"/>
    <s v="Trsf"/>
    <s v="Trsf 17/8/2021, overpayment 179.40"/>
    <m/>
  </r>
  <r>
    <x v="78"/>
    <x v="11"/>
    <x v="2"/>
    <x v="100"/>
    <s v="C00000004"/>
    <x v="3"/>
    <x v="7"/>
    <n v="5"/>
    <n v="120"/>
    <x v="2"/>
    <d v="2021-08-31T00:00:00"/>
    <x v="2"/>
    <x v="2"/>
    <n v="8690"/>
    <n v="-8690"/>
    <n v="0"/>
    <n v="369193.94999999984"/>
    <s v="Chq"/>
    <s v="Chq 008127, cleared 22/11/21"/>
    <m/>
  </r>
  <r>
    <x v="78"/>
    <x v="11"/>
    <x v="2"/>
    <x v="100"/>
    <s v="C00000004"/>
    <x v="3"/>
    <x v="49"/>
    <n v="1"/>
    <n v="120"/>
    <x v="2"/>
    <d v="2021-08-31T00:00:00"/>
    <x v="2"/>
    <x v="2"/>
    <n v="1716"/>
    <n v="-1716"/>
    <n v="0"/>
    <n v="370909.94999999984"/>
    <s v="Chq"/>
    <s v="Chq 008127, cleared 22/11/21"/>
    <m/>
  </r>
  <r>
    <x v="78"/>
    <x v="11"/>
    <x v="2"/>
    <x v="100"/>
    <s v="C00000004"/>
    <x v="3"/>
    <x v="50"/>
    <n v="4"/>
    <n v="120"/>
    <x v="2"/>
    <d v="2021-08-31T00:00:00"/>
    <x v="2"/>
    <x v="2"/>
    <n v="1814.4"/>
    <n v="-1814.4"/>
    <n v="0"/>
    <n v="372724.34999999986"/>
    <s v="Chq"/>
    <s v="Chq 008127, cleared 22/11/21"/>
    <m/>
  </r>
  <r>
    <x v="78"/>
    <x v="11"/>
    <x v="2"/>
    <x v="100"/>
    <s v="C00000004"/>
    <x v="3"/>
    <x v="16"/>
    <n v="4"/>
    <n v="120"/>
    <x v="2"/>
    <d v="2021-08-31T00:00:00"/>
    <x v="2"/>
    <x v="2"/>
    <n v="1814.4"/>
    <n v="-1814.4"/>
    <n v="0"/>
    <n v="374538.74999999988"/>
    <s v="Chq"/>
    <s v="Chq 008127, cleared 22/11/21"/>
    <m/>
  </r>
  <r>
    <x v="79"/>
    <x v="11"/>
    <x v="2"/>
    <x v="101"/>
    <s v="C00000005"/>
    <x v="4"/>
    <x v="15"/>
    <n v="1"/>
    <s v="Cash"/>
    <x v="0"/>
    <d v="2021-05-06T00:00:00"/>
    <x v="12"/>
    <x v="2"/>
    <n v="1826"/>
    <n v="-1826"/>
    <n v="0"/>
    <n v="376364.74999999988"/>
    <s v="Chq"/>
    <s v="Chq CIMB 000077 8/5/21, Banked in 17/5/21"/>
    <m/>
  </r>
  <r>
    <x v="79"/>
    <x v="11"/>
    <x v="2"/>
    <x v="101"/>
    <s v="C00000005"/>
    <x v="4"/>
    <x v="51"/>
    <n v="1"/>
    <s v="Cash"/>
    <x v="0"/>
    <d v="2021-05-06T00:00:00"/>
    <x v="12"/>
    <x v="2"/>
    <n v="50"/>
    <n v="-50"/>
    <n v="0"/>
    <n v="376414.74999999988"/>
    <s v="Chq"/>
    <s v="Chq CIMB 000077 8/5/21, Banked in 17/5/21"/>
    <m/>
  </r>
  <r>
    <x v="80"/>
    <x v="11"/>
    <x v="2"/>
    <x v="102"/>
    <s v="C00000001"/>
    <x v="0"/>
    <x v="15"/>
    <n v="1"/>
    <s v="Cash"/>
    <x v="0"/>
    <d v="2021-05-07T00:00:00"/>
    <x v="12"/>
    <x v="2"/>
    <n v="1826"/>
    <n v="-1826"/>
    <n v="0"/>
    <n v="378240.74999999988"/>
    <s v="Trsf"/>
    <s v="Trsf 8/5/2021"/>
    <m/>
  </r>
  <r>
    <x v="80"/>
    <x v="11"/>
    <x v="2"/>
    <x v="102"/>
    <s v="C00000001"/>
    <x v="0"/>
    <x v="26"/>
    <n v="4"/>
    <s v="Cash"/>
    <x v="0"/>
    <d v="2021-05-07T00:00:00"/>
    <x v="12"/>
    <x v="2"/>
    <n v="1020"/>
    <n v="-1020"/>
    <n v="0"/>
    <n v="379260.74999999988"/>
    <s v="Trsf"/>
    <s v="Trsf 8/5/2021"/>
    <m/>
  </r>
  <r>
    <x v="81"/>
    <x v="11"/>
    <x v="2"/>
    <x v="103"/>
    <s v="C00000005"/>
    <x v="4"/>
    <x v="15"/>
    <n v="1"/>
    <s v="Cash"/>
    <x v="0"/>
    <d v="2021-05-19T00:00:00"/>
    <x v="12"/>
    <x v="2"/>
    <n v="1826"/>
    <n v="-1826"/>
    <n v="0"/>
    <n v="381086.74999999988"/>
    <s v="Chq"/>
    <s v="Chq CIMB 000079 18/5/21, Banked in 20/5/21"/>
    <m/>
  </r>
  <r>
    <x v="82"/>
    <x v="11"/>
    <x v="2"/>
    <x v="104"/>
    <s v="C00000003"/>
    <x v="2"/>
    <x v="15"/>
    <n v="3"/>
    <n v="45"/>
    <x v="1"/>
    <d v="2021-07-05T00:00:00"/>
    <x v="12"/>
    <x v="2"/>
    <n v="5610"/>
    <n v="-5610"/>
    <n v="0"/>
    <n v="386696.74999999988"/>
    <s v="PD Chq"/>
    <s v="13, 23, 27/6 &amp; 11/7 - RHB 001402, 4, 5 &amp; 6 (1,350.00, 3X1,700.00)"/>
    <m/>
  </r>
  <r>
    <x v="82"/>
    <x v="11"/>
    <x v="2"/>
    <x v="104"/>
    <s v="C00000003"/>
    <x v="2"/>
    <x v="12"/>
    <n v="5"/>
    <n v="45"/>
    <x v="1"/>
    <d v="2021-07-05T00:00:00"/>
    <x v="12"/>
    <x v="2"/>
    <n v="250"/>
    <n v="-250"/>
    <n v="0"/>
    <n v="386946.74999999988"/>
    <s v="PD Chq"/>
    <s v="13, 23, 27/6 &amp; 11/7 - RHB 001402, 4, 5 &amp; 6 (1,350.00, 3X1,700.00)"/>
    <m/>
  </r>
  <r>
    <x v="82"/>
    <x v="11"/>
    <x v="2"/>
    <x v="104"/>
    <s v="C00000003"/>
    <x v="2"/>
    <x v="4"/>
    <n v="5"/>
    <n v="45"/>
    <x v="1"/>
    <d v="2021-07-05T00:00:00"/>
    <x v="12"/>
    <x v="2"/>
    <n v="500"/>
    <n v="-500"/>
    <n v="0"/>
    <n v="387446.74999999988"/>
    <s v="PD Chq"/>
    <s v="13, 23, 27/6 &amp; 11/7 - RHB 001402, 4, 5 &amp; 6 (1,350.00, 3X1,700.00)"/>
    <m/>
  </r>
  <r>
    <x v="82"/>
    <x v="11"/>
    <x v="2"/>
    <x v="104"/>
    <s v="C00000003"/>
    <x v="2"/>
    <x v="25"/>
    <n v="2"/>
    <n v="45"/>
    <x v="1"/>
    <d v="2021-07-05T00:00:00"/>
    <x v="12"/>
    <x v="2"/>
    <n v="90"/>
    <n v="-90"/>
    <n v="0"/>
    <n v="387536.74999999988"/>
    <s v="PD Chq"/>
    <s v="13, 23, 27/6 &amp; 11/7 - RHB 001402, 4, 5 &amp; 6 (1,350.00, 3X1,700.00)"/>
    <m/>
  </r>
  <r>
    <x v="83"/>
    <x v="11"/>
    <x v="2"/>
    <x v="105"/>
    <s v="C00000013"/>
    <x v="12"/>
    <x v="10"/>
    <n v="1"/>
    <s v="Cash"/>
    <x v="0"/>
    <d v="2021-05-25T00:00:00"/>
    <x v="12"/>
    <x v="2"/>
    <n v="459"/>
    <n v="-459"/>
    <n v="0"/>
    <n v="387995.74999999988"/>
    <s v="Chq"/>
    <s v="Trsf 21 &amp; 22/5/2021"/>
    <m/>
  </r>
  <r>
    <x v="83"/>
    <x v="11"/>
    <x v="2"/>
    <x v="105"/>
    <s v="C00000013"/>
    <x v="12"/>
    <x v="16"/>
    <n v="1"/>
    <s v="Cash"/>
    <x v="0"/>
    <d v="2021-05-25T00:00:00"/>
    <x v="12"/>
    <x v="2"/>
    <n v="459"/>
    <n v="-459"/>
    <n v="0"/>
    <n v="388454.74999999988"/>
    <s v="Chq"/>
    <s v="Trsf 21 &amp; 22/5/2021"/>
    <m/>
  </r>
  <r>
    <x v="83"/>
    <x v="11"/>
    <x v="2"/>
    <x v="105"/>
    <s v="C00000013"/>
    <x v="12"/>
    <x v="4"/>
    <n v="1"/>
    <s v="Cash"/>
    <x v="0"/>
    <d v="2021-05-25T00:00:00"/>
    <x v="12"/>
    <x v="2"/>
    <n v="100"/>
    <n v="-100"/>
    <n v="0"/>
    <n v="388554.74999999988"/>
    <s v="Chq"/>
    <s v="Trsf 21 &amp; 22/5/2021"/>
    <m/>
  </r>
  <r>
    <x v="83"/>
    <x v="11"/>
    <x v="2"/>
    <x v="105"/>
    <s v="C00000013"/>
    <x v="12"/>
    <x v="52"/>
    <n v="1"/>
    <s v="Cash"/>
    <x v="0"/>
    <d v="2021-05-25T00:00:00"/>
    <x v="12"/>
    <x v="2"/>
    <n v="380"/>
    <n v="-380"/>
    <n v="0"/>
    <n v="388934.74999999988"/>
    <s v="Chq"/>
    <s v="Trsf 21 &amp; 22/5/2021"/>
    <m/>
  </r>
  <r>
    <x v="83"/>
    <x v="11"/>
    <x v="2"/>
    <x v="105"/>
    <s v="C00000013"/>
    <x v="12"/>
    <x v="5"/>
    <n v="1"/>
    <s v="Cash"/>
    <x v="0"/>
    <d v="2021-05-25T00:00:00"/>
    <x v="12"/>
    <x v="2"/>
    <n v="246"/>
    <n v="-246"/>
    <n v="0"/>
    <n v="389180.74999999988"/>
    <s v="Chq"/>
    <s v="Trsf 21 &amp; 22/5/2021"/>
    <m/>
  </r>
  <r>
    <x v="83"/>
    <x v="11"/>
    <x v="2"/>
    <x v="105"/>
    <s v="C00000013"/>
    <x v="12"/>
    <x v="25"/>
    <n v="2"/>
    <s v="Cash"/>
    <x v="0"/>
    <d v="2021-05-25T00:00:00"/>
    <x v="12"/>
    <x v="2"/>
    <n v="90"/>
    <n v="-90"/>
    <n v="0"/>
    <n v="389270.74999999988"/>
    <s v="Chq"/>
    <s v="Trsf 21 &amp; 22/5/2021"/>
    <m/>
  </r>
  <r>
    <x v="83"/>
    <x v="11"/>
    <x v="2"/>
    <x v="105"/>
    <s v="C00000013"/>
    <x v="12"/>
    <x v="53"/>
    <n v="1"/>
    <s v="Cash"/>
    <x v="0"/>
    <d v="2021-05-25T00:00:00"/>
    <x v="12"/>
    <x v="2"/>
    <n v="68"/>
    <n v="-68"/>
    <n v="0"/>
    <n v="389338.74999999988"/>
    <s v="Chq"/>
    <s v="Trsf 21 &amp; 22/5/2021"/>
    <m/>
  </r>
  <r>
    <x v="83"/>
    <x v="11"/>
    <x v="2"/>
    <x v="105"/>
    <s v="C00000013"/>
    <x v="12"/>
    <x v="54"/>
    <n v="2"/>
    <s v="Cash"/>
    <x v="0"/>
    <d v="2021-05-25T00:00:00"/>
    <x v="12"/>
    <x v="2"/>
    <n v="130"/>
    <n v="-130"/>
    <n v="0"/>
    <n v="389468.74999999988"/>
    <s v="Chq"/>
    <s v="Trsf 21 &amp; 22/5/2021"/>
    <m/>
  </r>
  <r>
    <x v="83"/>
    <x v="11"/>
    <x v="2"/>
    <x v="105"/>
    <s v="C00000013"/>
    <x v="12"/>
    <x v="55"/>
    <n v="1"/>
    <s v="Cash"/>
    <x v="0"/>
    <d v="2021-05-25T00:00:00"/>
    <x v="12"/>
    <x v="2"/>
    <n v="42"/>
    <n v="-42"/>
    <n v="0"/>
    <n v="389510.74999999988"/>
    <s v="Chq"/>
    <s v="Trsf 21 &amp; 22/5/2021"/>
    <m/>
  </r>
  <r>
    <x v="83"/>
    <x v="11"/>
    <x v="2"/>
    <x v="105"/>
    <s v="C00000013"/>
    <x v="12"/>
    <x v="56"/>
    <n v="1"/>
    <s v="Cash"/>
    <x v="0"/>
    <d v="2021-05-25T00:00:00"/>
    <x v="12"/>
    <x v="2"/>
    <n v="60"/>
    <n v="-60"/>
    <n v="0"/>
    <n v="389570.74999999988"/>
    <s v="Chq"/>
    <s v="Trsf 21 &amp; 22/5/2021"/>
    <m/>
  </r>
  <r>
    <x v="83"/>
    <x v="11"/>
    <x v="2"/>
    <x v="105"/>
    <s v="C00000013"/>
    <x v="12"/>
    <x v="15"/>
    <n v="1"/>
    <s v="Cash"/>
    <x v="0"/>
    <d v="2021-05-25T00:00:00"/>
    <x v="12"/>
    <x v="2"/>
    <n v="1870"/>
    <n v="-1870"/>
    <n v="0"/>
    <n v="391440.74999999988"/>
    <s v="Chq"/>
    <s v="Trsf 21 &amp; 22/5/2021"/>
    <m/>
  </r>
  <r>
    <x v="83"/>
    <x v="11"/>
    <x v="2"/>
    <x v="105"/>
    <s v="C00000013"/>
    <x v="12"/>
    <x v="12"/>
    <n v="1"/>
    <s v="Cash"/>
    <x v="0"/>
    <d v="2021-05-25T00:00:00"/>
    <x v="12"/>
    <x v="2"/>
    <n v="55"/>
    <n v="-55"/>
    <n v="0"/>
    <n v="391495.74999999988"/>
    <s v="Chq"/>
    <s v="Trsf 21 &amp; 22/5/2021"/>
    <m/>
  </r>
  <r>
    <x v="83"/>
    <x v="11"/>
    <x v="2"/>
    <x v="106"/>
    <s v="C00000005"/>
    <x v="4"/>
    <x v="4"/>
    <n v="1"/>
    <s v="Cash"/>
    <x v="0"/>
    <d v="2021-05-25T00:00:00"/>
    <x v="12"/>
    <x v="2"/>
    <n v="100"/>
    <n v="-100"/>
    <n v="0"/>
    <n v="391595.74999999988"/>
    <s v="Chq"/>
    <s v="Bank in Cash 27/5/2021"/>
    <m/>
  </r>
  <r>
    <x v="84"/>
    <x v="1"/>
    <x v="2"/>
    <x v="107"/>
    <s v="C00000010"/>
    <x v="9"/>
    <x v="45"/>
    <n v="4"/>
    <n v="120"/>
    <x v="2"/>
    <d v="2021-09-29T00:00:00"/>
    <x v="6"/>
    <x v="2"/>
    <n v="6952"/>
    <n v="-6952"/>
    <n v="0"/>
    <n v="398547.74999999988"/>
    <s v="Trsf"/>
    <s v="Trsf 20/10/2021"/>
    <m/>
  </r>
  <r>
    <x v="84"/>
    <x v="1"/>
    <x v="2"/>
    <x v="108"/>
    <s v="C00000009"/>
    <x v="8"/>
    <x v="57"/>
    <n v="3"/>
    <n v="60"/>
    <x v="3"/>
    <d v="2021-06-26T00:00:00"/>
    <x v="1"/>
    <x v="2"/>
    <n v="1530"/>
    <n v="-1530"/>
    <n v="0"/>
    <n v="400077.74999999988"/>
    <s v="Chq"/>
    <s v="HLB 012142, cleared20/12/21"/>
    <m/>
  </r>
  <r>
    <x v="84"/>
    <x v="1"/>
    <x v="2"/>
    <x v="108"/>
    <s v="C00000009"/>
    <x v="8"/>
    <x v="58"/>
    <n v="5"/>
    <n v="60"/>
    <x v="3"/>
    <d v="2021-06-26T00:00:00"/>
    <x v="1"/>
    <x v="2"/>
    <n v="2295"/>
    <n v="-2295"/>
    <n v="0"/>
    <n v="402372.74999999988"/>
    <s v="Chq"/>
    <s v="HLB 012142, cleared20/12/21"/>
    <m/>
  </r>
  <r>
    <x v="84"/>
    <x v="1"/>
    <x v="2"/>
    <x v="109"/>
    <s v="C00000009"/>
    <x v="8"/>
    <x v="5"/>
    <n v="3"/>
    <n v="60"/>
    <x v="3"/>
    <d v="2021-06-26T00:00:00"/>
    <x v="1"/>
    <x v="2"/>
    <n v="690"/>
    <n v="-690"/>
    <n v="0"/>
    <n v="403062.74999999988"/>
    <s v="Chq"/>
    <s v="HLB 012142, cleared20/12/21"/>
    <m/>
  </r>
  <r>
    <x v="84"/>
    <x v="1"/>
    <x v="2"/>
    <x v="110"/>
    <s v="C00000010"/>
    <x v="9"/>
    <x v="12"/>
    <n v="10"/>
    <n v="120"/>
    <x v="2"/>
    <d v="2021-09-29T00:00:00"/>
    <x v="6"/>
    <x v="2"/>
    <n v="550"/>
    <n v="-550"/>
    <n v="0"/>
    <n v="403612.74999999988"/>
    <s v="Trsf"/>
    <s v="Trsf 20/10/2021"/>
    <m/>
  </r>
  <r>
    <x v="84"/>
    <x v="1"/>
    <x v="2"/>
    <x v="110"/>
    <s v="C00000010"/>
    <x v="9"/>
    <x v="4"/>
    <n v="4"/>
    <n v="120"/>
    <x v="2"/>
    <d v="2021-09-29T00:00:00"/>
    <x v="6"/>
    <x v="2"/>
    <n v="380"/>
    <n v="-380"/>
    <n v="0"/>
    <n v="403992.74999999988"/>
    <s v="Trsf"/>
    <s v="Trsf 20/10/2021"/>
    <m/>
  </r>
  <r>
    <x v="85"/>
    <x v="4"/>
    <x v="2"/>
    <x v="111"/>
    <s v="C00000017"/>
    <x v="16"/>
    <x v="59"/>
    <n v="2"/>
    <s v="Cash"/>
    <x v="0"/>
    <d v="2021-09-01T00:00:00"/>
    <x v="6"/>
    <x v="2"/>
    <n v="600"/>
    <n v="-600"/>
    <n v="0"/>
    <n v="404592.74999999988"/>
    <s v="Trsf"/>
    <s v="Advance payment 26/7/2021"/>
    <m/>
  </r>
  <r>
    <x v="85"/>
    <x v="4"/>
    <x v="2"/>
    <x v="111"/>
    <s v="C00000017"/>
    <x v="16"/>
    <x v="26"/>
    <n v="1"/>
    <s v="Cash"/>
    <x v="0"/>
    <d v="2021-09-01T00:00:00"/>
    <x v="6"/>
    <x v="2"/>
    <n v="255"/>
    <n v="-255"/>
    <n v="0"/>
    <n v="404847.74999999988"/>
    <s v="Trsf"/>
    <s v="Advance payment 26/7/2021"/>
    <m/>
  </r>
  <r>
    <x v="85"/>
    <x v="4"/>
    <x v="2"/>
    <x v="112"/>
    <s v="C00000005"/>
    <x v="4"/>
    <x v="15"/>
    <n v="1"/>
    <s v="Cash"/>
    <x v="0"/>
    <d v="2021-09-01T00:00:00"/>
    <x v="6"/>
    <x v="2"/>
    <n v="1826"/>
    <n v="-1826"/>
    <n v="0"/>
    <n v="406673.74999999988"/>
    <s v="Chq"/>
    <s v="Advance payment 20/8/2021"/>
    <m/>
  </r>
  <r>
    <x v="85"/>
    <x v="4"/>
    <x v="2"/>
    <x v="113"/>
    <s v="C00000005"/>
    <x v="4"/>
    <x v="15"/>
    <n v="1"/>
    <s v="Cash"/>
    <x v="0"/>
    <d v="2021-09-01T00:00:00"/>
    <x v="6"/>
    <x v="2"/>
    <n v="1826"/>
    <n v="-1826"/>
    <n v="0"/>
    <n v="408499.74999999988"/>
    <s v="Chq"/>
    <s v="Advance payment 9/9/2021"/>
    <m/>
  </r>
  <r>
    <x v="85"/>
    <x v="4"/>
    <x v="2"/>
    <x v="113"/>
    <s v="C00000005"/>
    <x v="4"/>
    <x v="4"/>
    <n v="1"/>
    <s v="Cash"/>
    <x v="0"/>
    <d v="2021-09-01T00:00:00"/>
    <x v="6"/>
    <x v="2"/>
    <n v="100"/>
    <n v="-100"/>
    <n v="0"/>
    <n v="408599.74999999988"/>
    <s v="Chq"/>
    <s v="Advance payment 9/9/2021"/>
    <m/>
  </r>
  <r>
    <x v="85"/>
    <x v="4"/>
    <x v="2"/>
    <x v="114"/>
    <s v="C00000004"/>
    <x v="3"/>
    <x v="57"/>
    <n v="4"/>
    <n v="120"/>
    <x v="2"/>
    <d v="2021-12-30T00:00:00"/>
    <x v="0"/>
    <x v="2"/>
    <n v="2016"/>
    <n v="-2016"/>
    <n v="0"/>
    <n v="410615.74999999988"/>
    <s v="Chq"/>
    <s v="Chq HLB009259 dd 170122"/>
    <m/>
  </r>
  <r>
    <x v="85"/>
    <x v="4"/>
    <x v="2"/>
    <x v="114"/>
    <s v="C00000004"/>
    <x v="3"/>
    <x v="58"/>
    <n v="4"/>
    <n v="120"/>
    <x v="2"/>
    <d v="2021-12-30T00:00:00"/>
    <x v="0"/>
    <x v="2"/>
    <n v="1814.4"/>
    <n v="-1814.4"/>
    <n v="0"/>
    <n v="412430.14999999991"/>
    <s v="Chq"/>
    <s v="Chq HLB009259 dd 170122"/>
    <m/>
  </r>
  <r>
    <x v="85"/>
    <x v="4"/>
    <x v="2"/>
    <x v="115"/>
    <s v="C00000002"/>
    <x v="1"/>
    <x v="45"/>
    <n v="2"/>
    <s v="Cash"/>
    <x v="0"/>
    <d v="2021-09-01T00:00:00"/>
    <x v="6"/>
    <x v="2"/>
    <n v="3432"/>
    <n v="-3432"/>
    <n v="0"/>
    <n v="415862.14999999991"/>
    <s v="Chq"/>
    <s v="Chq 494585,  Cleared 13/10/21"/>
    <m/>
  </r>
  <r>
    <x v="86"/>
    <x v="4"/>
    <x v="2"/>
    <x v="116"/>
    <s v="C00000003"/>
    <x v="2"/>
    <x v="15"/>
    <n v="3"/>
    <n v="45"/>
    <x v="1"/>
    <d v="2021-10-29T00:00:00"/>
    <x v="3"/>
    <x v="2"/>
    <n v="5610"/>
    <n v="-5610"/>
    <n v="0"/>
    <n v="421472.14999999991"/>
    <s v="PD Chq"/>
    <s v="30/10/2021 RHB 001446 RM1,400.00, Chq cleared on 1/11/2021"/>
    <m/>
  </r>
  <r>
    <x v="86"/>
    <x v="4"/>
    <x v="2"/>
    <x v="116"/>
    <s v="C00000003"/>
    <x v="2"/>
    <x v="12"/>
    <n v="4"/>
    <n v="45"/>
    <x v="1"/>
    <d v="2021-10-29T00:00:00"/>
    <x v="3"/>
    <x v="2"/>
    <n v="200"/>
    <n v="-200"/>
    <n v="0"/>
    <n v="421672.14999999991"/>
    <s v="PD Chq"/>
    <s v="13/11/2021 RHB 001447 RM1,400.00, Chq cleared on 15/11/21"/>
    <m/>
  </r>
  <r>
    <x v="86"/>
    <x v="4"/>
    <x v="2"/>
    <x v="116"/>
    <s v="C00000003"/>
    <x v="2"/>
    <x v="4"/>
    <n v="6"/>
    <n v="45"/>
    <x v="1"/>
    <d v="2021-10-29T00:00:00"/>
    <x v="3"/>
    <x v="2"/>
    <n v="600"/>
    <n v="-600"/>
    <n v="0"/>
    <n v="422272.14999999991"/>
    <s v="PD Chq"/>
    <s v="20/11/2021 RHB 001448 RM1,400.00, Chq cleared on 22/11/21"/>
    <m/>
  </r>
  <r>
    <x v="86"/>
    <x v="4"/>
    <x v="2"/>
    <x v="116"/>
    <s v="C00000003"/>
    <x v="2"/>
    <x v="25"/>
    <n v="1"/>
    <n v="45"/>
    <x v="1"/>
    <d v="2021-10-29T00:00:00"/>
    <x v="3"/>
    <x v="2"/>
    <n v="45"/>
    <n v="-45"/>
    <n v="0"/>
    <n v="422317.14999999991"/>
    <s v="PD Chq"/>
    <s v="27/11/2021 RHB 001449 RM1,400.00, Chq cleared on 30/11/21"/>
    <m/>
  </r>
  <r>
    <x v="86"/>
    <x v="4"/>
    <x v="2"/>
    <x v="116"/>
    <s v="C00000003"/>
    <x v="2"/>
    <x v="16"/>
    <n v="1"/>
    <n v="45"/>
    <x v="1"/>
    <d v="2021-10-29T00:00:00"/>
    <x v="3"/>
    <x v="2"/>
    <n v="459"/>
    <n v="-459"/>
    <n v="0"/>
    <n v="422776.14999999991"/>
    <s v="PD Chq"/>
    <s v="30/11/2021 RHB 001450 RM1,314.00, Chq cleared on 30/11/21"/>
    <m/>
  </r>
  <r>
    <x v="86"/>
    <x v="4"/>
    <x v="2"/>
    <x v="117"/>
    <s v="C00000010"/>
    <x v="9"/>
    <x v="45"/>
    <n v="6"/>
    <n v="120"/>
    <x v="2"/>
    <d v="2022-01-12T00:00:00"/>
    <x v="7"/>
    <x v="4"/>
    <n v="10428"/>
    <n v="-10428"/>
    <n v="0"/>
    <n v="433204.14999999991"/>
    <s v="Trsf"/>
    <s v="Trsf 13/12/2021"/>
    <m/>
  </r>
  <r>
    <x v="86"/>
    <x v="4"/>
    <x v="2"/>
    <x v="117"/>
    <s v="C00000010"/>
    <x v="9"/>
    <x v="28"/>
    <n v="10"/>
    <n v="120"/>
    <x v="2"/>
    <d v="2022-01-12T00:00:00"/>
    <x v="7"/>
    <x v="4"/>
    <n v="2550"/>
    <n v="-2550"/>
    <n v="0"/>
    <n v="435754.14999999991"/>
    <s v="Trsf"/>
    <s v="Trsf 13/12/2021"/>
    <m/>
  </r>
  <r>
    <x v="86"/>
    <x v="4"/>
    <x v="2"/>
    <x v="117"/>
    <s v="C00000010"/>
    <x v="9"/>
    <x v="12"/>
    <n v="10"/>
    <n v="120"/>
    <x v="2"/>
    <d v="2022-01-12T00:00:00"/>
    <x v="7"/>
    <x v="4"/>
    <n v="550"/>
    <n v="-550"/>
    <n v="0"/>
    <n v="436304.14999999991"/>
    <s v="Trsf"/>
    <s v="Trsf 13/12/2021"/>
    <m/>
  </r>
  <r>
    <x v="86"/>
    <x v="4"/>
    <x v="2"/>
    <x v="117"/>
    <s v="C00000010"/>
    <x v="9"/>
    <x v="60"/>
    <n v="4"/>
    <n v="120"/>
    <x v="2"/>
    <d v="2022-01-12T00:00:00"/>
    <x v="7"/>
    <x v="4"/>
    <n v="320"/>
    <n v="-320"/>
    <n v="0"/>
    <n v="436624.14999999991"/>
    <s v="Trsf"/>
    <s v="Trsf 13/12/2021"/>
    <m/>
  </r>
  <r>
    <x v="86"/>
    <x v="4"/>
    <x v="2"/>
    <x v="117"/>
    <s v="C00000010"/>
    <x v="9"/>
    <x v="37"/>
    <n v="1"/>
    <n v="120"/>
    <x v="2"/>
    <d v="2022-01-12T00:00:00"/>
    <x v="7"/>
    <x v="4"/>
    <n v="360"/>
    <n v="-360"/>
    <n v="0"/>
    <n v="436984.14999999991"/>
    <s v="Trsf"/>
    <s v="Trsf 13/12/2021"/>
    <m/>
  </r>
  <r>
    <x v="87"/>
    <x v="4"/>
    <x v="2"/>
    <x v="118"/>
    <s v="C00000018"/>
    <x v="17"/>
    <x v="15"/>
    <n v="4"/>
    <s v="Cash"/>
    <x v="0"/>
    <d v="2021-09-21T00:00:00"/>
    <x v="6"/>
    <x v="2"/>
    <n v="6952"/>
    <n v="-6952"/>
    <n v="0"/>
    <n v="443936.14999999991"/>
    <s v="Trsf"/>
    <s v="Trsf 21/9/2021"/>
    <m/>
  </r>
  <r>
    <x v="87"/>
    <x v="4"/>
    <x v="2"/>
    <x v="118"/>
    <s v="C00000018"/>
    <x v="17"/>
    <x v="28"/>
    <n v="10"/>
    <s v="Cash"/>
    <x v="0"/>
    <d v="2021-09-21T00:00:00"/>
    <x v="6"/>
    <x v="2"/>
    <n v="2400"/>
    <n v="-2400"/>
    <n v="0"/>
    <n v="446336.14999999991"/>
    <s v="Trsf"/>
    <s v="Trsf 21/9/2021"/>
    <m/>
  </r>
  <r>
    <x v="87"/>
    <x v="4"/>
    <x v="2"/>
    <x v="118"/>
    <s v="C00000018"/>
    <x v="17"/>
    <x v="60"/>
    <n v="3"/>
    <s v="Cash"/>
    <x v="0"/>
    <d v="2021-09-21T00:00:00"/>
    <x v="6"/>
    <x v="2"/>
    <n v="240"/>
    <n v="-240"/>
    <n v="0"/>
    <n v="446576.14999999991"/>
    <s v="Trsf"/>
    <s v="Trsf 21/9/2021"/>
    <m/>
  </r>
  <r>
    <x v="88"/>
    <x v="4"/>
    <x v="2"/>
    <x v="119"/>
    <s v="C00000001"/>
    <x v="0"/>
    <x v="15"/>
    <n v="1"/>
    <s v="Cash"/>
    <x v="0"/>
    <d v="2021-09-25T00:00:00"/>
    <x v="6"/>
    <x v="2"/>
    <n v="1870"/>
    <n v="-1870"/>
    <n v="0"/>
    <n v="448446.14999999991"/>
    <s v="Trsf"/>
    <s v="Trsf 4/10/2021"/>
    <m/>
  </r>
  <r>
    <x v="89"/>
    <x v="4"/>
    <x v="2"/>
    <x v="120"/>
    <s v="C00000004"/>
    <x v="3"/>
    <x v="45"/>
    <n v="5"/>
    <n v="120"/>
    <x v="2"/>
    <d v="2022-01-25T00:00:00"/>
    <x v="7"/>
    <x v="4"/>
    <n v="8690"/>
    <n v="-8690"/>
    <n v="0"/>
    <n v="457136.14999999991"/>
    <s v="Chq"/>
    <s v="Chq HLB009259 dd 170122"/>
    <m/>
  </r>
  <r>
    <x v="89"/>
    <x v="4"/>
    <x v="2"/>
    <x v="120"/>
    <s v="C00000004"/>
    <x v="3"/>
    <x v="61"/>
    <n v="1"/>
    <n v="120"/>
    <x v="2"/>
    <d v="2022-01-25T00:00:00"/>
    <x v="7"/>
    <x v="4"/>
    <n v="1738"/>
    <n v="-1738"/>
    <n v="0"/>
    <n v="458874.14999999991"/>
    <s v="Chq"/>
    <s v="Chq HLB009259 dd 170122"/>
    <m/>
  </r>
  <r>
    <x v="89"/>
    <x v="4"/>
    <x v="2"/>
    <x v="120"/>
    <s v="C00000004"/>
    <x v="3"/>
    <x v="57"/>
    <n v="4"/>
    <n v="120"/>
    <x v="2"/>
    <d v="2022-01-25T00:00:00"/>
    <x v="7"/>
    <x v="4"/>
    <n v="2016"/>
    <n v="-2016"/>
    <n v="0"/>
    <n v="460890.14999999991"/>
    <s v="Chq"/>
    <s v="Chq HLB009259 dd 170122"/>
    <m/>
  </r>
  <r>
    <x v="89"/>
    <x v="4"/>
    <x v="2"/>
    <x v="120"/>
    <s v="C00000004"/>
    <x v="3"/>
    <x v="60"/>
    <n v="1"/>
    <n v="120"/>
    <x v="2"/>
    <d v="2022-01-25T00:00:00"/>
    <x v="7"/>
    <x v="4"/>
    <n v="80"/>
    <n v="-80"/>
    <n v="0"/>
    <n v="460970.14999999991"/>
    <s v="Chq"/>
    <s v="Chq HLB009259 dd 170122"/>
    <m/>
  </r>
  <r>
    <x v="90"/>
    <x v="4"/>
    <x v="2"/>
    <x v="121"/>
    <s v="C00000005"/>
    <x v="4"/>
    <x v="15"/>
    <n v="1"/>
    <s v="Cash"/>
    <x v="0"/>
    <d v="2021-09-28T00:00:00"/>
    <x v="6"/>
    <x v="2"/>
    <n v="1826"/>
    <n v="-1826"/>
    <n v="0"/>
    <n v="462796.14999999991"/>
    <s v="Chq"/>
    <s v="Chq CIMB 000086, cleared 8/10/2021"/>
    <m/>
  </r>
  <r>
    <x v="91"/>
    <x v="4"/>
    <x v="2"/>
    <x v="122"/>
    <s v="C00000004"/>
    <x v="3"/>
    <x v="4"/>
    <n v="3"/>
    <n v="120"/>
    <x v="2"/>
    <d v="2022-01-28T00:00:00"/>
    <x v="7"/>
    <x v="4"/>
    <n v="240"/>
    <n v="-240"/>
    <n v="0"/>
    <n v="463036.14999999991"/>
    <s v="Chq"/>
    <s v="Chq HLB009259 dd 170122"/>
    <m/>
  </r>
  <r>
    <x v="92"/>
    <x v="5"/>
    <x v="2"/>
    <x v="123"/>
    <s v="C00000006"/>
    <x v="5"/>
    <x v="5"/>
    <n v="1"/>
    <s v="Cash"/>
    <x v="0"/>
    <d v="2021-10-01T00:00:00"/>
    <x v="3"/>
    <x v="2"/>
    <n v="240"/>
    <n v="-240"/>
    <n v="0"/>
    <n v="463276.14999999991"/>
    <s v="Chq"/>
    <s v="chq 934897 5/11/2021"/>
    <m/>
  </r>
  <r>
    <x v="93"/>
    <x v="5"/>
    <x v="2"/>
    <x v="124"/>
    <s v="C00000019"/>
    <x v="18"/>
    <x v="45"/>
    <n v="2"/>
    <s v="Cash"/>
    <x v="0"/>
    <d v="2021-10-02T00:00:00"/>
    <x v="3"/>
    <x v="2"/>
    <n v="3696"/>
    <n v="-3696"/>
    <n v="0"/>
    <n v="466972.14999999991"/>
    <s v="Trsf"/>
    <s v="Trsf 2/10/2021"/>
    <m/>
  </r>
  <r>
    <x v="93"/>
    <x v="5"/>
    <x v="2"/>
    <x v="124"/>
    <s v="C00000019"/>
    <x v="18"/>
    <x v="10"/>
    <n v="1"/>
    <s v="Cash"/>
    <x v="0"/>
    <d v="2021-10-02T00:00:00"/>
    <x v="3"/>
    <x v="2"/>
    <n v="475.2"/>
    <n v="-475.2"/>
    <n v="0"/>
    <n v="467447.34999999992"/>
    <s v="Trsf"/>
    <s v="Trsf 2/10/2021"/>
    <m/>
  </r>
  <r>
    <x v="93"/>
    <x v="5"/>
    <x v="2"/>
    <x v="124"/>
    <s v="C00000019"/>
    <x v="18"/>
    <x v="52"/>
    <n v="2"/>
    <s v="Cash"/>
    <x v="0"/>
    <d v="2021-10-02T00:00:00"/>
    <x v="3"/>
    <x v="2"/>
    <n v="720"/>
    <n v="-720"/>
    <n v="0"/>
    <n v="468167.34999999992"/>
    <s v="Trsf"/>
    <s v="Trsf 2/10/2021"/>
    <m/>
  </r>
  <r>
    <x v="93"/>
    <x v="5"/>
    <x v="2"/>
    <x v="124"/>
    <s v="C00000019"/>
    <x v="18"/>
    <x v="12"/>
    <n v="3"/>
    <s v="Cash"/>
    <x v="0"/>
    <d v="2021-10-02T00:00:00"/>
    <x v="3"/>
    <x v="2"/>
    <n v="165"/>
    <n v="-165"/>
    <n v="0"/>
    <n v="468332.34999999992"/>
    <s v="Trsf"/>
    <s v="Trsf 2/10/2021"/>
    <m/>
  </r>
  <r>
    <x v="94"/>
    <x v="5"/>
    <x v="2"/>
    <x v="125"/>
    <s v="C00000019"/>
    <x v="18"/>
    <x v="4"/>
    <n v="1"/>
    <s v="Cash"/>
    <x v="0"/>
    <d v="2021-10-05T00:00:00"/>
    <x v="3"/>
    <x v="2"/>
    <n v="100"/>
    <n v="-100"/>
    <n v="0"/>
    <n v="468432.34999999992"/>
    <s v="Trsf"/>
    <s v="Trsf 11/10/2021"/>
    <m/>
  </r>
  <r>
    <x v="94"/>
    <x v="5"/>
    <x v="2"/>
    <x v="126"/>
    <s v="C00000010"/>
    <x v="9"/>
    <x v="45"/>
    <n v="6"/>
    <n v="120"/>
    <x v="2"/>
    <d v="2022-02-02T00:00:00"/>
    <x v="8"/>
    <x v="4"/>
    <n v="10428"/>
    <n v="-10428"/>
    <n v="0"/>
    <n v="478860.34999999992"/>
    <s v="Trsf"/>
    <s v="Trsf 10/2/2022 RM35,864.00"/>
    <m/>
  </r>
  <r>
    <x v="94"/>
    <x v="5"/>
    <x v="2"/>
    <x v="126"/>
    <s v="C00000010"/>
    <x v="9"/>
    <x v="28"/>
    <n v="4"/>
    <n v="120"/>
    <x v="2"/>
    <d v="2022-02-02T00:00:00"/>
    <x v="8"/>
    <x v="4"/>
    <n v="1258"/>
    <n v="-1258"/>
    <n v="0"/>
    <n v="480118.34999999992"/>
    <s v="Trsf"/>
    <s v="Trsf 10/2/2022 RM35,864.00"/>
    <m/>
  </r>
  <r>
    <x v="94"/>
    <x v="5"/>
    <x v="2"/>
    <x v="126"/>
    <s v="C00000010"/>
    <x v="9"/>
    <x v="12"/>
    <n v="5"/>
    <n v="120"/>
    <x v="2"/>
    <d v="2022-02-02T00:00:00"/>
    <x v="8"/>
    <x v="4"/>
    <n v="275"/>
    <n v="-275"/>
    <n v="0"/>
    <n v="480393.34999999992"/>
    <s v="Trsf"/>
    <s v="Trsf 10/2/2022 RM35,864.00"/>
    <m/>
  </r>
  <r>
    <x v="94"/>
    <x v="5"/>
    <x v="2"/>
    <x v="126"/>
    <s v="C00000010"/>
    <x v="9"/>
    <x v="60"/>
    <n v="2"/>
    <n v="120"/>
    <x v="2"/>
    <d v="2022-02-02T00:00:00"/>
    <x v="8"/>
    <x v="4"/>
    <n v="160"/>
    <n v="-160"/>
    <n v="0"/>
    <n v="480553.34999999992"/>
    <s v="Trsf"/>
    <s v="Trsf 10/2/2022 RM35,864.00"/>
    <m/>
  </r>
  <r>
    <x v="95"/>
    <x v="5"/>
    <x v="2"/>
    <x v="127"/>
    <s v="C00000003"/>
    <x v="2"/>
    <x v="62"/>
    <n v="1"/>
    <n v="45"/>
    <x v="1"/>
    <d v="2021-11-21T00:00:00"/>
    <x v="5"/>
    <x v="2"/>
    <n v="1870"/>
    <n v="-1870"/>
    <n v="0"/>
    <n v="482423.34999999992"/>
    <s v="PD Chq"/>
    <s v="RHB 001451cleared6/12/21-RM1,314.00(1,314.00partial, 1452cleared14/12/21-RM1,500(RM556.00partial)"/>
    <m/>
  </r>
  <r>
    <x v="95"/>
    <x v="5"/>
    <x v="2"/>
    <x v="127"/>
    <s v="C00000003"/>
    <x v="2"/>
    <x v="12"/>
    <n v="6"/>
    <n v="45"/>
    <x v="1"/>
    <d v="2021-11-21T00:00:00"/>
    <x v="5"/>
    <x v="2"/>
    <n v="300"/>
    <n v="-300"/>
    <n v="0"/>
    <n v="482723.34999999992"/>
    <s v="PD Chq"/>
    <s v="RHB 001452cleared14/12/21-RM1.500.00(300.00partial)"/>
    <m/>
  </r>
  <r>
    <x v="95"/>
    <x v="5"/>
    <x v="2"/>
    <x v="127"/>
    <s v="C00000003"/>
    <x v="2"/>
    <x v="60"/>
    <n v="2"/>
    <n v="45"/>
    <x v="1"/>
    <d v="2021-11-21T00:00:00"/>
    <x v="5"/>
    <x v="2"/>
    <n v="160"/>
    <n v="-160"/>
    <n v="0"/>
    <n v="482883.34999999992"/>
    <s v="PD Chq"/>
    <s v="RHB 001452cleared14/12/21-RM1.500.00(160.00patial)"/>
    <m/>
  </r>
  <r>
    <x v="96"/>
    <x v="5"/>
    <x v="2"/>
    <x v="128"/>
    <s v="C00000003"/>
    <x v="2"/>
    <x v="63"/>
    <n v="1"/>
    <n v="45"/>
    <x v="1"/>
    <d v="2021-11-22T00:00:00"/>
    <x v="5"/>
    <x v="2"/>
    <n v="1300"/>
    <n v="-1300"/>
    <n v="0"/>
    <n v="484183.34999999992"/>
    <s v="PD Chq"/>
    <s v="RHB 001452cleared14/12/21-RM1.500.00(484.00patial), 1453cleared20/12/21-RM1,500.00(816.00patial)"/>
    <m/>
  </r>
  <r>
    <x v="97"/>
    <x v="5"/>
    <x v="2"/>
    <x v="129"/>
    <s v="C00000020"/>
    <x v="19"/>
    <x v="43"/>
    <n v="1"/>
    <s v="Cash"/>
    <x v="0"/>
    <d v="2021-10-09T00:00:00"/>
    <x v="3"/>
    <x v="2"/>
    <n v="1760"/>
    <n v="-1760"/>
    <n v="0"/>
    <n v="485943.34999999992"/>
    <s v="Trsf"/>
    <s v="Trsf 11/10/2021"/>
    <m/>
  </r>
  <r>
    <x v="98"/>
    <x v="5"/>
    <x v="2"/>
    <x v="130"/>
    <s v="C00000013"/>
    <x v="12"/>
    <x v="12"/>
    <n v="2"/>
    <s v="Cash"/>
    <x v="0"/>
    <d v="2021-10-11T00:00:00"/>
    <x v="3"/>
    <x v="2"/>
    <n v="125"/>
    <n v="-125"/>
    <n v="0"/>
    <n v="486068.34999999992"/>
    <s v="Chq"/>
    <s v="Trsf 11/10/2021"/>
    <m/>
  </r>
  <r>
    <x v="98"/>
    <x v="5"/>
    <x v="2"/>
    <x v="130"/>
    <s v="C00000013"/>
    <x v="12"/>
    <x v="60"/>
    <n v="1"/>
    <s v="Cash"/>
    <x v="0"/>
    <d v="2021-10-11T00:00:00"/>
    <x v="3"/>
    <x v="2"/>
    <n v="80"/>
    <n v="-80"/>
    <n v="0"/>
    <n v="486148.34999999992"/>
    <s v="Chq"/>
    <s v="Trsf 11/10/2021"/>
    <m/>
  </r>
  <r>
    <x v="99"/>
    <x v="5"/>
    <x v="2"/>
    <x v="131"/>
    <s v="C00000020"/>
    <x v="19"/>
    <x v="64"/>
    <n v="4"/>
    <s v="Cash"/>
    <x v="0"/>
    <d v="2021-10-12T00:00:00"/>
    <x v="3"/>
    <x v="2"/>
    <n v="7650"/>
    <n v="-7650"/>
    <n v="0"/>
    <n v="493798.34999999992"/>
    <s v="Trsf"/>
    <s v="Trsf 13/10/2021"/>
    <m/>
  </r>
  <r>
    <x v="99"/>
    <x v="5"/>
    <x v="2"/>
    <x v="131"/>
    <s v="C00000020"/>
    <x v="19"/>
    <x v="65"/>
    <n v="10"/>
    <s v="Cash"/>
    <x v="0"/>
    <d v="2021-10-12T00:00:00"/>
    <x v="3"/>
    <x v="2"/>
    <n v="3182"/>
    <n v="-3182"/>
    <n v="0"/>
    <n v="496980.34999999992"/>
    <s v="Trsf"/>
    <s v="Trsf 13/10/2021"/>
    <m/>
  </r>
  <r>
    <x v="99"/>
    <x v="5"/>
    <x v="2"/>
    <x v="131"/>
    <s v="C00000020"/>
    <x v="19"/>
    <x v="12"/>
    <n v="2"/>
    <s v="Cash"/>
    <x v="0"/>
    <d v="2021-10-12T00:00:00"/>
    <x v="3"/>
    <x v="2"/>
    <n v="125"/>
    <n v="-125"/>
    <n v="0"/>
    <n v="497105.34999999992"/>
    <s v="Trsf"/>
    <s v="Trsf 13/10/2021"/>
    <m/>
  </r>
  <r>
    <x v="99"/>
    <x v="5"/>
    <x v="2"/>
    <x v="131"/>
    <s v="C00000020"/>
    <x v="19"/>
    <x v="60"/>
    <n v="4"/>
    <s v="Cash"/>
    <x v="0"/>
    <d v="2021-10-12T00:00:00"/>
    <x v="3"/>
    <x v="2"/>
    <n v="320"/>
    <n v="-320"/>
    <n v="0"/>
    <n v="497425.34999999992"/>
    <s v="Trsf"/>
    <s v="Trsf 13/10/2021"/>
    <m/>
  </r>
  <r>
    <x v="99"/>
    <x v="5"/>
    <x v="2"/>
    <x v="131"/>
    <s v="C00000020"/>
    <x v="19"/>
    <x v="66"/>
    <n v="4"/>
    <s v="Cash"/>
    <x v="0"/>
    <d v="2021-10-12T00:00:00"/>
    <x v="3"/>
    <x v="2"/>
    <n v="1350"/>
    <n v="-1350"/>
    <n v="0"/>
    <n v="498775.34999999992"/>
    <s v="Trsf"/>
    <s v="Trsf 13/10/2021"/>
    <m/>
  </r>
  <r>
    <x v="100"/>
    <x v="5"/>
    <x v="2"/>
    <x v="132"/>
    <s v="C00000019"/>
    <x v="18"/>
    <x v="45"/>
    <n v="2"/>
    <s v="Cash"/>
    <x v="0"/>
    <d v="2021-10-13T00:00:00"/>
    <x v="3"/>
    <x v="2"/>
    <n v="3696"/>
    <n v="-3696"/>
    <n v="0"/>
    <n v="502471.34999999992"/>
    <s v="Trsf"/>
    <s v="Trsf 14/10/2021"/>
    <m/>
  </r>
  <r>
    <x v="100"/>
    <x v="5"/>
    <x v="2"/>
    <x v="132"/>
    <s v="C00000019"/>
    <x v="18"/>
    <x v="67"/>
    <n v="2"/>
    <s v="Cash"/>
    <x v="0"/>
    <d v="2021-10-13T00:00:00"/>
    <x v="3"/>
    <x v="2"/>
    <n v="950.4"/>
    <n v="-950.4"/>
    <n v="0"/>
    <n v="503421.74999999994"/>
    <s v="Trsf"/>
    <s v="Trsf 14/10/2021"/>
    <m/>
  </r>
  <r>
    <x v="100"/>
    <x v="5"/>
    <x v="2"/>
    <x v="132"/>
    <s v="C00000019"/>
    <x v="18"/>
    <x v="37"/>
    <n v="1"/>
    <s v="Cash"/>
    <x v="0"/>
    <d v="2021-10-13T00:00:00"/>
    <x v="3"/>
    <x v="2"/>
    <n v="360"/>
    <n v="-360"/>
    <n v="0"/>
    <n v="503781.74999999994"/>
    <s v="Trsf"/>
    <s v="Trsf 14/10/2021"/>
    <m/>
  </r>
  <r>
    <x v="101"/>
    <x v="5"/>
    <x v="2"/>
    <x v="133"/>
    <s v="C00000019"/>
    <x v="18"/>
    <x v="68"/>
    <n v="6"/>
    <s v="Cash"/>
    <x v="0"/>
    <d v="2021-10-14T00:00:00"/>
    <x v="3"/>
    <x v="2"/>
    <n v="300"/>
    <n v="-300"/>
    <n v="0"/>
    <n v="504081.74999999994"/>
    <s v="Trsf"/>
    <s v="Trsf 14/10/2021"/>
    <m/>
  </r>
  <r>
    <x v="101"/>
    <x v="5"/>
    <x v="2"/>
    <x v="133"/>
    <s v="C00000019"/>
    <x v="18"/>
    <x v="4"/>
    <n v="1"/>
    <s v="Cash"/>
    <x v="0"/>
    <d v="2021-10-14T00:00:00"/>
    <x v="3"/>
    <x v="2"/>
    <n v="100"/>
    <n v="-100"/>
    <n v="0"/>
    <n v="504181.74999999994"/>
    <s v="Trsf"/>
    <s v="Trsf 14/10/2021"/>
    <m/>
  </r>
  <r>
    <x v="101"/>
    <x v="5"/>
    <x v="2"/>
    <x v="134"/>
    <s v="C00000009"/>
    <x v="8"/>
    <x v="57"/>
    <n v="10"/>
    <n v="60"/>
    <x v="3"/>
    <d v="2021-12-13T00:00:00"/>
    <x v="0"/>
    <x v="2"/>
    <n v="5100"/>
    <n v="-5100"/>
    <n v="0"/>
    <n v="509281.74999999994"/>
    <s v="Chq"/>
    <s v="Chq HLB013309 dd 260122"/>
    <m/>
  </r>
  <r>
    <x v="102"/>
    <x v="5"/>
    <x v="2"/>
    <x v="135"/>
    <s v="C00000014"/>
    <x v="13"/>
    <x v="69"/>
    <n v="3"/>
    <s v="Cash"/>
    <x v="0"/>
    <d v="2021-10-15T00:00:00"/>
    <x v="3"/>
    <x v="2"/>
    <n v="2025"/>
    <n v="-2025"/>
    <n v="0"/>
    <n v="511306.74999999994"/>
    <s v="Cash"/>
    <s v="Cash 17/10/2021"/>
    <m/>
  </r>
  <r>
    <x v="102"/>
    <x v="5"/>
    <x v="2"/>
    <x v="135"/>
    <s v="C00000014"/>
    <x v="13"/>
    <x v="65"/>
    <n v="2"/>
    <s v="Cash"/>
    <x v="0"/>
    <d v="2021-10-15T00:00:00"/>
    <x v="3"/>
    <x v="2"/>
    <n v="516"/>
    <n v="-516"/>
    <n v="0"/>
    <n v="511822.74999999994"/>
    <s v="Cash"/>
    <s v="Cash 17/10/2021"/>
    <m/>
  </r>
  <r>
    <x v="102"/>
    <x v="5"/>
    <x v="2"/>
    <x v="135"/>
    <s v="C00000014"/>
    <x v="13"/>
    <x v="12"/>
    <n v="1"/>
    <s v="Cash"/>
    <x v="0"/>
    <d v="2021-10-15T00:00:00"/>
    <x v="3"/>
    <x v="2"/>
    <n v="55"/>
    <n v="-55"/>
    <n v="0"/>
    <n v="511877.74999999994"/>
    <s v="Cash"/>
    <s v="Cash 17/10/2021"/>
    <m/>
  </r>
  <r>
    <x v="102"/>
    <x v="5"/>
    <x v="2"/>
    <x v="135"/>
    <s v="C00000014"/>
    <x v="13"/>
    <x v="60"/>
    <n v="1"/>
    <s v="Cash"/>
    <x v="0"/>
    <d v="2021-10-15T00:00:00"/>
    <x v="3"/>
    <x v="2"/>
    <n v="80"/>
    <n v="-80"/>
    <n v="0"/>
    <n v="511957.74999999994"/>
    <s v="Cash"/>
    <s v="Cash 17/10/2021"/>
    <m/>
  </r>
  <r>
    <x v="102"/>
    <x v="5"/>
    <x v="2"/>
    <x v="136"/>
    <s v="C00000005"/>
    <x v="4"/>
    <x v="15"/>
    <n v="1"/>
    <s v="Cash"/>
    <x v="0"/>
    <d v="2021-10-15T00:00:00"/>
    <x v="3"/>
    <x v="2"/>
    <n v="1826"/>
    <n v="-1826"/>
    <n v="0"/>
    <n v="513783.74999999994"/>
    <s v="Chq"/>
    <s v="Chq CIMB 000087, cleared 3/11/2021"/>
    <m/>
  </r>
  <r>
    <x v="102"/>
    <x v="5"/>
    <x v="2"/>
    <x v="136"/>
    <s v="C00000005"/>
    <x v="4"/>
    <x v="4"/>
    <n v="1"/>
    <s v="Cash"/>
    <x v="0"/>
    <d v="2021-10-15T00:00:00"/>
    <x v="3"/>
    <x v="2"/>
    <n v="100"/>
    <n v="-100"/>
    <n v="0"/>
    <n v="513883.74999999994"/>
    <s v="Chq"/>
    <s v="Chq CIMB 000087, cleared 3/11/2021"/>
    <m/>
  </r>
  <r>
    <x v="102"/>
    <x v="5"/>
    <x v="2"/>
    <x v="137"/>
    <s v="C00000020"/>
    <x v="19"/>
    <x v="28"/>
    <n v="2"/>
    <s v="Cash"/>
    <x v="0"/>
    <d v="2021-10-15T00:00:00"/>
    <x v="3"/>
    <x v="2"/>
    <n v="636.4"/>
    <n v="-636.4"/>
    <n v="0"/>
    <n v="514520.14999999997"/>
    <s v="Trsf"/>
    <s v="Trsf 16/10/2021"/>
    <m/>
  </r>
  <r>
    <x v="102"/>
    <x v="5"/>
    <x v="2"/>
    <x v="137"/>
    <s v="C00000020"/>
    <x v="19"/>
    <x v="66"/>
    <n v="2"/>
    <s v="Cash"/>
    <x v="0"/>
    <d v="2021-10-15T00:00:00"/>
    <x v="3"/>
    <x v="2"/>
    <n v="675"/>
    <n v="-675"/>
    <n v="0"/>
    <n v="515195.14999999997"/>
    <s v="Trsf"/>
    <s v="Trsf 16/10/2021"/>
    <m/>
  </r>
  <r>
    <x v="103"/>
    <x v="5"/>
    <x v="2"/>
    <x v="138"/>
    <s v="C00000020"/>
    <x v="19"/>
    <x v="70"/>
    <n v="2"/>
    <s v="Cash"/>
    <x v="0"/>
    <d v="2021-10-18T00:00:00"/>
    <x v="3"/>
    <x v="2"/>
    <n v="3825"/>
    <n v="-3825"/>
    <n v="0"/>
    <n v="519020.14999999997"/>
    <s v="Trsf"/>
    <s v="Trsf 1/11/2021"/>
    <m/>
  </r>
  <r>
    <x v="103"/>
    <x v="5"/>
    <x v="2"/>
    <x v="138"/>
    <s v="C00000020"/>
    <x v="19"/>
    <x v="7"/>
    <n v="2"/>
    <s v="Cash"/>
    <x v="0"/>
    <d v="2021-10-18T00:00:00"/>
    <x v="3"/>
    <x v="2"/>
    <n v="3740"/>
    <n v="-3740"/>
    <n v="0"/>
    <n v="522760.14999999997"/>
    <s v="Trsf"/>
    <s v="Trsf 1/11/2021"/>
    <m/>
  </r>
  <r>
    <x v="103"/>
    <x v="5"/>
    <x v="2"/>
    <x v="138"/>
    <s v="C00000020"/>
    <x v="19"/>
    <x v="65"/>
    <n v="6"/>
    <s v="Cash"/>
    <x v="0"/>
    <d v="2021-10-18T00:00:00"/>
    <x v="3"/>
    <x v="2"/>
    <n v="1909.2"/>
    <n v="-1909.2"/>
    <n v="0"/>
    <n v="524669.35"/>
    <s v="Trsf"/>
    <s v="Trsf 1/11/2021"/>
    <m/>
  </r>
  <r>
    <x v="103"/>
    <x v="5"/>
    <x v="2"/>
    <x v="138"/>
    <s v="C00000020"/>
    <x v="19"/>
    <x v="12"/>
    <n v="7"/>
    <s v="Cash"/>
    <x v="0"/>
    <d v="2021-10-18T00:00:00"/>
    <x v="3"/>
    <x v="2"/>
    <n v="437.5"/>
    <n v="-437.5"/>
    <n v="0"/>
    <n v="525106.85"/>
    <s v="Trsf"/>
    <s v="Trsf 1/11/2021"/>
    <m/>
  </r>
  <r>
    <x v="103"/>
    <x v="5"/>
    <x v="2"/>
    <x v="138"/>
    <s v="C00000020"/>
    <x v="19"/>
    <x v="60"/>
    <n v="2"/>
    <s v="Cash"/>
    <x v="0"/>
    <d v="2021-10-18T00:00:00"/>
    <x v="3"/>
    <x v="2"/>
    <n v="160"/>
    <n v="-160"/>
    <n v="0"/>
    <n v="525266.85"/>
    <s v="Trsf"/>
    <s v="Trsf 1/11/2021"/>
    <m/>
  </r>
  <r>
    <x v="103"/>
    <x v="5"/>
    <x v="2"/>
    <x v="138"/>
    <s v="C00000020"/>
    <x v="19"/>
    <x v="66"/>
    <n v="9"/>
    <s v="Cash"/>
    <x v="0"/>
    <d v="2021-10-18T00:00:00"/>
    <x v="3"/>
    <x v="2"/>
    <n v="3037.5"/>
    <n v="-3037.5"/>
    <n v="0"/>
    <n v="528304.35"/>
    <s v="Trsf"/>
    <s v="Trsf 1/11/2021"/>
    <m/>
  </r>
  <r>
    <x v="104"/>
    <x v="5"/>
    <x v="2"/>
    <x v="139"/>
    <s v="C00000020"/>
    <x v="19"/>
    <x v="71"/>
    <n v="1"/>
    <s v="Cash"/>
    <x v="0"/>
    <d v="2021-10-19T00:00:00"/>
    <x v="3"/>
    <x v="2"/>
    <n v="1000"/>
    <n v="-1000"/>
    <n v="0"/>
    <n v="529304.35"/>
    <s v="Trsf"/>
    <s v="Trsf 1/11/2021"/>
    <m/>
  </r>
  <r>
    <x v="105"/>
    <x v="5"/>
    <x v="2"/>
    <x v="140"/>
    <s v="C00000020"/>
    <x v="19"/>
    <x v="70"/>
    <n v="2"/>
    <s v="Cash"/>
    <x v="0"/>
    <d v="2021-10-20T00:00:00"/>
    <x v="3"/>
    <x v="2"/>
    <n v="3825"/>
    <n v="-3825"/>
    <n v="0"/>
    <n v="533129.35"/>
    <s v="Trsf"/>
    <s v="Trsf 10/11/21"/>
    <m/>
  </r>
  <r>
    <x v="105"/>
    <x v="5"/>
    <x v="2"/>
    <x v="140"/>
    <s v="C00000020"/>
    <x v="19"/>
    <x v="7"/>
    <n v="1"/>
    <s v="Cash"/>
    <x v="0"/>
    <d v="2021-10-20T00:00:00"/>
    <x v="3"/>
    <x v="2"/>
    <n v="1870"/>
    <n v="-1870"/>
    <n v="0"/>
    <n v="534999.35"/>
    <s v="Trsf"/>
    <s v="Trsf 10/11/21"/>
    <m/>
  </r>
  <r>
    <x v="105"/>
    <x v="5"/>
    <x v="2"/>
    <x v="140"/>
    <s v="C00000020"/>
    <x v="19"/>
    <x v="65"/>
    <n v="12"/>
    <s v="Cash"/>
    <x v="0"/>
    <d v="2021-10-20T00:00:00"/>
    <x v="3"/>
    <x v="2"/>
    <n v="3818.4"/>
    <n v="-3818.4"/>
    <n v="0"/>
    <n v="538817.75"/>
    <s v="Trsf"/>
    <s v="Trsf 10/11/21"/>
    <m/>
  </r>
  <r>
    <x v="105"/>
    <x v="5"/>
    <x v="2"/>
    <x v="140"/>
    <s v="C00000020"/>
    <x v="19"/>
    <x v="60"/>
    <n v="2"/>
    <s v="Cash"/>
    <x v="0"/>
    <d v="2021-10-20T00:00:00"/>
    <x v="3"/>
    <x v="2"/>
    <n v="160"/>
    <n v="-160"/>
    <n v="0"/>
    <n v="538977.75"/>
    <s v="Trsf"/>
    <s v="Trsf 10/11/21"/>
    <m/>
  </r>
  <r>
    <x v="106"/>
    <x v="5"/>
    <x v="2"/>
    <x v="141"/>
    <s v="C00000008"/>
    <x v="7"/>
    <x v="15"/>
    <n v="1"/>
    <s v="Cash"/>
    <x v="0"/>
    <d v="2021-10-23T00:00:00"/>
    <x v="3"/>
    <x v="2"/>
    <n v="1892"/>
    <n v="-1892"/>
    <n v="0"/>
    <n v="540869.75"/>
    <s v="Trsf"/>
    <s v="Trsf 25/10/21"/>
    <m/>
  </r>
  <r>
    <x v="106"/>
    <x v="5"/>
    <x v="2"/>
    <x v="141"/>
    <s v="C00000008"/>
    <x v="7"/>
    <x v="28"/>
    <n v="2"/>
    <s v="Cash"/>
    <x v="0"/>
    <d v="2021-10-23T00:00:00"/>
    <x v="3"/>
    <x v="2"/>
    <n v="510"/>
    <n v="-510"/>
    <n v="0"/>
    <n v="541379.75"/>
    <s v="Trsf"/>
    <s v="Trsf 25/10/21"/>
    <m/>
  </r>
  <r>
    <x v="106"/>
    <x v="5"/>
    <x v="2"/>
    <x v="141"/>
    <s v="C00000008"/>
    <x v="7"/>
    <x v="5"/>
    <n v="4"/>
    <s v="Cash"/>
    <x v="0"/>
    <d v="2021-10-23T00:00:00"/>
    <x v="3"/>
    <x v="2"/>
    <n v="960"/>
    <n v="-960"/>
    <n v="0"/>
    <n v="542339.75"/>
    <s v="Trsf"/>
    <s v="Trsf 25/10/21"/>
    <m/>
  </r>
  <r>
    <x v="107"/>
    <x v="5"/>
    <x v="2"/>
    <x v="142"/>
    <s v="C00000001"/>
    <x v="0"/>
    <x v="15"/>
    <n v="2"/>
    <s v="Cash"/>
    <x v="0"/>
    <d v="2021-10-26T00:00:00"/>
    <x v="3"/>
    <x v="2"/>
    <n v="3740"/>
    <n v="-3740"/>
    <n v="0"/>
    <n v="546079.75"/>
    <s v="Trsf"/>
    <s v="Trsf 27/10/21"/>
    <m/>
  </r>
  <r>
    <x v="107"/>
    <x v="5"/>
    <x v="2"/>
    <x v="142"/>
    <s v="C00000001"/>
    <x v="0"/>
    <x v="28"/>
    <n v="8"/>
    <s v="Cash"/>
    <x v="0"/>
    <d v="2021-10-26T00:00:00"/>
    <x v="3"/>
    <x v="2"/>
    <n v="2516"/>
    <n v="-2516"/>
    <n v="0"/>
    <n v="548595.75"/>
    <s v="Trsf"/>
    <s v="Trsf 27/10/21"/>
    <m/>
  </r>
  <r>
    <x v="107"/>
    <x v="5"/>
    <x v="2"/>
    <x v="142"/>
    <s v="C00000001"/>
    <x v="0"/>
    <x v="4"/>
    <n v="4"/>
    <s v="Cash"/>
    <x v="0"/>
    <d v="2021-10-26T00:00:00"/>
    <x v="3"/>
    <x v="2"/>
    <n v="400"/>
    <n v="-400"/>
    <n v="0"/>
    <n v="548995.75"/>
    <s v="Trsf"/>
    <s v="Trsf 27/10/21"/>
    <m/>
  </r>
  <r>
    <x v="107"/>
    <x v="5"/>
    <x v="2"/>
    <x v="142"/>
    <s v="C00000001"/>
    <x v="0"/>
    <x v="39"/>
    <n v="1"/>
    <s v="Cash"/>
    <x v="0"/>
    <d v="2021-10-26T00:00:00"/>
    <x v="3"/>
    <x v="2"/>
    <n v="0"/>
    <n v="0"/>
    <n v="0"/>
    <n v="548995.75"/>
    <s v="Trsf"/>
    <m/>
    <m/>
  </r>
  <r>
    <x v="107"/>
    <x v="5"/>
    <x v="2"/>
    <x v="143"/>
    <s v="C00000020"/>
    <x v="19"/>
    <x v="15"/>
    <n v="2"/>
    <s v="Cash"/>
    <x v="0"/>
    <d v="2021-10-26T00:00:00"/>
    <x v="3"/>
    <x v="2"/>
    <n v="3916"/>
    <n v="-3916"/>
    <n v="0"/>
    <n v="552911.75"/>
    <s v="Trsf"/>
    <s v="Trsf 13/11/21, RM7,000.00"/>
    <m/>
  </r>
  <r>
    <x v="107"/>
    <x v="5"/>
    <x v="2"/>
    <x v="143"/>
    <s v="C00000020"/>
    <x v="19"/>
    <x v="7"/>
    <n v="2"/>
    <s v="Cash"/>
    <x v="0"/>
    <d v="2021-10-26T00:00:00"/>
    <x v="3"/>
    <x v="2"/>
    <n v="3916"/>
    <n v="-3916"/>
    <n v="0"/>
    <n v="556827.75"/>
    <s v="Trsf"/>
    <s v="Trsf 13/11/21-RM7,000.00 (3,084.00partial), Trsf 26/11/21-RM3,000.00 (832.00partial)"/>
    <m/>
  </r>
  <r>
    <x v="107"/>
    <x v="5"/>
    <x v="2"/>
    <x v="143"/>
    <s v="C00000020"/>
    <x v="19"/>
    <x v="28"/>
    <n v="14"/>
    <s v="Cash"/>
    <x v="0"/>
    <d v="2021-10-26T00:00:00"/>
    <x v="3"/>
    <x v="2"/>
    <n v="4610.2"/>
    <n v="-4610.2"/>
    <n v="0"/>
    <n v="561437.94999999995"/>
    <s v="Trsf"/>
    <s v="Trsf 26/11/21-RM3,000.00 (2,168.00partial), Trsf 10/12/21-RM20,000.00 (2,442.20partial)"/>
    <m/>
  </r>
  <r>
    <x v="107"/>
    <x v="5"/>
    <x v="2"/>
    <x v="143"/>
    <s v="C00000020"/>
    <x v="19"/>
    <x v="12"/>
    <n v="6"/>
    <s v="Cash"/>
    <x v="0"/>
    <d v="2021-10-26T00:00:00"/>
    <x v="3"/>
    <x v="2"/>
    <n v="375"/>
    <n v="-375"/>
    <n v="0"/>
    <n v="561812.94999999995"/>
    <s v="Trsf"/>
    <s v="Trsf 10/12/21-RM20,000.00"/>
    <m/>
  </r>
  <r>
    <x v="107"/>
    <x v="5"/>
    <x v="2"/>
    <x v="143"/>
    <s v="C00000020"/>
    <x v="19"/>
    <x v="66"/>
    <n v="9"/>
    <s v="Cash"/>
    <x v="0"/>
    <d v="2021-10-26T00:00:00"/>
    <x v="3"/>
    <x v="2"/>
    <n v="3159"/>
    <n v="-3159"/>
    <n v="0"/>
    <n v="564971.94999999995"/>
    <s v="Trsf"/>
    <s v="Trsf 10/12/21-RM20,000.00"/>
    <m/>
  </r>
  <r>
    <x v="107"/>
    <x v="5"/>
    <x v="2"/>
    <x v="143"/>
    <s v="C00000020"/>
    <x v="19"/>
    <x v="71"/>
    <n v="1"/>
    <s v="Cash"/>
    <x v="0"/>
    <d v="2021-10-26T00:00:00"/>
    <x v="3"/>
    <x v="2"/>
    <n v="1000"/>
    <n v="-1000"/>
    <n v="0"/>
    <n v="565971.94999999995"/>
    <s v="Trsf"/>
    <s v="Trsf 10/12/21-RM20,000.00"/>
    <m/>
  </r>
  <r>
    <x v="108"/>
    <x v="5"/>
    <x v="2"/>
    <x v="144"/>
    <s v="C00000008"/>
    <x v="7"/>
    <x v="28"/>
    <n v="2"/>
    <s v="Cash"/>
    <x v="0"/>
    <d v="2021-10-28T00:00:00"/>
    <x v="3"/>
    <x v="2"/>
    <n v="510"/>
    <n v="-510"/>
    <n v="0"/>
    <n v="566481.94999999995"/>
    <s v="Trsf"/>
    <s v="Trsf 21/1/2022, RM4,006.00"/>
    <m/>
  </r>
  <r>
    <x v="109"/>
    <x v="5"/>
    <x v="2"/>
    <x v="145"/>
    <s v="C00000020"/>
    <x v="19"/>
    <x v="15"/>
    <n v="3"/>
    <s v="Cash"/>
    <x v="0"/>
    <d v="2021-10-27T00:00:00"/>
    <x v="3"/>
    <x v="2"/>
    <n v="5874"/>
    <n v="-5874"/>
    <n v="0"/>
    <n v="572355.94999999995"/>
    <s v="Trsf"/>
    <s v="Trsf 10/12/21-RM20,000.00"/>
    <m/>
  </r>
  <r>
    <x v="108"/>
    <x v="5"/>
    <x v="2"/>
    <x v="146"/>
    <s v="C00000010"/>
    <x v="9"/>
    <x v="45"/>
    <n v="6"/>
    <n v="120"/>
    <x v="2"/>
    <d v="2022-02-25T00:00:00"/>
    <x v="8"/>
    <x v="4"/>
    <n v="11748"/>
    <n v="-11748"/>
    <n v="0"/>
    <n v="584103.94999999995"/>
    <s v="Trsf"/>
    <s v="Trsf 10/2/2022 RM35,864.00"/>
    <m/>
  </r>
  <r>
    <x v="108"/>
    <x v="5"/>
    <x v="2"/>
    <x v="146"/>
    <s v="C00000010"/>
    <x v="9"/>
    <x v="72"/>
    <n v="6"/>
    <n v="120"/>
    <x v="2"/>
    <d v="2022-02-25T00:00:00"/>
    <x v="8"/>
    <x v="4"/>
    <n v="1975.8"/>
    <n v="-1975.8"/>
    <n v="0"/>
    <n v="586079.75"/>
    <s v="Trsf"/>
    <s v="Trsf 10/2/2022 RM35,864.00"/>
    <m/>
  </r>
  <r>
    <x v="108"/>
    <x v="5"/>
    <x v="2"/>
    <x v="147"/>
    <s v="C00000019"/>
    <x v="18"/>
    <x v="52"/>
    <n v="2"/>
    <s v="Cash"/>
    <x v="0"/>
    <d v="2021-10-28T00:00:00"/>
    <x v="3"/>
    <x v="2"/>
    <n v="720"/>
    <n v="-720"/>
    <n v="0"/>
    <n v="586799.75"/>
    <s v="Trsf"/>
    <s v="Trsf 30/10/21"/>
    <m/>
  </r>
  <r>
    <x v="110"/>
    <x v="5"/>
    <x v="2"/>
    <x v="148"/>
    <s v="C00000010"/>
    <x v="9"/>
    <x v="45"/>
    <n v="4"/>
    <n v="120"/>
    <x v="2"/>
    <d v="2022-02-27T00:00:00"/>
    <x v="8"/>
    <x v="4"/>
    <n v="7832"/>
    <n v="-7832"/>
    <n v="0"/>
    <n v="594631.75"/>
    <s v="Trsf"/>
    <s v="Trsf 10/2/2022 RM35,864.00"/>
    <m/>
  </r>
  <r>
    <x v="110"/>
    <x v="5"/>
    <x v="2"/>
    <x v="148"/>
    <s v="C00000010"/>
    <x v="9"/>
    <x v="72"/>
    <n v="4"/>
    <n v="120"/>
    <x v="2"/>
    <d v="2022-02-27T00:00:00"/>
    <x v="8"/>
    <x v="4"/>
    <n v="1317.2"/>
    <n v="-1317.2"/>
    <n v="0"/>
    <n v="595948.94999999995"/>
    <s v="Trsf"/>
    <s v="Trsf 10/2/2022 RM35,864.00"/>
    <m/>
  </r>
  <r>
    <x v="110"/>
    <x v="5"/>
    <x v="2"/>
    <x v="148"/>
    <s v="C00000010"/>
    <x v="9"/>
    <x v="12"/>
    <n v="10"/>
    <n v="120"/>
    <x v="2"/>
    <d v="2022-02-27T00:00:00"/>
    <x v="8"/>
    <x v="4"/>
    <n v="550"/>
    <n v="-550"/>
    <n v="0"/>
    <n v="596498.94999999995"/>
    <s v="Trsf"/>
    <s v="Trsf 10/2/2022 RM35,864.00"/>
    <m/>
  </r>
  <r>
    <x v="110"/>
    <x v="5"/>
    <x v="2"/>
    <x v="148"/>
    <s v="C00000010"/>
    <x v="9"/>
    <x v="60"/>
    <n v="4"/>
    <n v="120"/>
    <x v="2"/>
    <d v="2022-02-27T00:00:00"/>
    <x v="8"/>
    <x v="4"/>
    <n v="320"/>
    <n v="-320"/>
    <n v="0"/>
    <n v="596818.94999999995"/>
    <s v="Trsf"/>
    <s v="Trsf 10/2/2022 RM35,864.00"/>
    <m/>
  </r>
  <r>
    <x v="111"/>
    <x v="6"/>
    <x v="2"/>
    <x v="149"/>
    <s v="C00000005"/>
    <x v="4"/>
    <x v="72"/>
    <n v="1"/>
    <s v="Cash"/>
    <x v="0"/>
    <d v="2021-11-01T00:00:00"/>
    <x v="5"/>
    <x v="2"/>
    <n v="340.4"/>
    <n v="-340.4"/>
    <n v="0"/>
    <n v="597159.35"/>
    <s v="Chq"/>
    <s v="Chq 000090, cleared 19/11/21"/>
    <m/>
  </r>
  <r>
    <x v="111"/>
    <x v="6"/>
    <x v="2"/>
    <x v="149"/>
    <s v="C00000005"/>
    <x v="4"/>
    <x v="73"/>
    <n v="1"/>
    <s v="Cash"/>
    <x v="0"/>
    <d v="2021-11-01T00:00:00"/>
    <x v="5"/>
    <x v="2"/>
    <n v="40"/>
    <n v="-40"/>
    <n v="0"/>
    <n v="597199.35"/>
    <s v="Chq"/>
    <s v="Chq 000090, cleared 19/11/21"/>
    <m/>
  </r>
  <r>
    <x v="112"/>
    <x v="6"/>
    <x v="2"/>
    <x v="150"/>
    <s v="C00000019"/>
    <x v="18"/>
    <x v="45"/>
    <n v="2"/>
    <s v="Cash"/>
    <x v="0"/>
    <d v="2021-11-02T00:00:00"/>
    <x v="5"/>
    <x v="2"/>
    <n v="3960"/>
    <n v="-3960"/>
    <n v="0"/>
    <n v="601159.35"/>
    <s v="Trsf"/>
    <s v="Trsf 3/11/21"/>
    <m/>
  </r>
  <r>
    <x v="112"/>
    <x v="6"/>
    <x v="2"/>
    <x v="150"/>
    <s v="C00000019"/>
    <x v="18"/>
    <x v="12"/>
    <n v="6"/>
    <s v="Cash"/>
    <x v="0"/>
    <d v="2021-11-02T00:00:00"/>
    <x v="5"/>
    <x v="2"/>
    <n v="360"/>
    <n v="-360"/>
    <n v="0"/>
    <n v="601519.35"/>
    <s v="Trsf"/>
    <s v="Trsf 3/11/21"/>
    <m/>
  </r>
  <r>
    <x v="112"/>
    <x v="6"/>
    <x v="2"/>
    <x v="150"/>
    <s v="C00000019"/>
    <x v="18"/>
    <x v="37"/>
    <n v="1"/>
    <s v="Cash"/>
    <x v="0"/>
    <d v="2021-11-02T00:00:00"/>
    <x v="5"/>
    <x v="2"/>
    <n v="440"/>
    <n v="-440"/>
    <n v="0"/>
    <n v="601959.35"/>
    <s v="Trsf"/>
    <s v="Trsf 3/11/21"/>
    <m/>
  </r>
  <r>
    <x v="112"/>
    <x v="6"/>
    <x v="2"/>
    <x v="150"/>
    <s v="C00000019"/>
    <x v="18"/>
    <x v="52"/>
    <n v="1"/>
    <s v="Cash"/>
    <x v="0"/>
    <d v="2021-11-02T00:00:00"/>
    <x v="5"/>
    <x v="2"/>
    <n v="360"/>
    <n v="-360"/>
    <n v="0"/>
    <n v="602319.35"/>
    <s v="Trsf"/>
    <s v="Trsf 3/11/21"/>
    <m/>
  </r>
  <r>
    <x v="112"/>
    <x v="6"/>
    <x v="2"/>
    <x v="151"/>
    <s v="C00000003"/>
    <x v="2"/>
    <x v="62"/>
    <n v="1"/>
    <n v="45"/>
    <x v="1"/>
    <d v="2021-12-17T00:00:00"/>
    <x v="0"/>
    <x v="2"/>
    <n v="2024"/>
    <n v="-2024"/>
    <n v="0"/>
    <n v="604343.35"/>
    <s v="PD Chq"/>
    <s v="RHB 001453cleared20/12/21-RM1,500(684.00partial), RHB 001454cleared27/12/21-RM1,500.00 (1,340.00partial)"/>
    <m/>
  </r>
  <r>
    <x v="112"/>
    <x v="6"/>
    <x v="2"/>
    <x v="151"/>
    <s v="C00000003"/>
    <x v="2"/>
    <x v="60"/>
    <n v="2"/>
    <n v="45"/>
    <x v="1"/>
    <d v="2021-12-17T00:00:00"/>
    <x v="0"/>
    <x v="2"/>
    <n v="160"/>
    <n v="-160"/>
    <n v="0"/>
    <n v="604503.35"/>
    <s v="PD Chq"/>
    <s v="RHB 001454cleared27/12/21-RM1,500.00 (160.00partial)"/>
    <m/>
  </r>
  <r>
    <x v="113"/>
    <x v="6"/>
    <x v="2"/>
    <x v="152"/>
    <s v="C00000020"/>
    <x v="19"/>
    <x v="15"/>
    <n v="2"/>
    <s v="Cash"/>
    <x v="0"/>
    <d v="2021-11-03T00:00:00"/>
    <x v="5"/>
    <x v="2"/>
    <n v="4048"/>
    <n v="-4048"/>
    <n v="0"/>
    <n v="608551.35"/>
    <s v="Trsf"/>
    <s v="Trsf 10/12/21-RM20,000.00"/>
    <m/>
  </r>
  <r>
    <x v="113"/>
    <x v="6"/>
    <x v="2"/>
    <x v="152"/>
    <s v="C00000020"/>
    <x v="19"/>
    <x v="7"/>
    <n v="3"/>
    <s v="Cash"/>
    <x v="0"/>
    <d v="2021-11-03T00:00:00"/>
    <x v="5"/>
    <x v="2"/>
    <n v="6072"/>
    <n v="-6072"/>
    <n v="0"/>
    <n v="614623.35"/>
    <s v="Trsf"/>
    <s v="Trsf 10/12/21-RM20,000.00 (3,101.80partial), Trsf 20/12/21-RM10,000.00 (2,970.20partial)"/>
    <m/>
  </r>
  <r>
    <x v="113"/>
    <x v="6"/>
    <x v="2"/>
    <x v="152"/>
    <s v="C00000020"/>
    <x v="19"/>
    <x v="72"/>
    <n v="15"/>
    <s v="Cash"/>
    <x v="0"/>
    <d v="2021-11-03T00:00:00"/>
    <x v="5"/>
    <x v="2"/>
    <n v="5106"/>
    <n v="-5106"/>
    <n v="0"/>
    <n v="619729.35"/>
    <s v="Trsf"/>
    <s v="Trsf 20/12/21-RM10,000.00"/>
    <m/>
  </r>
  <r>
    <x v="113"/>
    <x v="6"/>
    <x v="2"/>
    <x v="152"/>
    <s v="C00000020"/>
    <x v="19"/>
    <x v="12"/>
    <n v="5"/>
    <s v="Cash"/>
    <x v="0"/>
    <d v="2021-11-03T00:00:00"/>
    <x v="5"/>
    <x v="2"/>
    <n v="312.5"/>
    <n v="-312.5"/>
    <n v="0"/>
    <n v="620041.85"/>
    <s v="Trsf"/>
    <s v="Trsf 20/12/21-RM10,000.00"/>
    <m/>
  </r>
  <r>
    <x v="113"/>
    <x v="6"/>
    <x v="2"/>
    <x v="152"/>
    <s v="C00000020"/>
    <x v="19"/>
    <x v="66"/>
    <n v="9"/>
    <s v="Cash"/>
    <x v="0"/>
    <d v="2021-11-03T00:00:00"/>
    <x v="5"/>
    <x v="2"/>
    <n v="3159"/>
    <n v="-3159"/>
    <n v="0"/>
    <n v="623200.85"/>
    <s v="Trsf"/>
    <s v="Trsf 20/12/21-RM10,000.00 (1,611.30patial), Trsf 29/12/21-RM12,500.00 (1,547.70patial)"/>
    <m/>
  </r>
  <r>
    <x v="113"/>
    <x v="6"/>
    <x v="2"/>
    <x v="152"/>
    <s v="C00000020"/>
    <x v="19"/>
    <x v="60"/>
    <n v="4"/>
    <s v="Cash"/>
    <x v="0"/>
    <d v="2021-11-03T00:00:00"/>
    <x v="5"/>
    <x v="2"/>
    <n v="320"/>
    <n v="-320"/>
    <n v="0"/>
    <n v="623520.85"/>
    <s v="Trsf"/>
    <s v="Trsf 29/12/21-RM12,500.00 (320.00partial)"/>
    <m/>
  </r>
  <r>
    <x v="113"/>
    <x v="6"/>
    <x v="2"/>
    <x v="153"/>
    <s v="C00000010"/>
    <x v="9"/>
    <x v="12"/>
    <n v="5"/>
    <n v="120"/>
    <x v="2"/>
    <d v="2022-03-03T00:00:00"/>
    <x v="9"/>
    <x v="4"/>
    <n v="275"/>
    <n v="-275"/>
    <n v="0"/>
    <n v="623795.85"/>
    <s v="Trsf"/>
    <s v="Trsf 15/2/2022 RM16,388.00"/>
    <m/>
  </r>
  <r>
    <x v="113"/>
    <x v="6"/>
    <x v="2"/>
    <x v="153"/>
    <s v="C00000010"/>
    <x v="9"/>
    <x v="60"/>
    <n v="4"/>
    <n v="120"/>
    <x v="2"/>
    <d v="2022-03-03T00:00:00"/>
    <x v="9"/>
    <x v="4"/>
    <n v="320"/>
    <n v="-320"/>
    <n v="0"/>
    <n v="624115.85"/>
    <s v="Trsf"/>
    <s v="Trsf 15/2/2022 RM16,388.00"/>
    <m/>
  </r>
  <r>
    <x v="113"/>
    <x v="6"/>
    <x v="2"/>
    <x v="153"/>
    <s v="C00000010"/>
    <x v="9"/>
    <x v="37"/>
    <n v="3"/>
    <n v="120"/>
    <x v="2"/>
    <d v="2022-03-03T00:00:00"/>
    <x v="9"/>
    <x v="4"/>
    <n v="1320"/>
    <n v="-1320"/>
    <n v="0"/>
    <n v="625435.85"/>
    <s v="Trsf"/>
    <s v="Trsf 15/2/2022 RM16,388.00"/>
    <m/>
  </r>
  <r>
    <x v="113"/>
    <x v="6"/>
    <x v="2"/>
    <x v="153"/>
    <s v="C00000010"/>
    <x v="9"/>
    <x v="47"/>
    <n v="4"/>
    <n v="120"/>
    <x v="2"/>
    <d v="2022-03-03T00:00:00"/>
    <x v="9"/>
    <x v="4"/>
    <n v="220"/>
    <n v="-220"/>
    <n v="0"/>
    <n v="625655.85"/>
    <s v="Trsf"/>
    <s v="Trsf 15/2/2022 RM16,388.00"/>
    <m/>
  </r>
  <r>
    <x v="114"/>
    <x v="6"/>
    <x v="2"/>
    <x v="154"/>
    <s v="C00000020"/>
    <x v="19"/>
    <x v="15"/>
    <n v="2"/>
    <s v="Cash"/>
    <x v="0"/>
    <d v="2021-11-06T00:00:00"/>
    <x v="5"/>
    <x v="2"/>
    <n v="4048"/>
    <n v="-4048"/>
    <n v="0"/>
    <n v="629703.85"/>
    <s v="Trsf"/>
    <s v="Trsf 29/12/21-RM12,500.00 (4,048.00partial)"/>
    <m/>
  </r>
  <r>
    <x v="114"/>
    <x v="6"/>
    <x v="2"/>
    <x v="154"/>
    <s v="C00000020"/>
    <x v="19"/>
    <x v="7"/>
    <n v="3"/>
    <s v="Cash"/>
    <x v="0"/>
    <d v="2021-11-06T00:00:00"/>
    <x v="5"/>
    <x v="2"/>
    <n v="6072"/>
    <n v="-6072"/>
    <n v="0"/>
    <n v="635775.85"/>
    <s v="Trsf"/>
    <s v="Trsf 29/12/21-RM12,500.00 (6,072.00patial)"/>
    <m/>
  </r>
  <r>
    <x v="114"/>
    <x v="6"/>
    <x v="2"/>
    <x v="154"/>
    <s v="C00000020"/>
    <x v="19"/>
    <x v="72"/>
    <n v="15"/>
    <s v="Cash"/>
    <x v="0"/>
    <d v="2021-11-06T00:00:00"/>
    <x v="5"/>
    <x v="2"/>
    <n v="5106"/>
    <n v="-5106"/>
    <n v="0"/>
    <n v="640881.85"/>
    <s v="Trsf"/>
    <s v="Trsf 29/12/21-RM12,500.00 (512.30partial), Trsf 13/1/21-37,500.00 (4,593.70patial)"/>
    <m/>
  </r>
  <r>
    <x v="114"/>
    <x v="6"/>
    <x v="2"/>
    <x v="154"/>
    <s v="C00000020"/>
    <x v="19"/>
    <x v="12"/>
    <n v="5"/>
    <s v="Cash"/>
    <x v="0"/>
    <d v="2021-11-06T00:00:00"/>
    <x v="5"/>
    <x v="2"/>
    <n v="312.5"/>
    <n v="-312.5"/>
    <n v="0"/>
    <n v="641194.35"/>
    <s v="Trsf"/>
    <s v="Trsf 13/1/21-37,500.00 "/>
    <m/>
  </r>
  <r>
    <x v="114"/>
    <x v="6"/>
    <x v="2"/>
    <x v="154"/>
    <s v="C00000020"/>
    <x v="19"/>
    <x v="66"/>
    <n v="7"/>
    <s v="Cash"/>
    <x v="0"/>
    <d v="2021-11-06T00:00:00"/>
    <x v="5"/>
    <x v="2"/>
    <n v="2457"/>
    <n v="-2457"/>
    <n v="0"/>
    <n v="643651.35"/>
    <s v="Trsf"/>
    <s v="Trsf 13/1/21-37,500.00 "/>
    <m/>
  </r>
  <r>
    <x v="114"/>
    <x v="6"/>
    <x v="2"/>
    <x v="154"/>
    <s v="C00000020"/>
    <x v="19"/>
    <x v="60"/>
    <n v="4"/>
    <s v="Cash"/>
    <x v="0"/>
    <d v="2021-11-06T00:00:00"/>
    <x v="5"/>
    <x v="2"/>
    <n v="320"/>
    <n v="-320"/>
    <n v="0"/>
    <n v="643971.35"/>
    <s v="Trsf"/>
    <s v="Trsf 13/1/21-37,500.00 "/>
    <m/>
  </r>
  <r>
    <x v="114"/>
    <x v="6"/>
    <x v="2"/>
    <x v="154"/>
    <s v="C00000020"/>
    <x v="19"/>
    <x v="71"/>
    <n v="1"/>
    <s v="Cash"/>
    <x v="0"/>
    <d v="2021-11-06T00:00:00"/>
    <x v="5"/>
    <x v="2"/>
    <n v="1000"/>
    <n v="-1000"/>
    <n v="0"/>
    <n v="644971.35"/>
    <s v="Trsf"/>
    <s v="Trsf 13/1/21-37,500.00 "/>
    <m/>
  </r>
  <r>
    <x v="115"/>
    <x v="6"/>
    <x v="2"/>
    <x v="155"/>
    <s v="C00000010"/>
    <x v="9"/>
    <x v="45"/>
    <n v="6"/>
    <n v="120"/>
    <x v="2"/>
    <d v="2022-03-08T00:00:00"/>
    <x v="9"/>
    <x v="4"/>
    <n v="12144"/>
    <n v="-12144"/>
    <n v="0"/>
    <n v="657115.35"/>
    <s v="Trsf"/>
    <s v="Trsf 15/2/2022 RM16,388.00"/>
    <m/>
  </r>
  <r>
    <x v="115"/>
    <x v="6"/>
    <x v="2"/>
    <x v="155"/>
    <s v="C00000010"/>
    <x v="9"/>
    <x v="72"/>
    <n v="6"/>
    <n v="120"/>
    <x v="2"/>
    <d v="2022-03-08T00:00:00"/>
    <x v="9"/>
    <x v="4"/>
    <n v="2109"/>
    <n v="-2109"/>
    <n v="0"/>
    <n v="659224.35"/>
    <s v="Trsf"/>
    <s v="Trsf 15/2/2022 RM16,388.00"/>
    <m/>
  </r>
  <r>
    <x v="116"/>
    <x v="6"/>
    <x v="2"/>
    <x v="156"/>
    <e v="#N/A"/>
    <x v="20"/>
    <x v="74"/>
    <n v="1"/>
    <e v="#N/A"/>
    <x v="4"/>
    <e v="#N/A"/>
    <x v="10"/>
    <x v="3"/>
    <n v="240"/>
    <n v="-240"/>
    <n v="0"/>
    <n v="659464.35"/>
    <e v="#N/A"/>
    <s v="Cash in 9/11/21"/>
    <m/>
  </r>
  <r>
    <x v="117"/>
    <x v="6"/>
    <x v="2"/>
    <x v="157"/>
    <s v="C00000021"/>
    <x v="21"/>
    <x v="15"/>
    <n v="1"/>
    <s v="Cash"/>
    <x v="0"/>
    <d v="2021-11-10T00:00:00"/>
    <x v="5"/>
    <x v="2"/>
    <n v="2024"/>
    <n v="-2024"/>
    <n v="0"/>
    <n v="661488.35"/>
    <s v="PD Chq"/>
    <s v="Chq PBB 395353, dd 301121"/>
    <m/>
  </r>
  <r>
    <x v="118"/>
    <x v="6"/>
    <x v="2"/>
    <x v="158"/>
    <s v="C00000020"/>
    <x v="19"/>
    <x v="45"/>
    <n v="10"/>
    <s v="Cash"/>
    <x v="0"/>
    <d v="2021-11-11T00:00:00"/>
    <x v="5"/>
    <x v="2"/>
    <n v="20680"/>
    <n v="-20680"/>
    <n v="0"/>
    <n v="682168.35"/>
    <s v="Trsf"/>
    <s v="Trsf 13/1/21-37,500.00 "/>
    <m/>
  </r>
  <r>
    <x v="118"/>
    <x v="6"/>
    <x v="2"/>
    <x v="158"/>
    <s v="C00000020"/>
    <x v="19"/>
    <x v="72"/>
    <n v="15"/>
    <s v="Cash"/>
    <x v="0"/>
    <d v="2021-11-11T00:00:00"/>
    <x v="5"/>
    <x v="2"/>
    <n v="5328"/>
    <n v="-5328"/>
    <n v="0"/>
    <n v="687496.35"/>
    <s v="Trsf"/>
    <s v="Trsf 13/1/21-37,500.00 "/>
    <m/>
  </r>
  <r>
    <x v="118"/>
    <x v="6"/>
    <x v="2"/>
    <x v="158"/>
    <s v="C00000020"/>
    <x v="19"/>
    <x v="66"/>
    <n v="14"/>
    <s v="Cash"/>
    <x v="0"/>
    <d v="2021-11-11T00:00:00"/>
    <x v="5"/>
    <x v="2"/>
    <n v="4914"/>
    <n v="-4914"/>
    <n v="0"/>
    <n v="692410.35"/>
    <s v="Trsf"/>
    <s v="Trsf 13/1/21-37,500.00 (2,808.80 partial), Trsf 21/1/2021-RM5,000.00 (2,105.20 parital)"/>
    <m/>
  </r>
  <r>
    <x v="118"/>
    <x v="6"/>
    <x v="2"/>
    <x v="158"/>
    <s v="C00000020"/>
    <x v="19"/>
    <x v="12"/>
    <n v="4"/>
    <s v="Cash"/>
    <x v="0"/>
    <d v="2021-11-11T00:00:00"/>
    <x v="5"/>
    <x v="2"/>
    <n v="250"/>
    <n v="-250"/>
    <n v="0"/>
    <n v="692660.35"/>
    <s v="Trsf"/>
    <s v="Trsf 21/1/2021-RM5,000.00"/>
    <m/>
  </r>
  <r>
    <x v="118"/>
    <x v="6"/>
    <x v="2"/>
    <x v="158"/>
    <s v="C00000020"/>
    <x v="19"/>
    <x v="71"/>
    <n v="2"/>
    <s v="Cash"/>
    <x v="0"/>
    <d v="2021-11-11T00:00:00"/>
    <x v="5"/>
    <x v="2"/>
    <n v="2000"/>
    <n v="-2000"/>
    <n v="0"/>
    <n v="694660.35"/>
    <s v="Trsf"/>
    <s v="Trsf 21/1/2021-RM5,000.00"/>
    <m/>
  </r>
  <r>
    <x v="118"/>
    <x v="6"/>
    <x v="2"/>
    <x v="159"/>
    <s v="C00000020"/>
    <x v="19"/>
    <x v="12"/>
    <n v="5"/>
    <s v="Cash"/>
    <x v="0"/>
    <d v="2021-11-11T00:00:00"/>
    <x v="5"/>
    <x v="2"/>
    <n v="312.5"/>
    <n v="-312.5"/>
    <n v="0"/>
    <n v="694972.85"/>
    <s v="Trsf"/>
    <s v="Trsf 21/1/2021-RM5,000.00"/>
    <m/>
  </r>
  <r>
    <x v="119"/>
    <x v="6"/>
    <x v="2"/>
    <x v="160"/>
    <e v="#N/A"/>
    <x v="22"/>
    <x v="15"/>
    <n v="1"/>
    <e v="#N/A"/>
    <x v="4"/>
    <e v="#N/A"/>
    <x v="10"/>
    <x v="3"/>
    <n v="2090"/>
    <n v="-2090"/>
    <n v="0"/>
    <n v="697062.85"/>
    <e v="#N/A"/>
    <s v="Trsf 11/11/21 RM2,070.00"/>
    <m/>
  </r>
  <r>
    <x v="119"/>
    <x v="6"/>
    <x v="2"/>
    <x v="160"/>
    <e v="#N/A"/>
    <x v="22"/>
    <x v="68"/>
    <n v="2"/>
    <e v="#N/A"/>
    <x v="4"/>
    <e v="#N/A"/>
    <x v="10"/>
    <x v="3"/>
    <n v="120"/>
    <n v="-120"/>
    <n v="0"/>
    <n v="697182.85"/>
    <e v="#N/A"/>
    <s v="Trsf 12/11/21 RM1,000.00"/>
    <m/>
  </r>
  <r>
    <x v="119"/>
    <x v="6"/>
    <x v="2"/>
    <x v="160"/>
    <e v="#N/A"/>
    <x v="22"/>
    <x v="5"/>
    <n v="2"/>
    <e v="#N/A"/>
    <x v="4"/>
    <e v="#N/A"/>
    <x v="10"/>
    <x v="3"/>
    <n v="540"/>
    <n v="-540"/>
    <n v="0"/>
    <n v="697722.85"/>
    <e v="#N/A"/>
    <s v="Trsf 12/11/21 RM1,000.00"/>
    <m/>
  </r>
  <r>
    <x v="119"/>
    <x v="6"/>
    <x v="2"/>
    <x v="160"/>
    <e v="#N/A"/>
    <x v="22"/>
    <x v="33"/>
    <n v="2"/>
    <e v="#N/A"/>
    <x v="4"/>
    <e v="#N/A"/>
    <x v="10"/>
    <x v="3"/>
    <n v="320"/>
    <n v="-320"/>
    <n v="0"/>
    <n v="698042.85"/>
    <e v="#N/A"/>
    <s v="Trsf 12/11/21 RM1,000.00"/>
    <m/>
  </r>
  <r>
    <x v="119"/>
    <x v="6"/>
    <x v="2"/>
    <x v="161"/>
    <s v="C00000019"/>
    <x v="18"/>
    <x v="45"/>
    <n v="2"/>
    <s v="Cash"/>
    <x v="0"/>
    <d v="2021-11-13T00:00:00"/>
    <x v="5"/>
    <x v="2"/>
    <n v="4048"/>
    <n v="-4048"/>
    <n v="0"/>
    <n v="702090.85"/>
    <s v="Trsf"/>
    <s v="Trsf 13/11/21, RM5,366.60"/>
    <m/>
  </r>
  <r>
    <x v="119"/>
    <x v="6"/>
    <x v="2"/>
    <x v="161"/>
    <s v="C00000019"/>
    <x v="18"/>
    <x v="67"/>
    <n v="2"/>
    <s v="Cash"/>
    <x v="0"/>
    <d v="2021-11-13T00:00:00"/>
    <x v="5"/>
    <x v="2"/>
    <n v="993.6"/>
    <n v="-993.6"/>
    <n v="0"/>
    <n v="703084.45"/>
    <s v="Trsf"/>
    <s v="Trsf 13/11/21, RM5,366.60"/>
    <m/>
  </r>
  <r>
    <x v="119"/>
    <x v="6"/>
    <x v="2"/>
    <x v="161"/>
    <s v="C00000019"/>
    <x v="18"/>
    <x v="12"/>
    <n v="2"/>
    <s v="Cash"/>
    <x v="0"/>
    <d v="2021-11-13T00:00:00"/>
    <x v="5"/>
    <x v="2"/>
    <n v="125"/>
    <n v="-125"/>
    <n v="0"/>
    <n v="703209.45"/>
    <s v="Trsf"/>
    <s v="Trsf 13/11/21, RM5,366.60"/>
    <m/>
  </r>
  <r>
    <x v="119"/>
    <x v="6"/>
    <x v="2"/>
    <x v="161"/>
    <s v="C00000019"/>
    <x v="18"/>
    <x v="4"/>
    <n v="2"/>
    <s v="Cash"/>
    <x v="0"/>
    <d v="2021-11-13T00:00:00"/>
    <x v="5"/>
    <x v="2"/>
    <n v="200"/>
    <n v="-200"/>
    <n v="0"/>
    <n v="703409.45"/>
    <s v="Trsf"/>
    <s v="Trsf 13/11/21, RM5,366.60"/>
    <m/>
  </r>
  <r>
    <x v="120"/>
    <x v="6"/>
    <x v="2"/>
    <x v="162"/>
    <s v="C00000003"/>
    <x v="2"/>
    <x v="15"/>
    <n v="1"/>
    <n v="45"/>
    <x v="1"/>
    <d v="2022-01-07T00:00:00"/>
    <x v="7"/>
    <x v="4"/>
    <n v="2024"/>
    <n v="-2024"/>
    <n v="0"/>
    <n v="705433.45"/>
    <s v="PD Chq"/>
    <s v="RHB 001457cleared29/12/21-RM2,366.50 (2,024.00partial)"/>
    <m/>
  </r>
  <r>
    <x v="120"/>
    <x v="6"/>
    <x v="2"/>
    <x v="162"/>
    <s v="C00000003"/>
    <x v="2"/>
    <x v="60"/>
    <n v="2"/>
    <n v="45"/>
    <x v="1"/>
    <d v="2022-01-07T00:00:00"/>
    <x v="7"/>
    <x v="4"/>
    <n v="170"/>
    <n v="-170"/>
    <n v="0"/>
    <n v="705603.45"/>
    <s v="PD Chq"/>
    <s v="RHB 001457cleared29/12/21-RM2,366.50 (170.00artial)"/>
    <m/>
  </r>
  <r>
    <x v="120"/>
    <x v="6"/>
    <x v="2"/>
    <x v="162"/>
    <s v="C00000003"/>
    <x v="2"/>
    <x v="12"/>
    <n v="3"/>
    <n v="45"/>
    <x v="1"/>
    <d v="2022-01-07T00:00:00"/>
    <x v="7"/>
    <x v="4"/>
    <n v="172.5"/>
    <n v="-172.5"/>
    <n v="0"/>
    <n v="705775.95"/>
    <s v="PD Chq"/>
    <s v="RHB 001457cleared29/12/21-RM2,366.50 (172.50partial)"/>
    <m/>
  </r>
  <r>
    <x v="121"/>
    <x v="6"/>
    <x v="2"/>
    <x v="163"/>
    <s v="C00000019"/>
    <x v="18"/>
    <x v="45"/>
    <n v="1"/>
    <s v="Cash"/>
    <x v="0"/>
    <d v="2021-11-26T00:00:00"/>
    <x v="5"/>
    <x v="2"/>
    <n v="2024"/>
    <n v="-2024"/>
    <n v="0"/>
    <n v="707799.95"/>
    <s v="Trsf"/>
    <s v="Trsf 28/11/21"/>
    <m/>
  </r>
  <r>
    <x v="121"/>
    <x v="6"/>
    <x v="2"/>
    <x v="163"/>
    <s v="C00000019"/>
    <x v="18"/>
    <x v="12"/>
    <n v="4"/>
    <s v="Cash"/>
    <x v="0"/>
    <d v="2021-11-26T00:00:00"/>
    <x v="5"/>
    <x v="2"/>
    <n v="250"/>
    <n v="-250"/>
    <n v="0"/>
    <n v="708049.95"/>
    <s v="Trsf"/>
    <s v="Trsf 28/11/21"/>
    <m/>
  </r>
  <r>
    <x v="121"/>
    <x v="6"/>
    <x v="2"/>
    <x v="163"/>
    <s v="C00000019"/>
    <x v="18"/>
    <x v="4"/>
    <n v="1"/>
    <s v="Cash"/>
    <x v="0"/>
    <d v="2021-11-26T00:00:00"/>
    <x v="5"/>
    <x v="2"/>
    <n v="100"/>
    <n v="-100"/>
    <n v="0"/>
    <n v="708149.95"/>
    <s v="Trsf"/>
    <s v="Trsf 28/11/21"/>
    <m/>
  </r>
  <r>
    <x v="121"/>
    <x v="6"/>
    <x v="2"/>
    <x v="164"/>
    <s v="C00000019"/>
    <x v="18"/>
    <x v="45"/>
    <n v="1"/>
    <s v="Cash"/>
    <x v="0"/>
    <d v="2021-11-26T00:00:00"/>
    <x v="5"/>
    <x v="2"/>
    <n v="2024"/>
    <n v="-2024"/>
    <n v="0"/>
    <n v="710173.95"/>
    <s v="Trsf"/>
    <s v="Trsf 28/11/21"/>
    <m/>
  </r>
  <r>
    <x v="122"/>
    <x v="6"/>
    <x v="2"/>
    <x v="165"/>
    <s v="C00000008"/>
    <x v="7"/>
    <x v="15"/>
    <n v="1"/>
    <s v="Cash"/>
    <x v="0"/>
    <d v="2021-11-29T00:00:00"/>
    <x v="5"/>
    <x v="2"/>
    <n v="2090"/>
    <n v="-2090"/>
    <n v="0"/>
    <n v="712263.95"/>
    <s v="Trsf"/>
    <s v="Trsf 21/1/2022, RM4,006.00"/>
    <m/>
  </r>
  <r>
    <x v="122"/>
    <x v="6"/>
    <x v="2"/>
    <x v="165"/>
    <s v="C00000008"/>
    <x v="7"/>
    <x v="28"/>
    <n v="4"/>
    <s v="Cash"/>
    <x v="0"/>
    <d v="2021-11-29T00:00:00"/>
    <x v="5"/>
    <x v="2"/>
    <n v="1406"/>
    <n v="-1406"/>
    <n v="0"/>
    <n v="713669.95"/>
    <s v="Trsf"/>
    <s v="Trsf 21/1/2022, RM4,006.00"/>
    <m/>
  </r>
  <r>
    <x v="123"/>
    <x v="0"/>
    <x v="2"/>
    <x v="166"/>
    <s v="C00000020"/>
    <x v="19"/>
    <x v="15"/>
    <n v="3"/>
    <s v="Cash"/>
    <x v="0"/>
    <d v="2021-12-07T00:00:00"/>
    <x v="0"/>
    <x v="2"/>
    <n v="6138"/>
    <n v="-6138"/>
    <n v="0"/>
    <n v="719807.95"/>
    <s v="Trsf"/>
    <s v="Trsf 7/12/21"/>
    <m/>
  </r>
  <r>
    <x v="123"/>
    <x v="0"/>
    <x v="2"/>
    <x v="166"/>
    <s v="C00000020"/>
    <x v="19"/>
    <x v="72"/>
    <n v="9"/>
    <s v="Cash"/>
    <x v="0"/>
    <d v="2021-12-07T00:00:00"/>
    <x v="0"/>
    <x v="2"/>
    <n v="3263.4"/>
    <n v="-3263.4"/>
    <n v="0"/>
    <n v="723071.35"/>
    <s v="Trsf"/>
    <s v="Trsf 7/12/21"/>
    <m/>
  </r>
  <r>
    <x v="123"/>
    <x v="0"/>
    <x v="2"/>
    <x v="166"/>
    <s v="C00000020"/>
    <x v="19"/>
    <x v="66"/>
    <n v="6"/>
    <s v="Cash"/>
    <x v="0"/>
    <d v="2021-12-07T00:00:00"/>
    <x v="0"/>
    <x v="2"/>
    <n v="2430"/>
    <n v="-2430"/>
    <n v="0"/>
    <n v="725501.35"/>
    <s v="Trsf"/>
    <s v="Trsf 7/12/21"/>
    <m/>
  </r>
  <r>
    <x v="123"/>
    <x v="0"/>
    <x v="2"/>
    <x v="166"/>
    <s v="C00000020"/>
    <x v="19"/>
    <x v="12"/>
    <n v="3"/>
    <s v="Cash"/>
    <x v="0"/>
    <d v="2021-12-07T00:00:00"/>
    <x v="0"/>
    <x v="2"/>
    <n v="187.5"/>
    <n v="-187.5"/>
    <n v="0"/>
    <n v="725688.85"/>
    <s v="Trsf"/>
    <s v="Trsf 7/12/21"/>
    <m/>
  </r>
  <r>
    <x v="123"/>
    <x v="0"/>
    <x v="2"/>
    <x v="166"/>
    <s v="C00000020"/>
    <x v="19"/>
    <x v="60"/>
    <n v="2"/>
    <s v="Cash"/>
    <x v="0"/>
    <d v="2021-12-07T00:00:00"/>
    <x v="0"/>
    <x v="2"/>
    <n v="170"/>
    <n v="-170"/>
    <n v="0"/>
    <n v="725858.85"/>
    <s v="Trsf"/>
    <s v="Trsf 7/12/21"/>
    <m/>
  </r>
  <r>
    <x v="124"/>
    <x v="0"/>
    <x v="2"/>
    <x v="167"/>
    <s v="C00000013"/>
    <x v="12"/>
    <x v="15"/>
    <n v="1"/>
    <s v="Cash"/>
    <x v="0"/>
    <d v="2021-12-10T00:00:00"/>
    <x v="0"/>
    <x v="2"/>
    <n v="2112"/>
    <n v="-2112"/>
    <n v="0"/>
    <n v="727970.85"/>
    <s v="Chq"/>
    <s v="Trsf 11 &amp; 12/12/21, RM3,000.00 &amp; 2,175.40"/>
    <m/>
  </r>
  <r>
    <x v="124"/>
    <x v="0"/>
    <x v="2"/>
    <x v="167"/>
    <s v="C00000013"/>
    <x v="12"/>
    <x v="68"/>
    <n v="1"/>
    <s v="Cash"/>
    <x v="0"/>
    <d v="2021-12-10T00:00:00"/>
    <x v="0"/>
    <x v="2"/>
    <n v="60"/>
    <n v="-60"/>
    <n v="0"/>
    <n v="728030.85"/>
    <s v="Chq"/>
    <s v="Trsf 11 &amp; 12/12/21, RM3,000.00 &amp; 2,175.40"/>
    <m/>
  </r>
  <r>
    <x v="124"/>
    <x v="0"/>
    <x v="2"/>
    <x v="167"/>
    <s v="C00000013"/>
    <x v="12"/>
    <x v="5"/>
    <n v="1"/>
    <s v="Cash"/>
    <x v="0"/>
    <d v="2021-12-10T00:00:00"/>
    <x v="0"/>
    <x v="2"/>
    <n v="270"/>
    <n v="-270"/>
    <n v="0"/>
    <n v="728300.85"/>
    <s v="Chq"/>
    <s v="Trsf 11 &amp; 12/12/21, RM3,000.00 &amp; 2,175.40"/>
    <m/>
  </r>
  <r>
    <x v="124"/>
    <x v="0"/>
    <x v="2"/>
    <x v="167"/>
    <s v="C00000013"/>
    <x v="12"/>
    <x v="33"/>
    <n v="2"/>
    <s v="Cash"/>
    <x v="0"/>
    <d v="2021-12-10T00:00:00"/>
    <x v="0"/>
    <x v="2"/>
    <n v="320"/>
    <n v="-320"/>
    <n v="0"/>
    <n v="728620.85"/>
    <s v="Chq"/>
    <s v="Trsf 11 &amp; 12/12/21, RM3,000.00 &amp; 2,175.40"/>
    <m/>
  </r>
  <r>
    <x v="124"/>
    <x v="0"/>
    <x v="2"/>
    <x v="167"/>
    <s v="C00000013"/>
    <x v="12"/>
    <x v="52"/>
    <n v="1"/>
    <s v="Cash"/>
    <x v="0"/>
    <d v="2021-12-10T00:00:00"/>
    <x v="0"/>
    <x v="2"/>
    <n v="390"/>
    <n v="-390"/>
    <n v="0"/>
    <n v="729010.85"/>
    <s v="Chq"/>
    <s v="Trsf 11 &amp; 12/12/21, RM3,000.00 &amp; 2,175.40"/>
    <m/>
  </r>
  <r>
    <x v="124"/>
    <x v="0"/>
    <x v="2"/>
    <x v="167"/>
    <s v="C00000013"/>
    <x v="12"/>
    <x v="60"/>
    <n v="2"/>
    <s v="Cash"/>
    <x v="0"/>
    <d v="2021-12-10T00:00:00"/>
    <x v="0"/>
    <x v="2"/>
    <n v="170"/>
    <n v="-170"/>
    <n v="0"/>
    <n v="729180.85"/>
    <s v="Chq"/>
    <s v="Trsf 11 &amp; 12/12/21, RM3,000.00 &amp; 2,175.40"/>
    <m/>
  </r>
  <r>
    <x v="124"/>
    <x v="0"/>
    <x v="2"/>
    <x v="167"/>
    <s v="C00000013"/>
    <x v="12"/>
    <x v="75"/>
    <n v="1"/>
    <s v="Cash"/>
    <x v="0"/>
    <d v="2021-12-10T00:00:00"/>
    <x v="0"/>
    <x v="2"/>
    <n v="45"/>
    <n v="-45"/>
    <n v="0"/>
    <n v="729225.85"/>
    <s v="Chq"/>
    <s v="Trsf 11 &amp; 12/12/21, RM3,000.00 &amp; 2,175.40"/>
    <m/>
  </r>
  <r>
    <x v="124"/>
    <x v="0"/>
    <x v="2"/>
    <x v="167"/>
    <s v="C00000013"/>
    <x v="12"/>
    <x v="10"/>
    <n v="1"/>
    <s v="Cash"/>
    <x v="0"/>
    <d v="2021-12-10T00:00:00"/>
    <x v="0"/>
    <x v="2"/>
    <n v="529.20000000000005"/>
    <n v="-529.20000000000005"/>
    <n v="0"/>
    <n v="729755.04999999993"/>
    <s v="Chq"/>
    <s v="Trsf 11 &amp; 12/12/21, RM3,000.00 &amp; 2,175.40"/>
    <m/>
  </r>
  <r>
    <x v="124"/>
    <x v="0"/>
    <x v="2"/>
    <x v="167"/>
    <s v="C00000013"/>
    <x v="12"/>
    <x v="16"/>
    <n v="1"/>
    <s v="Cash"/>
    <x v="0"/>
    <d v="2021-12-10T00:00:00"/>
    <x v="0"/>
    <x v="2"/>
    <n v="529.20000000000005"/>
    <n v="-529.20000000000005"/>
    <n v="0"/>
    <n v="730284.24999999988"/>
    <s v="Chq"/>
    <s v="Trsf 11 &amp; 12/12/21, RM3,000.00 &amp; 2,175.40"/>
    <m/>
  </r>
  <r>
    <x v="124"/>
    <x v="0"/>
    <x v="2"/>
    <x v="167"/>
    <s v="C00000013"/>
    <x v="12"/>
    <x v="76"/>
    <n v="1"/>
    <s v="Cash"/>
    <x v="0"/>
    <d v="2021-12-10T00:00:00"/>
    <x v="0"/>
    <x v="2"/>
    <n v="750"/>
    <n v="-750"/>
    <n v="0"/>
    <n v="731034.24999999988"/>
    <s v="Chq"/>
    <s v="Trsf 11 &amp; 12/12/21, RM3,000.00 &amp; 2,175.40"/>
    <m/>
  </r>
  <r>
    <x v="124"/>
    <x v="0"/>
    <x v="2"/>
    <x v="168"/>
    <s v="C00000020"/>
    <x v="19"/>
    <x v="77"/>
    <n v="5"/>
    <s v="Cash"/>
    <x v="0"/>
    <d v="2021-12-10T00:00:00"/>
    <x v="0"/>
    <x v="2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x v="124"/>
    <x v="0"/>
    <x v="2"/>
    <x v="168"/>
    <s v="C00000020"/>
    <x v="19"/>
    <x v="57"/>
    <n v="6"/>
    <s v="Cash"/>
    <x v="0"/>
    <d v="2021-12-10T00:00:00"/>
    <x v="0"/>
    <x v="2"/>
    <n v="3420"/>
    <n v="-3420"/>
    <n v="0"/>
    <n v="744916.74999999988"/>
    <s v="Trsf"/>
    <s v="Trsf 26/2/22-RM2,900.00(2,769.80partial), Trsf 15/3/22-RM16,000.00(RM650.20partial)"/>
    <m/>
  </r>
  <r>
    <x v="124"/>
    <x v="0"/>
    <x v="2"/>
    <x v="168"/>
    <s v="C00000020"/>
    <x v="19"/>
    <x v="66"/>
    <n v="7"/>
    <s v="Cash"/>
    <x v="0"/>
    <d v="2021-12-10T00:00:00"/>
    <x v="0"/>
    <x v="2"/>
    <n v="2835"/>
    <n v="-2835"/>
    <n v="0"/>
    <n v="747751.74999999988"/>
    <s v="Trsf"/>
    <s v="Trsf 15/3/22-RM16,000.00"/>
    <m/>
  </r>
  <r>
    <x v="124"/>
    <x v="0"/>
    <x v="2"/>
    <x v="168"/>
    <s v="C00000020"/>
    <x v="19"/>
    <x v="12"/>
    <n v="5"/>
    <s v="Cash"/>
    <x v="0"/>
    <d v="2021-12-10T00:00:00"/>
    <x v="0"/>
    <x v="2"/>
    <n v="312.5"/>
    <n v="-312.5"/>
    <n v="0"/>
    <n v="748064.24999999988"/>
    <s v="Trsf"/>
    <s v="Trsf 15/3/22-RM16,000.00"/>
    <m/>
  </r>
  <r>
    <x v="124"/>
    <x v="0"/>
    <x v="2"/>
    <x v="168"/>
    <s v="C00000020"/>
    <x v="19"/>
    <x v="71"/>
    <n v="1"/>
    <s v="Cash"/>
    <x v="0"/>
    <d v="2021-12-10T00:00:00"/>
    <x v="0"/>
    <x v="2"/>
    <n v="1000"/>
    <n v="-1000"/>
    <n v="0"/>
    <n v="749064.24999999988"/>
    <s v="Trsf"/>
    <s v="Trsf 15/3/22-RM16,000.00"/>
    <m/>
  </r>
  <r>
    <x v="124"/>
    <x v="0"/>
    <x v="2"/>
    <x v="168"/>
    <s v="C00000020"/>
    <x v="19"/>
    <x v="60"/>
    <n v="2"/>
    <s v="Cash"/>
    <x v="0"/>
    <d v="2021-12-10T00:00:00"/>
    <x v="0"/>
    <x v="2"/>
    <n v="170"/>
    <n v="-170"/>
    <n v="0"/>
    <n v="749234.24999999988"/>
    <s v="Trsf"/>
    <s v="Trsf 15/3/22-RM16,000.00"/>
    <m/>
  </r>
  <r>
    <x v="124"/>
    <x v="0"/>
    <x v="2"/>
    <x v="168"/>
    <s v="C00000020"/>
    <x v="19"/>
    <x v="78"/>
    <n v="1"/>
    <s v="Cash"/>
    <x v="0"/>
    <d v="2021-12-10T00:00:00"/>
    <x v="0"/>
    <x v="2"/>
    <n v="484.5"/>
    <n v="-484.5"/>
    <n v="0"/>
    <n v="749718.74999999988"/>
    <s v="Trsf"/>
    <s v="Trsf 15/3/22-RM16,000.00"/>
    <m/>
  </r>
  <r>
    <x v="125"/>
    <x v="0"/>
    <x v="2"/>
    <x v="169"/>
    <s v="C00000010"/>
    <x v="9"/>
    <x v="45"/>
    <n v="6"/>
    <n v="120"/>
    <x v="2"/>
    <d v="2022-04-14T00:00:00"/>
    <x v="11"/>
    <x v="4"/>
    <n v="12144"/>
    <n v="-12144"/>
    <n v="0"/>
    <n v="761862.74999999988"/>
    <s v="Trsf"/>
    <s v="Trsf 14/3/2022 RM22,264.00"/>
    <m/>
  </r>
  <r>
    <x v="125"/>
    <x v="0"/>
    <x v="2"/>
    <x v="170"/>
    <s v="C00000004"/>
    <x v="3"/>
    <x v="45"/>
    <n v="5"/>
    <n v="120"/>
    <x v="2"/>
    <d v="2022-04-14T00:00:00"/>
    <x v="11"/>
    <x v="4"/>
    <n v="10120"/>
    <n v="-10120"/>
    <n v="0"/>
    <n v="771982.74999999988"/>
    <s v="Chq"/>
    <s v="HLB010464Cleared21/4/22-RM15,895.80"/>
    <m/>
  </r>
  <r>
    <x v="125"/>
    <x v="0"/>
    <x v="2"/>
    <x v="170"/>
    <s v="C00000004"/>
    <x v="3"/>
    <x v="79"/>
    <n v="1"/>
    <n v="120"/>
    <x v="2"/>
    <d v="2022-04-14T00:00:00"/>
    <x v="11"/>
    <x v="4"/>
    <n v="2024"/>
    <n v="-2024"/>
    <n v="0"/>
    <n v="774006.74999999988"/>
    <s v="Chq"/>
    <s v="HLB010464Cleared21/4/22-RM15,895.80"/>
    <m/>
  </r>
  <r>
    <x v="125"/>
    <x v="0"/>
    <x v="2"/>
    <x v="170"/>
    <s v="C00000004"/>
    <x v="3"/>
    <x v="60"/>
    <n v="4"/>
    <n v="120"/>
    <x v="2"/>
    <d v="2022-04-14T00:00:00"/>
    <x v="11"/>
    <x v="4"/>
    <n v="340"/>
    <n v="-340"/>
    <n v="0"/>
    <n v="774346.74999999988"/>
    <s v="Chq"/>
    <s v="HLB010464Cleared21/4/22-RM15,895.80"/>
    <m/>
  </r>
  <r>
    <x v="126"/>
    <x v="0"/>
    <x v="2"/>
    <x v="171"/>
    <s v="C00000004"/>
    <x v="3"/>
    <x v="17"/>
    <n v="1"/>
    <n v="120"/>
    <x v="2"/>
    <d v="2022-04-15T00:00:00"/>
    <x v="11"/>
    <x v="4"/>
    <n v="390"/>
    <n v="-390"/>
    <n v="0"/>
    <n v="774736.74999999988"/>
    <s v="Chq"/>
    <s v="HLB010464Cleared21/4/22-RM15,895.80"/>
    <m/>
  </r>
  <r>
    <x v="127"/>
    <x v="0"/>
    <x v="2"/>
    <x v="172"/>
    <s v="C00000020"/>
    <x v="19"/>
    <x v="15"/>
    <n v="3"/>
    <s v="Cash"/>
    <x v="0"/>
    <d v="2021-12-20T00:00:00"/>
    <x v="0"/>
    <x v="2"/>
    <n v="6270"/>
    <n v="-6270"/>
    <n v="0"/>
    <n v="781006.74999999988"/>
    <s v="Trsf"/>
    <s v="Trsf 15/3/22-RM16,000.00"/>
    <m/>
  </r>
  <r>
    <x v="127"/>
    <x v="0"/>
    <x v="2"/>
    <x v="172"/>
    <s v="C00000020"/>
    <x v="19"/>
    <x v="71"/>
    <n v="1"/>
    <s v="Cash"/>
    <x v="0"/>
    <d v="2021-12-20T00:00:00"/>
    <x v="0"/>
    <x v="2"/>
    <n v="1000"/>
    <n v="-1000"/>
    <n v="0"/>
    <n v="782006.74999999988"/>
    <s v="Trsf"/>
    <s v="Trsf 15/3/22-RM16,000.00"/>
    <m/>
  </r>
  <r>
    <x v="127"/>
    <x v="0"/>
    <x v="2"/>
    <x v="172"/>
    <s v="C00000020"/>
    <x v="19"/>
    <x v="12"/>
    <n v="3"/>
    <s v="Cash"/>
    <x v="0"/>
    <d v="2021-12-20T00:00:00"/>
    <x v="0"/>
    <x v="2"/>
    <n v="187.5"/>
    <n v="-187.5"/>
    <n v="0"/>
    <n v="782194.24999999988"/>
    <s v="Trsf"/>
    <s v="Trsf 15/3/22-RM16,000.00"/>
    <m/>
  </r>
  <r>
    <x v="128"/>
    <x v="0"/>
    <x v="2"/>
    <x v="173"/>
    <s v="C00000004"/>
    <x v="3"/>
    <x v="80"/>
    <n v="1"/>
    <n v="120"/>
    <x v="2"/>
    <d v="2022-04-20T00:00:00"/>
    <x v="11"/>
    <x v="4"/>
    <n v="513"/>
    <n v="-513"/>
    <n v="0"/>
    <n v="782707.24999999988"/>
    <s v="Chq"/>
    <s v="HLB010464Cleared21/4/22-RM15,895.80"/>
    <m/>
  </r>
  <r>
    <x v="128"/>
    <x v="0"/>
    <x v="2"/>
    <x v="173"/>
    <s v="C00000004"/>
    <x v="3"/>
    <x v="81"/>
    <n v="4"/>
    <n v="120"/>
    <x v="2"/>
    <d v="2022-04-20T00:00:00"/>
    <x v="11"/>
    <x v="4"/>
    <n v="2508.8000000000002"/>
    <n v="-2508.8000000000002"/>
    <n v="0"/>
    <n v="785216.04999999993"/>
    <s v="Chq"/>
    <s v="HLB010464Cleared21/4/22-RM15,895.80"/>
    <m/>
  </r>
  <r>
    <x v="129"/>
    <x v="0"/>
    <x v="2"/>
    <x v="174"/>
    <s v="C00000020"/>
    <x v="19"/>
    <x v="15"/>
    <n v="3"/>
    <s v="Cash"/>
    <x v="0"/>
    <d v="2021-12-22T00:00:00"/>
    <x v="0"/>
    <x v="2"/>
    <n v="6270"/>
    <n v="-6270"/>
    <n v="0"/>
    <n v="791486.04999999993"/>
    <s v="Trsf"/>
    <s v="Trsf 15/3/22-RM16,000.00(RM3,090.30), Trsf 23/3/22-RM4,800.00(RM3,179.70)"/>
    <m/>
  </r>
  <r>
    <x v="129"/>
    <x v="0"/>
    <x v="2"/>
    <x v="174"/>
    <s v="C00000020"/>
    <x v="19"/>
    <x v="71"/>
    <n v="1"/>
    <s v="Cash"/>
    <x v="0"/>
    <d v="2021-12-22T00:00:00"/>
    <x v="0"/>
    <x v="2"/>
    <n v="1000"/>
    <n v="-1000"/>
    <n v="0"/>
    <n v="792486.04999999993"/>
    <s v="Trsf"/>
    <s v="Trsf 23/3/22-RM4,800.00"/>
    <m/>
  </r>
  <r>
    <x v="129"/>
    <x v="0"/>
    <x v="2"/>
    <x v="174"/>
    <s v="C00000020"/>
    <x v="19"/>
    <x v="12"/>
    <n v="3"/>
    <s v="Cash"/>
    <x v="0"/>
    <d v="2021-12-22T00:00:00"/>
    <x v="0"/>
    <x v="2"/>
    <n v="187.5"/>
    <n v="-187.5"/>
    <n v="0"/>
    <n v="792673.54999999993"/>
    <s v="Trsf"/>
    <s v="Trsf 23/3/22-RM4,800.00"/>
    <m/>
  </r>
  <r>
    <x v="129"/>
    <x v="0"/>
    <x v="2"/>
    <x v="174"/>
    <s v="C00000020"/>
    <x v="19"/>
    <x v="82"/>
    <n v="8"/>
    <s v="Cash"/>
    <x v="0"/>
    <d v="2021-12-22T00:00:00"/>
    <x v="0"/>
    <x v="2"/>
    <n v="3108"/>
    <n v="-3108"/>
    <n v="0"/>
    <n v="795781.54999999993"/>
    <s v="Trsf"/>
    <s v="Trsf 23/3/22-RM4,800(RM432.80), Trsf 25/3/22-RM6,000.00(RM2,675.20)"/>
    <m/>
  </r>
  <r>
    <x v="130"/>
    <x v="0"/>
    <x v="2"/>
    <x v="175"/>
    <s v="C00000020"/>
    <x v="19"/>
    <x v="82"/>
    <n v="2"/>
    <s v="Cash"/>
    <x v="0"/>
    <d v="2021-12-24T00:00:00"/>
    <x v="0"/>
    <x v="2"/>
    <n v="777"/>
    <n v="-777"/>
    <n v="0"/>
    <n v="796558.54999999993"/>
    <s v="Trsf"/>
    <s v="Trsf 25/3/22-RM6,000.00"/>
    <m/>
  </r>
  <r>
    <x v="131"/>
    <x v="0"/>
    <x v="2"/>
    <x v="176"/>
    <s v="C00000020"/>
    <x v="19"/>
    <x v="82"/>
    <n v="2"/>
    <s v="Cash"/>
    <x v="0"/>
    <d v="2021-12-27T00:00:00"/>
    <x v="0"/>
    <x v="2"/>
    <n v="777"/>
    <n v="-777"/>
    <n v="0"/>
    <n v="797335.54999999993"/>
    <s v="Trsf"/>
    <s v="Trsf 25/3/22-RM6,000.00"/>
    <m/>
  </r>
  <r>
    <x v="131"/>
    <x v="0"/>
    <x v="2"/>
    <x v="176"/>
    <s v="C00000020"/>
    <x v="19"/>
    <x v="41"/>
    <n v="1"/>
    <s v="Cash"/>
    <x v="0"/>
    <d v="2021-12-27T00:00:00"/>
    <x v="0"/>
    <x v="2"/>
    <n v="300"/>
    <n v="-300"/>
    <n v="0"/>
    <n v="797635.54999999993"/>
    <s v="Trsf"/>
    <s v="Trsf 25/3/22-RM6,000.00"/>
    <m/>
  </r>
  <r>
    <x v="132"/>
    <x v="0"/>
    <x v="2"/>
    <x v="177"/>
    <s v="C00000001"/>
    <x v="0"/>
    <x v="15"/>
    <n v="2"/>
    <s v="Cash"/>
    <x v="0"/>
    <d v="2021-12-28T00:00:00"/>
    <x v="0"/>
    <x v="2"/>
    <n v="4136"/>
    <n v="-4136"/>
    <n v="0"/>
    <n v="801771.54999999993"/>
    <s v="Trsf"/>
    <s v="Trsf 31/12/21, "/>
    <m/>
  </r>
  <r>
    <x v="132"/>
    <x v="0"/>
    <x v="2"/>
    <x v="177"/>
    <s v="C00000001"/>
    <x v="0"/>
    <x v="83"/>
    <n v="5"/>
    <s v="Cash"/>
    <x v="0"/>
    <d v="2021-12-28T00:00:00"/>
    <x v="0"/>
    <x v="2"/>
    <n v="1455"/>
    <n v="-1455"/>
    <n v="0"/>
    <n v="803226.54999999993"/>
    <s v="Trsf"/>
    <s v="Trsf 31/12/21, "/>
    <m/>
  </r>
  <r>
    <x v="133"/>
    <x v="0"/>
    <x v="2"/>
    <x v="178"/>
    <s v="C00000020"/>
    <x v="19"/>
    <x v="15"/>
    <n v="5"/>
    <s v="Cash"/>
    <x v="0"/>
    <d v="2021-12-30T00:00:00"/>
    <x v="0"/>
    <x v="2"/>
    <n v="10450"/>
    <n v="-10450"/>
    <n v="0"/>
    <n v="813676.54999999993"/>
    <s v="Trsf"/>
    <s v="Trsf 25/3/22-RM6,000.00(RM1,470.80partial), Trsf 22/3/22-RM6,200.00, Trsf 05/04/22-RM7,000.00(2,779.20partial)"/>
    <m/>
  </r>
  <r>
    <x v="133"/>
    <x v="0"/>
    <x v="2"/>
    <x v="178"/>
    <s v="C00000020"/>
    <x v="19"/>
    <x v="83"/>
    <n v="15"/>
    <s v="Cash"/>
    <x v="0"/>
    <d v="2021-12-30T00:00:00"/>
    <x v="0"/>
    <x v="2"/>
    <n v="4410"/>
    <n v="-4410"/>
    <n v="0"/>
    <n v="818086.54999999993"/>
    <s v="Trsf"/>
    <s v="Trsf 05/04/22-RM7,000.00(4,220.80(partial), Trsf 7/4/22-RM3,000.00(189.20partial)"/>
    <m/>
  </r>
  <r>
    <x v="133"/>
    <x v="0"/>
    <x v="2"/>
    <x v="178"/>
    <s v="C00000020"/>
    <x v="19"/>
    <x v="84"/>
    <n v="8"/>
    <s v="Cash"/>
    <x v="0"/>
    <d v="2021-12-30T00:00:00"/>
    <x v="0"/>
    <x v="2"/>
    <n v="2808"/>
    <n v="-2808"/>
    <n v="0"/>
    <n v="820894.54999999993"/>
    <s v="Trsf"/>
    <s v="Trsf 7/4/22-RM3,000.00(2,808.00partial)"/>
    <m/>
  </r>
  <r>
    <x v="133"/>
    <x v="0"/>
    <x v="2"/>
    <x v="178"/>
    <s v="C00000020"/>
    <x v="19"/>
    <x v="12"/>
    <n v="5"/>
    <s v="Cash"/>
    <x v="0"/>
    <d v="2021-12-30T00:00:00"/>
    <x v="0"/>
    <x v="2"/>
    <n v="312.5"/>
    <n v="-312.5"/>
    <n v="0"/>
    <n v="821207.04999999993"/>
    <s v="Trsf"/>
    <s v="Trsf 7/4/22-RM3,000.00(2.80partial), Trsf 8/4/22-RM5,000.00(309.70partial)"/>
    <m/>
  </r>
  <r>
    <x v="133"/>
    <x v="0"/>
    <x v="2"/>
    <x v="178"/>
    <s v="C00000020"/>
    <x v="19"/>
    <x v="71"/>
    <n v="1"/>
    <s v="Cash"/>
    <x v="0"/>
    <d v="2021-12-30T00:00:00"/>
    <x v="0"/>
    <x v="2"/>
    <n v="1000"/>
    <n v="-1000"/>
    <n v="0"/>
    <n v="822207.04999999993"/>
    <s v="Trsf"/>
    <s v="Trsf 8/4/22-RM5,000.00"/>
    <m/>
  </r>
  <r>
    <x v="133"/>
    <x v="0"/>
    <x v="2"/>
    <x v="178"/>
    <s v="C00000020"/>
    <x v="19"/>
    <x v="60"/>
    <n v="4"/>
    <s v="Cash"/>
    <x v="0"/>
    <d v="2021-12-30T00:00:00"/>
    <x v="0"/>
    <x v="2"/>
    <n v="340"/>
    <n v="-340"/>
    <n v="0"/>
    <n v="822547.04999999993"/>
    <s v="Trsf"/>
    <s v="Trsf 8/4/22-RM5,000.00"/>
    <m/>
  </r>
  <r>
    <x v="134"/>
    <x v="0"/>
    <x v="2"/>
    <x v="179"/>
    <s v="C00000010"/>
    <x v="9"/>
    <x v="45"/>
    <n v="4"/>
    <n v="120"/>
    <x v="2"/>
    <d v="2022-04-30T00:00:00"/>
    <x v="11"/>
    <x v="4"/>
    <n v="8096"/>
    <n v="-8096"/>
    <n v="0"/>
    <n v="830643.04999999993"/>
    <s v="Trsf"/>
    <s v="Trsf 14/3/2022 RM22,264.00"/>
    <m/>
  </r>
  <r>
    <x v="134"/>
    <x v="0"/>
    <x v="2"/>
    <x v="179"/>
    <s v="C00000010"/>
    <x v="9"/>
    <x v="15"/>
    <n v="1"/>
    <n v="120"/>
    <x v="2"/>
    <d v="2022-04-30T00:00:00"/>
    <x v="11"/>
    <x v="4"/>
    <n v="2024"/>
    <n v="-2024"/>
    <n v="0"/>
    <n v="832667.04999999993"/>
    <s v="Trsf"/>
    <s v="Trsf 14/3/2022 RM22,264.00"/>
    <m/>
  </r>
  <r>
    <x v="134"/>
    <x v="0"/>
    <x v="2"/>
    <x v="180"/>
    <s v="C00000019"/>
    <x v="18"/>
    <x v="45"/>
    <n v="2"/>
    <s v="Cash"/>
    <x v="0"/>
    <d v="2021-12-31T00:00:00"/>
    <x v="0"/>
    <x v="2"/>
    <n v="4136"/>
    <n v="-4136"/>
    <n v="0"/>
    <n v="836803.04999999993"/>
    <s v="Trsf"/>
    <s v="Trsf 1/1/2022 RM5,014.80"/>
    <m/>
  </r>
  <r>
    <x v="134"/>
    <x v="0"/>
    <x v="2"/>
    <x v="180"/>
    <s v="C00000019"/>
    <x v="18"/>
    <x v="12"/>
    <n v="4"/>
    <s v="Cash"/>
    <x v="0"/>
    <d v="2021-12-31T00:00:00"/>
    <x v="0"/>
    <x v="2"/>
    <n v="250"/>
    <n v="-250"/>
    <n v="0"/>
    <n v="837053.04999999993"/>
    <s v="Trsf"/>
    <s v="Trsf 1/1/2022 RM5,014.80"/>
    <m/>
  </r>
  <r>
    <x v="134"/>
    <x v="0"/>
    <x v="2"/>
    <x v="180"/>
    <s v="C00000019"/>
    <x v="18"/>
    <x v="4"/>
    <n v="1"/>
    <s v="Cash"/>
    <x v="0"/>
    <d v="2021-12-31T00:00:00"/>
    <x v="0"/>
    <x v="2"/>
    <n v="105"/>
    <n v="-105"/>
    <n v="0"/>
    <n v="837158.04999999993"/>
    <s v="Trsf"/>
    <s v="Trsf 1/1/2022 RM5,014.80"/>
    <m/>
  </r>
  <r>
    <x v="134"/>
    <x v="0"/>
    <x v="2"/>
    <x v="180"/>
    <s v="C00000019"/>
    <x v="18"/>
    <x v="67"/>
    <n v="1"/>
    <s v="Cash"/>
    <x v="0"/>
    <d v="2021-12-31T00:00:00"/>
    <x v="0"/>
    <x v="2"/>
    <n v="523.79999999999995"/>
    <n v="-523.79999999999995"/>
    <n v="0"/>
    <n v="837681.85"/>
    <s v="Trsf"/>
    <s v="Trsf 1/1/2022 RM5,014.80"/>
    <m/>
  </r>
  <r>
    <x v="135"/>
    <x v="7"/>
    <x v="3"/>
    <x v="181"/>
    <s v="C00000020"/>
    <x v="19"/>
    <x v="85"/>
    <n v="3"/>
    <s v="Cash"/>
    <x v="0"/>
    <d v="2022-01-03T00:00:00"/>
    <x v="7"/>
    <x v="4"/>
    <n v="6270"/>
    <n v="-6270"/>
    <n v="0"/>
    <n v="843951.85"/>
    <s v="Trsf"/>
    <s v="Trsf 8/4/22-RM5,000.00(3,350.30partial), Trsf 12/4/22-RM10,000.00(2,919.70partial)"/>
    <m/>
  </r>
  <r>
    <x v="135"/>
    <x v="7"/>
    <x v="3"/>
    <x v="181"/>
    <s v="C00000020"/>
    <x v="19"/>
    <x v="83"/>
    <n v="4"/>
    <s v="Cash"/>
    <x v="0"/>
    <d v="2022-01-03T00:00:00"/>
    <x v="7"/>
    <x v="4"/>
    <n v="1176"/>
    <n v="-1176"/>
    <n v="0"/>
    <n v="845127.85"/>
    <s v="Trsf"/>
    <s v="Trsf 12/4/22-RM10,000.00"/>
    <m/>
  </r>
  <r>
    <x v="135"/>
    <x v="7"/>
    <x v="3"/>
    <x v="181"/>
    <s v="C00000020"/>
    <x v="19"/>
    <x v="84"/>
    <n v="2"/>
    <s v="Cash"/>
    <x v="0"/>
    <d v="2022-01-03T00:00:00"/>
    <x v="7"/>
    <x v="4"/>
    <n v="702"/>
    <n v="-702"/>
    <n v="0"/>
    <n v="845829.85"/>
    <s v="Trsf"/>
    <s v="Trsf 12/4/22-RM10,000.00"/>
    <m/>
  </r>
  <r>
    <x v="135"/>
    <x v="7"/>
    <x v="3"/>
    <x v="181"/>
    <s v="C00000020"/>
    <x v="19"/>
    <x v="12"/>
    <n v="2"/>
    <s v="Cash"/>
    <x v="0"/>
    <d v="2022-01-03T00:00:00"/>
    <x v="7"/>
    <x v="4"/>
    <n v="125"/>
    <n v="-125"/>
    <n v="0"/>
    <n v="845954.85"/>
    <s v="Trsf"/>
    <s v="Trsf 12/4/22-RM10,000.00"/>
    <m/>
  </r>
  <r>
    <x v="136"/>
    <x v="7"/>
    <x v="3"/>
    <x v="182"/>
    <s v="C00000019"/>
    <x v="18"/>
    <x v="86"/>
    <n v="6"/>
    <s v="Cash"/>
    <x v="0"/>
    <d v="2022-01-06T00:00:00"/>
    <x v="7"/>
    <x v="4"/>
    <n v="360"/>
    <n v="-360"/>
    <n v="0"/>
    <n v="846314.85"/>
    <s v="Trsf"/>
    <s v="Trsf 6/1/2022 RM1,080.00"/>
    <m/>
  </r>
  <r>
    <x v="136"/>
    <x v="7"/>
    <x v="3"/>
    <x v="182"/>
    <s v="C00000019"/>
    <x v="18"/>
    <x v="52"/>
    <n v="2"/>
    <s v="Cash"/>
    <x v="0"/>
    <d v="2022-01-06T00:00:00"/>
    <x v="7"/>
    <x v="4"/>
    <n v="720"/>
    <n v="-720"/>
    <n v="0"/>
    <n v="847034.85"/>
    <s v="Trsf"/>
    <s v="Trsf 6/1/2022 RM1,080.00"/>
    <m/>
  </r>
  <r>
    <x v="137"/>
    <x v="7"/>
    <x v="3"/>
    <x v="183"/>
    <s v="C00000020"/>
    <x v="19"/>
    <x v="83"/>
    <n v="3"/>
    <s v="Cash"/>
    <x v="0"/>
    <d v="2022-01-07T00:00:00"/>
    <x v="7"/>
    <x v="4"/>
    <n v="882"/>
    <n v="-882"/>
    <n v="0"/>
    <n v="847916.85"/>
    <s v="Trsf"/>
    <s v="Trsf 7/1/22 RMRM1,223.00"/>
    <m/>
  </r>
  <r>
    <x v="137"/>
    <x v="7"/>
    <x v="3"/>
    <x v="183"/>
    <s v="C00000020"/>
    <x v="19"/>
    <x v="84"/>
    <n v="1"/>
    <s v="Cash"/>
    <x v="0"/>
    <d v="2022-01-07T00:00:00"/>
    <x v="7"/>
    <x v="4"/>
    <n v="351"/>
    <n v="-351"/>
    <n v="0"/>
    <n v="848267.85"/>
    <s v="Trsf"/>
    <s v="Trsf 7/1/22 RMRM1,223.00"/>
    <m/>
  </r>
  <r>
    <x v="138"/>
    <x v="7"/>
    <x v="3"/>
    <x v="184"/>
    <s v="C00000020"/>
    <x v="19"/>
    <x v="85"/>
    <n v="2"/>
    <s v="Cash"/>
    <x v="0"/>
    <d v="2022-01-08T00:00:00"/>
    <x v="7"/>
    <x v="4"/>
    <n v="4180"/>
    <n v="-4180"/>
    <n v="0"/>
    <n v="852447.85"/>
    <s v="Trsf"/>
    <s v="Trsf 12/4/22-RM10,000.00"/>
    <m/>
  </r>
  <r>
    <x v="138"/>
    <x v="7"/>
    <x v="3"/>
    <x v="184"/>
    <s v="C00000020"/>
    <x v="19"/>
    <x v="83"/>
    <n v="7"/>
    <s v="Cash"/>
    <x v="0"/>
    <d v="2022-01-08T00:00:00"/>
    <x v="7"/>
    <x v="4"/>
    <n v="2058"/>
    <n v="-2058"/>
    <n v="0"/>
    <n v="854505.85"/>
    <s v="Trsf"/>
    <s v="Trsf 12/4/22-RM10,000.00(897.30partial), Trsf 15/4/22-RM3,500.00(1,160.70partial)"/>
    <m/>
  </r>
  <r>
    <x v="138"/>
    <x v="7"/>
    <x v="3"/>
    <x v="184"/>
    <s v="C00000020"/>
    <x v="19"/>
    <x v="41"/>
    <n v="1"/>
    <s v="Cash"/>
    <x v="0"/>
    <d v="2022-01-08T00:00:00"/>
    <x v="7"/>
    <x v="4"/>
    <n v="312"/>
    <n v="-312"/>
    <n v="0"/>
    <n v="854817.85"/>
    <s v="Trsf"/>
    <s v="Trsf 15/4/22-RM3,500.00"/>
    <m/>
  </r>
  <r>
    <x v="138"/>
    <x v="7"/>
    <x v="3"/>
    <x v="184"/>
    <s v="C00000020"/>
    <x v="19"/>
    <x v="84"/>
    <n v="2"/>
    <s v="Cash"/>
    <x v="0"/>
    <d v="2022-01-08T00:00:00"/>
    <x v="7"/>
    <x v="4"/>
    <n v="702"/>
    <n v="-702"/>
    <n v="0"/>
    <n v="855519.85"/>
    <s v="Trsf"/>
    <s v="Trsf 15/4/22-RM3,500.00"/>
    <m/>
  </r>
  <r>
    <x v="138"/>
    <x v="7"/>
    <x v="3"/>
    <x v="184"/>
    <s v="C00000020"/>
    <x v="19"/>
    <x v="12"/>
    <n v="2"/>
    <s v="Cash"/>
    <x v="0"/>
    <d v="2022-01-08T00:00:00"/>
    <x v="7"/>
    <x v="4"/>
    <n v="125"/>
    <n v="-125"/>
    <n v="0"/>
    <n v="855644.85"/>
    <s v="Trsf"/>
    <s v="Trsf 15/4/22-RM3,500.00"/>
    <m/>
  </r>
  <r>
    <x v="139"/>
    <x v="7"/>
    <x v="3"/>
    <x v="185"/>
    <s v="C00000003"/>
    <x v="2"/>
    <x v="85"/>
    <n v="3"/>
    <n v="45"/>
    <x v="1"/>
    <d v="2022-02-24T00:00:00"/>
    <x v="8"/>
    <x v="4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x v="139"/>
    <x v="7"/>
    <x v="3"/>
    <x v="185"/>
    <s v="C00000003"/>
    <x v="2"/>
    <x v="87"/>
    <n v="1"/>
    <n v="45"/>
    <x v="1"/>
    <d v="2022-02-24T00:00:00"/>
    <x v="8"/>
    <x v="4"/>
    <n v="309"/>
    <n v="-309"/>
    <n v="0"/>
    <n v="862289.85"/>
    <s v="PD Chq"/>
    <s v="RHB001531cleared28/2/22-RM1,800.00(309.00.00partial)"/>
    <m/>
  </r>
  <r>
    <x v="139"/>
    <x v="7"/>
    <x v="3"/>
    <x v="185"/>
    <s v="C00000003"/>
    <x v="2"/>
    <x v="4"/>
    <n v="6"/>
    <n v="45"/>
    <x v="1"/>
    <d v="2022-02-24T00:00:00"/>
    <x v="8"/>
    <x v="4"/>
    <n v="600"/>
    <n v="-600"/>
    <n v="0"/>
    <n v="862889.85"/>
    <s v="PD Chq"/>
    <s v="RHB001531cleared28/2/22-RM1,800.00(600.00.00partial)"/>
    <m/>
  </r>
  <r>
    <x v="139"/>
    <x v="7"/>
    <x v="3"/>
    <x v="185"/>
    <s v="C00000003"/>
    <x v="2"/>
    <x v="25"/>
    <n v="2"/>
    <n v="45"/>
    <x v="1"/>
    <d v="2022-02-24T00:00:00"/>
    <x v="8"/>
    <x v="4"/>
    <n v="90"/>
    <n v="-90"/>
    <n v="0"/>
    <n v="862979.85"/>
    <s v="PD Chq"/>
    <s v="RHB001531cleared28/2/22-RM1,800.00(90.00.00partial)"/>
    <m/>
  </r>
  <r>
    <x v="140"/>
    <x v="7"/>
    <x v="3"/>
    <x v="186"/>
    <s v="C00000010"/>
    <x v="9"/>
    <x v="88"/>
    <n v="4"/>
    <n v="120"/>
    <x v="2"/>
    <d v="2022-05-11T00:00:00"/>
    <x v="12"/>
    <x v="4"/>
    <n v="8096"/>
    <n v="-8096"/>
    <n v="0"/>
    <n v="871075.85"/>
    <s v="Trsf"/>
    <s v="Trsf 21/4/2022 RM28,820.00"/>
    <m/>
  </r>
  <r>
    <x v="140"/>
    <x v="7"/>
    <x v="3"/>
    <x v="186"/>
    <s v="C00000010"/>
    <x v="9"/>
    <x v="89"/>
    <n v="20"/>
    <n v="120"/>
    <x v="2"/>
    <d v="2022-05-11T00:00:00"/>
    <x v="12"/>
    <x v="4"/>
    <n v="5700"/>
    <n v="-5700"/>
    <n v="0"/>
    <n v="876775.85"/>
    <s v="Trsf"/>
    <s v="Trsf 21/4/2022 RM28,820.00"/>
    <m/>
  </r>
  <r>
    <x v="140"/>
    <x v="7"/>
    <x v="3"/>
    <x v="186"/>
    <s v="C00000010"/>
    <x v="9"/>
    <x v="12"/>
    <n v="10"/>
    <n v="120"/>
    <x v="2"/>
    <d v="2022-05-11T00:00:00"/>
    <x v="12"/>
    <x v="4"/>
    <n v="550"/>
    <n v="-550"/>
    <n v="0"/>
    <n v="877325.85"/>
    <s v="Trsf"/>
    <s v="Trsf 21/4/2022 RM28,820.00"/>
    <m/>
  </r>
  <r>
    <x v="140"/>
    <x v="7"/>
    <x v="3"/>
    <x v="186"/>
    <s v="C00000010"/>
    <x v="9"/>
    <x v="60"/>
    <n v="4"/>
    <n v="120"/>
    <x v="2"/>
    <d v="2022-05-11T00:00:00"/>
    <x v="12"/>
    <x v="4"/>
    <n v="340"/>
    <n v="-340"/>
    <n v="0"/>
    <n v="877665.85"/>
    <s v="Trsf"/>
    <s v="Trsf 21/4/2022 RM28,820.00"/>
    <m/>
  </r>
  <r>
    <x v="140"/>
    <x v="7"/>
    <x v="3"/>
    <x v="186"/>
    <s v="C00000010"/>
    <x v="9"/>
    <x v="37"/>
    <n v="1"/>
    <n v="120"/>
    <x v="2"/>
    <d v="2022-05-11T00:00:00"/>
    <x v="12"/>
    <x v="4"/>
    <n v="440"/>
    <n v="-440"/>
    <n v="0"/>
    <n v="878105.85"/>
    <s v="Trsf"/>
    <s v="Trsf 21/4/2022 RM28,820.00"/>
    <m/>
  </r>
  <r>
    <x v="140"/>
    <x v="7"/>
    <x v="3"/>
    <x v="186"/>
    <s v="C00000010"/>
    <x v="9"/>
    <x v="56"/>
    <n v="4"/>
    <n v="120"/>
    <x v="2"/>
    <d v="2022-05-11T00:00:00"/>
    <x v="12"/>
    <x v="4"/>
    <n v="220"/>
    <n v="-220"/>
    <n v="0"/>
    <n v="878325.85"/>
    <s v="Trsf"/>
    <s v="Trsf 21/4/2022 RM28,820.00"/>
    <m/>
  </r>
  <r>
    <x v="141"/>
    <x v="7"/>
    <x v="3"/>
    <x v="187"/>
    <s v="C00000019"/>
    <x v="18"/>
    <x v="45"/>
    <n v="2"/>
    <s v="Cash"/>
    <x v="0"/>
    <d v="2022-01-13T00:00:00"/>
    <x v="7"/>
    <x v="4"/>
    <n v="4136"/>
    <n v="-4136"/>
    <n v="0"/>
    <n v="882461.85"/>
    <s v="Trsf"/>
    <s v="Trsf 14/1/22 RM5,183.60"/>
    <m/>
  </r>
  <r>
    <x v="141"/>
    <x v="7"/>
    <x v="3"/>
    <x v="187"/>
    <s v="C00000019"/>
    <x v="18"/>
    <x v="67"/>
    <n v="2"/>
    <s v="Cash"/>
    <x v="0"/>
    <d v="2022-01-13T00:00:00"/>
    <x v="7"/>
    <x v="4"/>
    <n v="1047.5999999999999"/>
    <n v="-1047.5999999999999"/>
    <n v="0"/>
    <n v="883509.45"/>
    <s v="Trsf"/>
    <s v="Trsf 14/1/22 RM5,183.60"/>
    <m/>
  </r>
  <r>
    <x v="141"/>
    <x v="7"/>
    <x v="3"/>
    <x v="188"/>
    <s v="C00000020"/>
    <x v="19"/>
    <x v="85"/>
    <n v="8"/>
    <s v="Cash"/>
    <x v="0"/>
    <d v="2022-01-13T00:00:00"/>
    <x v="7"/>
    <x v="4"/>
    <n v="16720"/>
    <n v="-16720"/>
    <n v="0"/>
    <n v="900229.45"/>
    <s v="Trsf"/>
    <s v="Trsf 15/4/22-RM3,500.00(1.200.30partial), Trsf 22/4/22-RM8,000.00, Trsf 27/4/22-RM8,000.00(7,519.70partial)"/>
    <m/>
  </r>
  <r>
    <x v="141"/>
    <x v="7"/>
    <x v="3"/>
    <x v="188"/>
    <s v="C00000020"/>
    <x v="19"/>
    <x v="90"/>
    <n v="11"/>
    <s v="Cash"/>
    <x v="0"/>
    <d v="2022-01-13T00:00:00"/>
    <x v="7"/>
    <x v="4"/>
    <n v="6468"/>
    <n v="-6468"/>
    <n v="0"/>
    <n v="906697.45"/>
    <s v="Trsf"/>
    <s v="Trsf 27/4/22-RM8,000.00(480.30partial), Trsf 28/4/22-RM8,000.00(5,987.70partial)"/>
    <m/>
  </r>
  <r>
    <x v="141"/>
    <x v="7"/>
    <x v="3"/>
    <x v="188"/>
    <s v="C00000020"/>
    <x v="19"/>
    <x v="91"/>
    <n v="11"/>
    <s v="Cash"/>
    <x v="0"/>
    <d v="2022-01-13T00:00:00"/>
    <x v="7"/>
    <x v="4"/>
    <n v="3861"/>
    <n v="-3861"/>
    <n v="0"/>
    <n v="910558.45"/>
    <s v="Trsf"/>
    <s v="Trsf 28/4/22-RM8,000.00(2,012.30partial), Trsf 11/5/22 RM16,000.00(RM1,848.70partial)"/>
    <m/>
  </r>
  <r>
    <x v="141"/>
    <x v="7"/>
    <x v="3"/>
    <x v="188"/>
    <s v="C00000020"/>
    <x v="19"/>
    <x v="71"/>
    <n v="1"/>
    <s v="Cash"/>
    <x v="0"/>
    <d v="2022-01-13T00:00:00"/>
    <x v="7"/>
    <x v="4"/>
    <n v="1000"/>
    <n v="-1000"/>
    <n v="0"/>
    <n v="911558.45"/>
    <s v="Trsf"/>
    <s v="Trsf 11/5/22 RM16,000.00"/>
    <m/>
  </r>
  <r>
    <x v="141"/>
    <x v="7"/>
    <x v="3"/>
    <x v="188"/>
    <s v="C00000020"/>
    <x v="19"/>
    <x v="12"/>
    <n v="8"/>
    <s v="Cash"/>
    <x v="0"/>
    <d v="2022-01-13T00:00:00"/>
    <x v="7"/>
    <x v="4"/>
    <n v="500"/>
    <n v="-500"/>
    <n v="0"/>
    <n v="912058.45"/>
    <s v="Trsf"/>
    <s v="Trsf 11/5/22 RM16,000.00"/>
    <m/>
  </r>
  <r>
    <x v="142"/>
    <x v="7"/>
    <x v="3"/>
    <x v="189"/>
    <s v="C00000004"/>
    <x v="3"/>
    <x v="92"/>
    <n v="2"/>
    <n v="120"/>
    <x v="2"/>
    <d v="2022-05-14T00:00:00"/>
    <x v="12"/>
    <x v="4"/>
    <n v="4048"/>
    <n v="-4048"/>
    <n v="0"/>
    <n v="916106.45"/>
    <s v="Chq"/>
    <s v="HLB010490Cleared30/5/22-RM31,599.50"/>
    <m/>
  </r>
  <r>
    <x v="142"/>
    <x v="7"/>
    <x v="3"/>
    <x v="189"/>
    <s v="C00000004"/>
    <x v="3"/>
    <x v="90"/>
    <n v="2"/>
    <n v="120"/>
    <x v="2"/>
    <d v="2022-05-14T00:00:00"/>
    <x v="12"/>
    <x v="4"/>
    <n v="1140"/>
    <n v="-1140"/>
    <n v="0"/>
    <n v="917246.45"/>
    <s v="Chq"/>
    <s v="HLB010490Cleared30/5/22-RM31,599.50"/>
    <m/>
  </r>
  <r>
    <x v="142"/>
    <x v="7"/>
    <x v="3"/>
    <x v="189"/>
    <s v="C00000004"/>
    <x v="3"/>
    <x v="37"/>
    <n v="1"/>
    <n v="120"/>
    <x v="2"/>
    <d v="2022-05-14T00:00:00"/>
    <x v="12"/>
    <x v="4"/>
    <n v="450"/>
    <n v="-450"/>
    <n v="0"/>
    <n v="917696.45"/>
    <s v="Chq"/>
    <s v="HLB010490Cleared30/5/22-RM31,599.50"/>
    <m/>
  </r>
  <r>
    <x v="142"/>
    <x v="7"/>
    <x v="3"/>
    <x v="189"/>
    <s v="C00000004"/>
    <x v="3"/>
    <x v="60"/>
    <n v="4"/>
    <n v="120"/>
    <x v="2"/>
    <d v="2022-05-14T00:00:00"/>
    <x v="12"/>
    <x v="4"/>
    <n v="340"/>
    <n v="-340"/>
    <n v="0"/>
    <n v="918036.45"/>
    <s v="Chq"/>
    <s v="HLB010490Cleared30/5/22-RM31,599.50"/>
    <m/>
  </r>
  <r>
    <x v="142"/>
    <x v="7"/>
    <x v="3"/>
    <x v="189"/>
    <s v="C00000004"/>
    <x v="3"/>
    <x v="5"/>
    <n v="2"/>
    <n v="120"/>
    <x v="2"/>
    <d v="2022-05-14T00:00:00"/>
    <x v="12"/>
    <x v="4"/>
    <n v="540"/>
    <n v="-540"/>
    <n v="0"/>
    <n v="918576.45"/>
    <s v="Chq"/>
    <s v="HLB010490Cleared30/5/22-RM31,599.50"/>
    <m/>
  </r>
  <r>
    <x v="142"/>
    <x v="7"/>
    <x v="3"/>
    <x v="189"/>
    <s v="C00000004"/>
    <x v="3"/>
    <x v="87"/>
    <n v="1"/>
    <n v="120"/>
    <x v="2"/>
    <d v="2022-05-14T00:00:00"/>
    <x v="12"/>
    <x v="4"/>
    <n v="285"/>
    <n v="-285"/>
    <n v="0"/>
    <n v="918861.45"/>
    <s v="Chq"/>
    <s v="HLB010490Cleared30/5/22-RM31,599.50"/>
    <m/>
  </r>
  <r>
    <x v="142"/>
    <x v="7"/>
    <x v="3"/>
    <x v="190"/>
    <s v="C00000004"/>
    <x v="3"/>
    <x v="87"/>
    <n v="4"/>
    <n v="120"/>
    <x v="2"/>
    <d v="2022-05-14T00:00:00"/>
    <x v="12"/>
    <x v="4"/>
    <n v="1140"/>
    <n v="-1140"/>
    <n v="0"/>
    <n v="920001.45"/>
    <s v="Chq"/>
    <s v="HLB010490Cleared30/5/22-RM31,599.50"/>
    <m/>
  </r>
  <r>
    <x v="142"/>
    <x v="7"/>
    <x v="3"/>
    <x v="190"/>
    <s v="C00000004"/>
    <x v="3"/>
    <x v="12"/>
    <n v="1"/>
    <n v="120"/>
    <x v="2"/>
    <d v="2022-05-14T00:00:00"/>
    <x v="12"/>
    <x v="4"/>
    <n v="62.5"/>
    <n v="-62.5"/>
    <n v="0"/>
    <n v="920063.95"/>
    <s v="Chq"/>
    <s v="HLB010490Cleared30/5/22-RM31,599.50"/>
    <m/>
  </r>
  <r>
    <x v="143"/>
    <x v="7"/>
    <x v="3"/>
    <x v="191"/>
    <s v="C00000004"/>
    <x v="3"/>
    <x v="7"/>
    <n v="3"/>
    <n v="120"/>
    <x v="2"/>
    <d v="2022-05-17T00:00:00"/>
    <x v="12"/>
    <x v="4"/>
    <n v="6072"/>
    <n v="-6072"/>
    <n v="0"/>
    <n v="926135.95"/>
    <s v="Chq"/>
    <s v="HLB010490Cleared30/5/22-RM31,599.50"/>
    <m/>
  </r>
  <r>
    <x v="143"/>
    <x v="7"/>
    <x v="3"/>
    <x v="191"/>
    <s v="C00000004"/>
    <x v="3"/>
    <x v="49"/>
    <n v="1"/>
    <n v="120"/>
    <x v="2"/>
    <d v="2022-05-17T00:00:00"/>
    <x v="12"/>
    <x v="4"/>
    <n v="2024"/>
    <n v="-2024"/>
    <n v="0"/>
    <n v="928159.95"/>
    <s v="Chq"/>
    <s v="HLB010490Cleared30/5/22-RM31,599.50"/>
    <m/>
  </r>
  <r>
    <x v="143"/>
    <x v="7"/>
    <x v="3"/>
    <x v="191"/>
    <s v="C00000004"/>
    <x v="3"/>
    <x v="17"/>
    <n v="1"/>
    <n v="120"/>
    <x v="2"/>
    <d v="2022-05-17T00:00:00"/>
    <x v="12"/>
    <x v="4"/>
    <n v="390"/>
    <n v="-390"/>
    <n v="0"/>
    <n v="928549.95"/>
    <s v="Chq"/>
    <s v="HLB010490Cleared30/5/22-RM31,599.50"/>
    <m/>
  </r>
  <r>
    <x v="144"/>
    <x v="7"/>
    <x v="3"/>
    <x v="192"/>
    <s v="C00000020"/>
    <x v="19"/>
    <x v="85"/>
    <n v="3"/>
    <s v="Cash"/>
    <x v="0"/>
    <d v="2022-01-18T00:00:00"/>
    <x v="7"/>
    <x v="4"/>
    <n v="6270"/>
    <n v="-6270"/>
    <n v="0"/>
    <n v="934819.95"/>
    <s v="Trsf"/>
    <s v="Trsf 11/5/22 RM16,000.00"/>
    <m/>
  </r>
  <r>
    <x v="144"/>
    <x v="7"/>
    <x v="3"/>
    <x v="192"/>
    <s v="C00000020"/>
    <x v="19"/>
    <x v="90"/>
    <n v="4"/>
    <s v="Cash"/>
    <x v="0"/>
    <d v="2022-01-18T00:00:00"/>
    <x v="7"/>
    <x v="4"/>
    <n v="2352"/>
    <n v="-2352"/>
    <n v="0"/>
    <n v="937171.95"/>
    <s v="Trsf"/>
    <s v="Trsf 11/5/22 RM16,000.00"/>
    <m/>
  </r>
  <r>
    <x v="144"/>
    <x v="7"/>
    <x v="3"/>
    <x v="192"/>
    <s v="C00000020"/>
    <x v="19"/>
    <x v="91"/>
    <n v="5"/>
    <s v="Cash"/>
    <x v="0"/>
    <d v="2022-01-18T00:00:00"/>
    <x v="7"/>
    <x v="4"/>
    <n v="1755"/>
    <n v="-1755"/>
    <n v="0"/>
    <n v="938926.95"/>
    <s v="Trsf"/>
    <s v="Trsf 11/5/22 RM16,000.00"/>
    <m/>
  </r>
  <r>
    <x v="144"/>
    <x v="7"/>
    <x v="3"/>
    <x v="192"/>
    <s v="C00000020"/>
    <x v="19"/>
    <x v="71"/>
    <n v="1"/>
    <s v="Cash"/>
    <x v="0"/>
    <d v="2022-01-18T00:00:00"/>
    <x v="7"/>
    <x v="4"/>
    <n v="1000"/>
    <n v="-1000"/>
    <n v="0"/>
    <n v="939926.95"/>
    <s v="Trsf"/>
    <s v="Trsf 11/5/22 RM16,000.00"/>
    <m/>
  </r>
  <r>
    <x v="144"/>
    <x v="7"/>
    <x v="3"/>
    <x v="192"/>
    <s v="C00000020"/>
    <x v="19"/>
    <x v="12"/>
    <n v="2"/>
    <s v="Cash"/>
    <x v="0"/>
    <d v="2022-01-18T00:00:00"/>
    <x v="7"/>
    <x v="4"/>
    <n v="125"/>
    <n v="-125"/>
    <n v="0"/>
    <n v="940051.95"/>
    <s v="Trsf"/>
    <s v="Trsf 11/5/22 RM16,000.00"/>
    <m/>
  </r>
  <r>
    <x v="145"/>
    <x v="7"/>
    <x v="3"/>
    <x v="193"/>
    <s v="C00000019"/>
    <x v="18"/>
    <x v="92"/>
    <n v="1"/>
    <s v="Cash"/>
    <x v="0"/>
    <d v="2022-01-22T00:00:00"/>
    <x v="7"/>
    <x v="4"/>
    <n v="2068"/>
    <n v="-2068"/>
    <n v="0"/>
    <n v="942119.95"/>
    <s v="Trsf"/>
    <s v="Trsf  23/1/22 RM2,696.80"/>
    <m/>
  </r>
  <r>
    <x v="145"/>
    <x v="7"/>
    <x v="3"/>
    <x v="193"/>
    <s v="C00000019"/>
    <x v="18"/>
    <x v="67"/>
    <n v="1"/>
    <s v="Cash"/>
    <x v="0"/>
    <d v="2022-01-22T00:00:00"/>
    <x v="7"/>
    <x v="4"/>
    <n v="523.79999999999995"/>
    <n v="-523.79999999999995"/>
    <n v="0"/>
    <n v="942643.75"/>
    <s v="Trsf"/>
    <s v="Trsf  23/1/22 RM2,696.80"/>
    <m/>
  </r>
  <r>
    <x v="145"/>
    <x v="7"/>
    <x v="3"/>
    <x v="193"/>
    <s v="C00000019"/>
    <x v="18"/>
    <x v="93"/>
    <n v="1"/>
    <s v="Cash"/>
    <x v="0"/>
    <d v="2022-01-22T00:00:00"/>
    <x v="7"/>
    <x v="4"/>
    <n v="105"/>
    <n v="-105"/>
    <n v="0"/>
    <n v="942748.75"/>
    <s v="Trsf"/>
    <s v="Trsf  23/1/22 RM2,696.80"/>
    <m/>
  </r>
  <r>
    <x v="146"/>
    <x v="7"/>
    <x v="3"/>
    <x v="194"/>
    <s v="C00000010"/>
    <x v="9"/>
    <x v="45"/>
    <n v="6"/>
    <n v="120"/>
    <x v="2"/>
    <d v="2022-05-24T00:00:00"/>
    <x v="12"/>
    <x v="4"/>
    <n v="12144"/>
    <n v="-12144"/>
    <n v="0"/>
    <n v="954892.75"/>
    <s v="Trsf"/>
    <s v="Trsf 21/4/2022 RM28,820.00"/>
    <m/>
  </r>
  <r>
    <x v="146"/>
    <x v="7"/>
    <x v="3"/>
    <x v="194"/>
    <s v="C00000010"/>
    <x v="9"/>
    <x v="12"/>
    <n v="10"/>
    <n v="120"/>
    <x v="2"/>
    <d v="2022-05-24T00:00:00"/>
    <x v="12"/>
    <x v="4"/>
    <n v="550"/>
    <n v="-550"/>
    <n v="0"/>
    <n v="955442.75"/>
    <s v="Trsf"/>
    <s v="Trsf 21/4/2022 RM28,820.00"/>
    <m/>
  </r>
  <r>
    <x v="146"/>
    <x v="7"/>
    <x v="3"/>
    <x v="194"/>
    <s v="C00000010"/>
    <x v="9"/>
    <x v="60"/>
    <n v="4"/>
    <n v="120"/>
    <x v="2"/>
    <d v="2022-05-24T00:00:00"/>
    <x v="12"/>
    <x v="4"/>
    <n v="340"/>
    <n v="-340"/>
    <n v="0"/>
    <n v="955782.75"/>
    <s v="Trsf"/>
    <s v="Trsf 21/4/2022 RM28,820.00"/>
    <m/>
  </r>
  <r>
    <x v="146"/>
    <x v="7"/>
    <x v="3"/>
    <x v="194"/>
    <s v="C00000010"/>
    <x v="9"/>
    <x v="37"/>
    <n v="1"/>
    <n v="120"/>
    <x v="2"/>
    <d v="2022-05-24T00:00:00"/>
    <x v="12"/>
    <x v="4"/>
    <n v="440"/>
    <n v="-440"/>
    <n v="0"/>
    <n v="956222.75"/>
    <s v="Trsf"/>
    <s v="Trsf 21/4/2022 RM28,820.00"/>
    <m/>
  </r>
  <r>
    <x v="147"/>
    <x v="7"/>
    <x v="3"/>
    <x v="195"/>
    <s v="C00000006"/>
    <x v="5"/>
    <x v="92"/>
    <n v="1"/>
    <s v="Cash"/>
    <x v="0"/>
    <d v="2022-01-25T00:00:00"/>
    <x v="7"/>
    <x v="4"/>
    <n v="2024"/>
    <n v="-2024"/>
    <n v="0"/>
    <n v="958246.75"/>
    <s v="Chq"/>
    <s v="chq 934918 21/02/2022"/>
    <m/>
  </r>
  <r>
    <x v="147"/>
    <x v="7"/>
    <x v="3"/>
    <x v="195"/>
    <s v="C00000006"/>
    <x v="5"/>
    <x v="87"/>
    <n v="1"/>
    <s v="Cash"/>
    <x v="0"/>
    <d v="2022-01-25T00:00:00"/>
    <x v="7"/>
    <x v="4"/>
    <n v="285"/>
    <n v="-285"/>
    <n v="0"/>
    <n v="958531.75"/>
    <s v="Chq"/>
    <s v="chq 934918 21/02/2022"/>
    <m/>
  </r>
  <r>
    <x v="148"/>
    <x v="7"/>
    <x v="3"/>
    <x v="196"/>
    <s v="C00000004"/>
    <x v="3"/>
    <x v="92"/>
    <n v="5"/>
    <n v="120"/>
    <x v="2"/>
    <d v="2022-05-26T00:00:00"/>
    <x v="12"/>
    <x v="4"/>
    <n v="10120"/>
    <n v="-10120"/>
    <n v="0"/>
    <n v="968651.75"/>
    <s v="Chq"/>
    <s v="HLB010490Cleared30/5/22-RM31,599.50"/>
    <m/>
  </r>
  <r>
    <x v="148"/>
    <x v="7"/>
    <x v="3"/>
    <x v="196"/>
    <s v="C00000004"/>
    <x v="3"/>
    <x v="94"/>
    <n v="1"/>
    <n v="120"/>
    <x v="2"/>
    <d v="2022-05-26T00:00:00"/>
    <x v="12"/>
    <x v="4"/>
    <n v="2024"/>
    <n v="-2024"/>
    <n v="0"/>
    <n v="970675.75"/>
    <s v="Chq"/>
    <s v="HLB010490Cleared30/5/22-RM31,599.50"/>
    <m/>
  </r>
  <r>
    <x v="148"/>
    <x v="7"/>
    <x v="3"/>
    <x v="196"/>
    <s v="C00000004"/>
    <x v="3"/>
    <x v="87"/>
    <n v="5"/>
    <n v="120"/>
    <x v="2"/>
    <d v="2022-05-26T00:00:00"/>
    <x v="12"/>
    <x v="4"/>
    <n v="1425"/>
    <n v="-1425"/>
    <n v="0"/>
    <n v="972100.75"/>
    <s v="Chq"/>
    <s v="HLB010490Cleared30/5/22-RM31,599.50"/>
    <m/>
  </r>
  <r>
    <x v="148"/>
    <x v="7"/>
    <x v="3"/>
    <x v="196"/>
    <s v="C00000004"/>
    <x v="3"/>
    <x v="67"/>
    <n v="3"/>
    <n v="120"/>
    <x v="2"/>
    <d v="2022-05-26T00:00:00"/>
    <x v="12"/>
    <x v="4"/>
    <n v="1539"/>
    <n v="-1539"/>
    <n v="0"/>
    <n v="973639.75"/>
    <s v="Chq"/>
    <s v="HLB010490Cleared30/5/22-RM31,599.50"/>
    <m/>
  </r>
  <r>
    <x v="149"/>
    <x v="8"/>
    <x v="3"/>
    <x v="197"/>
    <s v="C00000019"/>
    <x v="18"/>
    <x v="92"/>
    <n v="2"/>
    <s v="Cash"/>
    <x v="0"/>
    <d v="2022-02-10T00:00:00"/>
    <x v="8"/>
    <x v="4"/>
    <n v="4136"/>
    <n v="-4136"/>
    <n v="0"/>
    <n v="977775.75"/>
    <s v="Trsf"/>
    <s v="Trsf 12/2/22 RM6,532.40"/>
    <m/>
  </r>
  <r>
    <x v="149"/>
    <x v="8"/>
    <x v="3"/>
    <x v="197"/>
    <s v="C00000019"/>
    <x v="18"/>
    <x v="67"/>
    <n v="3"/>
    <s v="Cash"/>
    <x v="0"/>
    <d v="2022-02-10T00:00:00"/>
    <x v="8"/>
    <x v="4"/>
    <n v="1571.4"/>
    <n v="-1571.4"/>
    <n v="0"/>
    <n v="979347.15"/>
    <s v="Trsf"/>
    <s v="Trsf 12/2/22 RM6,532.40"/>
    <m/>
  </r>
  <r>
    <x v="149"/>
    <x v="8"/>
    <x v="3"/>
    <x v="197"/>
    <s v="C00000019"/>
    <x v="18"/>
    <x v="4"/>
    <n v="1"/>
    <s v="Cash"/>
    <x v="0"/>
    <d v="2022-02-10T00:00:00"/>
    <x v="8"/>
    <x v="4"/>
    <n v="105"/>
    <n v="-105"/>
    <n v="0"/>
    <n v="979452.15"/>
    <s v="Trsf"/>
    <s v="Trsf 12/2/22 RM6,532.40"/>
    <m/>
  </r>
  <r>
    <x v="149"/>
    <x v="8"/>
    <x v="3"/>
    <x v="197"/>
    <s v="C00000019"/>
    <x v="18"/>
    <x v="52"/>
    <n v="2"/>
    <s v="Cash"/>
    <x v="0"/>
    <d v="2022-02-10T00:00:00"/>
    <x v="8"/>
    <x v="4"/>
    <n v="720"/>
    <n v="-720"/>
    <n v="0"/>
    <n v="980172.15"/>
    <s v="Trsf"/>
    <s v="Trsf 12/2/22 RM6,532.40"/>
    <m/>
  </r>
  <r>
    <x v="150"/>
    <x v="8"/>
    <x v="3"/>
    <x v="198"/>
    <s v="C00000004"/>
    <x v="3"/>
    <x v="60"/>
    <n v="4"/>
    <n v="120"/>
    <x v="2"/>
    <d v="2022-06-15T00:00:00"/>
    <x v="1"/>
    <x v="4"/>
    <n v="340"/>
    <n v="-340"/>
    <n v="0"/>
    <n v="980512.15"/>
    <s v="Chq"/>
    <s v="HLB011600Cleared23/6/22-RM1,480.00"/>
    <m/>
  </r>
  <r>
    <x v="150"/>
    <x v="8"/>
    <x v="3"/>
    <x v="198"/>
    <s v="C00000004"/>
    <x v="3"/>
    <x v="87"/>
    <n v="4"/>
    <n v="120"/>
    <x v="2"/>
    <d v="2022-06-15T00:00:00"/>
    <x v="1"/>
    <x v="4"/>
    <n v="1140"/>
    <n v="-1140"/>
    <n v="0"/>
    <n v="981652.15"/>
    <s v="Chq"/>
    <s v="HLB011600Cleared23/6/22-RM1,480.00"/>
    <m/>
  </r>
  <r>
    <x v="151"/>
    <x v="8"/>
    <x v="3"/>
    <x v="199"/>
    <s v="C00000010"/>
    <x v="9"/>
    <x v="88"/>
    <n v="6"/>
    <n v="120"/>
    <x v="2"/>
    <d v="2022-06-17T00:00:00"/>
    <x v="1"/>
    <x v="4"/>
    <n v="11880"/>
    <n v="-11880"/>
    <n v="0"/>
    <n v="993532.15"/>
    <s v="Trsf"/>
    <s v="Trsf 23/5/22 RM14,395.00"/>
    <m/>
  </r>
  <r>
    <x v="151"/>
    <x v="8"/>
    <x v="3"/>
    <x v="199"/>
    <s v="C00000010"/>
    <x v="9"/>
    <x v="95"/>
    <n v="5"/>
    <n v="120"/>
    <x v="2"/>
    <d v="2022-06-17T00:00:00"/>
    <x v="1"/>
    <x v="4"/>
    <n v="1425"/>
    <n v="-1425"/>
    <n v="0"/>
    <n v="994957.15"/>
    <s v="Trsf"/>
    <s v="Trsf 23/5/22 RM14,395.00"/>
    <m/>
  </r>
  <r>
    <x v="151"/>
    <x v="8"/>
    <x v="3"/>
    <x v="199"/>
    <s v="C00000010"/>
    <x v="9"/>
    <x v="12"/>
    <n v="5"/>
    <n v="120"/>
    <x v="2"/>
    <d v="2022-06-17T00:00:00"/>
    <x v="1"/>
    <x v="4"/>
    <n v="275"/>
    <n v="-275"/>
    <n v="0"/>
    <n v="995232.15"/>
    <s v="Trsf"/>
    <s v="Trsf 23/5/22 RM14,395.00"/>
    <m/>
  </r>
  <r>
    <x v="151"/>
    <x v="8"/>
    <x v="3"/>
    <x v="199"/>
    <s v="C00000010"/>
    <x v="9"/>
    <x v="48"/>
    <n v="1"/>
    <n v="120"/>
    <x v="2"/>
    <d v="2022-06-17T00:00:00"/>
    <x v="1"/>
    <x v="4"/>
    <n v="375"/>
    <n v="-375"/>
    <n v="0"/>
    <n v="995607.15"/>
    <s v="Trsf"/>
    <s v="Trsf 23/5/22 RM14,395.00"/>
    <m/>
  </r>
  <r>
    <x v="151"/>
    <x v="8"/>
    <x v="3"/>
    <x v="199"/>
    <s v="C00000010"/>
    <x v="9"/>
    <x v="37"/>
    <n v="1"/>
    <n v="120"/>
    <x v="2"/>
    <d v="2022-06-17T00:00:00"/>
    <x v="1"/>
    <x v="4"/>
    <n v="440"/>
    <n v="-440"/>
    <n v="0"/>
    <n v="996047.15"/>
    <s v="Trsf"/>
    <s v="Trsf 23/5/22 RM14,395.00"/>
    <m/>
  </r>
  <r>
    <x v="152"/>
    <x v="8"/>
    <x v="3"/>
    <x v="200"/>
    <s v="C00000009"/>
    <x v="8"/>
    <x v="92"/>
    <n v="2"/>
    <n v="60"/>
    <x v="3"/>
    <d v="2022-04-19T00:00:00"/>
    <x v="11"/>
    <x v="4"/>
    <n v="3960"/>
    <n v="-3960"/>
    <n v="0"/>
    <n v="1000007.15"/>
    <s v="Chq"/>
    <s v="HLIB 015672dd250522 RM5,940,00"/>
    <m/>
  </r>
  <r>
    <x v="152"/>
    <x v="8"/>
    <x v="3"/>
    <x v="200"/>
    <s v="C00000009"/>
    <x v="8"/>
    <x v="96"/>
    <n v="1"/>
    <n v="60"/>
    <x v="3"/>
    <d v="2022-04-19T00:00:00"/>
    <x v="11"/>
    <x v="4"/>
    <n v="1980"/>
    <n v="-1980"/>
    <n v="0"/>
    <n v="1001987.15"/>
    <s v="Chq"/>
    <s v="HLIB 015672dd250522 RM5,940,00"/>
    <m/>
  </r>
  <r>
    <x v="153"/>
    <x v="8"/>
    <x v="3"/>
    <x v="201"/>
    <s v="C00000003"/>
    <x v="2"/>
    <x v="85"/>
    <n v="3"/>
    <n v="45"/>
    <x v="1"/>
    <d v="2022-04-05T00:00:00"/>
    <x v="11"/>
    <x v="4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x v="153"/>
    <x v="8"/>
    <x v="3"/>
    <x v="201"/>
    <s v="C00000003"/>
    <x v="2"/>
    <x v="12"/>
    <n v="4"/>
    <n v="45"/>
    <x v="1"/>
    <d v="2022-04-05T00:00:00"/>
    <x v="11"/>
    <x v="4"/>
    <n v="260"/>
    <n v="-260"/>
    <n v="0"/>
    <n v="1008583.15"/>
    <s v="PD Chq"/>
    <s v="RHB001569cleared11/4/22-RM1,586.00"/>
    <m/>
  </r>
  <r>
    <x v="153"/>
    <x v="8"/>
    <x v="3"/>
    <x v="201"/>
    <s v="C00000003"/>
    <x v="2"/>
    <x v="4"/>
    <n v="6"/>
    <n v="45"/>
    <x v="1"/>
    <d v="2022-04-05T00:00:00"/>
    <x v="11"/>
    <x v="4"/>
    <n v="630"/>
    <n v="-630"/>
    <n v="0"/>
    <n v="1009213.15"/>
    <s v="PD Chq"/>
    <s v="RHB001569cleared11/4/22-RM1,586.00"/>
    <m/>
  </r>
  <r>
    <x v="153"/>
    <x v="8"/>
    <x v="3"/>
    <x v="201"/>
    <s v="C00000003"/>
    <x v="2"/>
    <x v="25"/>
    <n v="1"/>
    <n v="45"/>
    <x v="1"/>
    <d v="2022-04-05T00:00:00"/>
    <x v="11"/>
    <x v="4"/>
    <n v="45"/>
    <n v="-45"/>
    <n v="0"/>
    <n v="1009258.15"/>
    <s v="PD Chq"/>
    <s v="RHB001569cleared11/4/22-RM1,586.00"/>
    <m/>
  </r>
  <r>
    <x v="154"/>
    <x v="8"/>
    <x v="3"/>
    <x v="202"/>
    <s v="C00000021"/>
    <x v="21"/>
    <x v="85"/>
    <n v="2"/>
    <s v="Cash"/>
    <x v="0"/>
    <d v="2022-02-21T00:00:00"/>
    <x v="8"/>
    <x v="4"/>
    <n v="3960"/>
    <n v="-3960"/>
    <n v="0"/>
    <n v="1013218.15"/>
    <s v="PD Chq"/>
    <s v="PBB395355cleared31/3/22 RM5,822.00"/>
    <m/>
  </r>
  <r>
    <x v="154"/>
    <x v="8"/>
    <x v="3"/>
    <x v="202"/>
    <s v="C00000021"/>
    <x v="21"/>
    <x v="95"/>
    <n v="6"/>
    <s v="Cash"/>
    <x v="0"/>
    <d v="2022-02-21T00:00:00"/>
    <x v="8"/>
    <x v="4"/>
    <n v="1692"/>
    <n v="-1692"/>
    <n v="0"/>
    <n v="1014910.15"/>
    <s v="PD Chq"/>
    <s v="PBB395355cleared31/3/22 RM5,822.01"/>
    <m/>
  </r>
  <r>
    <x v="154"/>
    <x v="8"/>
    <x v="3"/>
    <x v="202"/>
    <s v="C00000021"/>
    <x v="21"/>
    <x v="60"/>
    <n v="2"/>
    <s v="Cash"/>
    <x v="0"/>
    <d v="2022-02-21T00:00:00"/>
    <x v="8"/>
    <x v="4"/>
    <n v="170"/>
    <n v="-170"/>
    <n v="0"/>
    <n v="1015080.15"/>
    <s v="PD Chq"/>
    <s v="PBB395355cleared31/3/22 RM5,822.02"/>
    <m/>
  </r>
  <r>
    <x v="154"/>
    <x v="8"/>
    <x v="3"/>
    <x v="203"/>
    <s v="C00000006"/>
    <x v="5"/>
    <x v="42"/>
    <n v="1"/>
    <s v="Cash"/>
    <x v="0"/>
    <d v="2022-02-21T00:00:00"/>
    <x v="8"/>
    <x v="4"/>
    <n v="175"/>
    <n v="-175"/>
    <n v="0"/>
    <n v="1015255.15"/>
    <s v="Chq"/>
    <s v="RHB 934926 cleared18/4/22-RM2,580.50"/>
    <m/>
  </r>
  <r>
    <x v="155"/>
    <x v="8"/>
    <x v="3"/>
    <x v="204"/>
    <s v="C00000019"/>
    <x v="18"/>
    <x v="92"/>
    <n v="2"/>
    <s v="Cash"/>
    <x v="0"/>
    <d v="2022-02-22T00:00:00"/>
    <x v="8"/>
    <x v="4"/>
    <n v="4136"/>
    <n v="-4136"/>
    <n v="0"/>
    <n v="1019391.15"/>
    <s v="Trsf"/>
    <s v="Trsf 22/2/22 RM5,877.30"/>
    <m/>
  </r>
  <r>
    <x v="155"/>
    <x v="8"/>
    <x v="3"/>
    <x v="204"/>
    <s v="C00000019"/>
    <x v="18"/>
    <x v="67"/>
    <n v="1"/>
    <s v="Cash"/>
    <x v="0"/>
    <d v="2022-02-22T00:00:00"/>
    <x v="8"/>
    <x v="4"/>
    <n v="523.79999999999995"/>
    <n v="-523.79999999999995"/>
    <n v="0"/>
    <n v="1019914.9500000001"/>
    <s v="Trsf"/>
    <s v="Trsf 22/2/22 RM5,877.30"/>
    <m/>
  </r>
  <r>
    <x v="155"/>
    <x v="8"/>
    <x v="3"/>
    <x v="204"/>
    <s v="C00000019"/>
    <x v="18"/>
    <x v="93"/>
    <n v="1"/>
    <s v="Cash"/>
    <x v="0"/>
    <d v="2022-02-22T00:00:00"/>
    <x v="8"/>
    <x v="4"/>
    <n v="105"/>
    <n v="-105"/>
    <n v="0"/>
    <n v="1020019.9500000001"/>
    <s v="Trsf"/>
    <s v="Trsf 22/2/22 RM5,877.30"/>
    <m/>
  </r>
  <r>
    <x v="155"/>
    <x v="8"/>
    <x v="3"/>
    <x v="204"/>
    <s v="C00000019"/>
    <x v="18"/>
    <x v="52"/>
    <n v="1"/>
    <s v="Cash"/>
    <x v="0"/>
    <d v="2022-02-22T00:00:00"/>
    <x v="8"/>
    <x v="4"/>
    <n v="360"/>
    <n v="-360"/>
    <n v="0"/>
    <n v="1020379.9500000001"/>
    <s v="Trsf"/>
    <s v="Trsf 22/2/22 RM5,877.30"/>
    <m/>
  </r>
  <r>
    <x v="155"/>
    <x v="8"/>
    <x v="3"/>
    <x v="204"/>
    <s v="C00000019"/>
    <x v="18"/>
    <x v="12"/>
    <n v="5"/>
    <s v="Cash"/>
    <x v="0"/>
    <d v="2022-02-22T00:00:00"/>
    <x v="8"/>
    <x v="4"/>
    <n v="312.5"/>
    <n v="-312.5"/>
    <n v="0"/>
    <n v="1020692.4500000001"/>
    <s v="Trsf"/>
    <s v="Trsf 22/2/22 RM5,877.30"/>
    <m/>
  </r>
  <r>
    <x v="155"/>
    <x v="8"/>
    <x v="3"/>
    <x v="204"/>
    <s v="C00000019"/>
    <x v="18"/>
    <x v="37"/>
    <n v="1"/>
    <s v="Cash"/>
    <x v="0"/>
    <d v="2022-02-22T00:00:00"/>
    <x v="8"/>
    <x v="4"/>
    <n v="440"/>
    <n v="-440"/>
    <n v="0"/>
    <n v="1021132.4500000001"/>
    <s v="Trsf"/>
    <s v="Trsf 22/2/22 RM5,877.30"/>
    <m/>
  </r>
  <r>
    <x v="156"/>
    <x v="8"/>
    <x v="3"/>
    <x v="205"/>
    <s v="C00000020"/>
    <x v="19"/>
    <x v="85"/>
    <n v="2"/>
    <s v="Cash"/>
    <x v="0"/>
    <d v="2022-02-24T00:00:00"/>
    <x v="8"/>
    <x v="4"/>
    <n v="4180"/>
    <n v="-4180"/>
    <n v="0"/>
    <n v="1025312.4500000001"/>
    <s v="Trsf"/>
    <s v="Trsf 11/5/22 RM16,000.00(1,149.30partial), Trsf 17/5/22 RM10,000.00(3,030.70partial)"/>
    <m/>
  </r>
  <r>
    <x v="156"/>
    <x v="8"/>
    <x v="3"/>
    <x v="205"/>
    <s v="C00000020"/>
    <x v="19"/>
    <x v="92"/>
    <n v="1"/>
    <s v="Cash"/>
    <x v="0"/>
    <d v="2022-02-24T00:00:00"/>
    <x v="8"/>
    <x v="4"/>
    <n v="2090"/>
    <n v="-2090"/>
    <n v="0"/>
    <n v="1027402.4500000001"/>
    <s v="Trsf"/>
    <s v="Trsf 17/5/22 RM10,000.00"/>
    <m/>
  </r>
  <r>
    <x v="156"/>
    <x v="8"/>
    <x v="3"/>
    <x v="205"/>
    <s v="C00000020"/>
    <x v="19"/>
    <x v="91"/>
    <n v="1"/>
    <s v="Cash"/>
    <x v="0"/>
    <d v="2022-02-24T00:00:00"/>
    <x v="8"/>
    <x v="4"/>
    <n v="351"/>
    <n v="-351"/>
    <n v="0"/>
    <n v="1027753.4500000001"/>
    <s v="Trsf"/>
    <s v="Trsf 17/5/22 RM10,000.00"/>
    <m/>
  </r>
  <r>
    <x v="156"/>
    <x v="8"/>
    <x v="3"/>
    <x v="205"/>
    <s v="C00000020"/>
    <x v="19"/>
    <x v="71"/>
    <n v="1"/>
    <s v="Cash"/>
    <x v="0"/>
    <d v="2022-02-24T00:00:00"/>
    <x v="8"/>
    <x v="4"/>
    <n v="1000"/>
    <n v="-1000"/>
    <n v="0"/>
    <n v="1028753.4500000001"/>
    <s v="Trsf"/>
    <s v="Trsf 17/5/22 RM10,000.00"/>
    <m/>
  </r>
  <r>
    <x v="156"/>
    <x v="8"/>
    <x v="3"/>
    <x v="205"/>
    <s v="C00000020"/>
    <x v="19"/>
    <x v="60"/>
    <n v="4"/>
    <s v="Cash"/>
    <x v="0"/>
    <d v="2022-02-24T00:00:00"/>
    <x v="8"/>
    <x v="4"/>
    <n v="340"/>
    <n v="-340"/>
    <n v="0"/>
    <n v="1029093.4500000001"/>
    <s v="Trsf"/>
    <s v="Trsf 17/5/22 RM10,000.00"/>
    <m/>
  </r>
  <r>
    <x v="157"/>
    <x v="8"/>
    <x v="3"/>
    <x v="206"/>
    <s v="C00000020"/>
    <x v="19"/>
    <x v="85"/>
    <n v="1"/>
    <s v="Cash"/>
    <x v="0"/>
    <d v="2022-02-26T00:00:00"/>
    <x v="8"/>
    <x v="4"/>
    <n v="2090"/>
    <n v="-2090"/>
    <n v="0"/>
    <n v="1031183.4500000001"/>
    <s v="Trsf"/>
    <s v="Trsf 17/5/22 RM10,000.00"/>
    <m/>
  </r>
  <r>
    <x v="157"/>
    <x v="8"/>
    <x v="3"/>
    <x v="206"/>
    <s v="C00000020"/>
    <x v="19"/>
    <x v="90"/>
    <n v="1"/>
    <s v="Cash"/>
    <x v="0"/>
    <d v="2022-02-26T00:00:00"/>
    <x v="8"/>
    <x v="4"/>
    <n v="588"/>
    <n v="-588"/>
    <n v="0"/>
    <n v="1031771.4500000001"/>
    <s v="Trsf"/>
    <s v="Trsf 17/5/22 RM10,000.00"/>
    <m/>
  </r>
  <r>
    <x v="157"/>
    <x v="8"/>
    <x v="3"/>
    <x v="207"/>
    <s v="C00000003"/>
    <x v="2"/>
    <x v="87"/>
    <n v="1"/>
    <n v="45"/>
    <x v="1"/>
    <d v="2022-04-12T00:00:00"/>
    <x v="11"/>
    <x v="4"/>
    <n v="315"/>
    <n v="-315"/>
    <n v="0"/>
    <n v="1032086.4500000001"/>
    <s v="PD Chq"/>
    <s v="RHB001569cleared11/4/22-RM1,586.00"/>
    <m/>
  </r>
  <r>
    <x v="158"/>
    <x v="9"/>
    <x v="3"/>
    <x v="208"/>
    <s v="C00000021"/>
    <x v="21"/>
    <x v="85"/>
    <n v="2"/>
    <s v="Cash"/>
    <x v="0"/>
    <d v="2022-03-05T00:00:00"/>
    <x v="9"/>
    <x v="4"/>
    <n v="3960"/>
    <n v="-3960"/>
    <n v="0"/>
    <n v="1036046.4500000001"/>
    <s v="PD Chq"/>
    <s v="PBB395356cleared11/4/22 RM6,301.00"/>
    <m/>
  </r>
  <r>
    <x v="158"/>
    <x v="9"/>
    <x v="3"/>
    <x v="208"/>
    <s v="C00000021"/>
    <x v="21"/>
    <x v="95"/>
    <n v="8"/>
    <s v="Cash"/>
    <x v="0"/>
    <d v="2022-03-05T00:00:00"/>
    <x v="9"/>
    <x v="4"/>
    <n v="2256"/>
    <n v="-2256"/>
    <n v="0"/>
    <n v="1038302.4500000001"/>
    <s v="PD Chq"/>
    <s v="PBB395356cleared11/4/22 RM6,301.00"/>
    <m/>
  </r>
  <r>
    <x v="158"/>
    <x v="9"/>
    <x v="3"/>
    <x v="208"/>
    <s v="C00000021"/>
    <x v="21"/>
    <x v="60"/>
    <n v="1"/>
    <s v="Cash"/>
    <x v="0"/>
    <d v="2022-03-05T00:00:00"/>
    <x v="9"/>
    <x v="4"/>
    <n v="85"/>
    <n v="-85"/>
    <n v="0"/>
    <n v="1038387.4500000001"/>
    <s v="PD Chq"/>
    <s v="PBB395356cleared11/4/22 RM6,301.00"/>
    <m/>
  </r>
  <r>
    <x v="159"/>
    <x v="9"/>
    <x v="3"/>
    <x v="209"/>
    <s v="C00000022"/>
    <x v="23"/>
    <x v="96"/>
    <n v="1"/>
    <s v="Cash"/>
    <x v="0"/>
    <d v="2022-03-08T00:00:00"/>
    <x v="9"/>
    <x v="4"/>
    <n v="2112"/>
    <n v="-2112"/>
    <n v="0"/>
    <n v="1040499.4500000001"/>
    <s v="Trsf"/>
    <s v="Trsf 23/3/22 RM5,328.00"/>
    <m/>
  </r>
  <r>
    <x v="159"/>
    <x v="9"/>
    <x v="3"/>
    <x v="209"/>
    <s v="C00000022"/>
    <x v="23"/>
    <x v="97"/>
    <n v="1"/>
    <s v="Cash"/>
    <x v="0"/>
    <d v="2022-03-08T00:00:00"/>
    <x v="9"/>
    <x v="4"/>
    <n v="320"/>
    <n v="-320"/>
    <n v="0"/>
    <n v="1040819.4500000001"/>
    <s v="Trsf"/>
    <s v="Trsf 23/3/22 RM5,328.00"/>
    <m/>
  </r>
  <r>
    <x v="159"/>
    <x v="9"/>
    <x v="3"/>
    <x v="209"/>
    <s v="C00000022"/>
    <x v="23"/>
    <x v="98"/>
    <n v="1"/>
    <s v="Cash"/>
    <x v="0"/>
    <d v="2022-03-08T00:00:00"/>
    <x v="9"/>
    <x v="4"/>
    <n v="337.5"/>
    <n v="-337.5"/>
    <n v="0"/>
    <n v="1041156.9500000001"/>
    <s v="Trsf"/>
    <s v="Trsf 23/3/22 RM5,328.00"/>
    <m/>
  </r>
  <r>
    <x v="159"/>
    <x v="9"/>
    <x v="3"/>
    <x v="209"/>
    <s v="C00000022"/>
    <x v="23"/>
    <x v="99"/>
    <n v="2"/>
    <s v="Cash"/>
    <x v="0"/>
    <d v="2022-03-08T00:00:00"/>
    <x v="9"/>
    <x v="4"/>
    <n v="480"/>
    <n v="-480"/>
    <n v="0"/>
    <n v="1041636.9500000001"/>
    <s v="Trsf"/>
    <s v="Trsf 23/3/22 RM5,328.00"/>
    <m/>
  </r>
  <r>
    <x v="159"/>
    <x v="9"/>
    <x v="3"/>
    <x v="209"/>
    <s v="C00000022"/>
    <x v="23"/>
    <x v="90"/>
    <n v="1"/>
    <s v="Cash"/>
    <x v="0"/>
    <d v="2022-03-08T00:00:00"/>
    <x v="9"/>
    <x v="4"/>
    <n v="588"/>
    <n v="-588"/>
    <n v="0"/>
    <n v="1042224.9500000001"/>
    <s v="Trsf"/>
    <s v="Trsf 23/3/22 RM5,328.00"/>
    <m/>
  </r>
  <r>
    <x v="159"/>
    <x v="9"/>
    <x v="3"/>
    <x v="209"/>
    <s v="C00000022"/>
    <x v="23"/>
    <x v="87"/>
    <n v="2"/>
    <s v="Cash"/>
    <x v="0"/>
    <d v="2022-03-08T00:00:00"/>
    <x v="9"/>
    <x v="4"/>
    <n v="588"/>
    <n v="-588"/>
    <n v="0"/>
    <n v="1042812.9500000001"/>
    <s v="Trsf"/>
    <s v="Trsf 23/3/22 RM5,328.00"/>
    <m/>
  </r>
  <r>
    <x v="159"/>
    <x v="9"/>
    <x v="3"/>
    <x v="209"/>
    <s v="C00000022"/>
    <x v="23"/>
    <x v="91"/>
    <n v="1"/>
    <s v="Cash"/>
    <x v="0"/>
    <d v="2022-03-08T00:00:00"/>
    <x v="9"/>
    <x v="4"/>
    <n v="337.5"/>
    <n v="-337.5"/>
    <n v="0"/>
    <n v="1043150.4500000001"/>
    <s v="Trsf"/>
    <s v="Trsf 23/3/22 RM5,328.00"/>
    <m/>
  </r>
  <r>
    <x v="159"/>
    <x v="9"/>
    <x v="3"/>
    <x v="209"/>
    <s v="C00000022"/>
    <x v="23"/>
    <x v="4"/>
    <n v="1"/>
    <s v="Cash"/>
    <x v="0"/>
    <d v="2022-03-08T00:00:00"/>
    <x v="9"/>
    <x v="4"/>
    <n v="110"/>
    <n v="-110"/>
    <n v="0"/>
    <n v="1043260.4500000001"/>
    <s v="Trsf"/>
    <s v="Trsf 23/3/22 RM5,328.00"/>
    <m/>
  </r>
  <r>
    <x v="159"/>
    <x v="9"/>
    <x v="3"/>
    <x v="210"/>
    <s v="C00000010"/>
    <x v="9"/>
    <x v="88"/>
    <n v="6"/>
    <n v="120"/>
    <x v="2"/>
    <d v="2022-07-06T00:00:00"/>
    <x v="4"/>
    <x v="4"/>
    <n v="11880"/>
    <n v="-11880"/>
    <n v="0"/>
    <n v="1055140.4500000002"/>
    <s v="Trsf"/>
    <s v="Trsf 27/6/22 RM29,465.00"/>
    <m/>
  </r>
  <r>
    <x v="159"/>
    <x v="9"/>
    <x v="3"/>
    <x v="210"/>
    <s v="C00000010"/>
    <x v="9"/>
    <x v="95"/>
    <n v="10"/>
    <n v="120"/>
    <x v="2"/>
    <d v="2022-07-06T00:00:00"/>
    <x v="4"/>
    <x v="4"/>
    <n v="2850"/>
    <n v="-2850"/>
    <n v="0"/>
    <n v="1057990.4500000002"/>
    <s v="Trsf"/>
    <s v="Trsf 27/6/22 RM29,465.00"/>
    <m/>
  </r>
  <r>
    <x v="159"/>
    <x v="9"/>
    <x v="3"/>
    <x v="210"/>
    <s v="C00000010"/>
    <x v="9"/>
    <x v="12"/>
    <n v="10"/>
    <n v="120"/>
    <x v="2"/>
    <d v="2022-07-06T00:00:00"/>
    <x v="4"/>
    <x v="4"/>
    <n v="550"/>
    <n v="-550"/>
    <n v="0"/>
    <n v="1058540.4500000002"/>
    <s v="Trsf"/>
    <s v="Trsf 27/6/22 RM29,465.00"/>
    <m/>
  </r>
  <r>
    <x v="160"/>
    <x v="9"/>
    <x v="3"/>
    <x v="211"/>
    <s v="C00000022"/>
    <x v="23"/>
    <x v="12"/>
    <n v="1"/>
    <s v="Cash"/>
    <x v="0"/>
    <d v="2022-03-09T00:00:00"/>
    <x v="9"/>
    <x v="4"/>
    <n v="65"/>
    <n v="-65"/>
    <n v="0"/>
    <n v="1058605.4500000002"/>
    <s v="Trsf"/>
    <s v="Trsf 23/3/22 RM5,328.00"/>
    <m/>
  </r>
  <r>
    <x v="161"/>
    <x v="9"/>
    <x v="3"/>
    <x v="212"/>
    <s v="C00000019"/>
    <x v="18"/>
    <x v="92"/>
    <n v="2"/>
    <s v="Cash"/>
    <x v="0"/>
    <d v="2022-03-11T00:00:00"/>
    <x v="9"/>
    <x v="4"/>
    <n v="4136"/>
    <n v="-4136"/>
    <n v="0"/>
    <n v="1062741.4500000002"/>
    <s v="Trsf"/>
    <s v="Trsf 11/3/22 RM6,379.90"/>
    <m/>
  </r>
  <r>
    <x v="161"/>
    <x v="9"/>
    <x v="3"/>
    <x v="212"/>
    <s v="C00000019"/>
    <x v="18"/>
    <x v="67"/>
    <n v="3"/>
    <s v="Cash"/>
    <x v="0"/>
    <d v="2022-03-11T00:00:00"/>
    <x v="9"/>
    <x v="4"/>
    <n v="1571.3999999999999"/>
    <n v="-1571.3999999999999"/>
    <n v="0"/>
    <n v="1064312.8500000001"/>
    <s v="Trsf"/>
    <s v="Trsf 11/3/22 RM6,379.90"/>
    <m/>
  </r>
  <r>
    <x v="161"/>
    <x v="9"/>
    <x v="3"/>
    <x v="212"/>
    <s v="C00000019"/>
    <x v="18"/>
    <x v="12"/>
    <n v="5"/>
    <s v="Cash"/>
    <x v="0"/>
    <d v="2022-03-11T00:00:00"/>
    <x v="9"/>
    <x v="4"/>
    <n v="312.5"/>
    <n v="-312.5"/>
    <n v="0"/>
    <n v="1064625.3500000001"/>
    <s v="Trsf"/>
    <s v="Trsf 11/3/22 RM6,379.90"/>
    <m/>
  </r>
  <r>
    <x v="161"/>
    <x v="9"/>
    <x v="3"/>
    <x v="212"/>
    <s v="C00000019"/>
    <x v="18"/>
    <x v="52"/>
    <n v="1"/>
    <s v="Cash"/>
    <x v="0"/>
    <d v="2022-03-11T00:00:00"/>
    <x v="9"/>
    <x v="4"/>
    <n v="360"/>
    <n v="-360"/>
    <n v="0"/>
    <n v="1064985.3500000001"/>
    <s v="Trsf"/>
    <s v="Trsf 11/3/22 RM6,379.90"/>
    <m/>
  </r>
  <r>
    <x v="162"/>
    <x v="9"/>
    <x v="3"/>
    <x v="213"/>
    <s v="C00000022"/>
    <x v="23"/>
    <x v="52"/>
    <n v="1"/>
    <s v="Cash"/>
    <x v="0"/>
    <d v="2022-03-12T00:00:00"/>
    <x v="9"/>
    <x v="4"/>
    <n v="390"/>
    <n v="-390"/>
    <n v="0"/>
    <n v="1065375.3500000001"/>
    <s v="Trsf"/>
    <s v="Trsf 23/3/22 RM5,328.00"/>
    <m/>
  </r>
  <r>
    <x v="162"/>
    <x v="9"/>
    <x v="3"/>
    <x v="214"/>
    <s v="C00000006"/>
    <x v="5"/>
    <x v="88"/>
    <n v="1"/>
    <s v="Cash"/>
    <x v="0"/>
    <d v="2022-03-12T00:00:00"/>
    <x v="9"/>
    <x v="4"/>
    <n v="2068"/>
    <n v="-2068"/>
    <n v="0"/>
    <n v="1067443.3500000001"/>
    <s v="Chq"/>
    <s v="RHB 934926 cleared18/4/22-RM2,580.50"/>
    <m/>
  </r>
  <r>
    <x v="163"/>
    <x v="9"/>
    <x v="3"/>
    <x v="215"/>
    <s v="C00000020"/>
    <x v="19"/>
    <x v="85"/>
    <n v="1"/>
    <s v="Cash"/>
    <x v="0"/>
    <d v="2022-03-14T00:00:00"/>
    <x v="9"/>
    <x v="4"/>
    <n v="2090"/>
    <n v="-2090"/>
    <n v="0"/>
    <n v="1069533.3500000001"/>
    <s v="Trsf"/>
    <s v="Trsf 17/5/22 RM10,000.00(510.30partial), Trsf 19/5/22 RM10,000.00(1,579.70partial)"/>
    <m/>
  </r>
  <r>
    <x v="163"/>
    <x v="9"/>
    <x v="3"/>
    <x v="215"/>
    <s v="C00000020"/>
    <x v="19"/>
    <x v="90"/>
    <n v="1"/>
    <s v="Cash"/>
    <x v="0"/>
    <d v="2022-03-14T00:00:00"/>
    <x v="9"/>
    <x v="4"/>
    <n v="588"/>
    <n v="-588"/>
    <n v="0"/>
    <n v="1070121.3500000001"/>
    <s v="Trsf"/>
    <s v="Trsf 19/5/22 RM10,000.00"/>
    <m/>
  </r>
  <r>
    <x v="163"/>
    <x v="9"/>
    <x v="3"/>
    <x v="215"/>
    <s v="C00000020"/>
    <x v="19"/>
    <x v="91"/>
    <n v="1"/>
    <s v="Cash"/>
    <x v="0"/>
    <d v="2022-03-14T00:00:00"/>
    <x v="9"/>
    <x v="4"/>
    <n v="351"/>
    <n v="-351"/>
    <n v="0"/>
    <n v="1070472.3500000001"/>
    <s v="Trsf"/>
    <s v="Trsf 19/5/22 RM10,000.00"/>
    <m/>
  </r>
  <r>
    <x v="164"/>
    <x v="9"/>
    <x v="3"/>
    <x v="216"/>
    <s v="C00000010"/>
    <x v="9"/>
    <x v="88"/>
    <n v="6"/>
    <n v="120"/>
    <x v="2"/>
    <d v="2022-07-13T00:00:00"/>
    <x v="4"/>
    <x v="4"/>
    <n v="11880"/>
    <n v="-11880"/>
    <n v="0"/>
    <n v="1082352.3500000001"/>
    <s v="Trsf"/>
    <s v="Trsf 27/6/22 RM29,465.00"/>
    <m/>
  </r>
  <r>
    <x v="164"/>
    <x v="9"/>
    <x v="3"/>
    <x v="216"/>
    <s v="C00000010"/>
    <x v="9"/>
    <x v="95"/>
    <n v="5"/>
    <n v="120"/>
    <x v="2"/>
    <d v="2022-07-13T00:00:00"/>
    <x v="4"/>
    <x v="4"/>
    <n v="1425"/>
    <n v="-1425"/>
    <n v="0"/>
    <n v="1083777.3500000001"/>
    <s v="Trsf"/>
    <s v="Trsf 27/6/22 RM29,465.00"/>
    <m/>
  </r>
  <r>
    <x v="164"/>
    <x v="9"/>
    <x v="3"/>
    <x v="216"/>
    <s v="C00000010"/>
    <x v="9"/>
    <x v="37"/>
    <n v="2"/>
    <n v="120"/>
    <x v="2"/>
    <d v="2022-07-13T00:00:00"/>
    <x v="4"/>
    <x v="4"/>
    <n v="880"/>
    <n v="-880"/>
    <n v="0"/>
    <n v="1084657.3500000001"/>
    <s v="Trsf"/>
    <s v="Trsf 27/6/22 RM29,465.00"/>
    <m/>
  </r>
  <r>
    <x v="164"/>
    <x v="9"/>
    <x v="3"/>
    <x v="217"/>
    <s v="C00000020"/>
    <x v="19"/>
    <x v="85"/>
    <n v="3"/>
    <s v="Cash"/>
    <x v="0"/>
    <d v="2022-03-15T00:00:00"/>
    <x v="9"/>
    <x v="4"/>
    <n v="6270"/>
    <n v="-6270"/>
    <n v="0"/>
    <n v="1090927.3500000001"/>
    <s v="Trsf"/>
    <s v="Trsf 19/5/22 RM10,000.00"/>
    <m/>
  </r>
  <r>
    <x v="164"/>
    <x v="9"/>
    <x v="3"/>
    <x v="217"/>
    <s v="C00000020"/>
    <x v="19"/>
    <x v="90"/>
    <n v="6"/>
    <s v="Cash"/>
    <x v="0"/>
    <d v="2022-03-15T00:00:00"/>
    <x v="9"/>
    <x v="4"/>
    <n v="3528"/>
    <n v="-3528"/>
    <n v="0"/>
    <n v="1094455.3500000001"/>
    <s v="Trsf"/>
    <s v="Trsf 19/5/22 RM10,000.00(1,211.30partial), Trsf 20/5/22 RM9,000.00(2,316.70partial)"/>
    <m/>
  </r>
  <r>
    <x v="164"/>
    <x v="9"/>
    <x v="3"/>
    <x v="217"/>
    <s v="C00000020"/>
    <x v="19"/>
    <x v="91"/>
    <n v="1"/>
    <s v="Cash"/>
    <x v="0"/>
    <d v="2022-03-15T00:00:00"/>
    <x v="9"/>
    <x v="4"/>
    <n v="351"/>
    <n v="-351"/>
    <n v="0"/>
    <n v="1094806.3500000001"/>
    <s v="Trsf"/>
    <s v="Trsf 20/5/22 RM9,000.00"/>
    <m/>
  </r>
  <r>
    <x v="164"/>
    <x v="9"/>
    <x v="3"/>
    <x v="217"/>
    <s v="C00000020"/>
    <x v="19"/>
    <x v="41"/>
    <n v="3"/>
    <s v="Cash"/>
    <x v="0"/>
    <d v="2022-03-15T00:00:00"/>
    <x v="9"/>
    <x v="4"/>
    <n v="936"/>
    <n v="-936"/>
    <n v="0"/>
    <n v="1095742.3500000001"/>
    <s v="Trsf"/>
    <s v="Trsf 20/5/22 RM9,000.00"/>
    <m/>
  </r>
  <r>
    <x v="164"/>
    <x v="9"/>
    <x v="3"/>
    <x v="217"/>
    <s v="C00000020"/>
    <x v="19"/>
    <x v="60"/>
    <n v="4"/>
    <s v="Cash"/>
    <x v="0"/>
    <d v="2022-03-15T00:00:00"/>
    <x v="9"/>
    <x v="4"/>
    <n v="340"/>
    <n v="-340"/>
    <n v="0"/>
    <n v="1096082.3500000001"/>
    <s v="Trsf"/>
    <s v="Trsf 20/5/22 RM9,000.00"/>
    <m/>
  </r>
  <r>
    <x v="165"/>
    <x v="9"/>
    <x v="3"/>
    <x v="218"/>
    <s v="C00000019"/>
    <x v="18"/>
    <x v="93"/>
    <n v="3"/>
    <s v="Cash"/>
    <x v="0"/>
    <d v="2022-03-17T00:00:00"/>
    <x v="9"/>
    <x v="4"/>
    <n v="315"/>
    <n v="-315"/>
    <n v="0"/>
    <n v="1096397.3500000001"/>
    <s v="Trsf"/>
    <s v="Trsf 17/3/22 RM315.00"/>
    <m/>
  </r>
  <r>
    <x v="166"/>
    <x v="9"/>
    <x v="3"/>
    <x v="219"/>
    <s v="C00000020"/>
    <x v="19"/>
    <x v="15"/>
    <n v="3"/>
    <s v="Cash"/>
    <x v="0"/>
    <d v="2022-03-18T00:00:00"/>
    <x v="9"/>
    <x v="4"/>
    <n v="6270"/>
    <n v="-6270"/>
    <n v="0"/>
    <n v="1102667.3500000001"/>
    <s v="Trsf"/>
    <s v="Trsf 20/5/22 RM9,000.00(5,056.30partial), Trsf 1/6/22 RM27,000.00(1,213.70partial)"/>
    <m/>
  </r>
  <r>
    <x v="166"/>
    <x v="9"/>
    <x v="3"/>
    <x v="219"/>
    <s v="C00000020"/>
    <x v="19"/>
    <x v="100"/>
    <n v="7"/>
    <s v="Cash"/>
    <x v="0"/>
    <d v="2022-03-18T00:00:00"/>
    <x v="9"/>
    <x v="4"/>
    <n v="2058"/>
    <n v="-2058"/>
    <n v="0"/>
    <n v="1104725.3500000001"/>
    <s v="Trsf"/>
    <s v="Trsf 1/6/22 RM27,000.00"/>
    <m/>
  </r>
  <r>
    <x v="166"/>
    <x v="9"/>
    <x v="3"/>
    <x v="219"/>
    <s v="C00000020"/>
    <x v="19"/>
    <x v="101"/>
    <n v="5"/>
    <s v="Cash"/>
    <x v="0"/>
    <d v="2022-03-18T00:00:00"/>
    <x v="9"/>
    <x v="4"/>
    <n v="1560"/>
    <n v="-1560"/>
    <n v="0"/>
    <n v="1106285.3500000001"/>
    <s v="Trsf"/>
    <s v="Trsf 1/6/22 RM27,000.00"/>
    <m/>
  </r>
  <r>
    <x v="167"/>
    <x v="9"/>
    <x v="3"/>
    <x v="220"/>
    <s v="C00000021"/>
    <x v="21"/>
    <x v="15"/>
    <n v="2"/>
    <s v="Cash"/>
    <x v="0"/>
    <d v="2022-03-19T00:00:00"/>
    <x v="9"/>
    <x v="4"/>
    <n v="4048"/>
    <n v="-4048"/>
    <n v="0"/>
    <n v="1110333.3500000001"/>
    <s v="PD Chq"/>
    <s v="PBB395357cleared27/5/22 RM8,127.50"/>
    <m/>
  </r>
  <r>
    <x v="167"/>
    <x v="9"/>
    <x v="3"/>
    <x v="220"/>
    <s v="C00000021"/>
    <x v="21"/>
    <x v="100"/>
    <n v="6"/>
    <s v="Cash"/>
    <x v="0"/>
    <d v="2022-03-19T00:00:00"/>
    <x v="9"/>
    <x v="4"/>
    <n v="1710"/>
    <n v="-1710"/>
    <n v="0"/>
    <n v="1112043.3500000001"/>
    <s v="PD Chq"/>
    <s v="PBB395357cleared27/5/22 RM8,127.50"/>
    <m/>
  </r>
  <r>
    <x v="167"/>
    <x v="9"/>
    <x v="3"/>
    <x v="220"/>
    <s v="C00000021"/>
    <x v="21"/>
    <x v="60"/>
    <n v="2"/>
    <s v="Cash"/>
    <x v="0"/>
    <d v="2022-03-19T00:00:00"/>
    <x v="9"/>
    <x v="4"/>
    <n v="170"/>
    <n v="-170"/>
    <n v="0"/>
    <n v="1112213.3500000001"/>
    <s v="PD Chq"/>
    <s v="PBB395357cleared27/5/22 RM8,127.50"/>
    <m/>
  </r>
  <r>
    <x v="167"/>
    <x v="9"/>
    <x v="3"/>
    <x v="220"/>
    <s v="C00000021"/>
    <x v="21"/>
    <x v="102"/>
    <n v="1"/>
    <s v="Cash"/>
    <x v="0"/>
    <d v="2022-03-19T00:00:00"/>
    <x v="9"/>
    <x v="4"/>
    <n v="175"/>
    <n v="-175"/>
    <n v="0"/>
    <n v="1112388.3500000001"/>
    <s v="PD Chq"/>
    <s v="PBB395357cleared27/5/22 RM8,127.50"/>
    <m/>
  </r>
  <r>
    <x v="167"/>
    <x v="9"/>
    <x v="3"/>
    <x v="220"/>
    <s v="C00000021"/>
    <x v="21"/>
    <x v="103"/>
    <n v="1"/>
    <s v="Cash"/>
    <x v="0"/>
    <d v="2022-03-19T00:00:00"/>
    <x v="9"/>
    <x v="4"/>
    <n v="390"/>
    <n v="-390"/>
    <n v="0"/>
    <n v="1112778.3500000001"/>
    <s v="PD Chq"/>
    <s v="PBB395357cleared27/5/22 RM8,127.50"/>
    <m/>
  </r>
  <r>
    <x v="167"/>
    <x v="9"/>
    <x v="3"/>
    <x v="220"/>
    <s v="C00000021"/>
    <x v="21"/>
    <x v="12"/>
    <n v="10"/>
    <s v="Cash"/>
    <x v="0"/>
    <d v="2022-03-19T00:00:00"/>
    <x v="9"/>
    <x v="4"/>
    <n v="575"/>
    <n v="-575"/>
    <n v="0"/>
    <n v="1113353.3500000001"/>
    <s v="PD Chq"/>
    <s v="PBB395357cleared27/5/22 RM8,127.50"/>
    <m/>
  </r>
  <r>
    <x v="167"/>
    <x v="9"/>
    <x v="3"/>
    <x v="220"/>
    <s v="C00000021"/>
    <x v="21"/>
    <x v="104"/>
    <n v="1"/>
    <s v="Cash"/>
    <x v="0"/>
    <d v="2022-03-19T00:00:00"/>
    <x v="9"/>
    <x v="4"/>
    <n v="1059.5"/>
    <n v="-1059.5"/>
    <n v="0"/>
    <n v="1114412.8500000001"/>
    <s v="PD Chq"/>
    <s v="PBB395357cleared27/5/22 RM8,127.50"/>
    <m/>
  </r>
  <r>
    <x v="168"/>
    <x v="9"/>
    <x v="3"/>
    <x v="221"/>
    <s v="C00000006"/>
    <x v="5"/>
    <x v="98"/>
    <n v="1"/>
    <s v="Cash"/>
    <x v="0"/>
    <d v="2022-03-21T00:00:00"/>
    <x v="9"/>
    <x v="4"/>
    <n v="337.5"/>
    <n v="-337.5"/>
    <n v="0"/>
    <n v="1114750.3500000001"/>
    <s v="Chq"/>
    <s v="RHB 934926 cleared18/4/22-RM2,580.50"/>
    <m/>
  </r>
  <r>
    <x v="169"/>
    <x v="9"/>
    <x v="3"/>
    <x v="222"/>
    <s v="C00000020"/>
    <x v="19"/>
    <x v="15"/>
    <n v="3"/>
    <s v="Cash"/>
    <x v="0"/>
    <d v="2022-03-23T00:00:00"/>
    <x v="9"/>
    <x v="4"/>
    <n v="6270"/>
    <n v="-6270"/>
    <n v="0"/>
    <n v="1121020.3500000001"/>
    <s v="Trsf"/>
    <s v="Trsf 1/6/22 RM27,000.00"/>
    <m/>
  </r>
  <r>
    <x v="169"/>
    <x v="9"/>
    <x v="3"/>
    <x v="222"/>
    <s v="C00000020"/>
    <x v="19"/>
    <x v="100"/>
    <n v="4"/>
    <s v="Cash"/>
    <x v="0"/>
    <d v="2022-03-23T00:00:00"/>
    <x v="9"/>
    <x v="4"/>
    <n v="1176"/>
    <n v="-1176"/>
    <n v="0"/>
    <n v="1122196.3500000001"/>
    <s v="Trsf"/>
    <s v="Trsf 1/6/22 RM27,000.00"/>
    <m/>
  </r>
  <r>
    <x v="169"/>
    <x v="9"/>
    <x v="3"/>
    <x v="222"/>
    <s v="C00000020"/>
    <x v="19"/>
    <x v="101"/>
    <n v="4"/>
    <s v="Cash"/>
    <x v="0"/>
    <d v="2022-03-23T00:00:00"/>
    <x v="9"/>
    <x v="4"/>
    <n v="1248"/>
    <n v="-1248"/>
    <n v="0"/>
    <n v="1123444.3500000001"/>
    <s v="Trsf"/>
    <s v="Trsf 1/6/22 RM27,000.00"/>
    <m/>
  </r>
  <r>
    <x v="169"/>
    <x v="9"/>
    <x v="3"/>
    <x v="222"/>
    <s v="C00000020"/>
    <x v="19"/>
    <x v="12"/>
    <n v="2"/>
    <s v="Cash"/>
    <x v="0"/>
    <d v="2022-03-23T00:00:00"/>
    <x v="9"/>
    <x v="4"/>
    <n v="125"/>
    <n v="-125"/>
    <n v="0"/>
    <n v="1123569.3500000001"/>
    <s v="Trsf"/>
    <s v="Trsf 1/6/22 RM27,000.00"/>
    <m/>
  </r>
  <r>
    <x v="170"/>
    <x v="9"/>
    <x v="3"/>
    <x v="223"/>
    <s v="C00000020"/>
    <x v="19"/>
    <x v="7"/>
    <n v="4"/>
    <s v="Cash"/>
    <x v="0"/>
    <d v="2022-03-25T00:00:00"/>
    <x v="9"/>
    <x v="4"/>
    <n v="8360"/>
    <n v="-8360"/>
    <n v="0"/>
    <n v="1131929.3500000001"/>
    <s v="Trsf"/>
    <s v="Trsf 1/6/22 RM27,000.00"/>
    <m/>
  </r>
  <r>
    <x v="170"/>
    <x v="9"/>
    <x v="3"/>
    <x v="223"/>
    <s v="C00000020"/>
    <x v="19"/>
    <x v="100"/>
    <n v="10"/>
    <s v="Cash"/>
    <x v="0"/>
    <d v="2022-03-25T00:00:00"/>
    <x v="9"/>
    <x v="4"/>
    <n v="2940"/>
    <n v="-2940"/>
    <n v="0"/>
    <n v="1134869.3500000001"/>
    <s v="Trsf"/>
    <s v="Trsf 1/6/22 RM27,000.00"/>
    <m/>
  </r>
  <r>
    <x v="170"/>
    <x v="9"/>
    <x v="3"/>
    <x v="223"/>
    <s v="C00000020"/>
    <x v="19"/>
    <x v="101"/>
    <n v="6"/>
    <s v="Cash"/>
    <x v="0"/>
    <d v="2022-03-25T00:00:00"/>
    <x v="9"/>
    <x v="4"/>
    <n v="1872"/>
    <n v="-1872"/>
    <n v="0"/>
    <n v="1136741.3500000001"/>
    <s v="Trsf"/>
    <s v="Trsf 1/6/22 RM27,000.00"/>
    <m/>
  </r>
  <r>
    <x v="170"/>
    <x v="9"/>
    <x v="3"/>
    <x v="223"/>
    <s v="C00000020"/>
    <x v="19"/>
    <x v="12"/>
    <n v="4"/>
    <s v="Cash"/>
    <x v="0"/>
    <d v="2022-03-25T00:00:00"/>
    <x v="9"/>
    <x v="4"/>
    <n v="250"/>
    <n v="-250"/>
    <n v="0"/>
    <n v="1136991.3500000001"/>
    <s v="Trsf"/>
    <s v="Trsf 1/6/22 RM27,000.00(177.30partial), Trs23/6/22 RM7,000.00(72.70partial) "/>
    <m/>
  </r>
  <r>
    <x v="170"/>
    <x v="9"/>
    <x v="3"/>
    <x v="223"/>
    <s v="C00000020"/>
    <x v="19"/>
    <x v="105"/>
    <n v="1"/>
    <s v="Cash"/>
    <x v="0"/>
    <d v="2022-03-25T00:00:00"/>
    <x v="9"/>
    <x v="4"/>
    <n v="1000"/>
    <n v="-1000"/>
    <n v="0"/>
    <n v="1137991.3500000001"/>
    <s v="Trsf"/>
    <s v="Trsf23/6/22 RM7,000.00"/>
    <m/>
  </r>
  <r>
    <x v="171"/>
    <x v="9"/>
    <x v="3"/>
    <x v="224"/>
    <s v="C00000001"/>
    <x v="0"/>
    <x v="15"/>
    <n v="1"/>
    <s v="Cash"/>
    <x v="0"/>
    <d v="2022-03-29T00:00:00"/>
    <x v="9"/>
    <x v="4"/>
    <n v="2068"/>
    <n v="-2068"/>
    <n v="0"/>
    <n v="1140059.3500000001"/>
    <s v="Trsf"/>
    <s v="Trsf 30/3/22 RM3,232.00"/>
    <m/>
  </r>
  <r>
    <x v="171"/>
    <x v="9"/>
    <x v="3"/>
    <x v="224"/>
    <s v="C00000001"/>
    <x v="0"/>
    <x v="100"/>
    <n v="4"/>
    <s v="Cash"/>
    <x v="0"/>
    <d v="2022-03-29T00:00:00"/>
    <x v="9"/>
    <x v="4"/>
    <n v="1164"/>
    <n v="-1164"/>
    <n v="0"/>
    <n v="1141223.3500000001"/>
    <s v="Trsf"/>
    <s v="Trsf 30/3/22 RM3,232.00"/>
    <m/>
  </r>
  <r>
    <x v="171"/>
    <x v="9"/>
    <x v="3"/>
    <x v="225"/>
    <s v="C00000020"/>
    <x v="19"/>
    <x v="7"/>
    <n v="2"/>
    <s v="Cash"/>
    <x v="0"/>
    <d v="2022-03-29T00:00:00"/>
    <x v="9"/>
    <x v="4"/>
    <n v="4180"/>
    <n v="-4180"/>
    <n v="0"/>
    <n v="1145403.3500000001"/>
    <s v="Trsf"/>
    <s v="Trsf23/6/22 RM7,000.00"/>
    <m/>
  </r>
  <r>
    <x v="171"/>
    <x v="9"/>
    <x v="3"/>
    <x v="225"/>
    <s v="C00000020"/>
    <x v="19"/>
    <x v="100"/>
    <n v="8"/>
    <s v="Cash"/>
    <x v="0"/>
    <d v="2022-03-29T00:00:00"/>
    <x v="9"/>
    <x v="4"/>
    <n v="2352"/>
    <n v="-2352"/>
    <n v="0"/>
    <n v="1147755.3500000001"/>
    <s v="Trsf"/>
    <s v="Trsf23/6/22 RM7,000.00(RM1,747.30partial), Trsf20/7/22 RM10,700.00(RM604.70partial)"/>
    <m/>
  </r>
  <r>
    <x v="171"/>
    <x v="9"/>
    <x v="3"/>
    <x v="225"/>
    <s v="C00000020"/>
    <x v="19"/>
    <x v="101"/>
    <n v="3"/>
    <s v="Cash"/>
    <x v="0"/>
    <d v="2022-03-29T00:00:00"/>
    <x v="9"/>
    <x v="4"/>
    <n v="936"/>
    <n v="-936"/>
    <n v="0"/>
    <n v="1148691.3500000001"/>
    <s v="Trsf"/>
    <s v="Trsf20/7/22 RM10,700.00(RM936.00)"/>
    <m/>
  </r>
  <r>
    <x v="171"/>
    <x v="9"/>
    <x v="3"/>
    <x v="225"/>
    <s v="C00000020"/>
    <x v="19"/>
    <x v="12"/>
    <n v="2"/>
    <s v="Cash"/>
    <x v="0"/>
    <d v="2022-03-29T00:00:00"/>
    <x v="9"/>
    <x v="4"/>
    <n v="125"/>
    <n v="-125"/>
    <n v="0"/>
    <n v="1148816.3500000001"/>
    <s v="Trsf"/>
    <s v="Trsf20/7/22 RM10,700.00(RM125.00)"/>
    <m/>
  </r>
  <r>
    <x v="172"/>
    <x v="9"/>
    <x v="3"/>
    <x v="226"/>
    <s v="C00000023"/>
    <x v="24"/>
    <x v="7"/>
    <n v="1"/>
    <s v="Cash"/>
    <x v="0"/>
    <d v="2022-03-31T00:00:00"/>
    <x v="9"/>
    <x v="4"/>
    <n v="2090"/>
    <n v="-2090"/>
    <n v="0"/>
    <n v="1150906.3500000001"/>
    <s v="Trsf"/>
    <s v="Trsf 31/3/22 RM3,555.00"/>
    <m/>
  </r>
  <r>
    <x v="172"/>
    <x v="9"/>
    <x v="3"/>
    <x v="226"/>
    <s v="C00000023"/>
    <x v="24"/>
    <x v="106"/>
    <n v="4"/>
    <s v="Cash"/>
    <x v="0"/>
    <d v="2022-03-31T00:00:00"/>
    <x v="9"/>
    <x v="4"/>
    <n v="340"/>
    <n v="-340"/>
    <n v="0"/>
    <n v="1151246.3500000001"/>
    <s v="Trsf"/>
    <s v="Trsf 31/3/22 RM3,555.00"/>
    <m/>
  </r>
  <r>
    <x v="172"/>
    <x v="9"/>
    <x v="3"/>
    <x v="226"/>
    <s v="C00000023"/>
    <x v="24"/>
    <x v="105"/>
    <n v="1"/>
    <s v="Cash"/>
    <x v="0"/>
    <d v="2022-03-31T00:00:00"/>
    <x v="9"/>
    <x v="4"/>
    <n v="1000"/>
    <n v="-1000"/>
    <n v="0"/>
    <n v="1152246.3500000001"/>
    <s v="Trsf"/>
    <s v="Trsf 31/3/22 RM3,555.00"/>
    <m/>
  </r>
  <r>
    <x v="172"/>
    <x v="9"/>
    <x v="3"/>
    <x v="226"/>
    <s v="C00000023"/>
    <x v="24"/>
    <x v="12"/>
    <n v="2"/>
    <s v="Cash"/>
    <x v="0"/>
    <d v="2022-03-31T00:00:00"/>
    <x v="9"/>
    <x v="4"/>
    <n v="125"/>
    <n v="-125"/>
    <n v="0"/>
    <n v="1152371.3500000001"/>
    <s v="Trsf"/>
    <s v="Trsf 31/3/22 RM3,555.00"/>
    <m/>
  </r>
  <r>
    <x v="173"/>
    <x v="10"/>
    <x v="3"/>
    <x v="227"/>
    <s v="C00000021"/>
    <x v="21"/>
    <x v="15"/>
    <n v="2"/>
    <s v="Cash"/>
    <x v="0"/>
    <d v="2022-04-01T00:00:00"/>
    <x v="11"/>
    <x v="4"/>
    <n v="4136"/>
    <n v="-4136"/>
    <n v="0"/>
    <n v="1156507.3500000001"/>
    <s v="PD Chq"/>
    <s v="PBB395362cleared28/4/22 RM6,083.50"/>
    <m/>
  </r>
  <r>
    <x v="173"/>
    <x v="10"/>
    <x v="3"/>
    <x v="227"/>
    <s v="C00000021"/>
    <x v="21"/>
    <x v="100"/>
    <n v="3"/>
    <s v="Cash"/>
    <x v="0"/>
    <d v="2022-04-01T00:00:00"/>
    <x v="11"/>
    <x v="4"/>
    <n v="855"/>
    <n v="-855"/>
    <n v="0"/>
    <n v="1157362.3500000001"/>
    <s v="PD Chq"/>
    <s v="PBB395362cleared28/4/22 RM6,083.50"/>
    <m/>
  </r>
  <r>
    <x v="173"/>
    <x v="10"/>
    <x v="3"/>
    <x v="227"/>
    <s v="C00000021"/>
    <x v="21"/>
    <x v="106"/>
    <n v="2"/>
    <s v="Cash"/>
    <x v="0"/>
    <d v="2022-04-01T00:00:00"/>
    <x v="11"/>
    <x v="4"/>
    <n v="170"/>
    <n v="-170"/>
    <n v="0"/>
    <n v="1157532.3500000001"/>
    <s v="PD Chq"/>
    <s v="PBB395362cleared28/4/22 RM6,083.50"/>
    <m/>
  </r>
  <r>
    <x v="173"/>
    <x v="10"/>
    <x v="3"/>
    <x v="227"/>
    <s v="C00000021"/>
    <x v="21"/>
    <x v="12"/>
    <n v="10"/>
    <s v="Cash"/>
    <x v="0"/>
    <d v="2022-04-01T00:00:00"/>
    <x v="11"/>
    <x v="4"/>
    <n v="575"/>
    <n v="-575"/>
    <n v="0"/>
    <n v="1158107.3500000001"/>
    <s v="PD Chq"/>
    <s v="PBB395362cleared28/4/22 RM6,083.50"/>
    <m/>
  </r>
  <r>
    <x v="173"/>
    <x v="10"/>
    <x v="3"/>
    <x v="227"/>
    <s v="C00000021"/>
    <x v="21"/>
    <x v="107"/>
    <n v="1"/>
    <s v="Cash"/>
    <x v="0"/>
    <d v="2022-04-01T00:00:00"/>
    <x v="11"/>
    <x v="4"/>
    <n v="347.5"/>
    <n v="-347.5"/>
    <n v="0"/>
    <n v="1158454.8500000001"/>
    <s v="PD Chq"/>
    <s v="PBB395362cleared28/4/22 RM6,083.50"/>
    <m/>
  </r>
  <r>
    <x v="173"/>
    <x v="10"/>
    <x v="3"/>
    <x v="228"/>
    <s v="C00000020"/>
    <x v="19"/>
    <x v="15"/>
    <n v="1"/>
    <s v="Cash"/>
    <x v="0"/>
    <d v="2022-04-01T00:00:00"/>
    <x v="11"/>
    <x v="4"/>
    <n v="2090"/>
    <n v="-2090"/>
    <n v="0"/>
    <n v="1160544.8500000001"/>
    <s v="Trsf"/>
    <s v="Trsf20/7/22 RM10,700.00(2,090.00)"/>
    <m/>
  </r>
  <r>
    <x v="173"/>
    <x v="10"/>
    <x v="3"/>
    <x v="228"/>
    <s v="C00000020"/>
    <x v="19"/>
    <x v="7"/>
    <n v="2"/>
    <s v="Cash"/>
    <x v="0"/>
    <d v="2022-04-01T00:00:00"/>
    <x v="11"/>
    <x v="4"/>
    <n v="4180"/>
    <n v="-4180"/>
    <n v="0"/>
    <n v="1164724.8500000001"/>
    <s v="Trsf"/>
    <s v="Trsf20/7/22 RM10,700.00(4,180.00)"/>
    <m/>
  </r>
  <r>
    <x v="173"/>
    <x v="10"/>
    <x v="3"/>
    <x v="228"/>
    <s v="C00000020"/>
    <x v="19"/>
    <x v="108"/>
    <n v="3"/>
    <s v="Cash"/>
    <x v="0"/>
    <d v="2022-04-01T00:00:00"/>
    <x v="11"/>
    <x v="4"/>
    <n v="1764"/>
    <n v="-1764"/>
    <n v="0"/>
    <n v="1166488.8500000001"/>
    <s v="Trsf"/>
    <s v="Trsf20/7/22 RM10,700.00(RM1,764.00)"/>
    <m/>
  </r>
  <r>
    <x v="173"/>
    <x v="10"/>
    <x v="3"/>
    <x v="228"/>
    <s v="C00000020"/>
    <x v="19"/>
    <x v="101"/>
    <n v="3"/>
    <s v="Cash"/>
    <x v="0"/>
    <d v="2022-04-01T00:00:00"/>
    <x v="11"/>
    <x v="4"/>
    <n v="936"/>
    <n v="-936"/>
    <n v="0"/>
    <n v="1167424.8500000001"/>
    <s v="Trsf"/>
    <s v="Trsf20/7/22 RM10,700.00(RM936.00)"/>
    <m/>
  </r>
  <r>
    <x v="173"/>
    <x v="10"/>
    <x v="3"/>
    <x v="228"/>
    <s v="C00000020"/>
    <x v="19"/>
    <x v="12"/>
    <n v="3"/>
    <s v="Cash"/>
    <x v="0"/>
    <d v="2022-04-01T00:00:00"/>
    <x v="11"/>
    <x v="4"/>
    <n v="187.5"/>
    <n v="-187.5"/>
    <n v="0"/>
    <n v="1167612.3500000001"/>
    <s v="Trsf"/>
    <s v="Trsf20/7/22 RM10,700.00(RM64.30), Trsf 19/8/22 RM3,000.00(123.20partial)"/>
    <m/>
  </r>
  <r>
    <x v="173"/>
    <x v="10"/>
    <x v="3"/>
    <x v="229"/>
    <s v="C00000022"/>
    <x v="23"/>
    <x v="7"/>
    <n v="1"/>
    <s v="Cash"/>
    <x v="0"/>
    <d v="2022-04-01T00:00:00"/>
    <x v="11"/>
    <x v="4"/>
    <n v="2112"/>
    <n v="-2112"/>
    <n v="0"/>
    <n v="1169724.3500000001"/>
    <s v="Trsf"/>
    <s v="Trsf 9/5/22 RM4,070.00"/>
    <m/>
  </r>
  <r>
    <x v="173"/>
    <x v="10"/>
    <x v="3"/>
    <x v="229"/>
    <s v="C00000022"/>
    <x v="23"/>
    <x v="87"/>
    <n v="2"/>
    <s v="Cash"/>
    <x v="0"/>
    <d v="2022-04-01T00:00:00"/>
    <x v="11"/>
    <x v="4"/>
    <n v="588"/>
    <n v="-588"/>
    <n v="0"/>
    <n v="1170312.3500000001"/>
    <s v="Trsf"/>
    <s v="Trsf 9/5/22 RM4,070.00"/>
    <m/>
  </r>
  <r>
    <x v="173"/>
    <x v="10"/>
    <x v="3"/>
    <x v="229"/>
    <s v="C00000022"/>
    <x v="23"/>
    <x v="101"/>
    <n v="1"/>
    <s v="Cash"/>
    <x v="0"/>
    <d v="2022-04-01T00:00:00"/>
    <x v="11"/>
    <x v="4"/>
    <n v="300"/>
    <n v="-300"/>
    <n v="0"/>
    <n v="1170612.3500000001"/>
    <s v="Trsf"/>
    <s v="Trsf 9/5/22 RM4,070.00"/>
    <m/>
  </r>
  <r>
    <x v="173"/>
    <x v="10"/>
    <x v="3"/>
    <x v="229"/>
    <s v="C00000022"/>
    <x v="23"/>
    <x v="99"/>
    <n v="2"/>
    <s v="Cash"/>
    <x v="0"/>
    <d v="2022-04-01T00:00:00"/>
    <x v="11"/>
    <x v="4"/>
    <n v="480"/>
    <n v="-480"/>
    <n v="0"/>
    <n v="1171092.3500000001"/>
    <s v="Trsf"/>
    <s v="Trsf 9/5/22 RM4,070.00"/>
    <m/>
  </r>
  <r>
    <x v="174"/>
    <x v="10"/>
    <x v="3"/>
    <x v="230"/>
    <s v="C00000020"/>
    <x v="19"/>
    <x v="7"/>
    <n v="3"/>
    <s v="Cash"/>
    <x v="0"/>
    <d v="2022-04-05T00:00:00"/>
    <x v="11"/>
    <x v="4"/>
    <n v="6270"/>
    <n v="-6270"/>
    <n v="0"/>
    <n v="1177362.3500000001"/>
    <s v="Trsf"/>
    <s v="Trsf 19/8/22 RM3,000.00(2,876.80partial), Trsf 2/9/22 RM10,000.00(RM3,393.20partial)"/>
    <m/>
  </r>
  <r>
    <x v="174"/>
    <x v="10"/>
    <x v="3"/>
    <x v="230"/>
    <s v="C00000020"/>
    <x v="19"/>
    <x v="100"/>
    <n v="6"/>
    <s v="Cash"/>
    <x v="0"/>
    <d v="2022-04-05T00:00:00"/>
    <x v="11"/>
    <x v="4"/>
    <n v="1764"/>
    <n v="-1764"/>
    <n v="0"/>
    <n v="1179126.3500000001"/>
    <s v="Trsf"/>
    <s v="Trsf 2/9/22 RM10,000.00(RM1,764.00partial)"/>
    <m/>
  </r>
  <r>
    <x v="174"/>
    <x v="10"/>
    <x v="3"/>
    <x v="230"/>
    <s v="C00000020"/>
    <x v="19"/>
    <x v="101"/>
    <n v="3"/>
    <s v="Cash"/>
    <x v="0"/>
    <d v="2022-04-05T00:00:00"/>
    <x v="11"/>
    <x v="4"/>
    <n v="936"/>
    <n v="-936"/>
    <n v="0"/>
    <n v="1180062.3500000001"/>
    <s v="Trsf"/>
    <s v="Trsf 2/9/22 RM10,000.00(RM936.00partial)"/>
    <m/>
  </r>
  <r>
    <x v="174"/>
    <x v="10"/>
    <x v="3"/>
    <x v="230"/>
    <s v="C00000020"/>
    <x v="19"/>
    <x v="12"/>
    <n v="3"/>
    <s v="Cash"/>
    <x v="0"/>
    <d v="2022-04-05T00:00:00"/>
    <x v="11"/>
    <x v="4"/>
    <n v="187.5"/>
    <n v="-187.5"/>
    <n v="0"/>
    <n v="1180249.8500000001"/>
    <s v="Trsf"/>
    <s v="Trsf 2/9/22 RM10,000.00(R187.50partial)"/>
    <m/>
  </r>
  <r>
    <x v="174"/>
    <x v="10"/>
    <x v="3"/>
    <x v="230"/>
    <s v="C00000020"/>
    <x v="19"/>
    <x v="105"/>
    <n v="1"/>
    <s v="Cash"/>
    <x v="0"/>
    <d v="2022-04-05T00:00:00"/>
    <x v="11"/>
    <x v="4"/>
    <n v="1000"/>
    <n v="-1000"/>
    <n v="0"/>
    <n v="1181249.8500000001"/>
    <s v="Trsf"/>
    <s v="Trsf 2/9/22 RM10,000.00(RM1,000.00partial)"/>
    <m/>
  </r>
  <r>
    <x v="174"/>
    <x v="10"/>
    <x v="3"/>
    <x v="230"/>
    <s v="C00000020"/>
    <x v="19"/>
    <x v="106"/>
    <n v="4"/>
    <s v="Cash"/>
    <x v="0"/>
    <d v="2022-04-05T00:00:00"/>
    <x v="11"/>
    <x v="4"/>
    <n v="340"/>
    <n v="-340"/>
    <n v="0"/>
    <n v="1181589.8500000001"/>
    <s v="Trsf"/>
    <s v="Trsf 2/9/22 RM10,000.00(RM340.00partial)"/>
    <m/>
  </r>
  <r>
    <x v="175"/>
    <x v="10"/>
    <x v="3"/>
    <x v="231"/>
    <s v="C00000019"/>
    <x v="18"/>
    <x v="7"/>
    <n v="2"/>
    <s v="Cash"/>
    <x v="0"/>
    <d v="2022-04-08T00:00:00"/>
    <x v="11"/>
    <x v="4"/>
    <n v="4136"/>
    <n v="-4136"/>
    <n v="0"/>
    <n v="1185725.8500000001"/>
    <s v="Trsf"/>
    <s v="Trsf 10/4/22 RM6,361.10"/>
    <m/>
  </r>
  <r>
    <x v="175"/>
    <x v="10"/>
    <x v="3"/>
    <x v="231"/>
    <s v="C00000019"/>
    <x v="18"/>
    <x v="67"/>
    <n v="2"/>
    <s v="Cash"/>
    <x v="0"/>
    <d v="2022-04-08T00:00:00"/>
    <x v="11"/>
    <x v="4"/>
    <n v="1047.5999999999999"/>
    <n v="-1047.5999999999999"/>
    <n v="0"/>
    <n v="1186773.4500000002"/>
    <s v="Trsf"/>
    <s v="Trsf 10/4/22 RM6,361.10"/>
    <m/>
  </r>
  <r>
    <x v="175"/>
    <x v="10"/>
    <x v="3"/>
    <x v="231"/>
    <s v="C00000019"/>
    <x v="18"/>
    <x v="12"/>
    <n v="3"/>
    <s v="Cash"/>
    <x v="0"/>
    <d v="2022-04-08T00:00:00"/>
    <x v="11"/>
    <x v="4"/>
    <n v="187.5"/>
    <n v="-187.5"/>
    <n v="0"/>
    <n v="1186960.9500000002"/>
    <s v="Trsf"/>
    <s v="Trsf 10/4/22 RM6,361.10"/>
    <m/>
  </r>
  <r>
    <x v="175"/>
    <x v="10"/>
    <x v="3"/>
    <x v="231"/>
    <s v="C00000019"/>
    <x v="18"/>
    <x v="52"/>
    <n v="2"/>
    <s v="Cash"/>
    <x v="0"/>
    <d v="2022-04-08T00:00:00"/>
    <x v="11"/>
    <x v="4"/>
    <n v="780"/>
    <n v="-780"/>
    <n v="0"/>
    <n v="1187740.9500000002"/>
    <s v="Trsf"/>
    <s v="Trsf 10/4/22 RM6,361.10"/>
    <m/>
  </r>
  <r>
    <x v="175"/>
    <x v="10"/>
    <x v="3"/>
    <x v="231"/>
    <s v="C00000019"/>
    <x v="18"/>
    <x v="93"/>
    <n v="2"/>
    <s v="Cash"/>
    <x v="0"/>
    <d v="2022-04-08T00:00:00"/>
    <x v="11"/>
    <x v="4"/>
    <n v="210"/>
    <n v="-210"/>
    <n v="0"/>
    <n v="1187950.9500000002"/>
    <s v="Trsf"/>
    <s v="Trsf 10/4/22 RM6,361.10"/>
    <m/>
  </r>
  <r>
    <x v="175"/>
    <x v="10"/>
    <x v="3"/>
    <x v="232"/>
    <s v="C00000003"/>
    <x v="2"/>
    <x v="15"/>
    <n v="3"/>
    <n v="45"/>
    <x v="1"/>
    <d v="2022-05-23T00:00:00"/>
    <x v="12"/>
    <x v="4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x v="175"/>
    <x v="10"/>
    <x v="3"/>
    <x v="232"/>
    <s v="C00000003"/>
    <x v="2"/>
    <x v="12"/>
    <n v="4"/>
    <n v="45"/>
    <x v="1"/>
    <d v="2022-05-23T00:00:00"/>
    <x v="12"/>
    <x v="4"/>
    <n v="260"/>
    <n v="-260"/>
    <n v="0"/>
    <n v="1194546.9500000002"/>
    <s v="PD Chq"/>
    <s v="RHB 001605cleared13/6/22-RM2,000.00"/>
    <m/>
  </r>
  <r>
    <x v="175"/>
    <x v="10"/>
    <x v="3"/>
    <x v="232"/>
    <s v="C00000003"/>
    <x v="2"/>
    <x v="4"/>
    <n v="6"/>
    <n v="45"/>
    <x v="1"/>
    <d v="2022-05-23T00:00:00"/>
    <x v="12"/>
    <x v="4"/>
    <n v="630"/>
    <n v="-630"/>
    <n v="0"/>
    <n v="1195176.9500000002"/>
    <s v="PD Chq"/>
    <s v="RHB 001605cleared13/6/22-RM2,000.00"/>
    <m/>
  </r>
  <r>
    <x v="175"/>
    <x v="10"/>
    <x v="3"/>
    <x v="232"/>
    <s v="C00000003"/>
    <x v="2"/>
    <x v="25"/>
    <n v="2"/>
    <n v="45"/>
    <x v="1"/>
    <d v="2022-05-23T00:00:00"/>
    <x v="12"/>
    <x v="4"/>
    <n v="90"/>
    <n v="-90"/>
    <n v="0"/>
    <n v="1195266.9500000002"/>
    <s v="PD Chq"/>
    <s v="RHB 001605cleared13/6/22-RM2,000.00"/>
    <m/>
  </r>
  <r>
    <x v="176"/>
    <x v="10"/>
    <x v="3"/>
    <x v="233"/>
    <s v="C00000009"/>
    <x v="8"/>
    <x v="7"/>
    <n v="2"/>
    <n v="60"/>
    <x v="3"/>
    <d v="2022-06-08T00:00:00"/>
    <x v="1"/>
    <x v="4"/>
    <n v="3960"/>
    <n v="-3960"/>
    <n v="0"/>
    <n v="1199226.9500000002"/>
    <s v="Chq"/>
    <s v="Chq HL 015688 dd 24/8/22"/>
    <m/>
  </r>
  <r>
    <x v="176"/>
    <x v="10"/>
    <x v="3"/>
    <x v="233"/>
    <s v="C00000009"/>
    <x v="8"/>
    <x v="108"/>
    <n v="1"/>
    <n v="60"/>
    <x v="3"/>
    <d v="2022-06-08T00:00:00"/>
    <x v="1"/>
    <x v="4"/>
    <n v="570"/>
    <n v="-570"/>
    <n v="0"/>
    <n v="1199796.9500000002"/>
    <s v="Chq"/>
    <s v="Chq HL 015688 dd 24/8/22"/>
    <m/>
  </r>
  <r>
    <x v="176"/>
    <x v="10"/>
    <x v="3"/>
    <x v="233"/>
    <s v="C00000009"/>
    <x v="8"/>
    <x v="109"/>
    <n v="1"/>
    <n v="60"/>
    <x v="3"/>
    <d v="2022-06-08T00:00:00"/>
    <x v="1"/>
    <x v="4"/>
    <n v="513"/>
    <n v="-513"/>
    <n v="0"/>
    <n v="1200309.9500000002"/>
    <s v="Chq"/>
    <s v="Chq HL 015688 dd 24/8/22"/>
    <m/>
  </r>
  <r>
    <x v="176"/>
    <x v="10"/>
    <x v="3"/>
    <x v="234"/>
    <s v="C00000020"/>
    <x v="19"/>
    <x v="15"/>
    <n v="3"/>
    <s v="Cash"/>
    <x v="0"/>
    <d v="2022-04-09T00:00:00"/>
    <x v="11"/>
    <x v="4"/>
    <n v="6270"/>
    <n v="-6270"/>
    <n v="0"/>
    <n v="1206579.9500000002"/>
    <s v="Trsf"/>
    <s v="Trsf 2/9/22 RM10,000.00(RM2,379.30partial), Trsf 8/9/22 RM3.890.70(partial)"/>
    <m/>
  </r>
  <r>
    <x v="176"/>
    <x v="10"/>
    <x v="3"/>
    <x v="234"/>
    <s v="C00000020"/>
    <x v="19"/>
    <x v="100"/>
    <n v="4"/>
    <s v="Cash"/>
    <x v="0"/>
    <d v="2022-04-09T00:00:00"/>
    <x v="11"/>
    <x v="4"/>
    <n v="1176"/>
    <n v="-1176"/>
    <n v="0"/>
    <n v="1207755.9500000002"/>
    <s v="Trsf"/>
    <s v="Trsf 8/9/22 RM10,000.00(RM1,176.00partial)"/>
    <m/>
  </r>
  <r>
    <x v="176"/>
    <x v="10"/>
    <x v="3"/>
    <x v="234"/>
    <s v="C00000020"/>
    <x v="19"/>
    <x v="101"/>
    <n v="3"/>
    <s v="Cash"/>
    <x v="0"/>
    <d v="2022-04-09T00:00:00"/>
    <x v="11"/>
    <x v="4"/>
    <n v="936"/>
    <n v="-936"/>
    <n v="0"/>
    <n v="1208691.9500000002"/>
    <s v="Trsf"/>
    <s v="Trsf 8/9/22 RM10,000.00(RM936.00partial)"/>
    <m/>
  </r>
  <r>
    <x v="176"/>
    <x v="10"/>
    <x v="3"/>
    <x v="234"/>
    <s v="C00000020"/>
    <x v="19"/>
    <x v="12"/>
    <n v="3"/>
    <s v="Cash"/>
    <x v="0"/>
    <d v="2022-04-09T00:00:00"/>
    <x v="11"/>
    <x v="4"/>
    <n v="187.5"/>
    <n v="-187.5"/>
    <n v="0"/>
    <n v="1208879.4500000002"/>
    <s v="Trsf"/>
    <s v="Trsf 8/9/22 RM10,000.00(RM187.50partial)"/>
    <m/>
  </r>
  <r>
    <x v="176"/>
    <x v="10"/>
    <x v="3"/>
    <x v="235"/>
    <s v="C00000024"/>
    <x v="25"/>
    <x v="15"/>
    <n v="1"/>
    <s v="Cash"/>
    <x v="0"/>
    <d v="2022-04-09T00:00:00"/>
    <x v="11"/>
    <x v="4"/>
    <n v="2090"/>
    <n v="-2090"/>
    <n v="0"/>
    <n v="1210969.4500000002"/>
    <s v="Trsf"/>
    <s v="PIB 091977Cleared11/4/22-RM3,881.50"/>
    <m/>
  </r>
  <r>
    <x v="176"/>
    <x v="10"/>
    <x v="3"/>
    <x v="235"/>
    <s v="C00000024"/>
    <x v="25"/>
    <x v="110"/>
    <n v="1"/>
    <s v="Cash"/>
    <x v="0"/>
    <d v="2022-04-09T00:00:00"/>
    <x v="11"/>
    <x v="4"/>
    <n v="350"/>
    <n v="-350"/>
    <n v="0"/>
    <n v="1211319.4500000002"/>
    <s v="Trsf"/>
    <s v="PIB 091977Cleared11/4/22-RM3,881.50"/>
    <m/>
  </r>
  <r>
    <x v="176"/>
    <x v="10"/>
    <x v="3"/>
    <x v="235"/>
    <s v="C00000024"/>
    <x v="25"/>
    <x v="100"/>
    <n v="1"/>
    <s v="Cash"/>
    <x v="0"/>
    <d v="2022-04-09T00:00:00"/>
    <x v="11"/>
    <x v="4"/>
    <n v="294"/>
    <n v="-294"/>
    <n v="0"/>
    <n v="1211613.4500000002"/>
    <s v="Trsf"/>
    <s v="PIB 091977Cleared11/4/22-RM3,881.50"/>
    <m/>
  </r>
  <r>
    <x v="176"/>
    <x v="10"/>
    <x v="3"/>
    <x v="235"/>
    <s v="C00000024"/>
    <x v="25"/>
    <x v="12"/>
    <n v="1"/>
    <s v="Cash"/>
    <x v="0"/>
    <d v="2022-04-09T00:00:00"/>
    <x v="11"/>
    <x v="4"/>
    <n v="62.5"/>
    <n v="-62.5"/>
    <n v="0"/>
    <n v="1211675.9500000002"/>
    <s v="Trsf"/>
    <s v="PIB 091977Cleared11/4/22-RM3,881.50"/>
    <m/>
  </r>
  <r>
    <x v="176"/>
    <x v="10"/>
    <x v="3"/>
    <x v="235"/>
    <s v="C00000024"/>
    <x v="25"/>
    <x v="105"/>
    <n v="1"/>
    <s v="Cash"/>
    <x v="0"/>
    <d v="2022-04-09T00:00:00"/>
    <x v="11"/>
    <x v="4"/>
    <n v="1000"/>
    <n v="-1000"/>
    <n v="0"/>
    <n v="1212675.9500000002"/>
    <s v="Trsf"/>
    <s v="PIB 091977Cleared11/4/22-RM3,881.50"/>
    <m/>
  </r>
  <r>
    <x v="176"/>
    <x v="10"/>
    <x v="3"/>
    <x v="235"/>
    <s v="C00000024"/>
    <x v="25"/>
    <x v="106"/>
    <n v="1"/>
    <s v="Cash"/>
    <x v="0"/>
    <d v="2022-04-09T00:00:00"/>
    <x v="11"/>
    <x v="4"/>
    <n v="85"/>
    <n v="-85"/>
    <n v="0"/>
    <n v="1212760.9500000002"/>
    <s v="Trsf"/>
    <s v="PIB 091977Cleared11/4/22-RM3,881.50"/>
    <m/>
  </r>
  <r>
    <x v="177"/>
    <x v="10"/>
    <x v="3"/>
    <x v="236"/>
    <s v="C00000022"/>
    <x v="23"/>
    <x v="111"/>
    <n v="2"/>
    <s v="Cash"/>
    <x v="0"/>
    <d v="2022-04-12T00:00:00"/>
    <x v="11"/>
    <x v="4"/>
    <n v="200"/>
    <n v="-200"/>
    <n v="0"/>
    <n v="1212960.9500000002"/>
    <s v="Trsf"/>
    <s v="Trsf 9/5/22 RM4,070.00"/>
    <m/>
  </r>
  <r>
    <x v="177"/>
    <x v="10"/>
    <x v="3"/>
    <x v="236"/>
    <s v="C00000022"/>
    <x v="23"/>
    <x v="52"/>
    <n v="1"/>
    <s v="Cash"/>
    <x v="0"/>
    <d v="2022-04-12T00:00:00"/>
    <x v="11"/>
    <x v="4"/>
    <n v="390"/>
    <n v="-390"/>
    <n v="0"/>
    <n v="1213350.9500000002"/>
    <s v="Trsf"/>
    <s v="Trsf 9/5/22 RM4,070.00"/>
    <m/>
  </r>
  <r>
    <x v="178"/>
    <x v="10"/>
    <x v="3"/>
    <x v="237"/>
    <s v="C00000024"/>
    <x v="25"/>
    <x v="100"/>
    <n v="2"/>
    <s v="Cash"/>
    <x v="0"/>
    <d v="2022-04-13T00:00:00"/>
    <x v="11"/>
    <x v="4"/>
    <n v="588"/>
    <n v="-588"/>
    <n v="0"/>
    <n v="1213938.9500000002"/>
    <s v="Trsf"/>
    <s v="Trsf PBB Yew Kok Wah 13/4/22 RM588.00 "/>
    <m/>
  </r>
  <r>
    <x v="178"/>
    <x v="10"/>
    <x v="3"/>
    <x v="238"/>
    <s v="C00000020"/>
    <x v="19"/>
    <x v="7"/>
    <n v="3"/>
    <s v="Cash"/>
    <x v="0"/>
    <d v="2022-04-13T00:00:00"/>
    <x v="11"/>
    <x v="4"/>
    <n v="6270"/>
    <n v="-6270"/>
    <n v="0"/>
    <n v="1220208.9500000002"/>
    <s v="Trsf"/>
    <s v="Trsf 8/9/22 RM10,000.00(RM3,809.80partial), Trsf 12/9/22 RM4,000.00(2,460.20partial)"/>
    <m/>
  </r>
  <r>
    <x v="178"/>
    <x v="10"/>
    <x v="3"/>
    <x v="238"/>
    <s v="C00000020"/>
    <x v="19"/>
    <x v="112"/>
    <n v="5"/>
    <s v="Cash"/>
    <x v="0"/>
    <d v="2022-04-13T00:00:00"/>
    <x v="11"/>
    <x v="4"/>
    <n v="2646"/>
    <n v="-2646"/>
    <n v="0"/>
    <n v="1222854.9500000002"/>
    <s v="Trsf"/>
    <s v="Trsf 12/9/22 RM4,000.00(RM1,539.80partial), Trsf 28/9/22 RM13,000.00(partial RM1,106.20)"/>
    <m/>
  </r>
  <r>
    <x v="178"/>
    <x v="10"/>
    <x v="3"/>
    <x v="238"/>
    <s v="C00000020"/>
    <x v="19"/>
    <x v="101"/>
    <n v="6"/>
    <s v="Cash"/>
    <x v="0"/>
    <d v="2022-04-13T00:00:00"/>
    <x v="11"/>
    <x v="4"/>
    <n v="1872"/>
    <n v="-1872"/>
    <n v="0"/>
    <n v="1224726.9500000002"/>
    <s v="Trsf"/>
    <s v="Trsf 28/9/22 RM13,000.00"/>
    <m/>
  </r>
  <r>
    <x v="178"/>
    <x v="10"/>
    <x v="3"/>
    <x v="238"/>
    <s v="C00000020"/>
    <x v="19"/>
    <x v="12"/>
    <n v="3"/>
    <s v="Cash"/>
    <x v="0"/>
    <d v="2022-04-13T00:00:00"/>
    <x v="11"/>
    <x v="4"/>
    <n v="187.5"/>
    <n v="-187.5"/>
    <n v="0"/>
    <n v="1224914.4500000002"/>
    <s v="Trsf"/>
    <s v="Trsf 28/9/22 RM13,000.00"/>
    <m/>
  </r>
  <r>
    <x v="179"/>
    <x v="10"/>
    <x v="3"/>
    <x v="239"/>
    <s v="C00000021"/>
    <x v="21"/>
    <x v="15"/>
    <n v="2"/>
    <s v="Cash"/>
    <x v="0"/>
    <d v="2022-04-14T00:00:00"/>
    <x v="11"/>
    <x v="4"/>
    <n v="4136"/>
    <n v="-4136"/>
    <n v="0"/>
    <n v="1229050.4500000002"/>
    <s v="PD Chq"/>
    <s v="PBB395363cleared23/6/22 RM5,746.00"/>
    <m/>
  </r>
  <r>
    <x v="179"/>
    <x v="10"/>
    <x v="3"/>
    <x v="239"/>
    <s v="C00000021"/>
    <x v="21"/>
    <x v="100"/>
    <n v="5"/>
    <s v="Cash"/>
    <x v="0"/>
    <d v="2022-04-14T00:00:00"/>
    <x v="11"/>
    <x v="4"/>
    <n v="1440"/>
    <n v="-1440"/>
    <n v="0"/>
    <n v="1230490.4500000002"/>
    <s v="PD Chq"/>
    <s v="PBB395363cleared23/6/22 RM5,746.00"/>
    <m/>
  </r>
  <r>
    <x v="179"/>
    <x v="10"/>
    <x v="3"/>
    <x v="239"/>
    <s v="C00000021"/>
    <x v="21"/>
    <x v="106"/>
    <n v="2"/>
    <s v="Cash"/>
    <x v="0"/>
    <d v="2022-04-14T00:00:00"/>
    <x v="11"/>
    <x v="4"/>
    <n v="170"/>
    <n v="-170"/>
    <n v="0"/>
    <n v="1230660.4500000002"/>
    <s v="PD Chq"/>
    <s v="PBB395363cleared23/6/22 RM5,746.00"/>
    <m/>
  </r>
  <r>
    <x v="180"/>
    <x v="10"/>
    <x v="3"/>
    <x v="240"/>
    <s v="C00000024"/>
    <x v="25"/>
    <x v="15"/>
    <n v="1"/>
    <s v="Cash"/>
    <x v="0"/>
    <d v="2022-04-15T00:00:00"/>
    <x v="11"/>
    <x v="4"/>
    <n v="2090"/>
    <n v="-2090"/>
    <n v="0"/>
    <n v="1232750.4500000002"/>
    <s v="Trsf"/>
    <s v="PIB 091980Cleared18/4/22-RM2,175.00"/>
    <m/>
  </r>
  <r>
    <x v="180"/>
    <x v="10"/>
    <x v="3"/>
    <x v="240"/>
    <s v="C00000024"/>
    <x v="25"/>
    <x v="106"/>
    <n v="1"/>
    <s v="Cash"/>
    <x v="0"/>
    <d v="2022-04-15T00:00:00"/>
    <x v="11"/>
    <x v="4"/>
    <n v="85"/>
    <n v="-85"/>
    <n v="0"/>
    <n v="1232835.4500000002"/>
    <s v="Trsf"/>
    <s v="PIB 091980Cleared18/4/22-RM2,175.00"/>
    <m/>
  </r>
  <r>
    <x v="181"/>
    <x v="10"/>
    <x v="3"/>
    <x v="241"/>
    <s v="C00000020"/>
    <x v="19"/>
    <x v="7"/>
    <n v="3"/>
    <s v="Cash"/>
    <x v="0"/>
    <d v="2022-04-16T00:00:00"/>
    <x v="11"/>
    <x v="4"/>
    <n v="6270"/>
    <n v="-6270"/>
    <n v="0"/>
    <n v="1239105.4500000002"/>
    <s v="Trsf"/>
    <s v="Trsf 28/9/22 RM13,000.00"/>
    <m/>
  </r>
  <r>
    <x v="181"/>
    <x v="10"/>
    <x v="3"/>
    <x v="241"/>
    <s v="C00000020"/>
    <x v="19"/>
    <x v="100"/>
    <n v="7"/>
    <s v="Cash"/>
    <x v="0"/>
    <d v="2022-04-16T00:00:00"/>
    <x v="11"/>
    <x v="4"/>
    <n v="2058"/>
    <n v="-2058"/>
    <n v="0"/>
    <n v="1241163.4500000002"/>
    <s v="Trsf"/>
    <s v="Trsf 28/9/22 RM13,000.00"/>
    <m/>
  </r>
  <r>
    <x v="181"/>
    <x v="10"/>
    <x v="3"/>
    <x v="241"/>
    <s v="C00000020"/>
    <x v="19"/>
    <x v="101"/>
    <n v="4"/>
    <s v="Cash"/>
    <x v="0"/>
    <d v="2022-04-16T00:00:00"/>
    <x v="11"/>
    <x v="4"/>
    <n v="1248"/>
    <n v="-1248"/>
    <n v="0"/>
    <n v="1242411.4500000002"/>
    <s v="Trsf"/>
    <s v="Trsf 28/9/22 RM13,000.00"/>
    <m/>
  </r>
  <r>
    <x v="181"/>
    <x v="10"/>
    <x v="3"/>
    <x v="241"/>
    <s v="C00000020"/>
    <x v="19"/>
    <x v="12"/>
    <n v="3"/>
    <s v="Cash"/>
    <x v="0"/>
    <d v="2022-04-16T00:00:00"/>
    <x v="11"/>
    <x v="4"/>
    <n v="187.5"/>
    <n v="-187.5"/>
    <n v="0"/>
    <n v="1242598.9500000002"/>
    <s v="Trsf"/>
    <s v="Trsf 28/9/22 RM13,000.00"/>
    <m/>
  </r>
  <r>
    <x v="181"/>
    <x v="10"/>
    <x v="3"/>
    <x v="241"/>
    <s v="C00000020"/>
    <x v="19"/>
    <x v="106"/>
    <n v="4"/>
    <s v="Cash"/>
    <x v="0"/>
    <d v="2022-04-16T00:00:00"/>
    <x v="11"/>
    <x v="4"/>
    <n v="340"/>
    <n v="-340"/>
    <n v="0"/>
    <n v="1242938.9500000002"/>
    <s v="Trsf"/>
    <s v="Trsf 28/9/22 RM13,000.00, Trsf 5/10/22 RM5,000.00(RM269.20partial)"/>
    <m/>
  </r>
  <r>
    <x v="181"/>
    <x v="10"/>
    <x v="3"/>
    <x v="242"/>
    <s v="C00000023"/>
    <x v="24"/>
    <x v="113"/>
    <n v="5"/>
    <s v="Cash"/>
    <x v="0"/>
    <d v="2022-04-16T00:00:00"/>
    <x v="11"/>
    <x v="4"/>
    <n v="10450"/>
    <n v="-10450"/>
    <n v="0"/>
    <n v="1253388.9500000002"/>
    <s v="Trsf"/>
    <s v="Trsf 17/5/22 RM14,088.50"/>
    <m/>
  </r>
  <r>
    <x v="181"/>
    <x v="10"/>
    <x v="3"/>
    <x v="242"/>
    <s v="C00000023"/>
    <x v="24"/>
    <x v="100"/>
    <n v="9"/>
    <s v="Cash"/>
    <x v="0"/>
    <d v="2022-04-16T00:00:00"/>
    <x v="11"/>
    <x v="4"/>
    <n v="2646"/>
    <n v="-2646"/>
    <n v="0"/>
    <n v="1256034.9500000002"/>
    <s v="Trsf"/>
    <s v="Trsf 17/5/22 RM14,088.50"/>
    <m/>
  </r>
  <r>
    <x v="181"/>
    <x v="10"/>
    <x v="3"/>
    <x v="242"/>
    <s v="C00000023"/>
    <x v="24"/>
    <x v="106"/>
    <n v="8"/>
    <s v="Cash"/>
    <x v="0"/>
    <d v="2022-04-16T00:00:00"/>
    <x v="11"/>
    <x v="4"/>
    <n v="680"/>
    <n v="-680"/>
    <n v="0"/>
    <n v="1256714.9500000002"/>
    <s v="Trsf"/>
    <s v="Trsf 17/5/22 RM14,088.50"/>
    <m/>
  </r>
  <r>
    <x v="181"/>
    <x v="10"/>
    <x v="3"/>
    <x v="242"/>
    <s v="C00000023"/>
    <x v="24"/>
    <x v="12"/>
    <n v="5"/>
    <s v="Cash"/>
    <x v="0"/>
    <d v="2022-04-16T00:00:00"/>
    <x v="11"/>
    <x v="4"/>
    <n v="312.5"/>
    <n v="-312.5"/>
    <n v="0"/>
    <n v="1257027.4500000002"/>
    <s v="Trsf"/>
    <s v="Trsf 17/5/22 RM14,088.50"/>
    <m/>
  </r>
  <r>
    <x v="182"/>
    <x v="10"/>
    <x v="3"/>
    <x v="243"/>
    <s v="C00000020"/>
    <x v="19"/>
    <x v="105"/>
    <n v="1"/>
    <s v="Cash"/>
    <x v="0"/>
    <d v="2022-04-19T00:00:00"/>
    <x v="11"/>
    <x v="4"/>
    <n v="1000"/>
    <n v="-1000"/>
    <n v="0"/>
    <n v="1258027.4500000002"/>
    <s v="Trsf"/>
    <s v="Trsf 5/10/22 RM5,000.00"/>
    <m/>
  </r>
  <r>
    <x v="182"/>
    <x v="10"/>
    <x v="3"/>
    <x v="243"/>
    <s v="C00000020"/>
    <x v="19"/>
    <x v="100"/>
    <n v="6"/>
    <s v="Cash"/>
    <x v="0"/>
    <d v="2022-04-19T00:00:00"/>
    <x v="11"/>
    <x v="4"/>
    <n v="1764"/>
    <n v="-1764"/>
    <n v="0"/>
    <n v="1259791.4500000002"/>
    <s v="Trsf"/>
    <s v="Trsf 5/10/22 RM5,000.00"/>
    <m/>
  </r>
  <r>
    <x v="182"/>
    <x v="10"/>
    <x v="3"/>
    <x v="243"/>
    <s v="C00000020"/>
    <x v="19"/>
    <x v="41"/>
    <n v="1"/>
    <s v="Cash"/>
    <x v="0"/>
    <d v="2022-04-19T00:00:00"/>
    <x v="11"/>
    <x v="4"/>
    <n v="312"/>
    <n v="-312"/>
    <n v="0"/>
    <n v="1260103.4500000002"/>
    <s v="Trsf"/>
    <s v="Trsf 5/10/22 RM5,000.00"/>
    <m/>
  </r>
  <r>
    <x v="183"/>
    <x v="10"/>
    <x v="3"/>
    <x v="244"/>
    <s v="C00000025"/>
    <x v="26"/>
    <x v="114"/>
    <n v="2"/>
    <s v="Cash"/>
    <x v="0"/>
    <d v="2022-04-20T00:00:00"/>
    <x v="11"/>
    <x v="4"/>
    <n v="700"/>
    <n v="-700"/>
    <n v="0"/>
    <n v="1260803.4500000002"/>
    <s v="Trsf"/>
    <s v="Trsf PBB 20/4/22-RM1,170.00"/>
    <m/>
  </r>
  <r>
    <x v="183"/>
    <x v="10"/>
    <x v="3"/>
    <x v="244"/>
    <s v="C00000025"/>
    <x v="26"/>
    <x v="115"/>
    <n v="1"/>
    <s v="Cash"/>
    <x v="0"/>
    <d v="2022-04-20T00:00:00"/>
    <x v="11"/>
    <x v="4"/>
    <n v="315"/>
    <n v="-315"/>
    <n v="0"/>
    <n v="1261118.4500000002"/>
    <s v="Trsf"/>
    <s v="Trsf PBB 20/4/22-RM1,170.00"/>
    <m/>
  </r>
  <r>
    <x v="183"/>
    <x v="10"/>
    <x v="3"/>
    <x v="244"/>
    <s v="C00000025"/>
    <x v="26"/>
    <x v="116"/>
    <n v="1"/>
    <s v="Cash"/>
    <x v="0"/>
    <d v="2022-04-20T00:00:00"/>
    <x v="11"/>
    <x v="4"/>
    <n v="90"/>
    <n v="-90"/>
    <n v="0"/>
    <n v="1261208.4500000002"/>
    <s v="Trsf"/>
    <s v="Trsf PBB 20/4/22-RM1,170.00"/>
    <m/>
  </r>
  <r>
    <x v="183"/>
    <x v="10"/>
    <x v="3"/>
    <x v="244"/>
    <s v="C00000025"/>
    <x v="26"/>
    <x v="117"/>
    <n v="1"/>
    <s v="Cash"/>
    <x v="0"/>
    <d v="2022-04-20T00:00:00"/>
    <x v="11"/>
    <x v="4"/>
    <n v="65"/>
    <n v="-65"/>
    <n v="0"/>
    <n v="1261273.4500000002"/>
    <s v="Trsf"/>
    <s v="Trsf PBB 20/4/22-RM1,170.00"/>
    <m/>
  </r>
  <r>
    <x v="184"/>
    <x v="10"/>
    <x v="3"/>
    <x v="245"/>
    <s v="C00000004"/>
    <x v="3"/>
    <x v="92"/>
    <n v="5"/>
    <n v="120"/>
    <x v="2"/>
    <d v="2022-08-19T00:00:00"/>
    <x v="2"/>
    <x v="4"/>
    <n v="10120"/>
    <n v="-10120"/>
    <n v="0"/>
    <n v="1271393.4500000002"/>
    <s v="Chq"/>
    <s v="HLB011650Cleared8/8/22-RM15,222.00"/>
    <m/>
  </r>
  <r>
    <x v="184"/>
    <x v="10"/>
    <x v="3"/>
    <x v="245"/>
    <s v="C00000004"/>
    <x v="3"/>
    <x v="94"/>
    <n v="1"/>
    <n v="120"/>
    <x v="2"/>
    <d v="2022-08-19T00:00:00"/>
    <x v="2"/>
    <x v="4"/>
    <n v="2024"/>
    <n v="-2024"/>
    <n v="0"/>
    <n v="1273417.4500000002"/>
    <s v="Chq"/>
    <s v="HLB011650Cleared8/8/22-RM15,222.00"/>
    <m/>
  </r>
  <r>
    <x v="184"/>
    <x v="10"/>
    <x v="3"/>
    <x v="245"/>
    <s v="C00000004"/>
    <x v="3"/>
    <x v="112"/>
    <n v="3"/>
    <n v="120"/>
    <x v="2"/>
    <d v="2022-08-19T00:00:00"/>
    <x v="2"/>
    <x v="4"/>
    <n v="1539"/>
    <n v="-1539"/>
    <n v="0"/>
    <n v="1274956.4500000002"/>
    <s v="Chq"/>
    <s v="HLB011650Cleared8/8/22-RM15,222.00"/>
    <m/>
  </r>
  <r>
    <x v="184"/>
    <x v="10"/>
    <x v="3"/>
    <x v="245"/>
    <s v="C00000004"/>
    <x v="3"/>
    <x v="109"/>
    <n v="3"/>
    <n v="120"/>
    <x v="2"/>
    <d v="2022-08-19T00:00:00"/>
    <x v="2"/>
    <x v="4"/>
    <n v="1539"/>
    <n v="-1539"/>
    <n v="0"/>
    <n v="1276495.4500000002"/>
    <s v="Chq"/>
    <s v="HLB011650Cleared8/8/22-RM15,222.00"/>
    <m/>
  </r>
  <r>
    <x v="184"/>
    <x v="10"/>
    <x v="3"/>
    <x v="246"/>
    <s v="C00000025"/>
    <x v="26"/>
    <x v="53"/>
    <n v="1"/>
    <s v="Cash"/>
    <x v="0"/>
    <d v="2022-04-21T00:00:00"/>
    <x v="11"/>
    <x v="4"/>
    <n v="68"/>
    <n v="-68"/>
    <n v="0"/>
    <n v="1276563.4500000002"/>
    <s v="Trsf"/>
    <s v="Trsf PBB 21/4/22"/>
    <m/>
  </r>
  <r>
    <x v="184"/>
    <x v="10"/>
    <x v="3"/>
    <x v="247"/>
    <s v="C00000001"/>
    <x v="0"/>
    <x v="118"/>
    <n v="1"/>
    <s v="Cash"/>
    <x v="0"/>
    <d v="2022-04-21T00:00:00"/>
    <x v="11"/>
    <x v="4"/>
    <n v="2068"/>
    <n v="-2068"/>
    <n v="0"/>
    <n v="1278631.4500000002"/>
    <s v="Trsf"/>
    <s v="Trsf Al Rajhi Bank 28/4/22-RM2,488.00"/>
    <m/>
  </r>
  <r>
    <x v="185"/>
    <x v="10"/>
    <x v="3"/>
    <x v="247"/>
    <s v="C00000001"/>
    <x v="0"/>
    <x v="119"/>
    <n v="4"/>
    <s v="Cash"/>
    <x v="0"/>
    <d v="2022-04-22T00:00:00"/>
    <x v="11"/>
    <x v="4"/>
    <n v="420"/>
    <n v="-420"/>
    <n v="0"/>
    <n v="1279051.4500000002"/>
    <s v="Trsf"/>
    <s v="Trsf Al Rajhi Bank 28/4/22-RM2,488.00"/>
    <m/>
  </r>
  <r>
    <x v="186"/>
    <x v="10"/>
    <x v="3"/>
    <x v="248"/>
    <s v="C00000020"/>
    <x v="19"/>
    <x v="120"/>
    <n v="3"/>
    <s v="Cash"/>
    <x v="0"/>
    <d v="2022-04-23T00:00:00"/>
    <x v="11"/>
    <x v="4"/>
    <n v="6270"/>
    <n v="-6270"/>
    <n v="0"/>
    <n v="1285321.4500000002"/>
    <s v="Trsf"/>
    <s v="Trsf 5/10/22 RM5,000.00(RM1,654.80partial), Trsf 14/10/22 RM4,000.00, Trsf 17/10/22 RM4,000.00(RM615.20partial)"/>
    <m/>
  </r>
  <r>
    <x v="186"/>
    <x v="10"/>
    <x v="3"/>
    <x v="248"/>
    <s v="C00000020"/>
    <x v="19"/>
    <x v="100"/>
    <n v="8"/>
    <s v="Cash"/>
    <x v="0"/>
    <d v="2022-04-23T00:00:00"/>
    <x v="11"/>
    <x v="4"/>
    <n v="2352"/>
    <n v="-2352"/>
    <n v="0"/>
    <n v="1287673.4500000002"/>
    <s v="Trsf"/>
    <s v="Trsf 17/10/22 RM4,000.00"/>
    <m/>
  </r>
  <r>
    <x v="186"/>
    <x v="10"/>
    <x v="3"/>
    <x v="248"/>
    <s v="C00000020"/>
    <x v="19"/>
    <x v="66"/>
    <n v="4"/>
    <s v="Cash"/>
    <x v="0"/>
    <d v="2022-04-23T00:00:00"/>
    <x v="11"/>
    <x v="4"/>
    <n v="1404"/>
    <n v="-1404"/>
    <m/>
    <n v="1289077.4500000002"/>
    <s v="Trsf"/>
    <s v="Trsf 17/10/22 RM4,000.00(RM1,032.80), Trsf 23/10/22 RM25,000.00(RM371.20partial)"/>
    <m/>
  </r>
  <r>
    <x v="186"/>
    <x v="10"/>
    <x v="3"/>
    <x v="248"/>
    <s v="C00000020"/>
    <x v="19"/>
    <x v="12"/>
    <n v="2"/>
    <s v="Cash"/>
    <x v="0"/>
    <d v="2022-04-23T00:00:00"/>
    <x v="11"/>
    <x v="4"/>
    <n v="125"/>
    <n v="-125"/>
    <n v="0"/>
    <n v="1289202.4500000002"/>
    <s v="Trsf"/>
    <s v="Trsf 23/10/22 RM25,000.00"/>
    <m/>
  </r>
  <r>
    <x v="186"/>
    <x v="10"/>
    <x v="3"/>
    <x v="248"/>
    <s v="C00000020"/>
    <x v="19"/>
    <x v="105"/>
    <n v="1"/>
    <s v="Cash"/>
    <x v="0"/>
    <d v="2022-04-23T00:00:00"/>
    <x v="11"/>
    <x v="4"/>
    <n v="1000"/>
    <n v="-1000"/>
    <n v="0"/>
    <n v="1290202.4500000002"/>
    <s v="Trsf"/>
    <s v="Trsf 23/10/22 RM25,000.00"/>
    <m/>
  </r>
  <r>
    <x v="187"/>
    <x v="10"/>
    <x v="3"/>
    <x v="249"/>
    <s v="C00000023"/>
    <x v="24"/>
    <x v="120"/>
    <n v="1"/>
    <s v="Cash"/>
    <x v="0"/>
    <d v="2022-04-26T00:00:00"/>
    <x v="11"/>
    <x v="4"/>
    <n v="2090"/>
    <n v="-2090"/>
    <n v="0"/>
    <n v="1292292.4500000002"/>
    <s v="Trsf"/>
    <s v="Trsf 26/4/22-RM3,799.00"/>
    <m/>
  </r>
  <r>
    <x v="187"/>
    <x v="10"/>
    <x v="3"/>
    <x v="249"/>
    <s v="C00000023"/>
    <x v="24"/>
    <x v="100"/>
    <n v="3"/>
    <s v="Cash"/>
    <x v="0"/>
    <d v="2022-04-26T00:00:00"/>
    <x v="11"/>
    <x v="4"/>
    <n v="882"/>
    <n v="-882"/>
    <n v="0"/>
    <n v="1293174.4500000002"/>
    <s v="Trsf"/>
    <s v="Trsf 26/4/22-RM3,799.00"/>
    <m/>
  </r>
  <r>
    <x v="187"/>
    <x v="10"/>
    <x v="3"/>
    <x v="249"/>
    <s v="C00000023"/>
    <x v="24"/>
    <x v="66"/>
    <n v="2"/>
    <s v="Cash"/>
    <x v="0"/>
    <d v="2022-04-26T00:00:00"/>
    <x v="11"/>
    <x v="4"/>
    <n v="702"/>
    <n v="-702"/>
    <n v="0"/>
    <n v="1293876.4500000002"/>
    <s v="Trsf"/>
    <s v="Trsf 26/4/22-RM3,799.00"/>
    <m/>
  </r>
  <r>
    <x v="187"/>
    <x v="10"/>
    <x v="3"/>
    <x v="249"/>
    <s v="C00000023"/>
    <x v="24"/>
    <x v="12"/>
    <n v="2"/>
    <s v="Cash"/>
    <x v="0"/>
    <d v="2022-04-26T00:00:00"/>
    <x v="11"/>
    <x v="4"/>
    <n v="125"/>
    <n v="-125"/>
    <n v="0"/>
    <n v="1294001.4500000002"/>
    <s v="Trsf"/>
    <s v="Trsf 26/4/22-RM3,799.00"/>
    <m/>
  </r>
  <r>
    <x v="188"/>
    <x v="10"/>
    <x v="3"/>
    <x v="250"/>
    <s v="C00000010"/>
    <x v="9"/>
    <x v="121"/>
    <n v="5"/>
    <n v="120"/>
    <x v="2"/>
    <d v="2022-08-25T00:00:00"/>
    <x v="2"/>
    <x v="4"/>
    <n v="9900"/>
    <n v="-9900"/>
    <n v="0"/>
    <n v="1303901.4500000002"/>
    <s v="Trsf"/>
    <s v="Trsf 25/7/22 RM11,160.00"/>
    <m/>
  </r>
  <r>
    <x v="188"/>
    <x v="10"/>
    <x v="3"/>
    <x v="250"/>
    <s v="C00000010"/>
    <x v="9"/>
    <x v="93"/>
    <n v="12"/>
    <n v="120"/>
    <x v="2"/>
    <d v="2022-08-25T00:00:00"/>
    <x v="2"/>
    <x v="4"/>
    <n v="1260"/>
    <n v="-1260"/>
    <n v="0"/>
    <n v="1305161.4500000002"/>
    <s v="Trsf"/>
    <s v="Trsf 25/7/22 RM11,160.00"/>
    <m/>
  </r>
  <r>
    <x v="189"/>
    <x v="10"/>
    <x v="3"/>
    <x v="251"/>
    <s v="C00000021"/>
    <x v="21"/>
    <x v="15"/>
    <n v="2"/>
    <s v="Cash"/>
    <x v="0"/>
    <d v="2022-04-28T00:00:00"/>
    <x v="11"/>
    <x v="4"/>
    <n v="4136"/>
    <n v="-4136"/>
    <n v="0"/>
    <n v="1309297.4500000002"/>
    <s v="PD Chq"/>
    <s v="Chq PBB 395364, cleared180722 RM5,458.00"/>
    <m/>
  </r>
  <r>
    <x v="189"/>
    <x v="10"/>
    <x v="3"/>
    <x v="251"/>
    <s v="C00000021"/>
    <x v="21"/>
    <x v="100"/>
    <n v="4"/>
    <s v="Cash"/>
    <x v="0"/>
    <d v="2022-04-28T00:00:00"/>
    <x v="11"/>
    <x v="4"/>
    <n v="1152"/>
    <n v="-1152"/>
    <n v="0"/>
    <n v="1310449.4500000002"/>
    <s v="PD Chq"/>
    <s v="Chq PBB 395364, cleared180722 RM5,458.00"/>
    <m/>
  </r>
  <r>
    <x v="189"/>
    <x v="10"/>
    <x v="3"/>
    <x v="251"/>
    <s v="C00000021"/>
    <x v="21"/>
    <x v="106"/>
    <n v="2"/>
    <s v="Cash"/>
    <x v="0"/>
    <d v="2022-04-28T00:00:00"/>
    <x v="11"/>
    <x v="4"/>
    <n v="170"/>
    <n v="-170"/>
    <n v="0"/>
    <n v="1310619.4500000002"/>
    <s v="PD Chq"/>
    <s v="Chq PBB 395364, cleared180722 RM5,458.00"/>
    <m/>
  </r>
  <r>
    <x v="189"/>
    <x v="10"/>
    <x v="3"/>
    <x v="252"/>
    <s v="C00000020"/>
    <x v="19"/>
    <x v="120"/>
    <n v="3"/>
    <s v="Cash"/>
    <x v="0"/>
    <d v="2022-04-28T00:00:00"/>
    <x v="11"/>
    <x v="4"/>
    <n v="6270"/>
    <n v="-6270"/>
    <n v="0"/>
    <n v="1316889.4500000002"/>
    <s v="Trsf"/>
    <s v="Trsf 23/10/22 RM25,000.00"/>
    <m/>
  </r>
  <r>
    <x v="189"/>
    <x v="10"/>
    <x v="3"/>
    <x v="252"/>
    <s v="C00000020"/>
    <x v="19"/>
    <x v="100"/>
    <n v="9"/>
    <s v="Cash"/>
    <x v="0"/>
    <d v="2022-04-28T00:00:00"/>
    <x v="11"/>
    <x v="4"/>
    <n v="2646"/>
    <n v="-2646"/>
    <n v="0"/>
    <n v="1319535.4500000002"/>
    <s v="Trsf"/>
    <s v="Trsf 23/10/22 RM25,000.00"/>
    <m/>
  </r>
  <r>
    <x v="189"/>
    <x v="10"/>
    <x v="3"/>
    <x v="252"/>
    <s v="C00000020"/>
    <x v="19"/>
    <x v="66"/>
    <n v="5"/>
    <s v="Cash"/>
    <x v="0"/>
    <d v="2022-04-28T00:00:00"/>
    <x v="11"/>
    <x v="4"/>
    <n v="1755"/>
    <n v="-1755"/>
    <n v="0"/>
    <n v="1321290.4500000002"/>
    <s v="Trsf"/>
    <s v="Trsf 23/10/22 RM25,000.00"/>
    <m/>
  </r>
  <r>
    <x v="189"/>
    <x v="10"/>
    <x v="3"/>
    <x v="252"/>
    <s v="C00000020"/>
    <x v="19"/>
    <x v="12"/>
    <n v="3"/>
    <s v="Cash"/>
    <x v="0"/>
    <d v="2022-04-28T00:00:00"/>
    <x v="11"/>
    <x v="4"/>
    <n v="187.5"/>
    <n v="-187.5"/>
    <n v="0"/>
    <n v="1321477.9500000002"/>
    <s v="Trsf"/>
    <s v="Trsf 23/10/22 RM25,000.00"/>
    <m/>
  </r>
  <r>
    <x v="189"/>
    <x v="10"/>
    <x v="3"/>
    <x v="252"/>
    <s v="C00000020"/>
    <x v="19"/>
    <x v="105"/>
    <n v="1"/>
    <s v="Cash"/>
    <x v="0"/>
    <d v="2022-04-28T00:00:00"/>
    <x v="11"/>
    <x v="4"/>
    <n v="1000"/>
    <n v="-1000"/>
    <n v="0"/>
    <n v="1322477.9500000002"/>
    <s v="Trsf"/>
    <s v="Trsf 23/10/22 RM25,000.00"/>
    <m/>
  </r>
  <r>
    <x v="189"/>
    <x v="10"/>
    <x v="3"/>
    <x v="253"/>
    <s v="C00000019"/>
    <x v="18"/>
    <x v="7"/>
    <n v="2"/>
    <s v="Cash"/>
    <x v="0"/>
    <d v="2022-04-28T00:00:00"/>
    <x v="11"/>
    <x v="4"/>
    <n v="4136"/>
    <n v="-4136"/>
    <n v="0"/>
    <n v="1326613.9500000002"/>
    <s v="Trsf"/>
    <s v="Trsf 1/5/22 RM6,096.10"/>
    <m/>
  </r>
  <r>
    <x v="189"/>
    <x v="10"/>
    <x v="3"/>
    <x v="253"/>
    <s v="C00000019"/>
    <x v="18"/>
    <x v="67"/>
    <n v="2"/>
    <s v="Cash"/>
    <x v="0"/>
    <d v="2022-04-28T00:00:00"/>
    <x v="11"/>
    <x v="4"/>
    <n v="1047.5999999999999"/>
    <n v="-1047.5999999999999"/>
    <n v="0"/>
    <n v="1327661.5500000003"/>
    <s v="Trsf"/>
    <s v="Trsf 1/5/22 RM6,096.10"/>
    <m/>
  </r>
  <r>
    <x v="189"/>
    <x v="10"/>
    <x v="3"/>
    <x v="253"/>
    <s v="C00000019"/>
    <x v="18"/>
    <x v="12"/>
    <n v="5"/>
    <s v="Cash"/>
    <x v="0"/>
    <d v="2022-04-28T00:00:00"/>
    <x v="11"/>
    <x v="4"/>
    <n v="312.5"/>
    <n v="-312.5"/>
    <n v="0"/>
    <n v="1327974.0500000003"/>
    <s v="Trsf"/>
    <s v="Trsf 1/5/22 RM6,096.10"/>
    <m/>
  </r>
  <r>
    <x v="189"/>
    <x v="10"/>
    <x v="3"/>
    <x v="253"/>
    <s v="C00000019"/>
    <x v="18"/>
    <x v="52"/>
    <n v="1"/>
    <s v="Cash"/>
    <x v="0"/>
    <d v="2022-04-28T00:00:00"/>
    <x v="11"/>
    <x v="4"/>
    <n v="390"/>
    <n v="-390"/>
    <n v="0"/>
    <n v="1328364.0500000003"/>
    <s v="Trsf"/>
    <s v="Trsf 1/5/22 RM6,096.10"/>
    <m/>
  </r>
  <r>
    <x v="189"/>
    <x v="10"/>
    <x v="3"/>
    <x v="253"/>
    <s v="C00000019"/>
    <x v="18"/>
    <x v="93"/>
    <n v="2"/>
    <s v="Cash"/>
    <x v="0"/>
    <d v="2022-04-28T00:00:00"/>
    <x v="11"/>
    <x v="4"/>
    <n v="210"/>
    <n v="-210"/>
    <n v="0"/>
    <n v="1328574.0500000003"/>
    <s v="Trsf"/>
    <s v="Trsf 1/5/22 RM6,096.10"/>
    <m/>
  </r>
  <r>
    <x v="190"/>
    <x v="10"/>
    <x v="3"/>
    <x v="254"/>
    <s v="C00000023"/>
    <x v="24"/>
    <x v="122"/>
    <n v="1"/>
    <s v="Cash"/>
    <x v="0"/>
    <d v="2022-04-29T00:00:00"/>
    <x v="11"/>
    <x v="4"/>
    <n v="1350"/>
    <n v="-1350"/>
    <n v="0"/>
    <n v="1329924.0500000003"/>
    <s v="Trsf"/>
    <s v="Trsf 5/5/22 RM1,350.00"/>
    <m/>
  </r>
  <r>
    <x v="191"/>
    <x v="10"/>
    <x v="3"/>
    <x v="255"/>
    <s v="C00000020"/>
    <x v="19"/>
    <x v="120"/>
    <n v="4"/>
    <s v="Cash"/>
    <x v="0"/>
    <d v="2022-04-30T00:00:00"/>
    <x v="11"/>
    <x v="4"/>
    <n v="8360"/>
    <n v="-8360"/>
    <n v="0"/>
    <n v="1338284.0500000003"/>
    <s v="Trsf"/>
    <s v="Trsf 23/10/22 RM25,000.00"/>
    <m/>
  </r>
  <r>
    <x v="191"/>
    <x v="10"/>
    <x v="3"/>
    <x v="255"/>
    <s v="C00000020"/>
    <x v="19"/>
    <x v="100"/>
    <n v="12"/>
    <s v="Cash"/>
    <x v="0"/>
    <d v="2022-04-30T00:00:00"/>
    <x v="11"/>
    <x v="4"/>
    <n v="3528"/>
    <n v="-3528"/>
    <n v="0"/>
    <n v="1341812.0500000003"/>
    <s v="Trsf"/>
    <s v="Trsf 23/10/22 RM25,000.00(RM3,285.30partial), Trsf 25/10/22 RM25,000.00(RM242.70partial)"/>
    <m/>
  </r>
  <r>
    <x v="191"/>
    <x v="10"/>
    <x v="3"/>
    <x v="255"/>
    <s v="C00000020"/>
    <x v="19"/>
    <x v="66"/>
    <n v="6"/>
    <s v="Cash"/>
    <x v="0"/>
    <d v="2022-04-30T00:00:00"/>
    <x v="11"/>
    <x v="4"/>
    <n v="2106"/>
    <n v="-2106"/>
    <n v="0"/>
    <n v="1343918.0500000003"/>
    <s v="Trsf"/>
    <s v="Trsf 25/10/22 RM25,000.00"/>
    <m/>
  </r>
  <r>
    <x v="191"/>
    <x v="10"/>
    <x v="3"/>
    <x v="255"/>
    <s v="C00000020"/>
    <x v="19"/>
    <x v="12"/>
    <n v="4"/>
    <s v="Cash"/>
    <x v="0"/>
    <d v="2022-04-30T00:00:00"/>
    <x v="11"/>
    <x v="4"/>
    <n v="250"/>
    <n v="-250"/>
    <n v="0"/>
    <n v="1344168.0500000003"/>
    <s v="Trsf"/>
    <s v="Trsf 23/10/22 RM25,000.00"/>
    <m/>
  </r>
  <r>
    <x v="191"/>
    <x v="10"/>
    <x v="3"/>
    <x v="255"/>
    <s v="C00000020"/>
    <x v="19"/>
    <x v="105"/>
    <n v="1"/>
    <s v="Cash"/>
    <x v="0"/>
    <d v="2022-04-30T00:00:00"/>
    <x v="11"/>
    <x v="4"/>
    <n v="1000"/>
    <n v="-1000"/>
    <n v="0"/>
    <n v="1345168.0500000003"/>
    <s v="Trsf"/>
    <s v="Trsf 23/10/22 RM25,000.00"/>
    <m/>
  </r>
  <r>
    <x v="192"/>
    <x v="11"/>
    <x v="3"/>
    <x v="256"/>
    <s v="C00000020"/>
    <x v="19"/>
    <x v="120"/>
    <n v="4"/>
    <s v="Cash"/>
    <x v="0"/>
    <d v="2022-05-06T00:00:00"/>
    <x v="12"/>
    <x v="4"/>
    <n v="8360"/>
    <n v="-8360"/>
    <n v="0"/>
    <n v="1353528.0500000003"/>
    <s v="Trsf"/>
    <s v="Trsf 23/10/22 RM25,000.00"/>
    <m/>
  </r>
  <r>
    <x v="192"/>
    <x v="11"/>
    <x v="3"/>
    <x v="256"/>
    <s v="C00000020"/>
    <x v="19"/>
    <x v="100"/>
    <n v="4"/>
    <s v="Cash"/>
    <x v="0"/>
    <d v="2022-05-06T00:00:00"/>
    <x v="12"/>
    <x v="4"/>
    <n v="1176"/>
    <n v="-1176"/>
    <n v="0"/>
    <n v="1354704.0500000003"/>
    <s v="Trsf"/>
    <s v="Trsf 23/10/22 RM25,000.00"/>
    <m/>
  </r>
  <r>
    <x v="192"/>
    <x v="11"/>
    <x v="3"/>
    <x v="256"/>
    <s v="C00000020"/>
    <x v="19"/>
    <x v="66"/>
    <n v="4"/>
    <s v="Cash"/>
    <x v="0"/>
    <d v="2022-05-06T00:00:00"/>
    <x v="12"/>
    <x v="4"/>
    <n v="1404"/>
    <n v="-1404"/>
    <n v="0"/>
    <n v="1356108.0500000003"/>
    <s v="Trsf"/>
    <s v="Trsf 23/10/22 RM25,000.00"/>
    <m/>
  </r>
  <r>
    <x v="192"/>
    <x v="11"/>
    <x v="3"/>
    <x v="256"/>
    <s v="C00000020"/>
    <x v="19"/>
    <x v="12"/>
    <n v="4"/>
    <s v="Cash"/>
    <x v="0"/>
    <d v="2022-05-06T00:00:00"/>
    <x v="12"/>
    <x v="4"/>
    <n v="250"/>
    <n v="-250"/>
    <n v="0"/>
    <n v="1356358.0500000003"/>
    <s v="Trsf"/>
    <s v="Trsf 23/10/22 RM25,000.00"/>
    <m/>
  </r>
  <r>
    <x v="192"/>
    <x v="11"/>
    <x v="3"/>
    <x v="256"/>
    <s v="C00000020"/>
    <x v="19"/>
    <x v="106"/>
    <n v="4"/>
    <s v="Cash"/>
    <x v="0"/>
    <d v="2022-05-06T00:00:00"/>
    <x v="12"/>
    <x v="4"/>
    <n v="340"/>
    <n v="-340"/>
    <n v="0"/>
    <n v="1356698.0500000003"/>
    <s v="Trsf"/>
    <s v="Trsf 23/10/22 RM25,000.00"/>
    <m/>
  </r>
  <r>
    <x v="192"/>
    <x v="11"/>
    <x v="3"/>
    <x v="257"/>
    <s v="C00000023"/>
    <x v="24"/>
    <x v="122"/>
    <n v="1"/>
    <s v="Cash"/>
    <x v="0"/>
    <d v="2022-05-06T00:00:00"/>
    <x v="12"/>
    <x v="4"/>
    <n v="1350"/>
    <n v="-1350"/>
    <n v="0"/>
    <n v="1358048.0500000003"/>
    <s v="Trsf"/>
    <s v="Trsf 17/5/22 RM1,350.00"/>
    <m/>
  </r>
  <r>
    <x v="193"/>
    <x v="11"/>
    <x v="3"/>
    <x v="258"/>
    <s v="C00000020"/>
    <x v="19"/>
    <x v="120"/>
    <n v="4"/>
    <s v="Cash"/>
    <x v="0"/>
    <d v="2022-05-07T00:00:00"/>
    <x v="12"/>
    <x v="4"/>
    <n v="8360"/>
    <n v="-8360"/>
    <n v="0"/>
    <n v="1366408.0500000003"/>
    <s v="Trsf"/>
    <s v="Trsf 23/10/22 RM25,000.00"/>
    <m/>
  </r>
  <r>
    <x v="193"/>
    <x v="11"/>
    <x v="3"/>
    <x v="258"/>
    <s v="C00000020"/>
    <x v="19"/>
    <x v="100"/>
    <n v="20"/>
    <s v="Cash"/>
    <x v="0"/>
    <d v="2022-05-07T00:00:00"/>
    <x v="12"/>
    <x v="4"/>
    <n v="5880"/>
    <n v="-5880"/>
    <n v="0"/>
    <n v="1372288.0500000003"/>
    <s v="Trsf"/>
    <s v="Trsf 23/10/22 RM25,000.00(RM1,511.30partial), Trsf 11/11/22 RM3,000.00, Trsf 17/11/22 RM6,000.00(1,368.70partial)"/>
    <m/>
  </r>
  <r>
    <x v="193"/>
    <x v="11"/>
    <x v="3"/>
    <x v="258"/>
    <s v="C00000020"/>
    <x v="19"/>
    <x v="66"/>
    <n v="5"/>
    <s v="Cash"/>
    <x v="0"/>
    <d v="2022-05-07T00:00:00"/>
    <x v="12"/>
    <x v="4"/>
    <n v="1755"/>
    <n v="-1755"/>
    <n v="0"/>
    <n v="1374043.0500000003"/>
    <s v="Trsf"/>
    <s v="Trsf 17/11/22 RM6,000.00(RM1,755.00partial)"/>
    <m/>
  </r>
  <r>
    <x v="193"/>
    <x v="11"/>
    <x v="3"/>
    <x v="258"/>
    <s v="C00000020"/>
    <x v="19"/>
    <x v="12"/>
    <n v="4"/>
    <s v="Cash"/>
    <x v="0"/>
    <d v="2022-05-07T00:00:00"/>
    <x v="12"/>
    <x v="4"/>
    <n v="250"/>
    <n v="-250"/>
    <n v="0"/>
    <n v="1374293.0500000003"/>
    <s v="Trsf"/>
    <s v="Trsf 17/11/22 RM6,000.00(RM250.00partial)"/>
    <m/>
  </r>
  <r>
    <x v="194"/>
    <x v="11"/>
    <x v="3"/>
    <x v="259"/>
    <s v="C00000009"/>
    <x v="8"/>
    <x v="120"/>
    <n v="1"/>
    <n v="60"/>
    <x v="3"/>
    <d v="2022-07-09T00:00:00"/>
    <x v="4"/>
    <x v="4"/>
    <n v="1980"/>
    <n v="-1980"/>
    <n v="0"/>
    <n v="1376273.0500000003"/>
    <s v="Chq"/>
    <s v="Chq HL 016785 dd 26/9/22"/>
    <m/>
  </r>
  <r>
    <x v="194"/>
    <x v="11"/>
    <x v="3"/>
    <x v="259"/>
    <s v="C00000009"/>
    <x v="8"/>
    <x v="96"/>
    <n v="1"/>
    <n v="60"/>
    <x v="3"/>
    <d v="2022-07-09T00:00:00"/>
    <x v="4"/>
    <x v="4"/>
    <n v="1980"/>
    <n v="-1980"/>
    <n v="0"/>
    <n v="1378253.0500000003"/>
    <s v="Chq"/>
    <s v="Chq HL 016785 dd 26/9/22"/>
    <m/>
  </r>
  <r>
    <x v="194"/>
    <x v="11"/>
    <x v="3"/>
    <x v="259"/>
    <s v="C00000009"/>
    <x v="8"/>
    <x v="108"/>
    <n v="2"/>
    <n v="60"/>
    <x v="3"/>
    <d v="2022-07-09T00:00:00"/>
    <x v="4"/>
    <x v="4"/>
    <n v="1140"/>
    <n v="-1140"/>
    <n v="0"/>
    <n v="1379393.0500000003"/>
    <s v="Chq"/>
    <s v="Chq HL 016785 dd 26/9/22"/>
    <m/>
  </r>
  <r>
    <x v="195"/>
    <x v="11"/>
    <x v="3"/>
    <x v="260"/>
    <s v="C00000006"/>
    <x v="5"/>
    <x v="45"/>
    <n v="1"/>
    <s v="Cash"/>
    <x v="0"/>
    <d v="2022-05-11T00:00:00"/>
    <x v="12"/>
    <x v="4"/>
    <n v="2068"/>
    <n v="-2068"/>
    <n v="0"/>
    <n v="1381461.0500000003"/>
    <s v="Chq"/>
    <s v="RHB 934936 cleared19/7/22-RM2,634.00"/>
    <m/>
  </r>
  <r>
    <x v="195"/>
    <x v="11"/>
    <x v="3"/>
    <x v="260"/>
    <s v="C00000006"/>
    <x v="5"/>
    <x v="87"/>
    <n v="1"/>
    <s v="Cash"/>
    <x v="0"/>
    <d v="2022-05-11T00:00:00"/>
    <x v="12"/>
    <x v="4"/>
    <n v="291"/>
    <n v="-291"/>
    <n v="0"/>
    <n v="1381752.0500000003"/>
    <s v="Chq"/>
    <s v="RHB 934936 cleared19/7/22-RM2,634.00"/>
    <m/>
  </r>
  <r>
    <x v="195"/>
    <x v="11"/>
    <x v="3"/>
    <x v="260"/>
    <s v="C00000006"/>
    <x v="5"/>
    <x v="123"/>
    <n v="1"/>
    <s v="Cash"/>
    <x v="0"/>
    <d v="2022-05-11T00:00:00"/>
    <x v="12"/>
    <x v="4"/>
    <n v="175"/>
    <n v="-175"/>
    <n v="0"/>
    <n v="1381927.0500000003"/>
    <s v="Chq"/>
    <s v="RHB 934936 cleared19/7/22-RM2,634.00"/>
    <m/>
  </r>
  <r>
    <x v="196"/>
    <x v="11"/>
    <x v="3"/>
    <x v="261"/>
    <s v="C00000022"/>
    <x v="23"/>
    <x v="7"/>
    <n v="1"/>
    <s v="Cash"/>
    <x v="0"/>
    <d v="2022-05-12T00:00:00"/>
    <x v="12"/>
    <x v="4"/>
    <n v="2112"/>
    <n v="-2112"/>
    <n v="0"/>
    <n v="1384039.0500000003"/>
    <s v="Trsf"/>
    <s v="Trsf 28/7/22 RM3,000.00"/>
    <m/>
  </r>
  <r>
    <x v="196"/>
    <x v="11"/>
    <x v="3"/>
    <x v="261"/>
    <s v="C00000022"/>
    <x v="23"/>
    <x v="109"/>
    <n v="2"/>
    <s v="Cash"/>
    <x v="0"/>
    <d v="2022-05-12T00:00:00"/>
    <x v="12"/>
    <x v="4"/>
    <n v="1058.4000000000001"/>
    <n v="-1058.4000000000001"/>
    <n v="0"/>
    <n v="1385097.4500000002"/>
    <s v="Trsf"/>
    <s v="Trsf 28/7/22 RM3,000.00(RM888.00partial), Trsf 25/9/22 RM3,000.00(RM170.40partial)"/>
    <m/>
  </r>
  <r>
    <x v="196"/>
    <x v="11"/>
    <x v="3"/>
    <x v="261"/>
    <s v="C00000022"/>
    <x v="23"/>
    <x v="66"/>
    <n v="1"/>
    <s v="Cash"/>
    <x v="0"/>
    <d v="2022-05-12T00:00:00"/>
    <x v="12"/>
    <x v="4"/>
    <n v="337.5"/>
    <n v="-337.5"/>
    <n v="0"/>
    <n v="1385434.9500000002"/>
    <s v="Trsf"/>
    <s v="Trsf 25/9/22 RM3,000.00, Trsd "/>
    <m/>
  </r>
  <r>
    <x v="196"/>
    <x v="11"/>
    <x v="3"/>
    <x v="261"/>
    <s v="C00000022"/>
    <x v="23"/>
    <x v="124"/>
    <n v="1"/>
    <s v="Cash"/>
    <x v="0"/>
    <d v="2022-05-12T00:00:00"/>
    <x v="12"/>
    <x v="4"/>
    <n v="450"/>
    <n v="-450"/>
    <n v="0"/>
    <n v="1385884.9500000002"/>
    <s v="Trsf"/>
    <s v="Trsf 25/9/22 RM3,000.00"/>
    <m/>
  </r>
  <r>
    <x v="196"/>
    <x v="11"/>
    <x v="3"/>
    <x v="261"/>
    <s v="C00000022"/>
    <x v="23"/>
    <x v="125"/>
    <n v="1"/>
    <s v="Cash"/>
    <x v="0"/>
    <d v="2022-05-12T00:00:00"/>
    <x v="12"/>
    <x v="4"/>
    <n v="270"/>
    <n v="-270"/>
    <n v="0"/>
    <n v="1386154.9500000002"/>
    <s v="Trsf"/>
    <s v="Trsf 25/9/22 RM3,000.00"/>
    <m/>
  </r>
  <r>
    <x v="196"/>
    <x v="11"/>
    <x v="3"/>
    <x v="261"/>
    <s v="C00000022"/>
    <x v="23"/>
    <x v="126"/>
    <n v="2"/>
    <s v="Cash"/>
    <x v="0"/>
    <d v="2022-05-12T00:00:00"/>
    <x v="12"/>
    <x v="4"/>
    <n v="90"/>
    <n v="-90"/>
    <n v="0"/>
    <n v="1386244.9500000002"/>
    <s v="Trsf"/>
    <s v="Trsf 25/9/22 RM3,000.00"/>
    <m/>
  </r>
  <r>
    <x v="196"/>
    <x v="11"/>
    <x v="3"/>
    <x v="262"/>
    <s v="C00000024"/>
    <x v="25"/>
    <x v="127"/>
    <n v="2"/>
    <s v="Cash"/>
    <x v="0"/>
    <d v="2022-05-12T00:00:00"/>
    <x v="12"/>
    <x v="4"/>
    <n v="4180"/>
    <n v="-4180"/>
    <n v="0"/>
    <n v="1390424.9500000002"/>
    <s v="Trsf"/>
    <s v="PIB 091987Cleared13/5/22-RM8,524.50"/>
    <m/>
  </r>
  <r>
    <x v="196"/>
    <x v="11"/>
    <x v="3"/>
    <x v="262"/>
    <s v="C00000024"/>
    <x v="25"/>
    <x v="108"/>
    <n v="3"/>
    <s v="Cash"/>
    <x v="0"/>
    <d v="2022-05-12T00:00:00"/>
    <x v="12"/>
    <x v="4"/>
    <n v="1764"/>
    <n v="-1764"/>
    <n v="0"/>
    <n v="1392188.9500000002"/>
    <s v="Trsf"/>
    <s v="PIB 091987Cleared13/5/22-RM8,524.50"/>
    <m/>
  </r>
  <r>
    <x v="196"/>
    <x v="11"/>
    <x v="3"/>
    <x v="262"/>
    <s v="C00000024"/>
    <x v="25"/>
    <x v="66"/>
    <n v="3"/>
    <s v="Cash"/>
    <x v="0"/>
    <d v="2022-05-12T00:00:00"/>
    <x v="12"/>
    <x v="4"/>
    <n v="1053"/>
    <n v="-1053"/>
    <n v="0"/>
    <n v="1393241.9500000002"/>
    <s v="Trsf"/>
    <s v="PIB 091987Cleared13/5/22-RM8,524.50"/>
    <m/>
  </r>
  <r>
    <x v="196"/>
    <x v="11"/>
    <x v="3"/>
    <x v="262"/>
    <s v="C00000024"/>
    <x v="25"/>
    <x v="12"/>
    <n v="3"/>
    <s v="Cash"/>
    <x v="0"/>
    <d v="2022-05-12T00:00:00"/>
    <x v="12"/>
    <x v="4"/>
    <n v="187.5"/>
    <n v="-187.5"/>
    <n v="0"/>
    <n v="1393429.4500000002"/>
    <s v="Trsf"/>
    <s v="PIB 091987Cleared13/5/22-RM8,524.50"/>
    <m/>
  </r>
  <r>
    <x v="196"/>
    <x v="11"/>
    <x v="3"/>
    <x v="262"/>
    <s v="C00000024"/>
    <x v="25"/>
    <x v="106"/>
    <n v="4"/>
    <s v="Cash"/>
    <x v="0"/>
    <d v="2022-05-12T00:00:00"/>
    <x v="12"/>
    <x v="4"/>
    <n v="340"/>
    <n v="-340"/>
    <n v="0"/>
    <n v="1393769.4500000002"/>
    <s v="Trsf"/>
    <s v="PIB 091987Cleared13/5/22-RM8,524.50"/>
    <m/>
  </r>
  <r>
    <x v="196"/>
    <x v="11"/>
    <x v="3"/>
    <x v="262"/>
    <s v="C00000024"/>
    <x v="25"/>
    <x v="105"/>
    <n v="1"/>
    <s v="Cash"/>
    <x v="0"/>
    <d v="2022-05-12T00:00:00"/>
    <x v="12"/>
    <x v="4"/>
    <n v="1000"/>
    <n v="-1000"/>
    <n v="0"/>
    <n v="1394769.4500000002"/>
    <s v="Trsf"/>
    <s v="PIB 091987Cleared13/5/22-RM8,524.50"/>
    <m/>
  </r>
  <r>
    <x v="197"/>
    <x v="11"/>
    <x v="3"/>
    <x v="263"/>
    <s v="C00000006"/>
    <x v="5"/>
    <x v="86"/>
    <n v="2"/>
    <s v="Cash"/>
    <x v="0"/>
    <d v="2022-05-14T00:00:00"/>
    <x v="12"/>
    <x v="4"/>
    <n v="100"/>
    <n v="-100"/>
    <n v="0"/>
    <n v="1394869.4500000002"/>
    <s v="Chq"/>
    <s v="RHB 934936 cleared19/7/22-RM2,634.00"/>
    <m/>
  </r>
  <r>
    <x v="197"/>
    <x v="11"/>
    <x v="3"/>
    <x v="264"/>
    <s v="C00000020"/>
    <x v="19"/>
    <x v="127"/>
    <n v="3"/>
    <s v="Cash"/>
    <x v="0"/>
    <d v="2022-05-14T00:00:00"/>
    <x v="12"/>
    <x v="4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x v="197"/>
    <x v="11"/>
    <x v="3"/>
    <x v="264"/>
    <s v="C00000020"/>
    <x v="19"/>
    <x v="108"/>
    <n v="4"/>
    <s v="Cash"/>
    <x v="0"/>
    <d v="2022-05-14T00:00:00"/>
    <x v="12"/>
    <x v="4"/>
    <n v="2352"/>
    <n v="-2352"/>
    <n v="0"/>
    <n v="1403491.4500000002"/>
    <s v="Trsf"/>
    <s v="Trsf 1/12/22 RM11,000.00"/>
    <m/>
  </r>
  <r>
    <x v="197"/>
    <x v="11"/>
    <x v="3"/>
    <x v="264"/>
    <s v="C00000020"/>
    <x v="19"/>
    <x v="128"/>
    <n v="5"/>
    <s v="Cash"/>
    <x v="0"/>
    <d v="2022-05-14T00:00:00"/>
    <x v="12"/>
    <x v="4"/>
    <n v="1560"/>
    <n v="-1560"/>
    <n v="0"/>
    <n v="1405051.4500000002"/>
    <s v="Trsf"/>
    <s v="Trsf 1/12/22 RM11,000.00"/>
    <m/>
  </r>
  <r>
    <x v="197"/>
    <x v="11"/>
    <x v="3"/>
    <x v="264"/>
    <s v="C00000020"/>
    <x v="19"/>
    <x v="12"/>
    <n v="3"/>
    <s v="Cash"/>
    <x v="0"/>
    <d v="2022-05-14T00:00:00"/>
    <x v="12"/>
    <x v="4"/>
    <n v="187.5"/>
    <n v="-187.5"/>
    <n v="0"/>
    <n v="1405238.9500000002"/>
    <s v="Trsf"/>
    <s v="Trsf 1/12/22 RM11,000.00"/>
    <m/>
  </r>
  <r>
    <x v="198"/>
    <x v="11"/>
    <x v="3"/>
    <x v="265"/>
    <s v="C00000003"/>
    <x v="2"/>
    <x v="15"/>
    <n v="3"/>
    <n v="45"/>
    <x v="1"/>
    <d v="2022-06-30T00:00:00"/>
    <x v="1"/>
    <x v="4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x v="198"/>
    <x v="11"/>
    <x v="3"/>
    <x v="265"/>
    <s v="C00000003"/>
    <x v="2"/>
    <x v="12"/>
    <n v="5"/>
    <n v="45"/>
    <x v="1"/>
    <d v="2022-06-30T00:00:00"/>
    <x v="1"/>
    <x v="4"/>
    <n v="325"/>
    <n v="-325"/>
    <n v="0"/>
    <n v="1411899.9500000002"/>
    <s v="PD Chq"/>
    <s v="4/7/22cleared-RM1,336.00, RHB 00390 12/7/22cleared-RM2,000.00(partial)"/>
    <m/>
  </r>
  <r>
    <x v="198"/>
    <x v="11"/>
    <x v="3"/>
    <x v="265"/>
    <s v="C00000003"/>
    <x v="2"/>
    <x v="4"/>
    <n v="6"/>
    <n v="45"/>
    <x v="1"/>
    <d v="2022-06-30T00:00:00"/>
    <x v="1"/>
    <x v="4"/>
    <n v="630"/>
    <n v="-630"/>
    <n v="0"/>
    <n v="1412529.9500000002"/>
    <s v="PD Chq"/>
    <s v="RHB 00390 12/7/22cleared-RM2,000.00(partial)"/>
    <m/>
  </r>
  <r>
    <x v="198"/>
    <x v="11"/>
    <x v="3"/>
    <x v="265"/>
    <s v="C00000003"/>
    <x v="2"/>
    <x v="25"/>
    <n v="1"/>
    <n v="45"/>
    <x v="1"/>
    <d v="2022-06-30T00:00:00"/>
    <x v="1"/>
    <x v="4"/>
    <n v="45"/>
    <n v="-45"/>
    <n v="0"/>
    <n v="1412574.9500000002"/>
    <s v="PD Chq"/>
    <s v="RHB 00390 12/7/22cleared-RM2,000.00(partial)"/>
    <m/>
  </r>
  <r>
    <x v="199"/>
    <x v="11"/>
    <x v="3"/>
    <x v="266"/>
    <s v="C00000020"/>
    <x v="19"/>
    <x v="127"/>
    <n v="2"/>
    <s v="Cash"/>
    <x v="0"/>
    <d v="2022-05-18T00:00:00"/>
    <x v="12"/>
    <x v="4"/>
    <n v="4180"/>
    <n v="-4180"/>
    <n v="0"/>
    <n v="1416754.9500000002"/>
    <s v="Trsf"/>
    <s v="Trsf 1/12/22 RM11,000.00"/>
    <m/>
  </r>
  <r>
    <x v="199"/>
    <x v="11"/>
    <x v="3"/>
    <x v="266"/>
    <s v="C00000020"/>
    <x v="19"/>
    <x v="108"/>
    <n v="2"/>
    <s v="Cash"/>
    <x v="0"/>
    <d v="2022-05-18T00:00:00"/>
    <x v="12"/>
    <x v="4"/>
    <n v="1176"/>
    <n v="-1176"/>
    <n v="0"/>
    <n v="1417930.9500000002"/>
    <s v="Trsf"/>
    <s v="Trsf 1/12/22 RM11,000.00"/>
    <m/>
  </r>
  <r>
    <x v="199"/>
    <x v="11"/>
    <x v="3"/>
    <x v="266"/>
    <s v="C00000020"/>
    <x v="19"/>
    <x v="128"/>
    <n v="3"/>
    <s v="Cash"/>
    <x v="0"/>
    <d v="2022-05-18T00:00:00"/>
    <x v="12"/>
    <x v="4"/>
    <n v="936"/>
    <n v="-936"/>
    <n v="0"/>
    <n v="1418866.9500000002"/>
    <s v="Trsf"/>
    <s v="Trsf 1/12/22 RM11,000.00"/>
    <m/>
  </r>
  <r>
    <x v="199"/>
    <x v="11"/>
    <x v="3"/>
    <x v="266"/>
    <s v="C00000020"/>
    <x v="19"/>
    <x v="12"/>
    <n v="2"/>
    <s v="Cash"/>
    <x v="0"/>
    <d v="2022-05-18T00:00:00"/>
    <x v="12"/>
    <x v="4"/>
    <n v="125"/>
    <n v="-125"/>
    <n v="0"/>
    <n v="1418991.9500000002"/>
    <s v="Trsf"/>
    <s v="Trsf 1/12/22 RM11,000.00"/>
    <m/>
  </r>
  <r>
    <x v="199"/>
    <x v="11"/>
    <x v="3"/>
    <x v="266"/>
    <s v="C00000020"/>
    <x v="19"/>
    <x v="105"/>
    <n v="2"/>
    <s v="Cash"/>
    <x v="0"/>
    <d v="2022-05-18T00:00:00"/>
    <x v="12"/>
    <x v="4"/>
    <n v="2000"/>
    <n v="-2000"/>
    <n v="0"/>
    <n v="1420991.9500000002"/>
    <s v="Trsf"/>
    <s v="Trsf 1/12/22 RM11,000.00(RM339.800partial), Trsf 5/12/22 RM50,000.00(RM1,660.20partial), "/>
    <m/>
  </r>
  <r>
    <x v="200"/>
    <x v="11"/>
    <x v="3"/>
    <x v="267"/>
    <s v="C00000021"/>
    <x v="21"/>
    <x v="118"/>
    <n v="1"/>
    <s v="Cash"/>
    <x v="0"/>
    <d v="2022-05-19T00:00:00"/>
    <x v="12"/>
    <x v="4"/>
    <n v="2068"/>
    <n v="-2068"/>
    <n v="0"/>
    <n v="1423059.9500000002"/>
    <s v="PD Chq"/>
    <s v="Chq PBB 395365, cleared170822 RM3,484.00"/>
    <m/>
  </r>
  <r>
    <x v="200"/>
    <x v="11"/>
    <x v="3"/>
    <x v="267"/>
    <s v="C00000021"/>
    <x v="21"/>
    <x v="100"/>
    <n v="3"/>
    <s v="Cash"/>
    <x v="0"/>
    <d v="2022-05-19T00:00:00"/>
    <x v="12"/>
    <x v="4"/>
    <n v="864"/>
    <n v="-864"/>
    <n v="0"/>
    <n v="1423923.9500000002"/>
    <s v="PD Chq"/>
    <s v="Chq PBB 395365, cleared170822 RM3,484.00"/>
    <m/>
  </r>
  <r>
    <x v="200"/>
    <x v="11"/>
    <x v="3"/>
    <x v="267"/>
    <s v="C00000021"/>
    <x v="21"/>
    <x v="129"/>
    <n v="12"/>
    <s v="Cash"/>
    <x v="0"/>
    <d v="2022-05-19T00:00:00"/>
    <x v="12"/>
    <x v="4"/>
    <n v="552"/>
    <n v="-552"/>
    <n v="0"/>
    <n v="1424475.9500000002"/>
    <s v="PD Chq"/>
    <s v="Chq PBB 395365, cleared170822 RM3,484.00"/>
    <m/>
  </r>
  <r>
    <x v="201"/>
    <x v="11"/>
    <x v="3"/>
    <x v="268"/>
    <s v="C00000020"/>
    <x v="19"/>
    <x v="127"/>
    <n v="4"/>
    <s v="Cash"/>
    <x v="0"/>
    <d v="2022-05-20T00:00:00"/>
    <x v="12"/>
    <x v="4"/>
    <n v="8360"/>
    <n v="-8360"/>
    <n v="0"/>
    <n v="1432835.9500000002"/>
    <s v="Trsf"/>
    <s v="Trsf 5/12/22 RM50,000.00"/>
    <m/>
  </r>
  <r>
    <x v="201"/>
    <x v="11"/>
    <x v="3"/>
    <x v="268"/>
    <s v="C00000020"/>
    <x v="19"/>
    <x v="108"/>
    <n v="5"/>
    <s v="Cash"/>
    <x v="0"/>
    <d v="2022-05-20T00:00:00"/>
    <x v="12"/>
    <x v="4"/>
    <n v="2940"/>
    <n v="-2940"/>
    <n v="0"/>
    <n v="1435775.9500000002"/>
    <s v="Trsf"/>
    <s v="Trsf 5/12/22 RM50,000.00"/>
    <m/>
  </r>
  <r>
    <x v="201"/>
    <x v="11"/>
    <x v="3"/>
    <x v="268"/>
    <s v="C00000020"/>
    <x v="19"/>
    <x v="128"/>
    <n v="5"/>
    <s v="Cash"/>
    <x v="0"/>
    <d v="2022-05-20T00:00:00"/>
    <x v="12"/>
    <x v="4"/>
    <n v="1560"/>
    <n v="-1560"/>
    <n v="0"/>
    <n v="1437335.9500000002"/>
    <s v="Trsf"/>
    <s v="Trsf 5/12/22 RM50,000.00"/>
    <m/>
  </r>
  <r>
    <x v="201"/>
    <x v="11"/>
    <x v="3"/>
    <x v="268"/>
    <s v="C00000020"/>
    <x v="19"/>
    <x v="12"/>
    <n v="4"/>
    <s v="Cash"/>
    <x v="0"/>
    <d v="2022-05-20T00:00:00"/>
    <x v="12"/>
    <x v="4"/>
    <n v="250"/>
    <n v="-250"/>
    <n v="0"/>
    <n v="1437585.9500000002"/>
    <s v="Trsf"/>
    <s v="Trsf 5/12/22 RM50,000.00"/>
    <m/>
  </r>
  <r>
    <x v="202"/>
    <x v="11"/>
    <x v="3"/>
    <x v="269"/>
    <s v="C00000026"/>
    <x v="27"/>
    <x v="112"/>
    <n v="1"/>
    <s v="Cash"/>
    <x v="0"/>
    <d v="2022-05-21T00:00:00"/>
    <x v="12"/>
    <x v="4"/>
    <n v="534.6"/>
    <n v="-534.6"/>
    <n v="0"/>
    <n v="1438120.5500000003"/>
    <s v="Trsf"/>
    <s v="Trsf 24/5/22 RM1,239.60"/>
    <m/>
  </r>
  <r>
    <x v="202"/>
    <x v="11"/>
    <x v="3"/>
    <x v="269"/>
    <s v="C00000026"/>
    <x v="27"/>
    <x v="130"/>
    <n v="1"/>
    <s v="Cash"/>
    <x v="0"/>
    <d v="2022-05-21T00:00:00"/>
    <x v="12"/>
    <x v="4"/>
    <n v="165"/>
    <n v="-165"/>
    <n v="0"/>
    <n v="1438285.5500000003"/>
    <s v="Trsf"/>
    <s v="Trsf 24/5/22 RM1,239.60"/>
    <m/>
  </r>
  <r>
    <x v="202"/>
    <x v="11"/>
    <x v="3"/>
    <x v="269"/>
    <s v="C00000026"/>
    <x v="27"/>
    <x v="106"/>
    <n v="1"/>
    <s v="Cash"/>
    <x v="0"/>
    <d v="2022-05-21T00:00:00"/>
    <x v="12"/>
    <x v="4"/>
    <n v="90"/>
    <n v="-90"/>
    <n v="0"/>
    <n v="1438375.5500000003"/>
    <s v="Trsf"/>
    <s v="Trsf 24/5/22 RM1,239.60"/>
    <m/>
  </r>
  <r>
    <x v="202"/>
    <x v="11"/>
    <x v="3"/>
    <x v="269"/>
    <s v="C00000026"/>
    <x v="27"/>
    <x v="131"/>
    <n v="1"/>
    <s v="Cash"/>
    <x v="0"/>
    <d v="2022-05-21T00:00:00"/>
    <x v="12"/>
    <x v="4"/>
    <n v="450"/>
    <n v="-450"/>
    <n v="0"/>
    <n v="1438825.5500000003"/>
    <s v="Trsf"/>
    <s v="Trsf 24/5/22 RM1,239.60"/>
    <m/>
  </r>
  <r>
    <x v="202"/>
    <x v="11"/>
    <x v="3"/>
    <x v="270"/>
    <s v="C00000020"/>
    <x v="19"/>
    <x v="127"/>
    <n v="4"/>
    <s v="Cash"/>
    <x v="0"/>
    <d v="2022-05-21T00:00:00"/>
    <x v="12"/>
    <x v="4"/>
    <n v="8360"/>
    <n v="-8360"/>
    <n v="0"/>
    <n v="1447185.5500000003"/>
    <s v="Trsf"/>
    <s v="Trsf 5/12/22 RM50,000.00"/>
    <m/>
  </r>
  <r>
    <x v="202"/>
    <x v="11"/>
    <x v="3"/>
    <x v="270"/>
    <s v="C00000020"/>
    <x v="19"/>
    <x v="100"/>
    <n v="10"/>
    <s v="Cash"/>
    <x v="0"/>
    <d v="2022-05-21T00:00:00"/>
    <x v="12"/>
    <x v="4"/>
    <n v="2940"/>
    <n v="-2940"/>
    <n v="0"/>
    <n v="1450125.5500000003"/>
    <s v="Trsf"/>
    <s v="Trsf 5/12/22 RM50,000.00"/>
    <m/>
  </r>
  <r>
    <x v="202"/>
    <x v="11"/>
    <x v="3"/>
    <x v="270"/>
    <s v="C00000020"/>
    <x v="19"/>
    <x v="128"/>
    <n v="5"/>
    <s v="Cash"/>
    <x v="0"/>
    <d v="2022-05-21T00:00:00"/>
    <x v="12"/>
    <x v="4"/>
    <n v="1560"/>
    <n v="-1560"/>
    <n v="0"/>
    <n v="1451685.5500000003"/>
    <s v="Trsf"/>
    <s v="Trsf 5/12/22 RM50,000.00"/>
    <m/>
  </r>
  <r>
    <x v="202"/>
    <x v="11"/>
    <x v="3"/>
    <x v="270"/>
    <s v="C00000020"/>
    <x v="19"/>
    <x v="12"/>
    <n v="4"/>
    <s v="Cash"/>
    <x v="0"/>
    <d v="2022-05-21T00:00:00"/>
    <x v="12"/>
    <x v="4"/>
    <n v="250"/>
    <n v="-250"/>
    <n v="0"/>
    <n v="1451935.5500000003"/>
    <s v="Trsf"/>
    <s v="Trsf 5/12/22 RM50,000.00"/>
    <m/>
  </r>
  <r>
    <x v="203"/>
    <x v="11"/>
    <x v="3"/>
    <x v="271"/>
    <s v="C00000010"/>
    <x v="9"/>
    <x v="121"/>
    <n v="6"/>
    <n v="120"/>
    <x v="2"/>
    <d v="2022-09-20T00:00:00"/>
    <x v="6"/>
    <x v="4"/>
    <n v="11880"/>
    <n v="-11880"/>
    <n v="0"/>
    <n v="1463815.5500000003"/>
    <s v="Trsf"/>
    <s v="Trsf 23/8/22 RM14,715.00"/>
    <m/>
  </r>
  <r>
    <x v="203"/>
    <x v="11"/>
    <x v="3"/>
    <x v="271"/>
    <s v="C00000010"/>
    <x v="9"/>
    <x v="100"/>
    <n v="5"/>
    <n v="120"/>
    <x v="2"/>
    <d v="2022-09-20T00:00:00"/>
    <x v="6"/>
    <x v="4"/>
    <n v="1425"/>
    <n v="-1425"/>
    <n v="0"/>
    <n v="1465240.5500000003"/>
    <s v="Trsf"/>
    <s v="Trsf 23/8/22 RM14,715.00"/>
    <m/>
  </r>
  <r>
    <x v="203"/>
    <x v="11"/>
    <x v="3"/>
    <x v="271"/>
    <s v="C00000010"/>
    <x v="9"/>
    <x v="132"/>
    <n v="10"/>
    <n v="120"/>
    <x v="2"/>
    <d v="2022-09-20T00:00:00"/>
    <x v="6"/>
    <x v="4"/>
    <n v="550"/>
    <n v="-550"/>
    <n v="0"/>
    <n v="1465790.5500000003"/>
    <s v="Trsf"/>
    <s v="Trsf 23/8/22 RM14,715.00"/>
    <m/>
  </r>
  <r>
    <x v="203"/>
    <x v="11"/>
    <x v="3"/>
    <x v="271"/>
    <s v="C00000010"/>
    <x v="9"/>
    <x v="93"/>
    <n v="4"/>
    <n v="120"/>
    <x v="2"/>
    <d v="2022-09-20T00:00:00"/>
    <x v="6"/>
    <x v="4"/>
    <n v="420"/>
    <n v="-420"/>
    <n v="0"/>
    <n v="1466210.5500000003"/>
    <s v="Trsf"/>
    <s v="Trsf 23/8/22 RM14,715.00"/>
    <m/>
  </r>
  <r>
    <x v="203"/>
    <x v="11"/>
    <x v="3"/>
    <x v="271"/>
    <s v="C00000010"/>
    <x v="9"/>
    <x v="131"/>
    <n v="1"/>
    <n v="120"/>
    <x v="2"/>
    <d v="2022-09-20T00:00:00"/>
    <x v="6"/>
    <x v="4"/>
    <n v="440"/>
    <n v="-440"/>
    <n v="0"/>
    <n v="1466650.5500000003"/>
    <s v="Trsf"/>
    <s v="Trsf 23/8/22 RM14,715.00"/>
    <m/>
  </r>
  <r>
    <x v="203"/>
    <x v="11"/>
    <x v="3"/>
    <x v="272"/>
    <s v="C00000020"/>
    <x v="19"/>
    <x v="127"/>
    <n v="2"/>
    <s v="Cash"/>
    <x v="0"/>
    <d v="2022-05-23T00:00:00"/>
    <x v="12"/>
    <x v="4"/>
    <n v="4180"/>
    <n v="-4180"/>
    <n v="0"/>
    <n v="1470830.5500000003"/>
    <s v="Trsf"/>
    <s v="Trsf 5/12/22 RM50,000.00"/>
    <m/>
  </r>
  <r>
    <x v="203"/>
    <x v="11"/>
    <x v="3"/>
    <x v="272"/>
    <s v="C00000020"/>
    <x v="19"/>
    <x v="100"/>
    <n v="5"/>
    <s v="Cash"/>
    <x v="0"/>
    <d v="2022-05-23T00:00:00"/>
    <x v="12"/>
    <x v="4"/>
    <n v="1470"/>
    <n v="-1470"/>
    <n v="0"/>
    <n v="1472300.5500000003"/>
    <s v="Trsf"/>
    <s v="Trsf 5/12/22 RM50,000.00"/>
    <m/>
  </r>
  <r>
    <x v="203"/>
    <x v="11"/>
    <x v="3"/>
    <x v="272"/>
    <s v="C00000020"/>
    <x v="19"/>
    <x v="128"/>
    <n v="2"/>
    <s v="Cash"/>
    <x v="0"/>
    <d v="2022-05-23T00:00:00"/>
    <x v="12"/>
    <x v="4"/>
    <n v="624"/>
    <n v="-624"/>
    <n v="0"/>
    <n v="1472924.5500000003"/>
    <s v="Trsf"/>
    <s v="Trsf 5/12/22 RM50,000.00"/>
    <m/>
  </r>
  <r>
    <x v="203"/>
    <x v="11"/>
    <x v="3"/>
    <x v="272"/>
    <s v="C00000020"/>
    <x v="19"/>
    <x v="133"/>
    <n v="1"/>
    <s v="Cash"/>
    <x v="0"/>
    <d v="2022-05-23T00:00:00"/>
    <x v="12"/>
    <x v="4"/>
    <n v="351"/>
    <n v="-351"/>
    <n v="0"/>
    <n v="1473275.5500000003"/>
    <s v="Trsf"/>
    <s v="Trsf 5/12/22 RM50,000.00"/>
    <m/>
  </r>
  <r>
    <x v="203"/>
    <x v="11"/>
    <x v="3"/>
    <x v="272"/>
    <s v="C00000020"/>
    <x v="19"/>
    <x v="132"/>
    <n v="2"/>
    <s v="Cash"/>
    <x v="0"/>
    <d v="2022-05-23T00:00:00"/>
    <x v="12"/>
    <x v="4"/>
    <n v="125"/>
    <n v="-125"/>
    <n v="0"/>
    <n v="1473400.5500000003"/>
    <s v="Trsf"/>
    <s v="Trsf 5/12/22 RM50,000.00"/>
    <m/>
  </r>
  <r>
    <x v="203"/>
    <x v="11"/>
    <x v="3"/>
    <x v="273"/>
    <s v="C00000019"/>
    <x v="18"/>
    <x v="120"/>
    <n v="2"/>
    <s v="Cash"/>
    <x v="0"/>
    <d v="2022-05-23T00:00:00"/>
    <x v="12"/>
    <x v="4"/>
    <n v="4136"/>
    <n v="-4136"/>
    <n v="0"/>
    <n v="1477536.5500000003"/>
    <s v="Trsf"/>
    <s v="Trsf 24/5/22, RM6,201.10"/>
    <m/>
  </r>
  <r>
    <x v="203"/>
    <x v="11"/>
    <x v="3"/>
    <x v="273"/>
    <s v="C00000019"/>
    <x v="18"/>
    <x v="112"/>
    <n v="2"/>
    <s v="Cash"/>
    <x v="0"/>
    <d v="2022-05-23T00:00:00"/>
    <x v="12"/>
    <x v="4"/>
    <n v="1047.5999999999999"/>
    <n v="-1047.5999999999999"/>
    <n v="0"/>
    <n v="1478584.1500000004"/>
    <s v="Trsf"/>
    <s v="Trsf 24/5/22, RM6,201.10"/>
    <m/>
  </r>
  <r>
    <x v="203"/>
    <x v="11"/>
    <x v="3"/>
    <x v="273"/>
    <s v="C00000019"/>
    <x v="18"/>
    <x v="132"/>
    <n v="3"/>
    <s v="Cash"/>
    <x v="0"/>
    <d v="2022-05-23T00:00:00"/>
    <x v="12"/>
    <x v="4"/>
    <n v="187.5"/>
    <n v="-187.5"/>
    <n v="0"/>
    <n v="1478771.6500000004"/>
    <s v="Trsf"/>
    <s v="Trsf 24/5/22, RM6,201.10"/>
    <m/>
  </r>
  <r>
    <x v="203"/>
    <x v="11"/>
    <x v="3"/>
    <x v="273"/>
    <s v="C00000019"/>
    <x v="18"/>
    <x v="52"/>
    <n v="1"/>
    <s v="Cash"/>
    <x v="0"/>
    <d v="2022-05-23T00:00:00"/>
    <x v="12"/>
    <x v="4"/>
    <n v="390"/>
    <n v="-390"/>
    <n v="0"/>
    <n v="1479161.6500000004"/>
    <s v="Trsf"/>
    <s v="Trsf 24/5/22, RM6,201.10"/>
    <m/>
  </r>
  <r>
    <x v="203"/>
    <x v="11"/>
    <x v="3"/>
    <x v="273"/>
    <s v="C00000019"/>
    <x v="18"/>
    <x v="131"/>
    <n v="1"/>
    <s v="Cash"/>
    <x v="0"/>
    <d v="2022-05-23T00:00:00"/>
    <x v="12"/>
    <x v="4"/>
    <n v="440"/>
    <n v="-440"/>
    <n v="0"/>
    <n v="1479601.6500000004"/>
    <s v="Trsf"/>
    <s v="Trsf 24/5/22, RM6,201.10"/>
    <m/>
  </r>
  <r>
    <x v="204"/>
    <x v="11"/>
    <x v="3"/>
    <x v="274"/>
    <s v="C00000004"/>
    <x v="3"/>
    <x v="120"/>
    <n v="5"/>
    <n v="120"/>
    <x v="2"/>
    <d v="2022-09-21T00:00:00"/>
    <x v="6"/>
    <x v="4"/>
    <n v="10120"/>
    <n v="-10120"/>
    <n v="0"/>
    <n v="1489721.6500000004"/>
    <s v="Chq"/>
    <s v="HLB012769Cleared20/09/22-RM10,120.00"/>
    <m/>
  </r>
  <r>
    <x v="205"/>
    <x v="11"/>
    <x v="3"/>
    <x v="275"/>
    <s v="C00000020"/>
    <x v="19"/>
    <x v="120"/>
    <n v="4"/>
    <s v="Cash"/>
    <x v="0"/>
    <d v="2022-05-25T00:00:00"/>
    <x v="12"/>
    <x v="4"/>
    <n v="8360"/>
    <n v="-8360"/>
    <n v="0"/>
    <n v="1498081.6500000004"/>
    <s v="Trsf"/>
    <s v="Trsf 5/12/22 RM50,000.00"/>
    <m/>
  </r>
  <r>
    <x v="205"/>
    <x v="11"/>
    <x v="3"/>
    <x v="275"/>
    <s v="C00000020"/>
    <x v="19"/>
    <x v="100"/>
    <n v="8"/>
    <s v="Cash"/>
    <x v="0"/>
    <d v="2022-05-25T00:00:00"/>
    <x v="12"/>
    <x v="4"/>
    <n v="2352"/>
    <n v="-2352"/>
    <n v="0"/>
    <n v="1500433.6500000004"/>
    <s v="Trsf"/>
    <s v="Trsf 5/12/22 RM50,000.00"/>
    <m/>
  </r>
  <r>
    <x v="205"/>
    <x v="11"/>
    <x v="3"/>
    <x v="275"/>
    <s v="C00000020"/>
    <x v="19"/>
    <x v="133"/>
    <n v="6"/>
    <s v="Cash"/>
    <x v="0"/>
    <d v="2022-05-25T00:00:00"/>
    <x v="12"/>
    <x v="4"/>
    <n v="2106"/>
    <n v="-2106"/>
    <n v="0"/>
    <n v="1502539.6500000004"/>
    <s v="Trsf"/>
    <s v="Trsf 5/12/22 RM50,000.00"/>
    <m/>
  </r>
  <r>
    <x v="205"/>
    <x v="11"/>
    <x v="3"/>
    <x v="275"/>
    <s v="C00000020"/>
    <x v="19"/>
    <x v="132"/>
    <n v="4"/>
    <s v="Cash"/>
    <x v="0"/>
    <d v="2022-05-25T00:00:00"/>
    <x v="12"/>
    <x v="4"/>
    <n v="250"/>
    <n v="-250"/>
    <n v="0"/>
    <n v="1502789.6500000004"/>
    <s v="Trsf"/>
    <s v="Trsf 5/12/22 RM50,000.00"/>
    <m/>
  </r>
  <r>
    <x v="205"/>
    <x v="11"/>
    <x v="3"/>
    <x v="275"/>
    <s v="C00000020"/>
    <x v="19"/>
    <x v="105"/>
    <n v="1"/>
    <s v="Cash"/>
    <x v="0"/>
    <d v="2022-05-25T00:00:00"/>
    <x v="12"/>
    <x v="4"/>
    <n v="1000"/>
    <n v="-1000"/>
    <n v="0"/>
    <n v="1503789.6500000004"/>
    <s v="Trsf"/>
    <s v="Trsf 5/12/22 RM50,000.00"/>
    <m/>
  </r>
  <r>
    <x v="206"/>
    <x v="11"/>
    <x v="3"/>
    <x v="276"/>
    <s v="C00000021"/>
    <x v="21"/>
    <x v="118"/>
    <n v="1"/>
    <s v="Cash"/>
    <x v="0"/>
    <d v="2022-05-28T00:00:00"/>
    <x v="12"/>
    <x v="4"/>
    <n v="2068"/>
    <n v="-2068"/>
    <n v="0"/>
    <n v="1505857.6500000004"/>
    <s v="PD Chq"/>
    <s v="Chq PBB 395366, cleared090922 RM3,241.00"/>
    <m/>
  </r>
  <r>
    <x v="206"/>
    <x v="11"/>
    <x v="3"/>
    <x v="276"/>
    <s v="C00000021"/>
    <x v="21"/>
    <x v="100"/>
    <n v="3"/>
    <s v="Cash"/>
    <x v="0"/>
    <d v="2022-05-28T00:00:00"/>
    <x v="12"/>
    <x v="4"/>
    <n v="864"/>
    <n v="-864"/>
    <n v="0"/>
    <n v="1506721.6500000004"/>
    <s v="PD Chq"/>
    <s v="Chq PBB 395366, cleared090922 RM3,241.00"/>
    <m/>
  </r>
  <r>
    <x v="206"/>
    <x v="11"/>
    <x v="3"/>
    <x v="276"/>
    <s v="C00000021"/>
    <x v="21"/>
    <x v="106"/>
    <n v="1"/>
    <s v="Cash"/>
    <x v="0"/>
    <d v="2022-05-28T00:00:00"/>
    <x v="12"/>
    <x v="4"/>
    <n v="90"/>
    <n v="-90"/>
    <n v="0"/>
    <n v="1506811.6500000004"/>
    <s v="PD Chq"/>
    <s v="Chq PBB 395366, cleared090922 RM3,241.00"/>
    <m/>
  </r>
  <r>
    <x v="206"/>
    <x v="11"/>
    <x v="3"/>
    <x v="276"/>
    <s v="C00000021"/>
    <x v="21"/>
    <x v="134"/>
    <n v="1"/>
    <s v="Cash"/>
    <x v="0"/>
    <d v="2022-05-28T00:00:00"/>
    <x v="12"/>
    <x v="4"/>
    <n v="219"/>
    <n v="-219"/>
    <n v="0"/>
    <n v="1507030.6500000004"/>
    <s v="PD Chq"/>
    <s v="Chq PBB 395366, cleared090922 RM3,241.00"/>
    <m/>
  </r>
  <r>
    <x v="207"/>
    <x v="1"/>
    <x v="3"/>
    <x v="277"/>
    <s v="C00000020"/>
    <x v="19"/>
    <x v="118"/>
    <n v="4"/>
    <s v="Cash"/>
    <x v="0"/>
    <d v="2022-06-02T00:00:00"/>
    <x v="1"/>
    <x v="4"/>
    <n v="8360"/>
    <n v="-8360"/>
    <n v="0"/>
    <n v="1515390.6500000004"/>
    <s v="Trsf"/>
    <s v="Trsf 5/12/22 RM50,000.00(RM1,301.80partial), Trsf 22/12/22 RM10,000.00(RM7,058.20partial)"/>
    <m/>
  </r>
  <r>
    <x v="207"/>
    <x v="1"/>
    <x v="3"/>
    <x v="277"/>
    <s v="C00000020"/>
    <x v="19"/>
    <x v="100"/>
    <n v="6"/>
    <s v="Cash"/>
    <x v="0"/>
    <d v="2022-06-02T00:00:00"/>
    <x v="1"/>
    <x v="4"/>
    <n v="1764"/>
    <n v="-1764"/>
    <n v="0"/>
    <n v="1517154.6500000004"/>
    <s v="Trsf"/>
    <s v="Trsf 22/12/22 RM10,000.00"/>
    <m/>
  </r>
  <r>
    <x v="207"/>
    <x v="1"/>
    <x v="3"/>
    <x v="277"/>
    <s v="C00000020"/>
    <x v="19"/>
    <x v="133"/>
    <n v="3"/>
    <s v="Cash"/>
    <x v="0"/>
    <d v="2022-06-02T00:00:00"/>
    <x v="1"/>
    <x v="4"/>
    <n v="1053"/>
    <n v="-1053"/>
    <n v="0"/>
    <n v="1518207.6500000004"/>
    <s v="Trsf"/>
    <s v="Trsf 22/12/22 RM10,000.00"/>
    <m/>
  </r>
  <r>
    <x v="207"/>
    <x v="1"/>
    <x v="3"/>
    <x v="277"/>
    <s v="C00000020"/>
    <x v="19"/>
    <x v="132"/>
    <n v="4"/>
    <s v="Cash"/>
    <x v="0"/>
    <d v="2022-06-02T00:00:00"/>
    <x v="1"/>
    <x v="4"/>
    <n v="250"/>
    <n v="-250"/>
    <n v="0"/>
    <n v="1518457.6500000004"/>
    <s v="Trsf"/>
    <s v="Trsf 22/12/22 RM10,000.00(RM124,80), Trsf 23/12/22 RM10,000.00(RM125.20)"/>
    <m/>
  </r>
  <r>
    <x v="207"/>
    <x v="1"/>
    <x v="3"/>
    <x v="277"/>
    <s v="C00000020"/>
    <x v="19"/>
    <x v="105"/>
    <n v="1"/>
    <s v="Cash"/>
    <x v="0"/>
    <d v="2022-06-02T00:00:00"/>
    <x v="1"/>
    <x v="4"/>
    <n v="1000"/>
    <n v="-1000"/>
    <n v="0"/>
    <n v="1519457.6500000004"/>
    <s v="Trsf"/>
    <s v="Trsf 23/12/22 RM10,000.00"/>
    <m/>
  </r>
  <r>
    <x v="208"/>
    <x v="1"/>
    <x v="3"/>
    <x v="278"/>
    <s v="C00000022"/>
    <x v="23"/>
    <x v="7"/>
    <n v="1"/>
    <s v="Cash"/>
    <x v="0"/>
    <d v="2022-06-03T00:00:00"/>
    <x v="1"/>
    <x v="4"/>
    <n v="2112"/>
    <n v="-2112"/>
    <n v="0"/>
    <n v="1521569.6500000004"/>
    <s v="Trsf"/>
    <s v="Trsf 25/9/22 RM3,000.00 RM1,682.10, Trsf 25/9/22 RM1,000.00 RM429.90"/>
    <m/>
  </r>
  <r>
    <x v="209"/>
    <x v="1"/>
    <x v="3"/>
    <x v="279"/>
    <s v="C00000020"/>
    <x v="19"/>
    <x v="118"/>
    <n v="2"/>
    <s v="Cash"/>
    <x v="0"/>
    <d v="2022-06-04T00:00:00"/>
    <x v="1"/>
    <x v="4"/>
    <n v="4180"/>
    <n v="-4180"/>
    <n v="0"/>
    <n v="1525749.6500000004"/>
    <s v="Trsf"/>
    <s v="Trsf 23/12/22 RM10,000.00"/>
    <m/>
  </r>
  <r>
    <x v="209"/>
    <x v="1"/>
    <x v="3"/>
    <x v="279"/>
    <s v="C00000020"/>
    <x v="19"/>
    <x v="100"/>
    <n v="10"/>
    <s v="Cash"/>
    <x v="0"/>
    <d v="2022-06-04T00:00:00"/>
    <x v="1"/>
    <x v="4"/>
    <n v="2940"/>
    <n v="-2940"/>
    <n v="0"/>
    <n v="1528689.6500000004"/>
    <s v="Trsf"/>
    <s v="Trsf 23/12/22 RM10,000.00"/>
    <m/>
  </r>
  <r>
    <x v="209"/>
    <x v="1"/>
    <x v="3"/>
    <x v="279"/>
    <s v="C00000020"/>
    <x v="19"/>
    <x v="133"/>
    <n v="5"/>
    <s v="Cash"/>
    <x v="0"/>
    <d v="2022-06-04T00:00:00"/>
    <x v="1"/>
    <x v="4"/>
    <n v="1755"/>
    <n v="-1755"/>
    <n v="0"/>
    <n v="1530444.6500000004"/>
    <s v="Trsf"/>
    <s v="Trsf 23/12/22 RM10,000.00(RM1,754.80partial), Trsf 27/12/22 RM5,000.00(RM0.20partial),"/>
    <m/>
  </r>
  <r>
    <x v="209"/>
    <x v="1"/>
    <x v="3"/>
    <x v="279"/>
    <s v="C00000020"/>
    <x v="19"/>
    <x v="132"/>
    <n v="2"/>
    <s v="Cash"/>
    <x v="0"/>
    <d v="2022-06-04T00:00:00"/>
    <x v="1"/>
    <x v="4"/>
    <n v="125"/>
    <n v="-125"/>
    <n v="0"/>
    <n v="1530569.6500000004"/>
    <s v="Trsf"/>
    <s v="Trsf 27/12/22 RM5,000.00"/>
    <m/>
  </r>
  <r>
    <x v="210"/>
    <x v="1"/>
    <x v="3"/>
    <x v="280"/>
    <s v="C00000001"/>
    <x v="0"/>
    <x v="118"/>
    <n v="1"/>
    <s v="Cash"/>
    <x v="0"/>
    <d v="2022-06-07T00:00:00"/>
    <x v="1"/>
    <x v="4"/>
    <n v="2068"/>
    <n v="-2068"/>
    <n v="0"/>
    <n v="1532637.6500000004"/>
    <s v="Trsf"/>
    <s v="Trsf 10/6/22 RM2,356.00"/>
    <m/>
  </r>
  <r>
    <x v="210"/>
    <x v="1"/>
    <x v="3"/>
    <x v="280"/>
    <s v="C00000001"/>
    <x v="0"/>
    <x v="135"/>
    <n v="1"/>
    <s v="Cash"/>
    <x v="0"/>
    <d v="2022-06-07T00:00:00"/>
    <x v="1"/>
    <x v="4"/>
    <n v="288"/>
    <n v="-288"/>
    <n v="0"/>
    <n v="1532925.6500000004"/>
    <s v="Trsf"/>
    <s v="Trsf 10/6/22 RM2,356.00"/>
    <m/>
  </r>
  <r>
    <x v="211"/>
    <x v="1"/>
    <x v="3"/>
    <x v="281"/>
    <s v="C00000010"/>
    <x v="9"/>
    <x v="121"/>
    <n v="5"/>
    <n v="120"/>
    <x v="2"/>
    <d v="2022-10-07T00:00:00"/>
    <x v="3"/>
    <x v="4"/>
    <n v="9900"/>
    <n v="-9900"/>
    <n v="0"/>
    <n v="1542825.6500000004"/>
    <s v="Trsf"/>
    <s v="Trsf 23/9/22 RM31,205.00"/>
    <m/>
  </r>
  <r>
    <x v="211"/>
    <x v="1"/>
    <x v="3"/>
    <x v="281"/>
    <s v="C00000010"/>
    <x v="9"/>
    <x v="100"/>
    <n v="5"/>
    <n v="120"/>
    <x v="2"/>
    <d v="2022-10-07T00:00:00"/>
    <x v="3"/>
    <x v="4"/>
    <n v="1425"/>
    <n v="-1425"/>
    <n v="0"/>
    <n v="1544250.6500000004"/>
    <s v="Trsf"/>
    <s v="Trsf 23/9/22 RM31,205.00"/>
    <m/>
  </r>
  <r>
    <x v="211"/>
    <x v="1"/>
    <x v="3"/>
    <x v="281"/>
    <s v="C00000010"/>
    <x v="9"/>
    <x v="132"/>
    <n v="10"/>
    <n v="120"/>
    <x v="2"/>
    <d v="2022-10-07T00:00:00"/>
    <x v="3"/>
    <x v="4"/>
    <n v="550"/>
    <n v="-550"/>
    <n v="0"/>
    <n v="1544800.6500000004"/>
    <s v="Trsf"/>
    <s v="Trsf 23/9/22 RM31,205.00"/>
    <m/>
  </r>
  <r>
    <x v="211"/>
    <x v="1"/>
    <x v="3"/>
    <x v="281"/>
    <s v="C00000010"/>
    <x v="9"/>
    <x v="93"/>
    <n v="4"/>
    <n v="120"/>
    <x v="2"/>
    <d v="2022-10-07T00:00:00"/>
    <x v="3"/>
    <x v="4"/>
    <n v="420"/>
    <n v="-420"/>
    <n v="0"/>
    <n v="1545220.6500000004"/>
    <s v="Trsf"/>
    <s v="Trsf 23/9/22 RM31,205.00"/>
    <m/>
  </r>
  <r>
    <x v="211"/>
    <x v="1"/>
    <x v="3"/>
    <x v="281"/>
    <s v="C00000010"/>
    <x v="9"/>
    <x v="48"/>
    <n v="1"/>
    <n v="120"/>
    <x v="2"/>
    <d v="2022-10-07T00:00:00"/>
    <x v="3"/>
    <x v="4"/>
    <n v="395"/>
    <n v="-395"/>
    <n v="0"/>
    <n v="1545615.6500000004"/>
    <s v="Trsf"/>
    <s v="Trsf 23/9/22 RM31,205.00"/>
    <m/>
  </r>
  <r>
    <x v="211"/>
    <x v="1"/>
    <x v="3"/>
    <x v="282"/>
    <s v="C00000022"/>
    <x v="23"/>
    <x v="7"/>
    <n v="1"/>
    <s v="Cash"/>
    <x v="0"/>
    <d v="2022-06-09T00:00:00"/>
    <x v="1"/>
    <x v="4"/>
    <n v="2112"/>
    <n v="-2112"/>
    <n v="0"/>
    <n v="1547727.6500000004"/>
    <s v="Trsf"/>
    <s v="Trsf 25/9/22 RM1,000.00(RM570.10),  Trsf 29/9/22 RM5,350.70(RM1,541.90)"/>
    <m/>
  </r>
  <r>
    <x v="212"/>
    <x v="1"/>
    <x v="3"/>
    <x v="283"/>
    <s v="C00000021"/>
    <x v="21"/>
    <x v="118"/>
    <n v="1"/>
    <s v="Cash"/>
    <x v="0"/>
    <d v="2022-06-10T00:00:00"/>
    <x v="1"/>
    <x v="4"/>
    <n v="2068"/>
    <n v="-2068"/>
    <n v="0"/>
    <n v="1549795.6500000004"/>
    <s v="PD Chq"/>
    <s v="Chq PBB 395367, cleared230922 RM2,746.00"/>
    <m/>
  </r>
  <r>
    <x v="212"/>
    <x v="1"/>
    <x v="3"/>
    <x v="283"/>
    <s v="C00000021"/>
    <x v="21"/>
    <x v="100"/>
    <n v="2"/>
    <s v="Cash"/>
    <x v="0"/>
    <d v="2022-06-10T00:00:00"/>
    <x v="1"/>
    <x v="4"/>
    <n v="588"/>
    <n v="-588"/>
    <n v="0"/>
    <n v="1550383.6500000004"/>
    <s v="PD Chq"/>
    <s v="Chq PBB 395367, cleared230922 RM2,746.00"/>
    <m/>
  </r>
  <r>
    <x v="212"/>
    <x v="1"/>
    <x v="3"/>
    <x v="283"/>
    <s v="C00000021"/>
    <x v="21"/>
    <x v="106"/>
    <n v="1"/>
    <s v="Cash"/>
    <x v="0"/>
    <d v="2022-06-10T00:00:00"/>
    <x v="1"/>
    <x v="4"/>
    <n v="90"/>
    <n v="-90"/>
    <n v="0"/>
    <n v="1550473.6500000004"/>
    <s v="PD Chq"/>
    <s v="Chq PBB 395367, cleared230922 RM2,746.00"/>
    <m/>
  </r>
  <r>
    <x v="213"/>
    <x v="1"/>
    <x v="3"/>
    <x v="284"/>
    <s v="C00000020"/>
    <x v="19"/>
    <x v="118"/>
    <n v="2"/>
    <s v="Cash"/>
    <x v="0"/>
    <d v="2022-06-11T00:00:00"/>
    <x v="1"/>
    <x v="4"/>
    <n v="4180"/>
    <n v="-4180"/>
    <n v="0"/>
    <n v="1554653.6500000004"/>
    <s v="Trsf"/>
    <s v="Trsf 27/12/22 RM5,000.00"/>
    <m/>
  </r>
  <r>
    <x v="213"/>
    <x v="1"/>
    <x v="3"/>
    <x v="284"/>
    <s v="C00000020"/>
    <x v="19"/>
    <x v="100"/>
    <n v="1"/>
    <s v="Cash"/>
    <x v="0"/>
    <d v="2022-06-11T00:00:00"/>
    <x v="1"/>
    <x v="4"/>
    <n v="294"/>
    <n v="-294"/>
    <n v="0"/>
    <n v="1554947.6500000004"/>
    <s v="Trsf"/>
    <s v="Trsf 27/12/22 RM5,000.00"/>
    <m/>
  </r>
  <r>
    <x v="213"/>
    <x v="1"/>
    <x v="3"/>
    <x v="284"/>
    <s v="C00000020"/>
    <x v="19"/>
    <x v="133"/>
    <n v="1"/>
    <s v="Cash"/>
    <x v="0"/>
    <d v="2022-06-11T00:00:00"/>
    <x v="1"/>
    <x v="4"/>
    <n v="351"/>
    <n v="-351"/>
    <n v="0"/>
    <n v="1555298.6500000004"/>
    <s v="Trsf"/>
    <s v="Trsf 27/12/22 RM5,000.00"/>
    <m/>
  </r>
  <r>
    <x v="213"/>
    <x v="1"/>
    <x v="3"/>
    <x v="284"/>
    <s v="C00000020"/>
    <x v="19"/>
    <x v="132"/>
    <n v="2"/>
    <s v="Cash"/>
    <x v="0"/>
    <d v="2022-06-11T00:00:00"/>
    <x v="1"/>
    <x v="4"/>
    <n v="125"/>
    <n v="-125"/>
    <n v="0"/>
    <n v="1555423.6500000004"/>
    <s v="Trsf"/>
    <s v="Trsf 28/12/22 RM30,000.00(RM75.20partial), "/>
    <m/>
  </r>
  <r>
    <x v="214"/>
    <x v="1"/>
    <x v="3"/>
    <x v="285"/>
    <s v="C00000023"/>
    <x v="24"/>
    <x v="110"/>
    <n v="4"/>
    <s v="Cash"/>
    <x v="0"/>
    <d v="2022-06-13T00:00:00"/>
    <x v="1"/>
    <x v="4"/>
    <n v="1400"/>
    <n v="-1400"/>
    <n v="0"/>
    <n v="1556823.6500000004"/>
    <s v="Trsf"/>
    <s v="Trsf 14/6/22 RM2,158.00"/>
    <m/>
  </r>
  <r>
    <x v="214"/>
    <x v="1"/>
    <x v="3"/>
    <x v="285"/>
    <s v="C00000023"/>
    <x v="24"/>
    <x v="100"/>
    <n v="2"/>
    <s v="Cash"/>
    <x v="0"/>
    <d v="2022-06-13T00:00:00"/>
    <x v="1"/>
    <x v="4"/>
    <n v="588"/>
    <n v="-588"/>
    <n v="0"/>
    <n v="1557411.6500000004"/>
    <s v="Trsf"/>
    <s v="Trsf 14/6/22 RM2,158.00"/>
    <m/>
  </r>
  <r>
    <x v="214"/>
    <x v="1"/>
    <x v="3"/>
    <x v="285"/>
    <s v="C00000023"/>
    <x v="24"/>
    <x v="106"/>
    <n v="2"/>
    <s v="Cash"/>
    <x v="0"/>
    <d v="2022-06-13T00:00:00"/>
    <x v="1"/>
    <x v="4"/>
    <n v="170"/>
    <n v="-170"/>
    <n v="0"/>
    <n v="1557581.6500000004"/>
    <s v="Trsf"/>
    <s v="Trsf 14/6/22 RM2,158.00"/>
    <m/>
  </r>
  <r>
    <x v="215"/>
    <x v="1"/>
    <x v="3"/>
    <x v="286"/>
    <s v="C00000009"/>
    <x v="8"/>
    <x v="120"/>
    <n v="2"/>
    <n v="60"/>
    <x v="3"/>
    <d v="2022-08-13T00:00:00"/>
    <x v="2"/>
    <x v="4"/>
    <n v="3960"/>
    <n v="-3960"/>
    <n v="0"/>
    <n v="1561541.6500000004"/>
    <s v="Chq"/>
    <s v="Chq HL 016786 dd 27/12/22"/>
    <m/>
  </r>
  <r>
    <x v="215"/>
    <x v="1"/>
    <x v="3"/>
    <x v="287"/>
    <s v="C00000001"/>
    <x v="0"/>
    <x v="118"/>
    <n v="1"/>
    <s v="Cash"/>
    <x v="0"/>
    <d v="2022-06-14T00:00:00"/>
    <x v="1"/>
    <x v="4"/>
    <n v="2068"/>
    <n v="-2068"/>
    <n v="0"/>
    <n v="1563609.6500000004"/>
    <s v="Trsf"/>
    <s v="Trsf 23/6/22 RM3,232.00"/>
    <m/>
  </r>
  <r>
    <x v="215"/>
    <x v="1"/>
    <x v="3"/>
    <x v="287"/>
    <s v="C00000001"/>
    <x v="0"/>
    <x v="100"/>
    <n v="4"/>
    <s v="Cash"/>
    <x v="0"/>
    <d v="2022-06-14T00:00:00"/>
    <x v="1"/>
    <x v="4"/>
    <n v="1164"/>
    <n v="-1164"/>
    <n v="0"/>
    <n v="1564773.6500000004"/>
    <s v="Trsf"/>
    <s v="Trsf 23/6/22 RM3,232.00"/>
    <m/>
  </r>
  <r>
    <x v="216"/>
    <x v="1"/>
    <x v="3"/>
    <x v="288"/>
    <s v="C00000020"/>
    <x v="19"/>
    <x v="7"/>
    <n v="1"/>
    <s v="Cash"/>
    <x v="0"/>
    <d v="2022-06-18T00:00:00"/>
    <x v="1"/>
    <x v="4"/>
    <n v="2090"/>
    <n v="-2090"/>
    <n v="0"/>
    <n v="1566863.6500000004"/>
    <s v="Trsf"/>
    <s v="Trsf 28/12/22 RM30,000.00"/>
    <m/>
  </r>
  <r>
    <x v="216"/>
    <x v="1"/>
    <x v="3"/>
    <x v="288"/>
    <s v="C00000020"/>
    <x v="19"/>
    <x v="100"/>
    <n v="2"/>
    <s v="Cash"/>
    <x v="0"/>
    <d v="2022-06-18T00:00:00"/>
    <x v="1"/>
    <x v="4"/>
    <n v="588"/>
    <n v="-588"/>
    <n v="0"/>
    <n v="1567451.6500000004"/>
    <s v="Trsf"/>
    <s v="Trsf 28/12/22 RM30,000.00"/>
    <m/>
  </r>
  <r>
    <x v="216"/>
    <x v="1"/>
    <x v="3"/>
    <x v="288"/>
    <s v="C00000020"/>
    <x v="19"/>
    <x v="133"/>
    <n v="1"/>
    <s v="Cash"/>
    <x v="0"/>
    <d v="2022-06-18T00:00:00"/>
    <x v="1"/>
    <x v="4"/>
    <n v="351"/>
    <n v="-351"/>
    <n v="0"/>
    <n v="1567802.6500000004"/>
    <s v="Trsf"/>
    <s v="Trsf 28/12/22 RM30,000.00"/>
    <m/>
  </r>
  <r>
    <x v="216"/>
    <x v="1"/>
    <x v="3"/>
    <x v="288"/>
    <s v="C00000020"/>
    <x v="19"/>
    <x v="132"/>
    <n v="1"/>
    <s v="Cash"/>
    <x v="0"/>
    <d v="2022-06-18T00:00:00"/>
    <x v="1"/>
    <x v="4"/>
    <n v="62.5"/>
    <n v="-62.5"/>
    <n v="0"/>
    <n v="1567865.1500000004"/>
    <s v="Trsf"/>
    <s v="Trsf 28/12/22 RM30,000.00"/>
    <m/>
  </r>
  <r>
    <x v="216"/>
    <x v="1"/>
    <x v="3"/>
    <x v="288"/>
    <s v="C00000020"/>
    <x v="19"/>
    <x v="105"/>
    <n v="1"/>
    <s v="Cash"/>
    <x v="0"/>
    <d v="2022-06-18T00:00:00"/>
    <x v="1"/>
    <x v="4"/>
    <n v="1000"/>
    <n v="-1000"/>
    <n v="0"/>
    <n v="1568865.1500000004"/>
    <s v="Trsf"/>
    <s v="Trsf 28/12/22 RM30,000.00"/>
    <m/>
  </r>
  <r>
    <x v="216"/>
    <x v="1"/>
    <x v="3"/>
    <x v="288"/>
    <s v="C00000020"/>
    <x v="19"/>
    <x v="106"/>
    <n v="4"/>
    <s v="Cash"/>
    <x v="0"/>
    <d v="2022-06-18T00:00:00"/>
    <x v="1"/>
    <x v="4"/>
    <n v="340"/>
    <n v="-340"/>
    <n v="0"/>
    <n v="1569205.1500000004"/>
    <s v="Trsf"/>
    <s v="Trsf 28/12/22 RM30,000.00"/>
    <m/>
  </r>
  <r>
    <x v="217"/>
    <x v="1"/>
    <x v="3"/>
    <x v="289"/>
    <s v="C00000006"/>
    <x v="5"/>
    <x v="120"/>
    <n v="1"/>
    <s v="Cash"/>
    <x v="0"/>
    <d v="2022-06-20T00:00:00"/>
    <x v="1"/>
    <x v="4"/>
    <n v="2068"/>
    <n v="-2068"/>
    <n v="0"/>
    <n v="1571273.1500000004"/>
    <s v="Chq"/>
    <s v="RHB 934938 cleared18/8/22-RM2,068.00"/>
    <m/>
  </r>
  <r>
    <x v="218"/>
    <x v="1"/>
    <x v="3"/>
    <x v="290"/>
    <s v="C00000021"/>
    <x v="21"/>
    <x v="118"/>
    <n v="1"/>
    <s v="Cash"/>
    <x v="0"/>
    <d v="2022-06-24T00:00:00"/>
    <x v="1"/>
    <x v="4"/>
    <n v="2090"/>
    <n v="-2090"/>
    <n v="0"/>
    <n v="1573363.1500000004"/>
    <s v="PD Chq"/>
    <s v="Chq PBB 395368, cleared061022 RM3,374.50"/>
    <m/>
  </r>
  <r>
    <x v="218"/>
    <x v="1"/>
    <x v="3"/>
    <x v="290"/>
    <s v="C00000021"/>
    <x v="21"/>
    <x v="100"/>
    <n v="3"/>
    <s v="Cash"/>
    <x v="0"/>
    <d v="2022-06-24T00:00:00"/>
    <x v="1"/>
    <x v="4"/>
    <n v="882"/>
    <n v="-882"/>
    <n v="0"/>
    <n v="1574245.1500000004"/>
    <s v="PD Chq"/>
    <s v="Chq PBB 395368, cleared061022 RM3,374.50"/>
    <m/>
  </r>
  <r>
    <x v="218"/>
    <x v="1"/>
    <x v="3"/>
    <x v="290"/>
    <s v="C00000021"/>
    <x v="21"/>
    <x v="106"/>
    <n v="1"/>
    <s v="Cash"/>
    <x v="0"/>
    <d v="2022-06-24T00:00:00"/>
    <x v="1"/>
    <x v="4"/>
    <n v="90"/>
    <n v="-90"/>
    <n v="0"/>
    <n v="1574335.1500000004"/>
    <s v="PD Chq"/>
    <s v="Chq PBB 395368, cleared061022 RM3,374.50"/>
    <m/>
  </r>
  <r>
    <x v="218"/>
    <x v="1"/>
    <x v="3"/>
    <x v="290"/>
    <s v="C00000021"/>
    <x v="21"/>
    <x v="132"/>
    <n v="5"/>
    <s v="Cash"/>
    <x v="0"/>
    <d v="2022-06-24T00:00:00"/>
    <x v="1"/>
    <x v="4"/>
    <n v="312.5"/>
    <n v="-312.5"/>
    <n v="0"/>
    <n v="1574647.6500000004"/>
    <s v="PD Chq"/>
    <s v="Chq PBB 395368, cleared061022 RM3,374.50"/>
    <m/>
  </r>
  <r>
    <x v="218"/>
    <x v="1"/>
    <x v="3"/>
    <x v="291"/>
    <s v="C00000020"/>
    <x v="19"/>
    <x v="7"/>
    <n v="2"/>
    <s v="Cash"/>
    <x v="0"/>
    <d v="2022-06-24T00:00:00"/>
    <x v="1"/>
    <x v="4"/>
    <n v="4180"/>
    <n v="-4180"/>
    <n v="0"/>
    <n v="1578827.6500000004"/>
    <s v="Trsf"/>
    <s v="Trsf 28/12/22 RM30,000.00"/>
    <m/>
  </r>
  <r>
    <x v="218"/>
    <x v="1"/>
    <x v="3"/>
    <x v="291"/>
    <s v="C00000020"/>
    <x v="19"/>
    <x v="100"/>
    <n v="3"/>
    <s v="Cash"/>
    <x v="0"/>
    <d v="2022-06-24T00:00:00"/>
    <x v="1"/>
    <x v="4"/>
    <n v="882"/>
    <n v="-882"/>
    <n v="0"/>
    <n v="1579709.6500000004"/>
    <s v="Trsf"/>
    <s v="Trsf 28/12/22 RM30,000.00"/>
    <m/>
  </r>
  <r>
    <x v="218"/>
    <x v="1"/>
    <x v="3"/>
    <x v="291"/>
    <s v="C00000020"/>
    <x v="19"/>
    <x v="133"/>
    <n v="2"/>
    <s v="Cash"/>
    <x v="0"/>
    <d v="2022-06-24T00:00:00"/>
    <x v="1"/>
    <x v="4"/>
    <n v="702"/>
    <n v="-702"/>
    <n v="0"/>
    <n v="1580411.6500000004"/>
    <s v="Trsf"/>
    <s v="Trsf 28/12/22 RM30,000.00"/>
    <m/>
  </r>
  <r>
    <x v="218"/>
    <x v="1"/>
    <x v="3"/>
    <x v="291"/>
    <s v="C00000020"/>
    <x v="19"/>
    <x v="132"/>
    <n v="2"/>
    <s v="Cash"/>
    <x v="0"/>
    <d v="2022-06-24T00:00:00"/>
    <x v="1"/>
    <x v="4"/>
    <n v="125"/>
    <n v="-125"/>
    <n v="0"/>
    <n v="1580536.6500000004"/>
    <s v="Trsf"/>
    <s v="Trsf 28/12/22 RM30,000.00"/>
    <m/>
  </r>
  <r>
    <x v="219"/>
    <x v="1"/>
    <x v="3"/>
    <x v="292"/>
    <s v="C00000019"/>
    <x v="18"/>
    <x v="120"/>
    <n v="2"/>
    <s v="Cash"/>
    <x v="0"/>
    <d v="2022-06-28T00:00:00"/>
    <x v="1"/>
    <x v="4"/>
    <n v="4136"/>
    <n v="-4136"/>
    <n v="0"/>
    <n v="1584672.6500000004"/>
    <s v="Trsf"/>
    <s v="Trsf 29/6/22, RM3,000.00, Trsf 30/6/22, RM3,223.60"/>
    <m/>
  </r>
  <r>
    <x v="219"/>
    <x v="1"/>
    <x v="3"/>
    <x v="292"/>
    <s v="C00000019"/>
    <x v="18"/>
    <x v="112"/>
    <n v="2"/>
    <s v="Cash"/>
    <x v="0"/>
    <d v="2022-06-28T00:00:00"/>
    <x v="1"/>
    <x v="4"/>
    <n v="1047.5999999999999"/>
    <n v="-1047.5999999999999"/>
    <n v="0"/>
    <n v="1585720.2500000005"/>
    <s v="Trsf"/>
    <s v="Trsf 29/6/22, RM3,000.00, Trsf 30/6/22, RM3,223.60"/>
    <m/>
  </r>
  <r>
    <x v="219"/>
    <x v="1"/>
    <x v="3"/>
    <x v="292"/>
    <s v="C00000019"/>
    <x v="18"/>
    <x v="4"/>
    <n v="2"/>
    <s v="Cash"/>
    <x v="0"/>
    <d v="2022-06-28T00:00:00"/>
    <x v="1"/>
    <x v="4"/>
    <n v="210"/>
    <n v="-210"/>
    <n v="0"/>
    <n v="1585930.2500000005"/>
    <s v="Trsf"/>
    <s v="Trsf 29/6/22, RM3,000.00, Trsf 30/6/22, RM3,223.60"/>
    <m/>
  </r>
  <r>
    <x v="219"/>
    <x v="1"/>
    <x v="3"/>
    <x v="292"/>
    <s v="C00000019"/>
    <x v="18"/>
    <x v="52"/>
    <n v="1"/>
    <s v="Cash"/>
    <x v="0"/>
    <d v="2022-06-28T00:00:00"/>
    <x v="1"/>
    <x v="4"/>
    <n v="390"/>
    <n v="-390"/>
    <n v="0"/>
    <n v="1586320.2500000005"/>
    <s v="Trsf"/>
    <s v="Trsf 29/6/22, RM3,000.00, Trsf 30/6/22, RM3,223.60"/>
    <m/>
  </r>
  <r>
    <x v="219"/>
    <x v="1"/>
    <x v="3"/>
    <x v="292"/>
    <s v="C00000019"/>
    <x v="18"/>
    <x v="131"/>
    <n v="1"/>
    <s v="Cash"/>
    <x v="0"/>
    <d v="2022-06-28T00:00:00"/>
    <x v="1"/>
    <x v="4"/>
    <n v="440"/>
    <n v="-440"/>
    <n v="0"/>
    <n v="1586760.2500000005"/>
    <s v="Trsf"/>
    <s v="Trsf 29/6/22, RM3,000.00, Trsf 30/6/22, RM3,223.60"/>
    <m/>
  </r>
  <r>
    <x v="220"/>
    <x v="1"/>
    <x v="3"/>
    <x v="293"/>
    <s v="C00000010"/>
    <x v="9"/>
    <x v="121"/>
    <n v="7"/>
    <n v="120"/>
    <x v="2"/>
    <d v="2022-10-27T00:00:00"/>
    <x v="3"/>
    <x v="4"/>
    <n v="13860"/>
    <n v="-13860"/>
    <n v="0"/>
    <n v="1600620.2500000005"/>
    <s v="Trsf"/>
    <s v="Trsf 23/9/22 RM31,205.00"/>
    <m/>
  </r>
  <r>
    <x v="220"/>
    <x v="1"/>
    <x v="3"/>
    <x v="293"/>
    <s v="C00000010"/>
    <x v="9"/>
    <x v="100"/>
    <n v="10"/>
    <n v="120"/>
    <x v="2"/>
    <d v="2022-10-27T00:00:00"/>
    <x v="3"/>
    <x v="4"/>
    <n v="2850"/>
    <n v="-2850"/>
    <n v="0"/>
    <n v="1603470.2500000005"/>
    <s v="Trsf"/>
    <s v="Trsf 23/9/22 RM31,205.00"/>
    <m/>
  </r>
  <r>
    <x v="220"/>
    <x v="1"/>
    <x v="3"/>
    <x v="293"/>
    <s v="C00000010"/>
    <x v="9"/>
    <x v="132"/>
    <n v="10"/>
    <n v="120"/>
    <x v="2"/>
    <d v="2022-10-27T00:00:00"/>
    <x v="3"/>
    <x v="4"/>
    <n v="550"/>
    <n v="-550"/>
    <n v="0"/>
    <n v="1604020.2500000005"/>
    <s v="Trsf"/>
    <s v="Trsf 23/9/22 RM31,205.00"/>
    <m/>
  </r>
  <r>
    <x v="220"/>
    <x v="1"/>
    <x v="3"/>
    <x v="293"/>
    <s v="C00000010"/>
    <x v="9"/>
    <x v="4"/>
    <n v="4"/>
    <n v="120"/>
    <x v="2"/>
    <d v="2022-10-27T00:00:00"/>
    <x v="3"/>
    <x v="4"/>
    <n v="420"/>
    <n v="-420"/>
    <n v="0"/>
    <n v="1604440.2500000005"/>
    <s v="Trsf"/>
    <s v="Trsf 23/9/22 RM31,205.00"/>
    <m/>
  </r>
  <r>
    <x v="220"/>
    <x v="1"/>
    <x v="3"/>
    <x v="293"/>
    <s v="C00000010"/>
    <x v="9"/>
    <x v="48"/>
    <n v="1"/>
    <n v="120"/>
    <x v="2"/>
    <d v="2022-10-27T00:00:00"/>
    <x v="3"/>
    <x v="4"/>
    <n v="395"/>
    <n v="-395"/>
    <n v="0"/>
    <n v="1604835.2500000005"/>
    <s v="Trsf"/>
    <s v="Trsf 23/9/22 RM31,205.00"/>
    <m/>
  </r>
  <r>
    <x v="220"/>
    <x v="1"/>
    <x v="3"/>
    <x v="293"/>
    <s v="C00000010"/>
    <x v="9"/>
    <x v="131"/>
    <n v="1"/>
    <n v="120"/>
    <x v="2"/>
    <d v="2022-10-27T00:00:00"/>
    <x v="3"/>
    <x v="4"/>
    <n v="440"/>
    <n v="-440"/>
    <n v="0"/>
    <n v="1605275.2500000005"/>
    <s v="Trsf"/>
    <s v="Trsf 23/9/22 RM31,205.00"/>
    <m/>
  </r>
  <r>
    <x v="221"/>
    <x v="2"/>
    <x v="3"/>
    <x v="294"/>
    <s v="C00000009"/>
    <x v="8"/>
    <x v="112"/>
    <n v="3"/>
    <n v="60"/>
    <x v="3"/>
    <d v="2022-08-30T00:00:00"/>
    <x v="2"/>
    <x v="4"/>
    <n v="1539"/>
    <n v="-1539"/>
    <n v="0"/>
    <n v="1606814.2500000005"/>
    <s v="Chq"/>
    <s v="Chq HL 016715 dd 16/11/22"/>
    <m/>
  </r>
  <r>
    <x v="222"/>
    <x v="2"/>
    <x v="3"/>
    <x v="295"/>
    <s v="C00000019"/>
    <x v="18"/>
    <x v="120"/>
    <n v="2"/>
    <s v="Cash"/>
    <x v="0"/>
    <d v="2022-07-12T00:00:00"/>
    <x v="4"/>
    <x v="4"/>
    <n v="4136"/>
    <n v="-4136"/>
    <n v="0"/>
    <n v="1610950.2500000005"/>
    <s v="Trsf"/>
    <s v="Trsf 15/7/22, RM5,183.60"/>
    <m/>
  </r>
  <r>
    <x v="222"/>
    <x v="2"/>
    <x v="3"/>
    <x v="295"/>
    <s v="C00000019"/>
    <x v="18"/>
    <x v="112"/>
    <n v="2"/>
    <s v="Cash"/>
    <x v="0"/>
    <d v="2022-07-12T00:00:00"/>
    <x v="4"/>
    <x v="4"/>
    <n v="1047.5999999999999"/>
    <n v="-1047.5999999999999"/>
    <n v="0"/>
    <n v="1611997.8500000006"/>
    <s v="Trsf"/>
    <s v="Trsf 15/7/22, RM5,183.60"/>
    <m/>
  </r>
  <r>
    <x v="223"/>
    <x v="2"/>
    <x v="3"/>
    <x v="296"/>
    <s v="C00000020"/>
    <x v="19"/>
    <x v="118"/>
    <n v="4"/>
    <s v="Cash"/>
    <x v="0"/>
    <d v="2022-07-14T00:00:00"/>
    <x v="4"/>
    <x v="4"/>
    <n v="8272"/>
    <n v="-8272"/>
    <n v="0"/>
    <n v="1620269.8500000006"/>
    <s v="Trsf"/>
    <s v="Trsf 28/12/22 RM30,000.00"/>
    <m/>
  </r>
  <r>
    <x v="223"/>
    <x v="2"/>
    <x v="3"/>
    <x v="296"/>
    <s v="C00000020"/>
    <x v="19"/>
    <x v="100"/>
    <n v="9"/>
    <s v="Cash"/>
    <x v="0"/>
    <d v="2022-07-14T00:00:00"/>
    <x v="4"/>
    <x v="4"/>
    <n v="2646"/>
    <n v="-2646"/>
    <n v="0"/>
    <n v="1622915.8500000006"/>
    <s v="Trsf"/>
    <s v="Trsf 28/12/22 RM30,000.00"/>
    <m/>
  </r>
  <r>
    <x v="223"/>
    <x v="2"/>
    <x v="3"/>
    <x v="296"/>
    <s v="C00000020"/>
    <x v="19"/>
    <x v="133"/>
    <n v="5"/>
    <s v="Cash"/>
    <x v="0"/>
    <d v="2022-07-14T00:00:00"/>
    <x v="4"/>
    <x v="4"/>
    <n v="1687.5"/>
    <n v="-1687.5"/>
    <n v="0"/>
    <n v="1624603.3500000006"/>
    <s v="Trsf"/>
    <s v="Trsf 28/12/22 RM30,000.00"/>
    <m/>
  </r>
  <r>
    <x v="223"/>
    <x v="2"/>
    <x v="3"/>
    <x v="296"/>
    <s v="C00000020"/>
    <x v="19"/>
    <x v="132"/>
    <n v="4"/>
    <s v="Cash"/>
    <x v="0"/>
    <d v="2022-07-14T00:00:00"/>
    <x v="4"/>
    <x v="4"/>
    <n v="250"/>
    <n v="-250"/>
    <n v="0"/>
    <n v="1624853.3500000006"/>
    <s v="Trsf"/>
    <s v="Trsf 28/12/22 RM30,000.00"/>
    <m/>
  </r>
  <r>
    <x v="223"/>
    <x v="2"/>
    <x v="3"/>
    <x v="297"/>
    <s v="C00000027"/>
    <x v="28"/>
    <x v="118"/>
    <n v="2"/>
    <s v="Cash"/>
    <x v="0"/>
    <d v="2022-07-14T00:00:00"/>
    <x v="4"/>
    <x v="4"/>
    <n v="4004"/>
    <n v="-4004"/>
    <n v="0"/>
    <n v="1628857.3500000006"/>
    <s v="Trsf"/>
    <s v="Bank Islam 159011 Cleared22/8/22, RM8,568.20"/>
    <m/>
  </r>
  <r>
    <x v="223"/>
    <x v="2"/>
    <x v="3"/>
    <x v="297"/>
    <s v="C00000027"/>
    <x v="28"/>
    <x v="112"/>
    <n v="2"/>
    <s v="Cash"/>
    <x v="0"/>
    <d v="2022-07-14T00:00:00"/>
    <x v="4"/>
    <x v="4"/>
    <n v="1015.2"/>
    <n v="-1015.2"/>
    <n v="0"/>
    <n v="1629872.5500000005"/>
    <s v="Trsf"/>
    <s v="Bank Islam 159011 Cleared22/8/22, RM8,568.20"/>
    <m/>
  </r>
  <r>
    <x v="223"/>
    <x v="2"/>
    <x v="3"/>
    <x v="297"/>
    <s v="C00000027"/>
    <x v="28"/>
    <x v="133"/>
    <n v="3"/>
    <s v="Cash"/>
    <x v="0"/>
    <d v="2022-07-14T00:00:00"/>
    <x v="4"/>
    <x v="4"/>
    <n v="945"/>
    <n v="-945"/>
    <n v="0"/>
    <n v="1630817.5500000005"/>
    <s v="Trsf"/>
    <s v="Bank Islam 159011 Cleared22/8/22, RM8,568.20"/>
    <m/>
  </r>
  <r>
    <x v="223"/>
    <x v="2"/>
    <x v="3"/>
    <x v="297"/>
    <s v="C00000027"/>
    <x v="28"/>
    <x v="136"/>
    <n v="2"/>
    <s v="Cash"/>
    <x v="0"/>
    <d v="2022-07-14T00:00:00"/>
    <x v="4"/>
    <x v="4"/>
    <n v="320"/>
    <n v="-320"/>
    <n v="0"/>
    <n v="1631137.5500000005"/>
    <s v="Trsf"/>
    <s v="Bank Islam 159011 Cleared22/8/22, RM8,568.20"/>
    <m/>
  </r>
  <r>
    <x v="223"/>
    <x v="2"/>
    <x v="3"/>
    <x v="297"/>
    <s v="C00000027"/>
    <x v="28"/>
    <x v="106"/>
    <n v="1"/>
    <s v="Cash"/>
    <x v="0"/>
    <d v="2022-07-14T00:00:00"/>
    <x v="4"/>
    <x v="4"/>
    <n v="90"/>
    <n v="-90"/>
    <n v="0"/>
    <n v="1631227.5500000005"/>
    <s v="Trsf"/>
    <s v="Bank Islam 159011 Cleared22/8/22, RM8,568.20"/>
    <m/>
  </r>
  <r>
    <x v="223"/>
    <x v="2"/>
    <x v="3"/>
    <x v="297"/>
    <s v="C00000027"/>
    <x v="28"/>
    <x v="137"/>
    <n v="1"/>
    <s v="Cash"/>
    <x v="0"/>
    <d v="2022-07-14T00:00:00"/>
    <x v="4"/>
    <x v="4"/>
    <n v="500"/>
    <n v="-500"/>
    <n v="0"/>
    <n v="1631727.5500000005"/>
    <s v="Trsf"/>
    <s v="Bank Islam 159011 Cleared22/8/22, RM8,568.20"/>
    <m/>
  </r>
  <r>
    <x v="223"/>
    <x v="2"/>
    <x v="3"/>
    <x v="297"/>
    <s v="C00000027"/>
    <x v="28"/>
    <x v="138"/>
    <n v="1"/>
    <s v="Cash"/>
    <x v="0"/>
    <d v="2022-07-14T00:00:00"/>
    <x v="4"/>
    <x v="4"/>
    <n v="170"/>
    <n v="-170"/>
    <n v="0"/>
    <n v="1631897.5500000005"/>
    <s v="Trsf"/>
    <s v="Bank Islam 159011 Cleared22/8/22, RM8,568.20"/>
    <m/>
  </r>
  <r>
    <x v="223"/>
    <x v="2"/>
    <x v="3"/>
    <x v="297"/>
    <s v="C00000027"/>
    <x v="28"/>
    <x v="125"/>
    <n v="6"/>
    <s v="Cash"/>
    <x v="0"/>
    <d v="2022-07-14T00:00:00"/>
    <x v="4"/>
    <x v="4"/>
    <n v="1524"/>
    <n v="-1524"/>
    <n v="0"/>
    <n v="1633421.5500000005"/>
    <s v="Trsf"/>
    <s v="Bank Islam 159011 Cleared22/8/22, RM8,568.20"/>
    <m/>
  </r>
  <r>
    <x v="224"/>
    <x v="2"/>
    <x v="3"/>
    <x v="298"/>
    <s v="C00000020"/>
    <x v="19"/>
    <x v="118"/>
    <n v="2"/>
    <s v="Cash"/>
    <x v="0"/>
    <d v="2022-07-18T00:00:00"/>
    <x v="4"/>
    <x v="4"/>
    <n v="4136"/>
    <n v="-4136"/>
    <n v="0"/>
    <n v="1637557.5500000005"/>
    <s v="Trsf"/>
    <s v="Trsf 28/12/22 RM30,000.00"/>
    <m/>
  </r>
  <r>
    <x v="224"/>
    <x v="2"/>
    <x v="3"/>
    <x v="298"/>
    <s v="C00000020"/>
    <x v="19"/>
    <x v="100"/>
    <n v="8"/>
    <s v="Cash"/>
    <x v="0"/>
    <d v="2022-07-18T00:00:00"/>
    <x v="4"/>
    <x v="4"/>
    <n v="2352"/>
    <n v="-2352"/>
    <n v="0"/>
    <n v="1639909.5500000005"/>
    <s v="Trsf"/>
    <s v="Trsf 28/12/22 RM30,000.00"/>
    <m/>
  </r>
  <r>
    <x v="224"/>
    <x v="2"/>
    <x v="3"/>
    <x v="298"/>
    <s v="C00000020"/>
    <x v="19"/>
    <x v="128"/>
    <n v="4"/>
    <s v="Cash"/>
    <x v="0"/>
    <d v="2022-07-18T00:00:00"/>
    <x v="4"/>
    <x v="4"/>
    <n v="1200"/>
    <n v="-1200"/>
    <n v="0"/>
    <n v="1641109.5500000005"/>
    <s v="Trsf"/>
    <s v="Trsf 28/12/22 RM30,000.00(RM260.80), Trsf 29/12/22 RM5,000.00(RM939.20)"/>
    <m/>
  </r>
  <r>
    <x v="224"/>
    <x v="2"/>
    <x v="3"/>
    <x v="298"/>
    <s v="C00000020"/>
    <x v="19"/>
    <x v="132"/>
    <n v="2"/>
    <s v="Cash"/>
    <x v="0"/>
    <d v="2022-07-18T00:00:00"/>
    <x v="4"/>
    <x v="4"/>
    <n v="125"/>
    <n v="-125"/>
    <n v="0"/>
    <n v="1641234.5500000005"/>
    <s v="Trsf"/>
    <s v="Trsf 29/12/22 RM5,000.00"/>
    <m/>
  </r>
  <r>
    <x v="224"/>
    <x v="2"/>
    <x v="3"/>
    <x v="298"/>
    <s v="C00000020"/>
    <x v="19"/>
    <x v="105"/>
    <n v="1"/>
    <s v="Cash"/>
    <x v="0"/>
    <d v="2022-07-18T00:00:00"/>
    <x v="4"/>
    <x v="4"/>
    <n v="1000"/>
    <n v="-1000"/>
    <n v="0"/>
    <n v="1642234.5500000005"/>
    <s v="Trsf"/>
    <s v="Trsf 29/12/22 RM5,000.00"/>
    <m/>
  </r>
  <r>
    <x v="224"/>
    <x v="2"/>
    <x v="3"/>
    <x v="298"/>
    <s v="C00000020"/>
    <x v="19"/>
    <x v="106"/>
    <n v="4"/>
    <s v="Cash"/>
    <x v="0"/>
    <d v="2022-07-18T00:00:00"/>
    <x v="4"/>
    <x v="4"/>
    <n v="340"/>
    <n v="-340"/>
    <n v="0"/>
    <n v="1642574.5500000005"/>
    <s v="Trsf"/>
    <s v="Trsf 29/12/22 RM5,000.00"/>
    <m/>
  </r>
  <r>
    <x v="225"/>
    <x v="2"/>
    <x v="3"/>
    <x v="299"/>
    <s v="C00000020"/>
    <x v="19"/>
    <x v="100"/>
    <n v="2"/>
    <s v="Cash"/>
    <x v="0"/>
    <d v="2022-07-20T00:00:00"/>
    <x v="4"/>
    <x v="4"/>
    <n v="588"/>
    <n v="-588"/>
    <n v="0"/>
    <n v="1643162.5500000005"/>
    <s v="Trsf"/>
    <s v="Trsf 29/12/22 RM5,000.00"/>
    <m/>
  </r>
  <r>
    <x v="225"/>
    <x v="2"/>
    <x v="3"/>
    <x v="299"/>
    <s v="C00000020"/>
    <x v="19"/>
    <x v="133"/>
    <n v="1"/>
    <s v="Cash"/>
    <x v="0"/>
    <d v="2022-07-20T00:00:00"/>
    <x v="4"/>
    <x v="4"/>
    <n v="337.5"/>
    <n v="-337.5"/>
    <n v="0"/>
    <n v="1643500.0500000005"/>
    <s v="Trsf"/>
    <s v="Trsf 29/12/22 RM5,000.00"/>
    <m/>
  </r>
  <r>
    <x v="226"/>
    <x v="2"/>
    <x v="3"/>
    <x v="300"/>
    <s v="C00000020"/>
    <x v="19"/>
    <x v="120"/>
    <n v="2"/>
    <s v="Cash"/>
    <x v="0"/>
    <d v="2022-07-23T00:00:00"/>
    <x v="4"/>
    <x v="4"/>
    <n v="4136"/>
    <n v="-4136"/>
    <n v="0"/>
    <n v="1647636.0500000005"/>
    <s v="Trsf"/>
    <s v="Trsf 29/12/22 RM5,000.00(RM1,670.30), Trsf 4/1/23 RM30,000.00(RM2,465.70partial)"/>
    <m/>
  </r>
  <r>
    <x v="226"/>
    <x v="2"/>
    <x v="3"/>
    <x v="300"/>
    <s v="C00000020"/>
    <x v="19"/>
    <x v="100"/>
    <n v="6"/>
    <s v="Cash"/>
    <x v="0"/>
    <d v="2022-07-23T00:00:00"/>
    <x v="4"/>
    <x v="4"/>
    <n v="1764"/>
    <n v="-1764"/>
    <n v="0"/>
    <n v="1649400.0500000005"/>
    <s v="Trsf"/>
    <s v="Trsf 4/1/23 RM30,000.00"/>
    <m/>
  </r>
  <r>
    <x v="226"/>
    <x v="2"/>
    <x v="3"/>
    <x v="300"/>
    <s v="C00000020"/>
    <x v="19"/>
    <x v="128"/>
    <n v="2"/>
    <s v="Cash"/>
    <x v="0"/>
    <d v="2022-07-23T00:00:00"/>
    <x v="4"/>
    <x v="4"/>
    <n v="600"/>
    <n v="-600"/>
    <n v="0"/>
    <n v="1650000.0500000005"/>
    <s v="Trsf"/>
    <s v="Trsf 4/1/23 RM30,000.00"/>
    <m/>
  </r>
  <r>
    <x v="226"/>
    <x v="2"/>
    <x v="3"/>
    <x v="300"/>
    <s v="C00000020"/>
    <x v="19"/>
    <x v="132"/>
    <n v="2"/>
    <s v="Cash"/>
    <x v="0"/>
    <d v="2022-07-23T00:00:00"/>
    <x v="4"/>
    <x v="4"/>
    <n v="125"/>
    <n v="-125"/>
    <n v="0"/>
    <n v="1650125.0500000005"/>
    <s v="Trsf"/>
    <s v="Trsf 4/1/23 RM30,000.00"/>
    <m/>
  </r>
  <r>
    <x v="226"/>
    <x v="2"/>
    <x v="3"/>
    <x v="301"/>
    <s v="C00000001"/>
    <x v="0"/>
    <x v="118"/>
    <n v="2"/>
    <s v="Cash"/>
    <x v="0"/>
    <d v="2022-07-23T00:00:00"/>
    <x v="4"/>
    <x v="4"/>
    <n v="4092"/>
    <n v="-4092"/>
    <n v="0"/>
    <n v="1654217.0500000005"/>
    <s v="Trsf"/>
    <s v="Trsf 29/7/22 RM4,092.00"/>
    <m/>
  </r>
  <r>
    <x v="227"/>
    <x v="2"/>
    <x v="3"/>
    <x v="302"/>
    <s v="C00000010"/>
    <x v="9"/>
    <x v="121"/>
    <n v="5"/>
    <n v="120"/>
    <x v="2"/>
    <d v="2022-11-23T00:00:00"/>
    <x v="5"/>
    <x v="4"/>
    <n v="9900"/>
    <n v="-9900"/>
    <n v="0"/>
    <n v="1664117.0500000005"/>
    <s v="Trsf"/>
    <s v="Trsf 18/10/22 RM13,445.00"/>
    <m/>
  </r>
  <r>
    <x v="227"/>
    <x v="2"/>
    <x v="3"/>
    <x v="302"/>
    <s v="C00000010"/>
    <x v="9"/>
    <x v="100"/>
    <n v="10"/>
    <n v="120"/>
    <x v="2"/>
    <d v="2022-11-23T00:00:00"/>
    <x v="5"/>
    <x v="4"/>
    <n v="2850"/>
    <n v="-2850"/>
    <n v="0"/>
    <n v="1666967.0500000005"/>
    <s v="Trsf"/>
    <s v="Trsf 18/10/22 RM13,445.00"/>
    <m/>
  </r>
  <r>
    <x v="227"/>
    <x v="2"/>
    <x v="3"/>
    <x v="302"/>
    <s v="C00000010"/>
    <x v="9"/>
    <x v="132"/>
    <n v="5"/>
    <n v="120"/>
    <x v="2"/>
    <d v="2022-11-23T00:00:00"/>
    <x v="5"/>
    <x v="4"/>
    <n v="275"/>
    <n v="-275"/>
    <n v="0"/>
    <n v="1667242.0500000005"/>
    <s v="Trsf"/>
    <s v="Trsf 18/10/22 RM13,445.00"/>
    <m/>
  </r>
  <r>
    <x v="227"/>
    <x v="2"/>
    <x v="3"/>
    <x v="302"/>
    <s v="C00000010"/>
    <x v="9"/>
    <x v="4"/>
    <n v="4"/>
    <n v="120"/>
    <x v="2"/>
    <d v="2022-11-23T00:00:00"/>
    <x v="5"/>
    <x v="4"/>
    <n v="420"/>
    <n v="-420"/>
    <n v="0"/>
    <n v="1667662.0500000005"/>
    <s v="Trsf"/>
    <s v="Trsf 18/10/22 RM13,445.00"/>
    <m/>
  </r>
  <r>
    <x v="228"/>
    <x v="2"/>
    <x v="3"/>
    <x v="303"/>
    <s v="C00000021"/>
    <x v="21"/>
    <x v="118"/>
    <n v="1"/>
    <s v="Cash"/>
    <x v="0"/>
    <d v="2022-07-29T00:00:00"/>
    <x v="4"/>
    <x v="4"/>
    <n v="2090"/>
    <n v="-2090"/>
    <n v="0"/>
    <n v="1669752.0500000005"/>
    <s v="PD Chq"/>
    <s v="Chq PBB 395369, cleared201022 RM2,180.00"/>
    <m/>
  </r>
  <r>
    <x v="228"/>
    <x v="2"/>
    <x v="3"/>
    <x v="303"/>
    <s v="C00000021"/>
    <x v="21"/>
    <x v="106"/>
    <n v="1"/>
    <s v="Cash"/>
    <x v="0"/>
    <d v="2022-07-29T00:00:00"/>
    <x v="4"/>
    <x v="4"/>
    <n v="90"/>
    <n v="-90"/>
    <n v="0"/>
    <n v="1669842.0500000005"/>
    <s v="PD Chq"/>
    <s v="Chq PBB 395369, cleared201022 RM2,180.00"/>
    <m/>
  </r>
  <r>
    <x v="228"/>
    <x v="2"/>
    <x v="3"/>
    <x v="304"/>
    <s v="C00000009"/>
    <x v="8"/>
    <x v="120"/>
    <n v="2"/>
    <n v="60"/>
    <x v="3"/>
    <d v="2022-09-27T00:00:00"/>
    <x v="6"/>
    <x v="4"/>
    <n v="3960"/>
    <n v="-3960"/>
    <n v="0"/>
    <n v="1673802.0500000005"/>
    <s v="Chq"/>
    <s v="Chq HL 016715 dd 16/11/22"/>
    <m/>
  </r>
  <r>
    <x v="228"/>
    <x v="2"/>
    <x v="3"/>
    <x v="304"/>
    <s v="C00000009"/>
    <x v="8"/>
    <x v="139"/>
    <n v="1"/>
    <n v="60"/>
    <x v="3"/>
    <d v="2022-09-27T00:00:00"/>
    <x v="6"/>
    <x v="4"/>
    <n v="636.5"/>
    <n v="-636.5"/>
    <n v="0"/>
    <n v="1674438.5500000005"/>
    <s v="Chq"/>
    <s v="Chq HL 016715 dd 16/11/22"/>
    <m/>
  </r>
  <r>
    <x v="229"/>
    <x v="3"/>
    <x v="3"/>
    <x v="305"/>
    <s v="C00000027"/>
    <x v="28"/>
    <x v="118"/>
    <n v="3"/>
    <s v="Cash"/>
    <x v="0"/>
    <d v="2022-08-04T00:00:00"/>
    <x v="2"/>
    <x v="4"/>
    <n v="6006"/>
    <n v="-6006"/>
    <n v="0"/>
    <n v="1680444.5500000005"/>
    <s v="Trsf"/>
    <s v="Bank Islam 0159032 Cleared28/9/22, RM12,643.00"/>
    <m/>
  </r>
  <r>
    <x v="229"/>
    <x v="3"/>
    <x v="3"/>
    <x v="305"/>
    <s v="C00000027"/>
    <x v="28"/>
    <x v="139"/>
    <n v="2"/>
    <s v="Cash"/>
    <x v="0"/>
    <d v="2022-08-04T00:00:00"/>
    <x v="2"/>
    <x v="4"/>
    <n v="1259.5999999999999"/>
    <n v="-1259.5999999999999"/>
    <n v="0"/>
    <n v="1681704.1500000006"/>
    <s v="Trsf"/>
    <s v="Bank Islamn0159032 Cleared28/9/22, RM12,643.00"/>
    <m/>
  </r>
  <r>
    <x v="229"/>
    <x v="3"/>
    <x v="3"/>
    <x v="305"/>
    <s v="C00000027"/>
    <x v="28"/>
    <x v="140"/>
    <n v="2"/>
    <s v="Cash"/>
    <x v="0"/>
    <d v="2022-08-04T00:00:00"/>
    <x v="2"/>
    <x v="4"/>
    <n v="1015.2"/>
    <n v="-1015.2"/>
    <n v="0"/>
    <n v="1682719.3500000006"/>
    <s v="Trsf"/>
    <s v="Bank Islam 0159032 Cleared28/9/22, RM12,643.00"/>
    <m/>
  </r>
  <r>
    <x v="229"/>
    <x v="3"/>
    <x v="3"/>
    <x v="305"/>
    <s v="C00000027"/>
    <x v="28"/>
    <x v="128"/>
    <n v="2"/>
    <s v="Cash"/>
    <x v="0"/>
    <d v="2022-08-04T00:00:00"/>
    <x v="2"/>
    <x v="4"/>
    <n v="560"/>
    <n v="-560"/>
    <n v="0"/>
    <n v="1683279.3500000006"/>
    <s v="Trsf"/>
    <s v="Bank Islam 0159032 Cleared28/9/22, RM12,643.00"/>
    <m/>
  </r>
  <r>
    <x v="229"/>
    <x v="3"/>
    <x v="3"/>
    <x v="305"/>
    <s v="C00000027"/>
    <x v="28"/>
    <x v="141"/>
    <n v="4"/>
    <s v="Cash"/>
    <x v="0"/>
    <d v="2022-08-04T00:00:00"/>
    <x v="2"/>
    <x v="4"/>
    <n v="640"/>
    <n v="-640"/>
    <n v="0"/>
    <n v="1683919.3500000006"/>
    <s v="Trsf"/>
    <s v="Bank Islam 0159032 Cleared28/9/22, RM12,643.00"/>
    <m/>
  </r>
  <r>
    <x v="229"/>
    <x v="3"/>
    <x v="3"/>
    <x v="305"/>
    <s v="C00000027"/>
    <x v="28"/>
    <x v="106"/>
    <n v="1"/>
    <s v="Cash"/>
    <x v="0"/>
    <d v="2022-08-04T00:00:00"/>
    <x v="2"/>
    <x v="4"/>
    <n v="90"/>
    <n v="-90"/>
    <n v="0"/>
    <n v="1684009.3500000006"/>
    <s v="Trsf"/>
    <s v="Bank Islam 0159032 Cleared28/9/22, RM12,643.00"/>
    <m/>
  </r>
  <r>
    <x v="229"/>
    <x v="3"/>
    <x v="3"/>
    <x v="305"/>
    <s v="C00000027"/>
    <x v="28"/>
    <x v="104"/>
    <n v="1"/>
    <s v="Cash"/>
    <x v="0"/>
    <d v="2022-08-04T00:00:00"/>
    <x v="2"/>
    <x v="4"/>
    <n v="1108.4000000000001"/>
    <n v="-1108.4000000000001"/>
    <n v="0"/>
    <n v="1685117.7500000005"/>
    <s v="Trsf"/>
    <s v="Bank Islam 0159032 Cleared28/9/22, RM12,643.00"/>
    <m/>
  </r>
  <r>
    <x v="229"/>
    <x v="3"/>
    <x v="3"/>
    <x v="305"/>
    <s v="C00000027"/>
    <x v="28"/>
    <x v="131"/>
    <n v="1"/>
    <s v="Cash"/>
    <x v="0"/>
    <d v="2022-08-04T00:00:00"/>
    <x v="2"/>
    <x v="4"/>
    <n v="440"/>
    <n v="-440"/>
    <n v="0"/>
    <n v="1685557.7500000005"/>
    <s v="Trsf"/>
    <s v="Bank Islam 0159032 Cleared28/9/22, RM12,643.00"/>
    <m/>
  </r>
  <r>
    <x v="229"/>
    <x v="3"/>
    <x v="3"/>
    <x v="305"/>
    <s v="C00000027"/>
    <x v="28"/>
    <x v="125"/>
    <n v="6"/>
    <s v="Cash"/>
    <x v="0"/>
    <d v="2022-08-04T00:00:00"/>
    <x v="2"/>
    <x v="4"/>
    <n v="1524"/>
    <n v="-1523.8"/>
    <n v="0.20000000000004547"/>
    <n v="1687081.7500000005"/>
    <s v="Trsf"/>
    <s v="Bank Islam 0159032 Cleared28/9/22, RM12,643.00"/>
    <m/>
  </r>
  <r>
    <x v="230"/>
    <x v="3"/>
    <x v="3"/>
    <x v="306"/>
    <s v="C00000020"/>
    <x v="19"/>
    <x v="118"/>
    <n v="1"/>
    <s v="Cash"/>
    <x v="0"/>
    <d v="2022-08-06T00:00:00"/>
    <x v="2"/>
    <x v="4"/>
    <n v="2068"/>
    <n v="-2068"/>
    <n v="0"/>
    <n v="1689149.7500000005"/>
    <s v="Trsf"/>
    <s v="Trsf 4/1/23 RM30,000.00"/>
    <m/>
  </r>
  <r>
    <x v="230"/>
    <x v="3"/>
    <x v="3"/>
    <x v="306"/>
    <s v="C00000020"/>
    <x v="19"/>
    <x v="142"/>
    <n v="6"/>
    <s v="Cash"/>
    <x v="0"/>
    <d v="2022-08-06T00:00:00"/>
    <x v="2"/>
    <x v="4"/>
    <n v="2175.6000000000004"/>
    <n v="-2175.6000000000004"/>
    <n v="0"/>
    <n v="1691325.3500000006"/>
    <s v="Trsf"/>
    <s v="Trsf 4/1/23 RM30,000.00"/>
    <m/>
  </r>
  <r>
    <x v="230"/>
    <x v="3"/>
    <x v="3"/>
    <x v="306"/>
    <s v="C00000020"/>
    <x v="19"/>
    <x v="128"/>
    <n v="3"/>
    <s v="Cash"/>
    <x v="0"/>
    <d v="2022-08-06T00:00:00"/>
    <x v="2"/>
    <x v="4"/>
    <n v="900"/>
    <n v="-900"/>
    <n v="0"/>
    <n v="1692225.3500000006"/>
    <s v="Trsf"/>
    <s v="Trsf 4/1/23 RM30,000.00"/>
    <m/>
  </r>
  <r>
    <x v="230"/>
    <x v="3"/>
    <x v="3"/>
    <x v="306"/>
    <s v="C00000020"/>
    <x v="19"/>
    <x v="132"/>
    <n v="2"/>
    <s v="Cash"/>
    <x v="0"/>
    <d v="2022-08-06T00:00:00"/>
    <x v="2"/>
    <x v="4"/>
    <n v="125"/>
    <n v="-125"/>
    <n v="0"/>
    <n v="1692350.3500000006"/>
    <s v="Trsf"/>
    <s v="Trsf 4/1/23 RM30,000.00"/>
    <m/>
  </r>
  <r>
    <x v="230"/>
    <x v="3"/>
    <x v="3"/>
    <x v="307"/>
    <s v="C00000001"/>
    <x v="0"/>
    <x v="135"/>
    <n v="3"/>
    <s v="Cash"/>
    <x v="0"/>
    <d v="2022-08-06T00:00:00"/>
    <x v="2"/>
    <x v="4"/>
    <n v="864"/>
    <n v="-864"/>
    <n v="0"/>
    <n v="1693214.3500000006"/>
    <s v="Trsf"/>
    <s v="Trsf 13/8/22 RM864.00"/>
    <m/>
  </r>
  <r>
    <x v="231"/>
    <x v="3"/>
    <x v="3"/>
    <x v="308"/>
    <s v="C00000026"/>
    <x v="27"/>
    <x v="118"/>
    <n v="1"/>
    <s v="Cash"/>
    <x v="0"/>
    <d v="2022-08-09T00:00:00"/>
    <x v="2"/>
    <x v="4"/>
    <n v="2068"/>
    <n v="-2068"/>
    <n v="0"/>
    <n v="1695282.3500000006"/>
    <s v="Trsf"/>
    <s v="Trsf 9/8/22 RM2,068.00"/>
    <m/>
  </r>
  <r>
    <x v="232"/>
    <x v="3"/>
    <x v="3"/>
    <x v="309"/>
    <s v="C00000020"/>
    <x v="19"/>
    <x v="120"/>
    <n v="1"/>
    <s v="Cash"/>
    <x v="0"/>
    <d v="2022-08-12T00:00:00"/>
    <x v="2"/>
    <x v="4"/>
    <n v="2068"/>
    <n v="-2068"/>
    <n v="0"/>
    <n v="1697350.3500000006"/>
    <s v="Trsf"/>
    <s v="Trsf 4/1/23 RM30,000.00"/>
    <m/>
  </r>
  <r>
    <x v="232"/>
    <x v="3"/>
    <x v="3"/>
    <x v="309"/>
    <s v="C00000020"/>
    <x v="19"/>
    <x v="100"/>
    <n v="3"/>
    <s v="Cash"/>
    <x v="0"/>
    <d v="2022-08-12T00:00:00"/>
    <x v="2"/>
    <x v="4"/>
    <n v="882"/>
    <n v="-882"/>
    <n v="0"/>
    <n v="1698232.3500000006"/>
    <s v="Trsf"/>
    <s v="Trsf 4/1/23 RM30,000.00"/>
    <m/>
  </r>
  <r>
    <x v="232"/>
    <x v="3"/>
    <x v="3"/>
    <x v="309"/>
    <s v="C00000020"/>
    <x v="19"/>
    <x v="128"/>
    <n v="1"/>
    <s v="Cash"/>
    <x v="0"/>
    <d v="2022-08-12T00:00:00"/>
    <x v="2"/>
    <x v="4"/>
    <n v="300"/>
    <n v="-300"/>
    <n v="0"/>
    <n v="1698532.3500000006"/>
    <s v="Trsf"/>
    <s v="Trsf 4/1/23 RM30,000.00"/>
    <m/>
  </r>
  <r>
    <x v="232"/>
    <x v="3"/>
    <x v="3"/>
    <x v="309"/>
    <s v="C00000020"/>
    <x v="19"/>
    <x v="132"/>
    <n v="1"/>
    <s v="Cash"/>
    <x v="0"/>
    <d v="2022-08-12T00:00:00"/>
    <x v="2"/>
    <x v="4"/>
    <n v="62.5"/>
    <n v="-62.5"/>
    <n v="0"/>
    <n v="1698594.8500000006"/>
    <s v="Trsf"/>
    <s v="Trsf 4/1/23 RM30,000.00"/>
    <m/>
  </r>
  <r>
    <x v="232"/>
    <x v="3"/>
    <x v="3"/>
    <x v="309"/>
    <s v="C00000020"/>
    <x v="19"/>
    <x v="105"/>
    <n v="1"/>
    <s v="Cash"/>
    <x v="0"/>
    <d v="2022-08-12T00:00:00"/>
    <x v="2"/>
    <x v="4"/>
    <n v="1000"/>
    <n v="-1000"/>
    <n v="0"/>
    <n v="1699594.8500000006"/>
    <s v="Trsf"/>
    <s v="Trsf 4/1/23 RM30,000.00"/>
    <m/>
  </r>
  <r>
    <x v="233"/>
    <x v="3"/>
    <x v="3"/>
    <x v="310"/>
    <e v="#N/A"/>
    <x v="29"/>
    <x v="143"/>
    <n v="0"/>
    <e v="#N/A"/>
    <x v="4"/>
    <e v="#N/A"/>
    <x v="10"/>
    <x v="3"/>
    <n v="0"/>
    <m/>
    <n v="0"/>
    <n v="1699594.8500000006"/>
    <e v="#N/A"/>
    <m/>
    <m/>
  </r>
  <r>
    <x v="233"/>
    <x v="3"/>
    <x v="3"/>
    <x v="311"/>
    <s v="C00000004"/>
    <x v="3"/>
    <x v="144"/>
    <n v="5"/>
    <n v="120"/>
    <x v="2"/>
    <d v="2022-12-13T00:00:00"/>
    <x v="0"/>
    <x v="4"/>
    <n v="9570"/>
    <n v="-9570"/>
    <n v="0"/>
    <n v="1709164.8500000006"/>
    <s v="Chq"/>
    <s v="HLB014947Cleared21/11/22-RM16,536.70"/>
    <m/>
  </r>
  <r>
    <x v="233"/>
    <x v="3"/>
    <x v="3"/>
    <x v="311"/>
    <s v="C00000004"/>
    <x v="3"/>
    <x v="145"/>
    <n v="1"/>
    <n v="120"/>
    <x v="2"/>
    <d v="2022-12-13T00:00:00"/>
    <x v="0"/>
    <x v="4"/>
    <n v="1957.5"/>
    <n v="-1957.5"/>
    <n v="0"/>
    <n v="1711122.3500000006"/>
    <s v="Chq"/>
    <s v="HLB014947Cleared21/11/22-RM16,536.70"/>
    <m/>
  </r>
  <r>
    <x v="233"/>
    <x v="3"/>
    <x v="3"/>
    <x v="311"/>
    <s v="C00000004"/>
    <x v="3"/>
    <x v="139"/>
    <n v="4"/>
    <n v="120"/>
    <x v="2"/>
    <d v="2022-12-13T00:00:00"/>
    <x v="0"/>
    <x v="4"/>
    <n v="2358.4"/>
    <n v="-2358.4"/>
    <n v="0"/>
    <n v="1713480.7500000005"/>
    <s v="Chq"/>
    <s v="HLB014947Cleared21/11/22-RM16,536.70"/>
    <m/>
  </r>
  <r>
    <x v="233"/>
    <x v="3"/>
    <x v="3"/>
    <x v="311"/>
    <s v="C00000004"/>
    <x v="3"/>
    <x v="80"/>
    <n v="4"/>
    <n v="120"/>
    <x v="2"/>
    <d v="2022-12-13T00:00:00"/>
    <x v="0"/>
    <x v="4"/>
    <n v="1900.8"/>
    <n v="-1900.8"/>
    <n v="0"/>
    <n v="1715381.5500000005"/>
    <s v="Chq"/>
    <s v="HLB014947Cleared21/11/22-RM16,536.70"/>
    <m/>
  </r>
  <r>
    <x v="233"/>
    <x v="3"/>
    <x v="3"/>
    <x v="311"/>
    <s v="C00000004"/>
    <x v="3"/>
    <x v="106"/>
    <n v="4"/>
    <n v="120"/>
    <x v="2"/>
    <d v="2022-12-13T00:00:00"/>
    <x v="0"/>
    <x v="4"/>
    <n v="360"/>
    <n v="-360"/>
    <n v="0"/>
    <n v="1715741.5500000005"/>
    <s v="Chq"/>
    <s v="HLB014947Cleared21/11/22-RM16,536.70"/>
    <m/>
  </r>
  <r>
    <x v="233"/>
    <x v="3"/>
    <x v="3"/>
    <x v="311"/>
    <s v="C00000004"/>
    <x v="3"/>
    <x v="146"/>
    <n v="1"/>
    <n v="120"/>
    <x v="2"/>
    <d v="2022-12-13T00:00:00"/>
    <x v="0"/>
    <x v="4"/>
    <n v="390"/>
    <n v="-390"/>
    <n v="0"/>
    <n v="1716131.5500000005"/>
    <s v="Chq"/>
    <s v="HLB014947Cleared21/11/22-RM16,536.70"/>
    <m/>
  </r>
  <r>
    <x v="233"/>
    <x v="3"/>
    <x v="3"/>
    <x v="312"/>
    <s v="C00000003"/>
    <x v="2"/>
    <x v="15"/>
    <n v="3"/>
    <n v="45"/>
    <x v="1"/>
    <d v="2022-09-29T00:00:00"/>
    <x v="6"/>
    <x v="4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x v="233"/>
    <x v="3"/>
    <x v="3"/>
    <x v="312"/>
    <s v="C00000003"/>
    <x v="2"/>
    <x v="12"/>
    <n v="3"/>
    <n v="45"/>
    <x v="1"/>
    <d v="2022-09-29T00:00:00"/>
    <x v="6"/>
    <x v="4"/>
    <n v="195"/>
    <n v="-195"/>
    <n v="0"/>
    <n v="1722662.5500000005"/>
    <s v="PD Chq"/>
    <s v="RHB 00461 11/10/22cleared-RM1,521.00(partial)"/>
    <m/>
  </r>
  <r>
    <x v="233"/>
    <x v="3"/>
    <x v="3"/>
    <x v="312"/>
    <s v="C00000003"/>
    <x v="2"/>
    <x v="4"/>
    <n v="6"/>
    <n v="45"/>
    <x v="1"/>
    <d v="2022-09-29T00:00:00"/>
    <x v="6"/>
    <x v="4"/>
    <n v="630"/>
    <n v="-630"/>
    <n v="0"/>
    <n v="1723292.5500000005"/>
    <s v="PD Chq"/>
    <s v="RHB 00461 11/10/22cleared-RM1,521.00(partial)"/>
    <m/>
  </r>
  <r>
    <x v="233"/>
    <x v="3"/>
    <x v="3"/>
    <x v="312"/>
    <s v="C00000003"/>
    <x v="2"/>
    <x v="25"/>
    <n v="1"/>
    <n v="45"/>
    <x v="1"/>
    <d v="2022-09-29T00:00:00"/>
    <x v="6"/>
    <x v="4"/>
    <n v="45"/>
    <n v="-45"/>
    <n v="0"/>
    <n v="1723337.5500000005"/>
    <s v="PD Chq"/>
    <s v="RHB 00461 11/10/22cleared-RM1,521.00(partial)"/>
    <m/>
  </r>
  <r>
    <x v="233"/>
    <x v="3"/>
    <x v="3"/>
    <x v="312"/>
    <s v="C00000003"/>
    <x v="2"/>
    <x v="80"/>
    <n v="1"/>
    <n v="45"/>
    <x v="1"/>
    <d v="2022-09-29T00:00:00"/>
    <x v="6"/>
    <x v="4"/>
    <n v="315"/>
    <n v="-315"/>
    <n v="0"/>
    <n v="1723652.5500000005"/>
    <s v="PD Chq"/>
    <s v="RHB 00461 11/10/22cleared-RM1,521.00(partial)"/>
    <m/>
  </r>
  <r>
    <x v="234"/>
    <x v="3"/>
    <x v="3"/>
    <x v="313"/>
    <s v="C00000021"/>
    <x v="21"/>
    <x v="118"/>
    <n v="1"/>
    <s v="Cash"/>
    <x v="0"/>
    <d v="2022-08-16T00:00:00"/>
    <x v="2"/>
    <x v="4"/>
    <n v="2002"/>
    <n v="-2002"/>
    <n v="0"/>
    <n v="1725654.5500000005"/>
    <s v="PD Chq"/>
    <s v="Chq PBB 395370, cleared311022 RM3,459.00"/>
    <m/>
  </r>
  <r>
    <x v="234"/>
    <x v="3"/>
    <x v="3"/>
    <x v="313"/>
    <s v="C00000021"/>
    <x v="21"/>
    <x v="147"/>
    <n v="3"/>
    <s v="Cash"/>
    <x v="0"/>
    <d v="2022-08-16T00:00:00"/>
    <x v="2"/>
    <x v="4"/>
    <n v="1054.5"/>
    <n v="-1054.5"/>
    <n v="0"/>
    <n v="1726709.0500000005"/>
    <s v="PD Chq"/>
    <s v="Chq PBB 395370, cleared311022 RM3,459.00"/>
    <m/>
  </r>
  <r>
    <x v="234"/>
    <x v="3"/>
    <x v="3"/>
    <x v="313"/>
    <s v="C00000021"/>
    <x v="21"/>
    <x v="106"/>
    <n v="1"/>
    <s v="Cash"/>
    <x v="0"/>
    <d v="2022-08-16T00:00:00"/>
    <x v="2"/>
    <x v="4"/>
    <n v="90"/>
    <n v="-90"/>
    <n v="0"/>
    <n v="1726799.0500000005"/>
    <s v="PD Chq"/>
    <s v="Chq PBB 395370, cleared311022 RM3,459.00"/>
    <m/>
  </r>
  <r>
    <x v="234"/>
    <x v="3"/>
    <x v="3"/>
    <x v="313"/>
    <s v="C00000021"/>
    <x v="21"/>
    <x v="12"/>
    <n v="5"/>
    <s v="Cash"/>
    <x v="0"/>
    <d v="2022-08-16T00:00:00"/>
    <x v="2"/>
    <x v="4"/>
    <n v="312.5"/>
    <n v="-312.5"/>
    <n v="0"/>
    <n v="1727111.5500000005"/>
    <s v="PD Chq"/>
    <s v="Chq PBB 395370, cleared311022 RM3,459.00"/>
    <m/>
  </r>
  <r>
    <x v="235"/>
    <x v="3"/>
    <x v="3"/>
    <x v="314"/>
    <s v="C00000027"/>
    <x v="28"/>
    <x v="118"/>
    <n v="2"/>
    <s v="Cash"/>
    <x v="0"/>
    <d v="2022-08-23T00:00:00"/>
    <x v="2"/>
    <x v="4"/>
    <n v="4004"/>
    <n v="-4004"/>
    <n v="0"/>
    <n v="1731115.5500000005"/>
    <s v="Trsf"/>
    <s v="Bank Islam 0159046 Cleared27/10/22, RM11,846.00"/>
    <m/>
  </r>
  <r>
    <x v="235"/>
    <x v="3"/>
    <x v="3"/>
    <x v="314"/>
    <s v="C00000027"/>
    <x v="28"/>
    <x v="141"/>
    <n v="4"/>
    <s v="Cash"/>
    <x v="0"/>
    <d v="2022-08-23T00:00:00"/>
    <x v="2"/>
    <x v="4"/>
    <n v="640"/>
    <n v="-640"/>
    <n v="0"/>
    <n v="1731755.5500000005"/>
    <s v="Trsf"/>
    <s v="Bank Islam 0159046 Cleared27/10/22, RM11,846.00"/>
    <m/>
  </r>
  <r>
    <x v="235"/>
    <x v="3"/>
    <x v="3"/>
    <x v="314"/>
    <s v="C00000027"/>
    <x v="28"/>
    <x v="106"/>
    <n v="2"/>
    <s v="Cash"/>
    <x v="0"/>
    <d v="2022-08-23T00:00:00"/>
    <x v="2"/>
    <x v="4"/>
    <n v="180"/>
    <n v="-180"/>
    <n v="0"/>
    <n v="1731935.5500000005"/>
    <s v="Trsf"/>
    <s v="Bank Islam 0159046 Cleared27/10/22, RM11,846.00"/>
    <m/>
  </r>
  <r>
    <x v="235"/>
    <x v="3"/>
    <x v="3"/>
    <x v="314"/>
    <s v="C00000027"/>
    <x v="28"/>
    <x v="125"/>
    <n v="4"/>
    <s v="Cash"/>
    <x v="0"/>
    <d v="2022-08-23T00:00:00"/>
    <x v="2"/>
    <x v="4"/>
    <n v="1016"/>
    <n v="-1016"/>
    <n v="0"/>
    <n v="1732951.5500000005"/>
    <s v="Trsf"/>
    <s v="Bank Islam 0159046 Cleared27/10/22, RM11,846.00"/>
    <m/>
  </r>
  <r>
    <x v="235"/>
    <x v="3"/>
    <x v="3"/>
    <x v="315"/>
    <s v="C00000020"/>
    <x v="19"/>
    <x v="120"/>
    <n v="2"/>
    <s v="Cash"/>
    <x v="0"/>
    <d v="2022-08-23T00:00:00"/>
    <x v="2"/>
    <x v="4"/>
    <n v="4092"/>
    <n v="-4092"/>
    <n v="0"/>
    <n v="1737043.5500000005"/>
    <s v="Trsf"/>
    <s v="Trsf 4/1/23 RM30,000.00"/>
    <m/>
  </r>
  <r>
    <x v="235"/>
    <x v="3"/>
    <x v="3"/>
    <x v="315"/>
    <s v="C00000020"/>
    <x v="19"/>
    <x v="147"/>
    <n v="5"/>
    <s v="Cash"/>
    <x v="0"/>
    <d v="2022-08-23T00:00:00"/>
    <x v="2"/>
    <x v="4"/>
    <n v="1757.5"/>
    <n v="-1757.5"/>
    <n v="0"/>
    <n v="1738801.0500000005"/>
    <s v="Trsf"/>
    <s v="Trsf 4/1/23 RM30,000.00"/>
    <m/>
  </r>
  <r>
    <x v="235"/>
    <x v="3"/>
    <x v="3"/>
    <x v="315"/>
    <s v="C00000020"/>
    <x v="19"/>
    <x v="128"/>
    <n v="3"/>
    <s v="Cash"/>
    <x v="0"/>
    <d v="2022-08-23T00:00:00"/>
    <x v="2"/>
    <x v="4"/>
    <n v="864"/>
    <n v="-864"/>
    <n v="0"/>
    <n v="1739665.0500000005"/>
    <s v="Trsf"/>
    <s v="Trsf 4/1/23 RM30,000.00"/>
    <m/>
  </r>
  <r>
    <x v="235"/>
    <x v="3"/>
    <x v="3"/>
    <x v="315"/>
    <s v="C00000020"/>
    <x v="19"/>
    <x v="132"/>
    <n v="2"/>
    <s v="Cash"/>
    <x v="0"/>
    <d v="2022-08-23T00:00:00"/>
    <x v="2"/>
    <x v="4"/>
    <n v="125"/>
    <n v="-125"/>
    <n v="0"/>
    <n v="1739790.0500000005"/>
    <s v="Trsf"/>
    <s v="Trsf 4/1/23 RM30,000.00"/>
    <m/>
  </r>
  <r>
    <x v="235"/>
    <x v="3"/>
    <x v="3"/>
    <x v="316"/>
    <s v="C00000009"/>
    <x v="8"/>
    <x v="125"/>
    <n v="3"/>
    <n v="60"/>
    <x v="3"/>
    <d v="2022-10-22T00:00:00"/>
    <x v="3"/>
    <x v="4"/>
    <n v="762"/>
    <n v="-762"/>
    <n v="0"/>
    <n v="1740552.0500000005"/>
    <s v="Chq"/>
    <s v="Chq HL 017917 dd 17/1/23"/>
    <m/>
  </r>
  <r>
    <x v="236"/>
    <x v="3"/>
    <x v="3"/>
    <x v="317"/>
    <s v="C00000010"/>
    <x v="9"/>
    <x v="121"/>
    <n v="6"/>
    <n v="120"/>
    <x v="2"/>
    <d v="2022-12-23T00:00:00"/>
    <x v="0"/>
    <x v="4"/>
    <n v="11616"/>
    <n v="-11616"/>
    <n v="0"/>
    <n v="1752168.0500000005"/>
    <s v="Trsf"/>
    <s v="Trsf 25/11/22 RM15,671.00"/>
    <m/>
  </r>
  <r>
    <x v="236"/>
    <x v="3"/>
    <x v="3"/>
    <x v="317"/>
    <s v="C00000010"/>
    <x v="9"/>
    <x v="148"/>
    <n v="10"/>
    <n v="120"/>
    <x v="2"/>
    <d v="2022-12-23T00:00:00"/>
    <x v="0"/>
    <x v="4"/>
    <n v="2670"/>
    <n v="-2670"/>
    <n v="0"/>
    <n v="1754838.0500000005"/>
    <s v="Trsf"/>
    <s v="Trsf 25/11/22 RM15,671.00"/>
    <m/>
  </r>
  <r>
    <x v="236"/>
    <x v="3"/>
    <x v="3"/>
    <x v="317"/>
    <s v="C00000010"/>
    <x v="9"/>
    <x v="132"/>
    <n v="10"/>
    <n v="120"/>
    <x v="2"/>
    <d v="2022-12-23T00:00:00"/>
    <x v="0"/>
    <x v="4"/>
    <n v="550"/>
    <n v="-550"/>
    <n v="0"/>
    <n v="1755388.0500000005"/>
    <s v="Trsf"/>
    <s v="Trsf 25/11/22 RM15,671.00"/>
    <m/>
  </r>
  <r>
    <x v="236"/>
    <x v="3"/>
    <x v="3"/>
    <x v="317"/>
    <s v="C00000010"/>
    <x v="9"/>
    <x v="131"/>
    <n v="1"/>
    <n v="120"/>
    <x v="2"/>
    <d v="2022-12-23T00:00:00"/>
    <x v="0"/>
    <x v="4"/>
    <n v="440"/>
    <n v="-440"/>
    <n v="0"/>
    <n v="1755828.0500000005"/>
    <s v="Trsf"/>
    <s v="Trsf 25/11/22 RM15,671.00"/>
    <m/>
  </r>
  <r>
    <x v="236"/>
    <x v="3"/>
    <x v="3"/>
    <x v="317"/>
    <s v="C00000010"/>
    <x v="9"/>
    <x v="48"/>
    <n v="1"/>
    <n v="120"/>
    <x v="2"/>
    <d v="2022-12-23T00:00:00"/>
    <x v="0"/>
    <x v="4"/>
    <n v="395"/>
    <n v="-395"/>
    <n v="0"/>
    <n v="1756223.0500000005"/>
    <s v="Trsf"/>
    <s v="Trsf 25/11/22 RM15,671.00"/>
    <m/>
  </r>
  <r>
    <x v="236"/>
    <x v="3"/>
    <x v="3"/>
    <x v="318"/>
    <s v="C00000027"/>
    <x v="28"/>
    <x v="118"/>
    <n v="3"/>
    <s v="Cash"/>
    <x v="0"/>
    <d v="2022-08-25T00:00:00"/>
    <x v="2"/>
    <x v="4"/>
    <n v="6006"/>
    <n v="-6006"/>
    <n v="0"/>
    <n v="1762229.0500000005"/>
    <s v="Trsf"/>
    <s v="Bank Islam 0159046 Cleared27/10/22, RM11,846.00"/>
    <m/>
  </r>
  <r>
    <x v="236"/>
    <x v="3"/>
    <x v="3"/>
    <x v="319"/>
    <s v="C00000019"/>
    <x v="18"/>
    <x v="120"/>
    <n v="2"/>
    <s v="Cash"/>
    <x v="0"/>
    <d v="2022-08-25T00:00:00"/>
    <x v="2"/>
    <x v="4"/>
    <n v="4092"/>
    <n v="-4092"/>
    <n v="0"/>
    <n v="1766321.0500000005"/>
    <s v="Trsf"/>
    <s v="Trsf 09/09/22 RM3,000.00, Trsf 23/09/22 RM1,000.00, Trsf 4/10/22 RM1,000.00(RM92.00partial)"/>
    <m/>
  </r>
  <r>
    <x v="236"/>
    <x v="3"/>
    <x v="3"/>
    <x v="319"/>
    <s v="C00000019"/>
    <x v="18"/>
    <x v="139"/>
    <n v="2"/>
    <s v="Cash"/>
    <x v="0"/>
    <d v="2022-08-25T00:00:00"/>
    <x v="2"/>
    <x v="4"/>
    <n v="1299.8"/>
    <n v="-1299.8"/>
    <n v="0"/>
    <n v="1767620.8500000006"/>
    <s v="Trsf"/>
    <s v="Trsf 4/10/22 RM1,000.00(RM908.00(partial), Trsf 7/10/22 RM1,136.80(RM391.80)"/>
    <m/>
  </r>
  <r>
    <x v="236"/>
    <x v="3"/>
    <x v="3"/>
    <x v="319"/>
    <s v="C00000019"/>
    <x v="18"/>
    <x v="4"/>
    <n v="1"/>
    <s v="Cash"/>
    <x v="0"/>
    <d v="2022-08-25T00:00:00"/>
    <x v="2"/>
    <x v="4"/>
    <n v="105"/>
    <n v="-105"/>
    <n v="0"/>
    <n v="1767725.8500000006"/>
    <s v="Trsf"/>
    <s v="Trsf 7/10/22 RM1,136.80(RM105.00)"/>
    <m/>
  </r>
  <r>
    <x v="236"/>
    <x v="3"/>
    <x v="3"/>
    <x v="319"/>
    <s v="C00000019"/>
    <x v="18"/>
    <x v="52"/>
    <n v="1"/>
    <s v="Cash"/>
    <x v="0"/>
    <d v="2022-08-25T00:00:00"/>
    <x v="2"/>
    <x v="4"/>
    <n v="390"/>
    <n v="-390"/>
    <n v="0"/>
    <n v="1768115.8500000006"/>
    <s v="Trsf"/>
    <s v="Trsf 7/10/22 RM1,136.80(RM390.00)"/>
    <m/>
  </r>
  <r>
    <x v="237"/>
    <x v="3"/>
    <x v="3"/>
    <x v="319"/>
    <s v="C00000019"/>
    <x v="18"/>
    <x v="12"/>
    <n v="4"/>
    <s v="Cash"/>
    <x v="0"/>
    <d v="2022-08-26T00:00:00"/>
    <x v="2"/>
    <x v="4"/>
    <n v="250"/>
    <n v="-250"/>
    <n v="0"/>
    <n v="1768365.8500000006"/>
    <s v="Trsf"/>
    <s v="Trsf 7/10/22 RM1,136.80(RM250.00)"/>
    <m/>
  </r>
  <r>
    <x v="238"/>
    <x v="4"/>
    <x v="3"/>
    <x v="320"/>
    <s v="C00000020"/>
    <x v="19"/>
    <x v="120"/>
    <n v="3"/>
    <s v="Cash"/>
    <x v="0"/>
    <d v="2022-09-02T00:00:00"/>
    <x v="6"/>
    <x v="4"/>
    <n v="5742"/>
    <n v="-5742"/>
    <n v="0"/>
    <n v="1774107.8500000006"/>
    <s v="Trsf"/>
    <s v="Trsf 4/1/23 RM30,000.00"/>
    <m/>
  </r>
  <r>
    <x v="238"/>
    <x v="4"/>
    <x v="3"/>
    <x v="320"/>
    <s v="C00000020"/>
    <x v="19"/>
    <x v="139"/>
    <n v="4"/>
    <s v="Cash"/>
    <x v="0"/>
    <d v="2022-09-02T00:00:00"/>
    <x v="6"/>
    <x v="4"/>
    <n v="2358.4"/>
    <n v="-2358.4"/>
    <n v="0"/>
    <n v="1776466.2500000005"/>
    <s v="Trsf"/>
    <s v="Trsf 4/1/23 RM30,000.00"/>
    <m/>
  </r>
  <r>
    <x v="238"/>
    <x v="4"/>
    <x v="3"/>
    <x v="320"/>
    <s v="C00000020"/>
    <x v="19"/>
    <x v="128"/>
    <n v="4"/>
    <s v="Cash"/>
    <x v="0"/>
    <d v="2022-09-02T00:00:00"/>
    <x v="6"/>
    <x v="4"/>
    <n v="1056"/>
    <n v="-1056"/>
    <n v="0"/>
    <n v="1777522.2500000005"/>
    <s v="Trsf"/>
    <s v="Trsf 4/1/22 RM30,000.00(RM525.30partial), Trsf 5/1/23 RM5,000.00(RM530.70partial)"/>
    <m/>
  </r>
  <r>
    <x v="238"/>
    <x v="4"/>
    <x v="3"/>
    <x v="320"/>
    <s v="C00000020"/>
    <x v="19"/>
    <x v="12"/>
    <n v="3"/>
    <s v="Cash"/>
    <x v="0"/>
    <d v="2022-09-02T00:00:00"/>
    <x v="6"/>
    <x v="4"/>
    <n v="187.5"/>
    <n v="-187.5"/>
    <n v="0"/>
    <n v="1777709.7500000005"/>
    <s v="Trsf"/>
    <s v="Trsf 5/1/23 RM5,000.00"/>
    <m/>
  </r>
  <r>
    <x v="239"/>
    <x v="4"/>
    <x v="3"/>
    <x v="321"/>
    <s v="C00000009"/>
    <x v="8"/>
    <x v="120"/>
    <n v="2"/>
    <n v="60"/>
    <x v="3"/>
    <d v="2022-11-04T00:00:00"/>
    <x v="5"/>
    <x v="4"/>
    <n v="3784"/>
    <n v="-3784"/>
    <n v="0"/>
    <n v="1781493.7500000005"/>
    <s v="Chq"/>
    <s v="Chq HL 017917 dd 17/1/23"/>
    <m/>
  </r>
  <r>
    <x v="240"/>
    <x v="4"/>
    <x v="3"/>
    <x v="322"/>
    <s v="C00000020"/>
    <x v="19"/>
    <x v="118"/>
    <n v="3"/>
    <s v="Cash"/>
    <x v="0"/>
    <d v="2022-09-06T00:00:00"/>
    <x v="6"/>
    <x v="4"/>
    <n v="5742"/>
    <n v="-5742"/>
    <n v="0"/>
    <n v="1787235.7500000005"/>
    <s v="Trsf"/>
    <s v="Trsf 5/1/23 RM5,000.00(RM4,281.80), Trsf 6/1/23 RM5,000.00(RM1,460.20partial)"/>
    <m/>
  </r>
  <r>
    <x v="240"/>
    <x v="4"/>
    <x v="3"/>
    <x v="322"/>
    <s v="C00000020"/>
    <x v="19"/>
    <x v="139"/>
    <n v="6"/>
    <s v="Cash"/>
    <x v="0"/>
    <d v="2022-09-06T00:00:00"/>
    <x v="6"/>
    <x v="4"/>
    <n v="3537.6000000000004"/>
    <n v="-3537.6000000000004"/>
    <n v="0"/>
    <n v="1790773.3500000006"/>
    <s v="Trsf"/>
    <s v="Trsf 6/1/23 RM5,000.00"/>
    <m/>
  </r>
  <r>
    <x v="240"/>
    <x v="4"/>
    <x v="3"/>
    <x v="322"/>
    <s v="C00000020"/>
    <x v="19"/>
    <x v="128"/>
    <n v="6"/>
    <s v="Cash"/>
    <x v="0"/>
    <d v="2022-09-06T00:00:00"/>
    <x v="6"/>
    <x v="4"/>
    <n v="1584"/>
    <n v="-1584"/>
    <n v="0"/>
    <n v="1792357.3500000006"/>
    <s v="Trsf"/>
    <s v="Trsf 6/1/23 RM5,000.00(RM2.20partial), Trsf 6/1/23 RM10,000.00(RM1,581.80)"/>
    <m/>
  </r>
  <r>
    <x v="240"/>
    <x v="4"/>
    <x v="3"/>
    <x v="322"/>
    <s v="C00000020"/>
    <x v="19"/>
    <x v="12"/>
    <n v="4"/>
    <s v="Cash"/>
    <x v="0"/>
    <d v="2022-09-06T00:00:00"/>
    <x v="6"/>
    <x v="4"/>
    <n v="250"/>
    <n v="-250"/>
    <n v="0"/>
    <n v="1792607.3500000006"/>
    <s v="Trsf"/>
    <s v="Trsf 6/1/23 RM10,000.00"/>
    <m/>
  </r>
  <r>
    <x v="240"/>
    <x v="4"/>
    <x v="3"/>
    <x v="322"/>
    <s v="C00000020"/>
    <x v="19"/>
    <x v="106"/>
    <n v="4"/>
    <s v="Cash"/>
    <x v="0"/>
    <d v="2022-09-06T00:00:00"/>
    <x v="6"/>
    <x v="4"/>
    <n v="340"/>
    <n v="-340"/>
    <n v="0"/>
    <n v="1792947.3500000006"/>
    <s v="Trsf"/>
    <s v="Trsf 6/1/23 RM10,000.00"/>
    <m/>
  </r>
  <r>
    <x v="241"/>
    <x v="4"/>
    <x v="3"/>
    <x v="323"/>
    <s v="C00000029"/>
    <x v="30"/>
    <x v="106"/>
    <n v="4"/>
    <s v="Cash"/>
    <x v="0"/>
    <d v="2022-09-09T00:00:00"/>
    <x v="6"/>
    <x v="4"/>
    <n v="340"/>
    <n v="-340"/>
    <n v="0"/>
    <n v="1793287.3500000006"/>
    <s v="Trsf"/>
    <s v="Trsf 10/09/22 RM2,452.00"/>
    <m/>
  </r>
  <r>
    <x v="241"/>
    <x v="4"/>
    <x v="3"/>
    <x v="323"/>
    <s v="C00000029"/>
    <x v="30"/>
    <x v="148"/>
    <n v="8"/>
    <s v="Cash"/>
    <x v="0"/>
    <d v="2022-09-09T00:00:00"/>
    <x v="6"/>
    <x v="4"/>
    <n v="2112"/>
    <n v="-2112"/>
    <n v="0"/>
    <n v="1795399.3500000006"/>
    <s v="Trsf"/>
    <s v="Trsf 10/09/22 RM2,452.00"/>
    <m/>
  </r>
  <r>
    <x v="241"/>
    <x v="4"/>
    <x v="3"/>
    <x v="324"/>
    <s v="C00000020"/>
    <x v="19"/>
    <x v="118"/>
    <n v="1"/>
    <s v="Cash"/>
    <x v="0"/>
    <d v="2022-09-09T00:00:00"/>
    <x v="6"/>
    <x v="4"/>
    <n v="1914"/>
    <n v="-1914"/>
    <n v="0"/>
    <n v="1797313.3500000006"/>
    <s v="Trsf"/>
    <s v="Trsf 6/1/23 RM10,000.00"/>
    <m/>
  </r>
  <r>
    <x v="241"/>
    <x v="4"/>
    <x v="3"/>
    <x v="325"/>
    <s v="C00000021"/>
    <x v="21"/>
    <x v="118"/>
    <n v="1"/>
    <s v="Cash"/>
    <x v="0"/>
    <d v="2022-09-09T00:00:00"/>
    <x v="6"/>
    <x v="4"/>
    <n v="1936"/>
    <n v="-1936"/>
    <n v="0"/>
    <n v="1799249.3500000006"/>
    <s v="PD Chq"/>
    <s v="Chq PBB 395371, cleared161122 RM2,251.00"/>
    <m/>
  </r>
  <r>
    <x v="241"/>
    <x v="4"/>
    <x v="3"/>
    <x v="325"/>
    <s v="C00000021"/>
    <x v="21"/>
    <x v="106"/>
    <n v="1"/>
    <s v="Cash"/>
    <x v="0"/>
    <d v="2022-09-09T00:00:00"/>
    <x v="6"/>
    <x v="4"/>
    <n v="90"/>
    <n v="-90"/>
    <n v="0"/>
    <n v="1799339.3500000006"/>
    <s v="PD Chq"/>
    <s v="Chq PBB 395371, cleared161122 RM2,251.00"/>
    <m/>
  </r>
  <r>
    <x v="241"/>
    <x v="4"/>
    <x v="3"/>
    <x v="325"/>
    <s v="C00000021"/>
    <x v="21"/>
    <x v="134"/>
    <n v="1"/>
    <s v="Cash"/>
    <x v="0"/>
    <d v="2022-09-09T00:00:00"/>
    <x v="6"/>
    <x v="4"/>
    <n v="225"/>
    <n v="-225"/>
    <n v="0"/>
    <n v="1799564.3500000006"/>
    <s v="PD Chq"/>
    <s v="Chq PBB 395371, cleared161122 RM2,251.00"/>
    <m/>
  </r>
  <r>
    <x v="242"/>
    <x v="4"/>
    <x v="3"/>
    <x v="326"/>
    <s v="C00000020"/>
    <x v="19"/>
    <x v="120"/>
    <n v="4"/>
    <s v="Cash"/>
    <x v="0"/>
    <d v="2022-09-13T00:00:00"/>
    <x v="6"/>
    <x v="4"/>
    <n v="7392"/>
    <n v="-7392"/>
    <n v="0"/>
    <n v="1806956.3500000006"/>
    <s v="Trsf"/>
    <s v="Trsf 6/1/23 RM10,000.00(RM5,914.20), Trsf 20/1/23 RM20,000.00(RM1,477.80)"/>
    <m/>
  </r>
  <r>
    <x v="242"/>
    <x v="4"/>
    <x v="3"/>
    <x v="326"/>
    <s v="C00000020"/>
    <x v="19"/>
    <x v="139"/>
    <n v="5"/>
    <s v="Cash"/>
    <x v="0"/>
    <d v="2022-09-13T00:00:00"/>
    <x v="6"/>
    <x v="4"/>
    <n v="2881"/>
    <n v="-2881"/>
    <n v="0"/>
    <n v="1809837.3500000006"/>
    <s v="Trsf"/>
    <s v="Trsf 20/1/23 RM20,000.00"/>
    <m/>
  </r>
  <r>
    <x v="242"/>
    <x v="4"/>
    <x v="3"/>
    <x v="326"/>
    <s v="C00000020"/>
    <x v="19"/>
    <x v="128"/>
    <n v="5"/>
    <s v="Cash"/>
    <x v="0"/>
    <d v="2022-09-13T00:00:00"/>
    <x v="6"/>
    <x v="4"/>
    <n v="1300"/>
    <n v="-1300"/>
    <n v="0"/>
    <n v="1811137.3500000006"/>
    <s v="Trsf"/>
    <s v="Trsf 20/1/23 RM20,000.00"/>
    <m/>
  </r>
  <r>
    <x v="242"/>
    <x v="4"/>
    <x v="3"/>
    <x v="326"/>
    <s v="C00000020"/>
    <x v="19"/>
    <x v="12"/>
    <n v="4"/>
    <s v="Cash"/>
    <x v="0"/>
    <d v="2022-09-13T00:00:00"/>
    <x v="6"/>
    <x v="4"/>
    <n v="250"/>
    <n v="-250"/>
    <n v="0"/>
    <n v="1811387.3500000006"/>
    <s v="Trsf"/>
    <s v="Trsf 20/1/23 RM20,000.00"/>
    <m/>
  </r>
  <r>
    <x v="242"/>
    <x v="4"/>
    <x v="3"/>
    <x v="326"/>
    <s v="C00000020"/>
    <x v="19"/>
    <x v="106"/>
    <n v="4"/>
    <s v="Cash"/>
    <x v="0"/>
    <d v="2022-09-13T00:00:00"/>
    <x v="6"/>
    <x v="4"/>
    <n v="340"/>
    <n v="-340"/>
    <n v="0"/>
    <n v="1811727.3500000006"/>
    <s v="Trsf"/>
    <s v="Trsf 20/1/23 RM20,000.00"/>
    <m/>
  </r>
  <r>
    <x v="242"/>
    <x v="4"/>
    <x v="3"/>
    <x v="326"/>
    <s v="C00000020"/>
    <x v="19"/>
    <x v="105"/>
    <n v="1"/>
    <s v="Cash"/>
    <x v="0"/>
    <d v="2022-09-13T00:00:00"/>
    <x v="6"/>
    <x v="4"/>
    <n v="1000"/>
    <n v="-1000"/>
    <n v="0"/>
    <n v="1812727.3500000006"/>
    <s v="Trsf"/>
    <s v="Trsf 20/1/23 RM20,000.00"/>
    <m/>
  </r>
  <r>
    <x v="242"/>
    <x v="4"/>
    <x v="3"/>
    <x v="327"/>
    <s v="C00000020"/>
    <x v="19"/>
    <x v="120"/>
    <n v="4"/>
    <s v="Cash"/>
    <x v="0"/>
    <d v="2022-09-13T00:00:00"/>
    <x v="6"/>
    <x v="4"/>
    <n v="7392"/>
    <n v="-7392"/>
    <n v="0"/>
    <n v="1820119.3500000006"/>
    <s v="Trsf"/>
    <s v="Trsf 20/1/23 RM20,000.00"/>
    <m/>
  </r>
  <r>
    <x v="242"/>
    <x v="4"/>
    <x v="3"/>
    <x v="327"/>
    <s v="C00000020"/>
    <x v="19"/>
    <x v="139"/>
    <n v="5"/>
    <s v="Cash"/>
    <x v="0"/>
    <d v="2022-09-13T00:00:00"/>
    <x v="6"/>
    <x v="4"/>
    <n v="2881"/>
    <n v="-2881"/>
    <n v="0"/>
    <n v="1823000.3500000006"/>
    <s v="Trsf"/>
    <s v="Trsf 20/1/23 RM20,000.00"/>
    <m/>
  </r>
  <r>
    <x v="242"/>
    <x v="4"/>
    <x v="3"/>
    <x v="327"/>
    <s v="C00000020"/>
    <x v="19"/>
    <x v="128"/>
    <n v="5"/>
    <s v="Cash"/>
    <x v="0"/>
    <d v="2022-09-13T00:00:00"/>
    <x v="6"/>
    <x v="4"/>
    <n v="1300"/>
    <n v="-1300"/>
    <n v="0"/>
    <n v="1824300.3500000006"/>
    <s v="Trsf"/>
    <s v="Trsf 20/1/23 RM20,000.00"/>
    <m/>
  </r>
  <r>
    <x v="242"/>
    <x v="4"/>
    <x v="3"/>
    <x v="327"/>
    <s v="C00000020"/>
    <x v="19"/>
    <x v="12"/>
    <n v="4"/>
    <s v="Cash"/>
    <x v="0"/>
    <d v="2022-09-13T00:00:00"/>
    <x v="6"/>
    <x v="4"/>
    <n v="250"/>
    <n v="-250"/>
    <n v="0"/>
    <n v="1824550.3500000006"/>
    <s v="Trsf"/>
    <s v="Trsf 20/1/23 RM20,000.00"/>
    <m/>
  </r>
  <r>
    <x v="243"/>
    <x v="4"/>
    <x v="3"/>
    <x v="328"/>
    <s v="C00000001"/>
    <x v="0"/>
    <x v="149"/>
    <n v="4"/>
    <s v="Cash"/>
    <x v="0"/>
    <d v="2022-09-14T00:00:00"/>
    <x v="6"/>
    <x v="4"/>
    <n v="1840"/>
    <n v="-1840"/>
    <n v="0"/>
    <n v="1826390.3500000006"/>
    <s v="Trsf"/>
    <s v="Trsf 3/10/22 RM1,840.00"/>
    <m/>
  </r>
  <r>
    <x v="244"/>
    <x v="4"/>
    <x v="3"/>
    <x v="329"/>
    <s v="C00000021"/>
    <x v="21"/>
    <x v="118"/>
    <n v="1"/>
    <s v="Cash"/>
    <x v="0"/>
    <d v="2022-09-15T00:00:00"/>
    <x v="6"/>
    <x v="4"/>
    <n v="1936"/>
    <n v="-1936"/>
    <n v="0"/>
    <n v="1828326.3500000006"/>
    <s v="PD Chq"/>
    <s v="Chq PBB 395372, cleared121222 RM3,655.70"/>
    <m/>
  </r>
  <r>
    <x v="244"/>
    <x v="4"/>
    <x v="3"/>
    <x v="329"/>
    <s v="C00000021"/>
    <x v="21"/>
    <x v="147"/>
    <n v="4"/>
    <s v="Cash"/>
    <x v="0"/>
    <d v="2022-09-15T00:00:00"/>
    <x v="6"/>
    <x v="4"/>
    <n v="1317.2"/>
    <n v="-1317.2"/>
    <n v="0"/>
    <n v="1829643.5500000005"/>
    <s v="PD Chq"/>
    <s v="Chq PBB 395372, cleared121222 RM3,655.70"/>
    <m/>
  </r>
  <r>
    <x v="244"/>
    <x v="4"/>
    <x v="3"/>
    <x v="329"/>
    <s v="C00000021"/>
    <x v="21"/>
    <x v="106"/>
    <n v="1"/>
    <s v="Cash"/>
    <x v="0"/>
    <d v="2022-09-15T00:00:00"/>
    <x v="6"/>
    <x v="4"/>
    <n v="90"/>
    <n v="-90"/>
    <n v="0"/>
    <n v="1829733.5500000005"/>
    <s v="PD Chq"/>
    <s v="Chq PBB 395372, cleared121222 RM3,655.70"/>
    <m/>
  </r>
  <r>
    <x v="244"/>
    <x v="4"/>
    <x v="3"/>
    <x v="329"/>
    <s v="C00000021"/>
    <x v="21"/>
    <x v="12"/>
    <n v="5"/>
    <s v="Cash"/>
    <x v="0"/>
    <d v="2022-09-15T00:00:00"/>
    <x v="6"/>
    <x v="4"/>
    <n v="312.5"/>
    <n v="-312.5"/>
    <n v="0"/>
    <n v="1830046.0500000005"/>
    <s v="PD Chq"/>
    <s v="Chq PBB 395372, cleared121222 RM3,655.70"/>
    <m/>
  </r>
  <r>
    <x v="245"/>
    <x v="4"/>
    <x v="3"/>
    <x v="330"/>
    <s v="C00000019"/>
    <x v="18"/>
    <x v="120"/>
    <n v="1"/>
    <s v="Cash"/>
    <x v="0"/>
    <d v="2022-09-23T00:00:00"/>
    <x v="6"/>
    <x v="4"/>
    <n v="1936"/>
    <n v="-1936"/>
    <n v="0"/>
    <n v="1831982.0500000005"/>
    <s v="Trsf"/>
    <s v="Trsf 2/11/22 RM3,546.10"/>
    <m/>
  </r>
  <r>
    <x v="245"/>
    <x v="4"/>
    <x v="3"/>
    <x v="330"/>
    <s v="C00000019"/>
    <x v="18"/>
    <x v="139"/>
    <n v="2"/>
    <s v="Cash"/>
    <x v="0"/>
    <d v="2022-09-23T00:00:00"/>
    <x v="6"/>
    <x v="4"/>
    <n v="1192.5999999999999"/>
    <n v="-1192.5999999999999"/>
    <n v="0"/>
    <n v="1833174.6500000006"/>
    <s v="Trsf"/>
    <s v="Trsf 2/11/22 RM3,546.10"/>
    <m/>
  </r>
  <r>
    <x v="245"/>
    <x v="4"/>
    <x v="3"/>
    <x v="330"/>
    <s v="C00000019"/>
    <x v="18"/>
    <x v="4"/>
    <n v="1"/>
    <s v="Cash"/>
    <x v="0"/>
    <d v="2022-09-23T00:00:00"/>
    <x v="6"/>
    <x v="4"/>
    <n v="105"/>
    <n v="-105"/>
    <n v="0"/>
    <n v="1833279.6500000006"/>
    <s v="Trsf"/>
    <s v="Trsf 2/11/22 RM3,546.10"/>
    <m/>
  </r>
  <r>
    <x v="245"/>
    <x v="4"/>
    <x v="3"/>
    <x v="330"/>
    <s v="C00000019"/>
    <x v="18"/>
    <x v="12"/>
    <n v="5"/>
    <s v="Cash"/>
    <x v="0"/>
    <d v="2022-09-23T00:00:00"/>
    <x v="6"/>
    <x v="4"/>
    <n v="312.5"/>
    <n v="-312.5"/>
    <n v="0"/>
    <n v="1833592.1500000006"/>
    <s v="Trsf"/>
    <s v="Trsf 2/11/22 RM3,546.10"/>
    <m/>
  </r>
  <r>
    <x v="246"/>
    <x v="4"/>
    <x v="3"/>
    <x v="331"/>
    <s v="C00000010"/>
    <x v="9"/>
    <x v="45"/>
    <n v="5"/>
    <n v="120"/>
    <x v="2"/>
    <d v="2023-01-22T00:00:00"/>
    <x v="7"/>
    <x v="5"/>
    <n v="9130"/>
    <n v="-9130"/>
    <n v="0"/>
    <n v="1842722.1500000006"/>
    <s v="Trsf"/>
    <s v="Trsf 23/12/22, RM11,757.50"/>
    <m/>
  </r>
  <r>
    <x v="246"/>
    <x v="4"/>
    <x v="3"/>
    <x v="331"/>
    <s v="C00000010"/>
    <x v="9"/>
    <x v="148"/>
    <n v="5"/>
    <n v="120"/>
    <x v="2"/>
    <d v="2023-01-22T00:00:00"/>
    <x v="7"/>
    <x v="5"/>
    <n v="1260"/>
    <n v="-1260"/>
    <n v="0"/>
    <n v="1843982.1500000006"/>
    <s v="Trsf"/>
    <s v="Trsf 23/12/22, RM11,757.50"/>
    <m/>
  </r>
  <r>
    <x v="246"/>
    <x v="4"/>
    <x v="3"/>
    <x v="331"/>
    <s v="C00000010"/>
    <x v="9"/>
    <x v="12"/>
    <n v="5"/>
    <n v="120"/>
    <x v="2"/>
    <d v="2023-01-22T00:00:00"/>
    <x v="7"/>
    <x v="5"/>
    <n v="287.5"/>
    <n v="-287.5"/>
    <n v="0"/>
    <n v="1844269.6500000006"/>
    <s v="Trsf"/>
    <s v="Trsf 23/12/22, RM11,757.50"/>
    <m/>
  </r>
  <r>
    <x v="246"/>
    <x v="4"/>
    <x v="3"/>
    <x v="331"/>
    <s v="C00000010"/>
    <x v="9"/>
    <x v="131"/>
    <n v="1"/>
    <n v="120"/>
    <x v="2"/>
    <d v="2023-01-22T00:00:00"/>
    <x v="7"/>
    <x v="5"/>
    <n v="440"/>
    <n v="-440"/>
    <n v="0"/>
    <n v="1844709.6500000006"/>
    <s v="Trsf"/>
    <s v="Trsf 23/12/22, RM11,757.50"/>
    <m/>
  </r>
  <r>
    <x v="246"/>
    <x v="4"/>
    <x v="3"/>
    <x v="331"/>
    <s v="C00000010"/>
    <x v="9"/>
    <x v="150"/>
    <n v="4"/>
    <n v="120"/>
    <x v="2"/>
    <d v="2023-01-22T00:00:00"/>
    <x v="7"/>
    <x v="5"/>
    <n v="420"/>
    <n v="-420"/>
    <n v="0"/>
    <n v="1845129.6500000006"/>
    <s v="Trsf"/>
    <s v="Trsf 23/12/22, RM11,757.50"/>
    <m/>
  </r>
  <r>
    <x v="246"/>
    <x v="4"/>
    <x v="3"/>
    <x v="331"/>
    <s v="C00000010"/>
    <x v="9"/>
    <x v="151"/>
    <n v="4"/>
    <n v="120"/>
    <x v="2"/>
    <d v="2023-01-22T00:00:00"/>
    <x v="7"/>
    <x v="5"/>
    <n v="220"/>
    <n v="-220"/>
    <n v="0"/>
    <n v="1845349.6500000006"/>
    <s v="Trsf"/>
    <s v="Trsf 23/12/22, RM11,757.50"/>
    <m/>
  </r>
  <r>
    <x v="247"/>
    <x v="4"/>
    <x v="3"/>
    <x v="332"/>
    <s v="C00000021"/>
    <x v="21"/>
    <x v="15"/>
    <n v="1"/>
    <s v="Cash"/>
    <x v="0"/>
    <d v="2022-09-26T00:00:00"/>
    <x v="6"/>
    <x v="4"/>
    <n v="1936"/>
    <n v="-1936"/>
    <n v="0"/>
    <n v="1847285.6500000006"/>
    <s v="PD Chq"/>
    <s v="Chq PBB 395373, cleared301222 RM3,595.60"/>
    <m/>
  </r>
  <r>
    <x v="247"/>
    <x v="4"/>
    <x v="3"/>
    <x v="332"/>
    <s v="C00000021"/>
    <x v="21"/>
    <x v="147"/>
    <n v="2"/>
    <s v="Cash"/>
    <x v="0"/>
    <d v="2022-09-26T00:00:00"/>
    <x v="6"/>
    <x v="4"/>
    <n v="658.6"/>
    <n v="-658.6"/>
    <n v="0"/>
    <n v="1847944.2500000007"/>
    <s v="PD Chq"/>
    <s v="Chq PBB 395373, cleared301222 RM3,595.60"/>
    <m/>
  </r>
  <r>
    <x v="247"/>
    <x v="4"/>
    <x v="3"/>
    <x v="332"/>
    <s v="C00000021"/>
    <x v="21"/>
    <x v="152"/>
    <n v="1"/>
    <s v="Cash"/>
    <x v="0"/>
    <d v="2022-09-26T00:00:00"/>
    <x v="6"/>
    <x v="4"/>
    <n v="100"/>
    <n v="-100"/>
    <n v="0"/>
    <n v="1848044.2500000007"/>
    <s v="PD Chq"/>
    <s v="Chq PBB 395373, cleared301222 RM3,595.60"/>
    <m/>
  </r>
  <r>
    <x v="247"/>
    <x v="4"/>
    <x v="3"/>
    <x v="332"/>
    <s v="C00000021"/>
    <x v="21"/>
    <x v="12"/>
    <n v="10"/>
    <s v="Cash"/>
    <x v="0"/>
    <d v="2022-09-26T00:00:00"/>
    <x v="6"/>
    <x v="4"/>
    <n v="625"/>
    <n v="-625"/>
    <n v="0"/>
    <n v="1848669.2500000007"/>
    <s v="PD Chq"/>
    <s v="Chq PBB 395373, cleared301222 RM3,595.60"/>
    <m/>
  </r>
  <r>
    <x v="247"/>
    <x v="4"/>
    <x v="3"/>
    <x v="332"/>
    <s v="C00000021"/>
    <x v="21"/>
    <x v="153"/>
    <n v="6"/>
    <s v="Cash"/>
    <x v="0"/>
    <d v="2022-09-26T00:00:00"/>
    <x v="6"/>
    <x v="4"/>
    <n v="276"/>
    <n v="-276"/>
    <n v="0"/>
    <n v="1848945.2500000007"/>
    <s v="PD Chq"/>
    <s v="Chq PBB 395373, cleared301222 RM3,595.60"/>
    <m/>
  </r>
  <r>
    <x v="247"/>
    <x v="4"/>
    <x v="3"/>
    <x v="333"/>
    <s v="C00000022"/>
    <x v="23"/>
    <x v="7"/>
    <n v="1"/>
    <s v="Cash"/>
    <x v="0"/>
    <d v="2022-09-26T00:00:00"/>
    <x v="6"/>
    <x v="4"/>
    <n v="2024"/>
    <n v="-2024"/>
    <n v="0"/>
    <n v="1850969.2500000007"/>
    <s v="Trsf"/>
    <s v="Trsf 29/9/22 RM5,350.70"/>
    <m/>
  </r>
  <r>
    <x v="247"/>
    <x v="4"/>
    <x v="3"/>
    <x v="333"/>
    <s v="C00000022"/>
    <x v="23"/>
    <x v="139"/>
    <n v="1"/>
    <s v="Cash"/>
    <x v="0"/>
    <d v="2022-09-26T00:00:00"/>
    <x v="6"/>
    <x v="4"/>
    <n v="629.79999999999995"/>
    <n v="-629.79999999999995"/>
    <n v="0"/>
    <n v="1851599.0500000007"/>
    <s v="Trsf"/>
    <s v="Trsf 29/9/22 RM5,350.70"/>
    <m/>
  </r>
  <r>
    <x v="247"/>
    <x v="4"/>
    <x v="3"/>
    <x v="333"/>
    <s v="C00000022"/>
    <x v="23"/>
    <x v="154"/>
    <n v="1"/>
    <s v="Cash"/>
    <x v="0"/>
    <d v="2022-09-26T00:00:00"/>
    <x v="6"/>
    <x v="4"/>
    <n v="315"/>
    <n v="-315"/>
    <n v="0"/>
    <n v="1851914.0500000007"/>
    <s v="Trsf"/>
    <s v="Trsf 29/9/22 RM5,350.70"/>
    <m/>
  </r>
  <r>
    <x v="247"/>
    <x v="4"/>
    <x v="3"/>
    <x v="334"/>
    <s v="C00000022"/>
    <x v="23"/>
    <x v="152"/>
    <n v="1"/>
    <s v="Cash"/>
    <x v="0"/>
    <d v="2022-09-26T00:00:00"/>
    <x v="6"/>
    <x v="4"/>
    <n v="105"/>
    <n v="-105"/>
    <n v="0"/>
    <n v="1852019.0500000007"/>
    <s v="Trsf"/>
    <s v="Trsf 29/9/22 RM5,350.70"/>
    <m/>
  </r>
  <r>
    <x v="247"/>
    <x v="4"/>
    <x v="3"/>
    <x v="334"/>
    <s v="C00000022"/>
    <x v="23"/>
    <x v="155"/>
    <n v="1"/>
    <s v="Cash"/>
    <x v="0"/>
    <d v="2022-09-26T00:00:00"/>
    <x v="6"/>
    <x v="4"/>
    <n v="285"/>
    <n v="-285"/>
    <n v="0"/>
    <n v="1852304.0500000007"/>
    <s v="Trsf"/>
    <s v="Trsf 29/9/22 RM5,350.70"/>
    <m/>
  </r>
  <r>
    <x v="247"/>
    <x v="4"/>
    <x v="3"/>
    <x v="334"/>
    <s v="C00000022"/>
    <x v="23"/>
    <x v="52"/>
    <n v="1"/>
    <s v="Cash"/>
    <x v="0"/>
    <d v="2022-09-26T00:00:00"/>
    <x v="6"/>
    <x v="4"/>
    <n v="450"/>
    <n v="-450"/>
    <n v="0"/>
    <n v="1852754.0500000007"/>
    <s v="Trsf"/>
    <s v="Trsf 29/9/22 RM5,350.70"/>
    <m/>
  </r>
  <r>
    <x v="248"/>
    <x v="4"/>
    <x v="3"/>
    <x v="335"/>
    <s v="C00000027"/>
    <x v="28"/>
    <x v="118"/>
    <n v="3"/>
    <s v="Cash"/>
    <x v="0"/>
    <d v="2022-09-28T00:00:00"/>
    <x v="6"/>
    <x v="4"/>
    <n v="6006"/>
    <n v="-6006"/>
    <n v="0"/>
    <n v="1858760.0500000007"/>
    <s v="Trsf"/>
    <s v="Bank Islam 161778 Cleared23/2/23, RM11,266.80"/>
    <m/>
  </r>
  <r>
    <x v="248"/>
    <x v="4"/>
    <x v="3"/>
    <x v="335"/>
    <s v="C00000027"/>
    <x v="28"/>
    <x v="139"/>
    <n v="2"/>
    <s v="Cash"/>
    <x v="0"/>
    <d v="2022-09-28T00:00:00"/>
    <x v="6"/>
    <x v="4"/>
    <n v="1259.5999999999999"/>
    <n v="-1259.5999999999999"/>
    <n v="0"/>
    <n v="1860019.6500000008"/>
    <s v="Trsf"/>
    <s v="Bank Islam 161778 Cleared23/2/23, RM11,266.80"/>
    <m/>
  </r>
  <r>
    <x v="248"/>
    <x v="4"/>
    <x v="3"/>
    <x v="335"/>
    <s v="C00000027"/>
    <x v="28"/>
    <x v="140"/>
    <n v="2"/>
    <s v="Cash"/>
    <x v="0"/>
    <d v="2022-09-28T00:00:00"/>
    <x v="6"/>
    <x v="4"/>
    <n v="1015.2"/>
    <n v="-1015.2"/>
    <n v="0"/>
    <n v="1861034.8500000008"/>
    <s v="Trsf"/>
    <s v="Bank Islam 161778 Cleared23/2/23, RM11,266.80"/>
    <m/>
  </r>
  <r>
    <x v="248"/>
    <x v="4"/>
    <x v="3"/>
    <x v="335"/>
    <s v="C00000027"/>
    <x v="28"/>
    <x v="156"/>
    <n v="2"/>
    <s v="Cash"/>
    <x v="0"/>
    <d v="2022-09-28T00:00:00"/>
    <x v="6"/>
    <x v="4"/>
    <n v="630"/>
    <n v="-630"/>
    <n v="0"/>
    <n v="1861664.8500000008"/>
    <s v="Trsf"/>
    <s v="Bank Islam 161778 Cleared23/2/23, RM11,266.80"/>
    <m/>
  </r>
  <r>
    <x v="248"/>
    <x v="4"/>
    <x v="3"/>
    <x v="335"/>
    <s v="C00000027"/>
    <x v="28"/>
    <x v="141"/>
    <n v="4"/>
    <s v="Cash"/>
    <x v="0"/>
    <d v="2022-09-28T00:00:00"/>
    <x v="6"/>
    <x v="4"/>
    <n v="640"/>
    <n v="-640"/>
    <n v="0"/>
    <n v="1862304.8500000008"/>
    <s v="Trsf"/>
    <s v="Bank Islam 161778 Cleared23/2/23, RM11,266.80"/>
    <m/>
  </r>
  <r>
    <x v="248"/>
    <x v="4"/>
    <x v="3"/>
    <x v="335"/>
    <s v="C00000027"/>
    <x v="28"/>
    <x v="106"/>
    <n v="1"/>
    <s v="Cash"/>
    <x v="0"/>
    <d v="2022-09-28T00:00:00"/>
    <x v="6"/>
    <x v="4"/>
    <n v="90"/>
    <n v="-90"/>
    <n v="0"/>
    <n v="1862394.8500000008"/>
    <s v="Trsf"/>
    <s v="Bank Islam 161778 Cleared23/2/23, RM11,266.80"/>
    <m/>
  </r>
  <r>
    <x v="248"/>
    <x v="4"/>
    <x v="3"/>
    <x v="335"/>
    <s v="C00000027"/>
    <x v="28"/>
    <x v="138"/>
    <n v="1"/>
    <s v="Cash"/>
    <x v="0"/>
    <d v="2022-09-28T00:00:00"/>
    <x v="6"/>
    <x v="4"/>
    <n v="170"/>
    <n v="-170"/>
    <n v="0"/>
    <n v="1862564.8500000008"/>
    <s v="Trsf"/>
    <s v="Bank Islam 161778 Cleared23/2/23, RM11,266.80"/>
    <m/>
  </r>
  <r>
    <x v="248"/>
    <x v="4"/>
    <x v="3"/>
    <x v="335"/>
    <s v="C00000027"/>
    <x v="28"/>
    <x v="131"/>
    <n v="1"/>
    <s v="Cash"/>
    <x v="0"/>
    <d v="2022-09-28T00:00:00"/>
    <x v="6"/>
    <x v="4"/>
    <n v="440"/>
    <n v="-440"/>
    <n v="0"/>
    <n v="1863004.8500000008"/>
    <s v="Trsf"/>
    <s v="Bank Islam 161778 Cleared23/2/23, RM11,266.80"/>
    <m/>
  </r>
  <r>
    <x v="248"/>
    <x v="4"/>
    <x v="3"/>
    <x v="335"/>
    <s v="C00000027"/>
    <x v="28"/>
    <x v="125"/>
    <n v="4"/>
    <s v="Cash"/>
    <x v="0"/>
    <d v="2022-09-28T00:00:00"/>
    <x v="6"/>
    <x v="4"/>
    <n v="1016"/>
    <n v="-1016"/>
    <n v="0"/>
    <n v="1864020.8500000008"/>
    <s v="Trsf"/>
    <s v="Bank Islam 161778 Cleared23/2/23, RM11,266.80"/>
    <m/>
  </r>
  <r>
    <x v="248"/>
    <x v="4"/>
    <x v="3"/>
    <x v="336"/>
    <s v="C00000029"/>
    <x v="30"/>
    <x v="15"/>
    <n v="1"/>
    <s v="Cash"/>
    <x v="0"/>
    <d v="2022-09-28T00:00:00"/>
    <x v="6"/>
    <x v="4"/>
    <n v="1848"/>
    <n v="-1848"/>
    <n v="0"/>
    <n v="1865868.8500000008"/>
    <s v="Trsf"/>
    <s v="Trsf 28/09/22 RM1,995.50"/>
    <m/>
  </r>
  <r>
    <x v="248"/>
    <x v="4"/>
    <x v="3"/>
    <x v="336"/>
    <s v="C00000029"/>
    <x v="30"/>
    <x v="106"/>
    <n v="1"/>
    <s v="Cash"/>
    <x v="0"/>
    <d v="2022-09-28T00:00:00"/>
    <x v="6"/>
    <x v="4"/>
    <n v="85"/>
    <n v="-85"/>
    <n v="0"/>
    <n v="1865953.8500000008"/>
    <s v="Trsf"/>
    <s v="Trsf 28/09/22 RM1,995.50"/>
    <m/>
  </r>
  <r>
    <x v="248"/>
    <x v="4"/>
    <x v="3"/>
    <x v="336"/>
    <s v="C00000029"/>
    <x v="30"/>
    <x v="12"/>
    <n v="1"/>
    <s v="Cash"/>
    <x v="0"/>
    <d v="2022-09-28T00:00:00"/>
    <x v="6"/>
    <x v="4"/>
    <n v="62.5"/>
    <n v="-62.5"/>
    <n v="0"/>
    <n v="1866016.3500000008"/>
    <s v="Trsf"/>
    <s v="Trsf 28/09/22 RM1,995.50"/>
    <m/>
  </r>
  <r>
    <x v="249"/>
    <x v="5"/>
    <x v="3"/>
    <x v="337"/>
    <s v="C00000010"/>
    <x v="9"/>
    <x v="45"/>
    <n v="5"/>
    <n v="120"/>
    <x v="2"/>
    <d v="2023-01-29T00:00:00"/>
    <x v="7"/>
    <x v="5"/>
    <n v="9130"/>
    <n v="-9130"/>
    <n v="0"/>
    <n v="1875146.3500000008"/>
    <s v="Trsf"/>
    <s v="Trsf 19/1/23, RM24,940.00"/>
    <m/>
  </r>
  <r>
    <x v="249"/>
    <x v="5"/>
    <x v="3"/>
    <x v="337"/>
    <s v="C00000010"/>
    <x v="9"/>
    <x v="148"/>
    <n v="10"/>
    <n v="120"/>
    <x v="2"/>
    <d v="2023-01-29T00:00:00"/>
    <x v="7"/>
    <x v="5"/>
    <n v="2520"/>
    <n v="-2520"/>
    <n v="0"/>
    <n v="1877666.3500000008"/>
    <s v="Trsf"/>
    <s v="Trsf 19/1/23, RM24,940.00"/>
    <m/>
  </r>
  <r>
    <x v="249"/>
    <x v="5"/>
    <x v="3"/>
    <x v="337"/>
    <s v="C00000010"/>
    <x v="9"/>
    <x v="12"/>
    <n v="10"/>
    <n v="120"/>
    <x v="2"/>
    <d v="2023-01-29T00:00:00"/>
    <x v="7"/>
    <x v="5"/>
    <n v="575"/>
    <n v="-575"/>
    <n v="0"/>
    <n v="1878241.3500000008"/>
    <s v="Trsf"/>
    <s v="Trsf 19/1/23, RM24,940.00"/>
    <m/>
  </r>
  <r>
    <x v="249"/>
    <x v="5"/>
    <x v="3"/>
    <x v="337"/>
    <s v="C00000010"/>
    <x v="9"/>
    <x v="131"/>
    <n v="1"/>
    <n v="120"/>
    <x v="2"/>
    <d v="2023-01-29T00:00:00"/>
    <x v="7"/>
    <x v="5"/>
    <n v="420"/>
    <n v="-420"/>
    <n v="0"/>
    <n v="1878661.3500000008"/>
    <s v="Trsf"/>
    <s v="Trsf 19/1/23, RM24,940.00"/>
    <m/>
  </r>
  <r>
    <x v="249"/>
    <x v="5"/>
    <x v="3"/>
    <x v="337"/>
    <s v="C00000010"/>
    <x v="9"/>
    <x v="150"/>
    <n v="4"/>
    <n v="120"/>
    <x v="2"/>
    <d v="2023-01-29T00:00:00"/>
    <x v="7"/>
    <x v="5"/>
    <n v="420"/>
    <n v="-420"/>
    <n v="0"/>
    <n v="1879081.3500000008"/>
    <s v="Trsf"/>
    <s v="Trsf 19/1/23, RM24,940.00"/>
    <m/>
  </r>
  <r>
    <x v="250"/>
    <x v="5"/>
    <x v="3"/>
    <x v="338"/>
    <s v="C00000020"/>
    <x v="19"/>
    <x v="120"/>
    <n v="15"/>
    <s v="Cash"/>
    <x v="0"/>
    <d v="2022-10-03T00:00:00"/>
    <x v="3"/>
    <x v="4"/>
    <n v="27060"/>
    <n v="-27060"/>
    <n v="0"/>
    <n v="1906141.3500000008"/>
    <s v="Trsf"/>
    <s v="Trsf 20/1/23 RM20,000.00(RM928.20), Trsf 7/2/23 RM9,700.00, Trsf 9/2/23 RM11,000.00, Trsf 13/2/23 RM9,500.00(RM5,431.80)"/>
    <m/>
  </r>
  <r>
    <x v="250"/>
    <x v="5"/>
    <x v="3"/>
    <x v="338"/>
    <s v="C00000020"/>
    <x v="19"/>
    <x v="157"/>
    <n v="45"/>
    <s v="Cash"/>
    <x v="0"/>
    <d v="2022-10-03T00:00:00"/>
    <x v="3"/>
    <x v="4"/>
    <n v="11340"/>
    <n v="-11340"/>
    <n v="0"/>
    <n v="1917481.3500000008"/>
    <s v="Trsf"/>
    <s v="Trsf 13/2/23 RM9,500.00(RM4,068.20),  Trsf 18/2/23 RM6,000.00, Trsf 24/2/23 RM22,000.00(RM1,271.80)"/>
    <m/>
  </r>
  <r>
    <x v="250"/>
    <x v="5"/>
    <x v="3"/>
    <x v="338"/>
    <s v="C00000020"/>
    <x v="19"/>
    <x v="158"/>
    <n v="22"/>
    <s v="Cash"/>
    <x v="0"/>
    <d v="2022-10-03T00:00:00"/>
    <x v="3"/>
    <x v="4"/>
    <n v="6435"/>
    <n v="-6435"/>
    <n v="0"/>
    <n v="1923916.3500000008"/>
    <s v="Trsf"/>
    <s v="Trsf 24/2/23 RM22,000.00"/>
    <m/>
  </r>
  <r>
    <x v="250"/>
    <x v="5"/>
    <x v="3"/>
    <x v="338"/>
    <s v="C00000020"/>
    <x v="19"/>
    <x v="12"/>
    <n v="15"/>
    <s v="Cash"/>
    <x v="0"/>
    <d v="2022-10-03T00:00:00"/>
    <x v="3"/>
    <x v="4"/>
    <n v="937.5"/>
    <n v="-937.5"/>
    <n v="0"/>
    <n v="1924853.8500000008"/>
    <s v="Trsf"/>
    <s v="Trsf 24/2/23 RM22,000.00"/>
    <m/>
  </r>
  <r>
    <x v="250"/>
    <x v="5"/>
    <x v="3"/>
    <x v="338"/>
    <s v="C00000020"/>
    <x v="19"/>
    <x v="159"/>
    <n v="2"/>
    <s v="Cash"/>
    <x v="0"/>
    <d v="2022-10-03T00:00:00"/>
    <x v="3"/>
    <x v="4"/>
    <n v="2000"/>
    <n v="-2000"/>
    <n v="0"/>
    <n v="1926853.8500000008"/>
    <s v="Trsf"/>
    <s v="Trsf 24/2/23 RM22,000.00"/>
    <m/>
  </r>
  <r>
    <x v="250"/>
    <x v="5"/>
    <x v="3"/>
    <x v="338"/>
    <s v="C00000020"/>
    <x v="19"/>
    <x v="160"/>
    <n v="4"/>
    <s v="Cash"/>
    <x v="0"/>
    <d v="2022-10-03T00:00:00"/>
    <x v="3"/>
    <x v="4"/>
    <n v="400"/>
    <n v="-400"/>
    <n v="0"/>
    <n v="1927253.8500000008"/>
    <s v="Trsf"/>
    <s v="Trsf 24/2/23 RM22,000.00"/>
    <m/>
  </r>
  <r>
    <x v="251"/>
    <x v="5"/>
    <x v="3"/>
    <x v="339"/>
    <s v="C00000021"/>
    <x v="21"/>
    <x v="15"/>
    <n v="1"/>
    <s v="Cash"/>
    <x v="0"/>
    <d v="2022-10-01T00:00:00"/>
    <x v="3"/>
    <x v="4"/>
    <n v="1936"/>
    <n v="-1936"/>
    <n v="0"/>
    <n v="1929189.8500000008"/>
    <s v="PD Chq"/>
    <s v="Chq PBB 395374, cleared160123 RM2,636.50"/>
    <m/>
  </r>
  <r>
    <x v="251"/>
    <x v="5"/>
    <x v="3"/>
    <x v="339"/>
    <s v="C00000021"/>
    <x v="21"/>
    <x v="152"/>
    <n v="1"/>
    <s v="Cash"/>
    <x v="0"/>
    <d v="2022-10-01T00:00:00"/>
    <x v="3"/>
    <x v="4"/>
    <n v="100"/>
    <n v="-100"/>
    <n v="0"/>
    <n v="1929289.8500000008"/>
    <s v="PD Chq"/>
    <s v="Chq PBB 395374, cleared160123 RM2,636.50"/>
    <m/>
  </r>
  <r>
    <x v="251"/>
    <x v="5"/>
    <x v="3"/>
    <x v="339"/>
    <s v="C00000021"/>
    <x v="21"/>
    <x v="12"/>
    <n v="5"/>
    <s v="Cash"/>
    <x v="0"/>
    <d v="2022-10-01T00:00:00"/>
    <x v="3"/>
    <x v="4"/>
    <n v="312.5"/>
    <n v="-312.5"/>
    <n v="0"/>
    <n v="1929602.3500000008"/>
    <s v="PD Chq"/>
    <s v="Chq PBB 395374, cleared160123 RM2,636.50"/>
    <m/>
  </r>
  <r>
    <x v="251"/>
    <x v="5"/>
    <x v="3"/>
    <x v="339"/>
    <s v="C00000021"/>
    <x v="21"/>
    <x v="129"/>
    <n v="6"/>
    <s v="Cash"/>
    <x v="0"/>
    <d v="2022-10-01T00:00:00"/>
    <x v="3"/>
    <x v="4"/>
    <n v="288"/>
    <n v="-288"/>
    <n v="0"/>
    <n v="1929890.3500000008"/>
    <s v="PD Chq"/>
    <s v="Chq PBB 395374, cleared160123 RM2,636.50"/>
    <m/>
  </r>
  <r>
    <x v="252"/>
    <x v="5"/>
    <x v="3"/>
    <x v="340"/>
    <s v="C00000003"/>
    <x v="2"/>
    <x v="15"/>
    <n v="1"/>
    <n v="45"/>
    <x v="1"/>
    <d v="2022-11-16T00:00:00"/>
    <x v="5"/>
    <x v="4"/>
    <n v="2024"/>
    <n v="-2024"/>
    <n v="0"/>
    <n v="1931914.3500000008"/>
    <s v="PD Chq"/>
    <s v="RHB 00552 12/12/22cleared-RM1,800.00, RHB 00553 19/12/22cleared-RM1,800.00(RM224.00partial)"/>
    <m/>
  </r>
  <r>
    <x v="252"/>
    <x v="5"/>
    <x v="3"/>
    <x v="340"/>
    <s v="C00000003"/>
    <x v="2"/>
    <x v="12"/>
    <n v="3"/>
    <n v="45"/>
    <x v="1"/>
    <d v="2022-11-16T00:00:00"/>
    <x v="5"/>
    <x v="4"/>
    <n v="195"/>
    <n v="-195"/>
    <n v="0"/>
    <n v="1932109.3500000008"/>
    <s v="PD Chq"/>
    <s v="RHB 00553 19/12/22cleared-RM1,800.00(RM195.00partial)"/>
    <m/>
  </r>
  <r>
    <x v="252"/>
    <x v="5"/>
    <x v="3"/>
    <x v="340"/>
    <s v="C00000003"/>
    <x v="2"/>
    <x v="4"/>
    <n v="6"/>
    <n v="45"/>
    <x v="1"/>
    <d v="2022-11-16T00:00:00"/>
    <x v="5"/>
    <x v="4"/>
    <n v="630"/>
    <n v="-630"/>
    <n v="0"/>
    <n v="1932739.3500000008"/>
    <s v="PD Chq"/>
    <s v="RHB 00553 19/12/22cleared-RM1,800.00(RM630.00partial)"/>
    <m/>
  </r>
  <r>
    <x v="252"/>
    <x v="5"/>
    <x v="3"/>
    <x v="341"/>
    <s v="C00000003"/>
    <x v="2"/>
    <x v="15"/>
    <n v="2"/>
    <n v="45"/>
    <x v="1"/>
    <d v="2022-11-16T00:00:00"/>
    <x v="5"/>
    <x v="4"/>
    <n v="4048"/>
    <n v="-4048"/>
    <n v="0"/>
    <n v="1936787.3500000008"/>
    <s v="PD Chq"/>
    <s v="RHB 00553 19/12/22cleared-RM1,800.00(RM751.00partial), RHB 00554 27/12/22cleared-RM1,800.00, RHB 00557 3/1/23cleared-RM1,497.00"/>
    <m/>
  </r>
  <r>
    <x v="253"/>
    <x v="5"/>
    <x v="3"/>
    <x v="342"/>
    <s v="C00000006"/>
    <x v="5"/>
    <x v="120"/>
    <n v="1"/>
    <s v="Cash"/>
    <x v="0"/>
    <d v="2022-10-11T00:00:00"/>
    <x v="3"/>
    <x v="4"/>
    <n v="1958"/>
    <n v="-1958"/>
    <n v="0"/>
    <n v="1938745.3500000008"/>
    <s v="Chq"/>
    <s v="RHB 934959 cleared24/11/22-RM2,237.00"/>
    <m/>
  </r>
  <r>
    <x v="253"/>
    <x v="5"/>
    <x v="3"/>
    <x v="342"/>
    <s v="C00000006"/>
    <x v="5"/>
    <x v="155"/>
    <n v="1"/>
    <s v="Cash"/>
    <x v="0"/>
    <d v="2022-10-11T00:00:00"/>
    <x v="3"/>
    <x v="4"/>
    <n v="279"/>
    <n v="-279"/>
    <n v="0"/>
    <n v="1939024.3500000008"/>
    <s v="Chq"/>
    <s v="RHB 934959 cleared24/11/22-RM2,237.00"/>
    <m/>
  </r>
  <r>
    <x v="253"/>
    <x v="5"/>
    <x v="3"/>
    <x v="343"/>
    <s v="C00000019"/>
    <x v="18"/>
    <x v="120"/>
    <n v="1"/>
    <s v="Cash"/>
    <x v="0"/>
    <d v="2022-10-11T00:00:00"/>
    <x v="3"/>
    <x v="4"/>
    <n v="1936"/>
    <n v="-1936"/>
    <n v="0"/>
    <n v="1940960.3500000008"/>
    <s v="Trsf"/>
    <s v="Trsf 8/11/22 RM1,500.00, Trsf 14/11/22 RM1,637.30"/>
    <m/>
  </r>
  <r>
    <x v="253"/>
    <x v="5"/>
    <x v="3"/>
    <x v="343"/>
    <s v="C00000019"/>
    <x v="18"/>
    <x v="139"/>
    <n v="1"/>
    <s v="Cash"/>
    <x v="0"/>
    <d v="2022-10-11T00:00:00"/>
    <x v="3"/>
    <x v="4"/>
    <n v="596.29999999999995"/>
    <n v="-596.29999999999995"/>
    <n v="0"/>
    <n v="1941556.6500000008"/>
    <s v="Trsf"/>
    <s v="Trsf 8/11/22 RM1,500.00, Trsf 14/11/22 RM1,637.30"/>
    <m/>
  </r>
  <r>
    <x v="253"/>
    <x v="5"/>
    <x v="3"/>
    <x v="343"/>
    <s v="C00000019"/>
    <x v="18"/>
    <x v="153"/>
    <n v="1"/>
    <s v="Cash"/>
    <x v="0"/>
    <d v="2022-10-11T00:00:00"/>
    <x v="3"/>
    <x v="4"/>
    <n v="50"/>
    <n v="-50"/>
    <n v="0"/>
    <n v="1941606.6500000008"/>
    <s v="Trsf"/>
    <s v="Trsf 8/11/22 RM1,500.00, Trsf 14/11/22 RM1,637.30"/>
    <m/>
  </r>
  <r>
    <x v="253"/>
    <x v="5"/>
    <x v="3"/>
    <x v="343"/>
    <s v="C00000019"/>
    <x v="18"/>
    <x v="4"/>
    <n v="1"/>
    <s v="Cash"/>
    <x v="0"/>
    <d v="2022-10-11T00:00:00"/>
    <x v="3"/>
    <x v="4"/>
    <n v="105"/>
    <n v="-105"/>
    <n v="0"/>
    <n v="1941711.6500000008"/>
    <s v="Trsf"/>
    <s v="Trsf 8/11/22 RM1,500.00, Trsf 14/11/22 RM1,637.30"/>
    <m/>
  </r>
  <r>
    <x v="253"/>
    <x v="5"/>
    <x v="3"/>
    <x v="343"/>
    <s v="C00000019"/>
    <x v="18"/>
    <x v="52"/>
    <n v="1"/>
    <s v="Cash"/>
    <x v="0"/>
    <d v="2022-10-11T00:00:00"/>
    <x v="3"/>
    <x v="4"/>
    <n v="450"/>
    <n v="-450"/>
    <n v="0"/>
    <n v="1942161.6500000008"/>
    <s v="Trsf"/>
    <s v="Trsf 8/11/22 RM1,500.00, Trsf 14/11/22 RM1,637.30"/>
    <m/>
  </r>
  <r>
    <x v="254"/>
    <x v="5"/>
    <x v="3"/>
    <x v="344"/>
    <s v="C00000020"/>
    <x v="19"/>
    <x v="120"/>
    <n v="3"/>
    <s v="Cash"/>
    <x v="0"/>
    <d v="2022-10-13T00:00:00"/>
    <x v="3"/>
    <x v="4"/>
    <n v="5412"/>
    <n v="-5412"/>
    <n v="0"/>
    <n v="1947573.6500000008"/>
    <s v="Trsf"/>
    <s v="Trsf 24/2/23 RM22,000.00"/>
    <m/>
  </r>
  <r>
    <x v="254"/>
    <x v="5"/>
    <x v="3"/>
    <x v="344"/>
    <s v="C00000020"/>
    <x v="19"/>
    <x v="157"/>
    <n v="7"/>
    <s v="Cash"/>
    <x v="0"/>
    <d v="2022-10-13T00:00:00"/>
    <x v="3"/>
    <x v="4"/>
    <n v="1764"/>
    <n v="-1764"/>
    <n v="0"/>
    <n v="1949337.6500000008"/>
    <s v="Trsf"/>
    <s v="Trsf 24/2/23 RM22,000.00"/>
    <m/>
  </r>
  <r>
    <x v="254"/>
    <x v="5"/>
    <x v="3"/>
    <x v="344"/>
    <s v="C00000020"/>
    <x v="19"/>
    <x v="139"/>
    <n v="1"/>
    <s v="Cash"/>
    <x v="0"/>
    <d v="2022-10-13T00:00:00"/>
    <x v="3"/>
    <x v="4"/>
    <n v="562.79999999999995"/>
    <n v="-562.79999999999995"/>
    <n v="0"/>
    <n v="1949900.4500000009"/>
    <s v="Trsf"/>
    <s v="Trsf 24/2/23 RM22,000.00"/>
    <m/>
  </r>
  <r>
    <x v="254"/>
    <x v="5"/>
    <x v="3"/>
    <x v="344"/>
    <s v="C00000020"/>
    <x v="19"/>
    <x v="128"/>
    <n v="4"/>
    <s v="Cash"/>
    <x v="0"/>
    <d v="2022-10-13T00:00:00"/>
    <x v="3"/>
    <x v="4"/>
    <n v="1040"/>
    <n v="-1040"/>
    <n v="0"/>
    <n v="1950940.4500000009"/>
    <s v="Trsf"/>
    <s v="Trsf 24/2/23 RM22,000.00"/>
    <m/>
  </r>
  <r>
    <x v="254"/>
    <x v="5"/>
    <x v="3"/>
    <x v="344"/>
    <s v="C00000020"/>
    <x v="19"/>
    <x v="12"/>
    <n v="3"/>
    <s v="Cash"/>
    <x v="0"/>
    <d v="2022-10-13T00:00:00"/>
    <x v="3"/>
    <x v="4"/>
    <n v="187.5"/>
    <n v="-187.5"/>
    <n v="0"/>
    <n v="1951127.9500000009"/>
    <s v="Trsf"/>
    <s v="Trsf 24/2/23 RM22,000.00"/>
    <m/>
  </r>
  <r>
    <x v="254"/>
    <x v="5"/>
    <x v="3"/>
    <x v="344"/>
    <s v="C00000020"/>
    <x v="19"/>
    <x v="159"/>
    <n v="1"/>
    <s v="Cash"/>
    <x v="0"/>
    <d v="2022-10-13T00:00:00"/>
    <x v="3"/>
    <x v="4"/>
    <n v="1000"/>
    <n v="-1000"/>
    <n v="0"/>
    <n v="1952127.9500000009"/>
    <s v="Trsf"/>
    <s v="Trsf 24/2/23 RM22,000.00"/>
    <m/>
  </r>
  <r>
    <x v="254"/>
    <x v="5"/>
    <x v="3"/>
    <x v="344"/>
    <s v="C00000020"/>
    <x v="19"/>
    <x v="160"/>
    <n v="2"/>
    <s v="Cash"/>
    <x v="0"/>
    <d v="2022-10-13T00:00:00"/>
    <x v="3"/>
    <x v="4"/>
    <n v="200"/>
    <n v="-200"/>
    <n v="0"/>
    <n v="1952327.9500000009"/>
    <s v="Trsf"/>
    <s v="Trsf 24/2/23 RM22,000.00"/>
    <m/>
  </r>
  <r>
    <x v="254"/>
    <x v="5"/>
    <x v="3"/>
    <x v="345"/>
    <s v="C00000021"/>
    <x v="21"/>
    <x v="15"/>
    <n v="1"/>
    <s v="Cash"/>
    <x v="0"/>
    <d v="2022-10-13T00:00:00"/>
    <x v="3"/>
    <x v="4"/>
    <n v="1936"/>
    <n v="-1936"/>
    <n v="0"/>
    <n v="1954263.9500000009"/>
    <s v="PD Chq"/>
    <s v="Chq PBB 395375, cleared160123 RM2,570.00"/>
    <m/>
  </r>
  <r>
    <x v="254"/>
    <x v="5"/>
    <x v="3"/>
    <x v="345"/>
    <s v="C00000021"/>
    <x v="21"/>
    <x v="157"/>
    <n v="2"/>
    <s v="Cash"/>
    <x v="0"/>
    <d v="2022-10-13T00:00:00"/>
    <x v="3"/>
    <x v="4"/>
    <n v="534"/>
    <n v="-534"/>
    <n v="0"/>
    <n v="1954797.9500000009"/>
    <s v="PD Chq"/>
    <s v="Chq PBB 395375, cleared160123 RM2,570.00"/>
    <m/>
  </r>
  <r>
    <x v="254"/>
    <x v="5"/>
    <x v="3"/>
    <x v="345"/>
    <s v="C00000021"/>
    <x v="21"/>
    <x v="152"/>
    <n v="1"/>
    <s v="Cash"/>
    <x v="0"/>
    <d v="2022-10-13T00:00:00"/>
    <x v="3"/>
    <x v="4"/>
    <n v="100"/>
    <n v="-100"/>
    <n v="0"/>
    <n v="1954897.9500000009"/>
    <s v="PD Chq"/>
    <s v="Chq PBB 395375, cleared160123 RM2,570.00"/>
    <m/>
  </r>
  <r>
    <x v="255"/>
    <x v="5"/>
    <x v="3"/>
    <x v="346"/>
    <s v="C00000010"/>
    <x v="9"/>
    <x v="45"/>
    <n v="5"/>
    <n v="120"/>
    <x v="2"/>
    <d v="2023-02-12T00:00:00"/>
    <x v="8"/>
    <x v="5"/>
    <n v="9020"/>
    <n v="-9020"/>
    <n v="0"/>
    <n v="1963917.9500000009"/>
    <s v="Trsf"/>
    <s v="Trsf 19/1/23, RM24,940.00"/>
    <m/>
  </r>
  <r>
    <x v="255"/>
    <x v="5"/>
    <x v="3"/>
    <x v="346"/>
    <s v="C00000010"/>
    <x v="9"/>
    <x v="148"/>
    <n v="5"/>
    <n v="120"/>
    <x v="2"/>
    <d v="2023-02-12T00:00:00"/>
    <x v="8"/>
    <x v="5"/>
    <n v="1245"/>
    <n v="-1245"/>
    <n v="0"/>
    <n v="1965162.9500000009"/>
    <s v="Trsf"/>
    <s v="Trsf 19/1/23, RM24,940.00"/>
    <m/>
  </r>
  <r>
    <x v="255"/>
    <x v="5"/>
    <x v="3"/>
    <x v="346"/>
    <s v="C00000010"/>
    <x v="9"/>
    <x v="12"/>
    <n v="10"/>
    <n v="120"/>
    <x v="2"/>
    <d v="2023-02-12T00:00:00"/>
    <x v="8"/>
    <x v="5"/>
    <n v="575"/>
    <n v="-575"/>
    <n v="0"/>
    <n v="1965737.9500000009"/>
    <s v="Trsf"/>
    <s v="Trsf 19/1/23, RM24,940.00"/>
    <m/>
  </r>
  <r>
    <x v="255"/>
    <x v="5"/>
    <x v="3"/>
    <x v="346"/>
    <s v="C00000010"/>
    <x v="9"/>
    <x v="150"/>
    <n v="4"/>
    <n v="120"/>
    <x v="2"/>
    <d v="2023-02-12T00:00:00"/>
    <x v="8"/>
    <x v="5"/>
    <n v="420"/>
    <n v="-420"/>
    <n v="0"/>
    <n v="1966157.9500000009"/>
    <s v="Trsf"/>
    <s v="Trsf 19/1/23, RM24,940.00"/>
    <m/>
  </r>
  <r>
    <x v="255"/>
    <x v="5"/>
    <x v="3"/>
    <x v="346"/>
    <s v="C00000010"/>
    <x v="9"/>
    <x v="151"/>
    <n v="4"/>
    <n v="120"/>
    <x v="2"/>
    <d v="2023-02-12T00:00:00"/>
    <x v="8"/>
    <x v="5"/>
    <n v="220"/>
    <n v="-220"/>
    <n v="0"/>
    <n v="1966377.9500000009"/>
    <s v="Trsf"/>
    <s v="Trsf 19/1/23, RM24,940.00"/>
    <m/>
  </r>
  <r>
    <x v="256"/>
    <x v="5"/>
    <x v="3"/>
    <x v="347"/>
    <s v="C00000026"/>
    <x v="27"/>
    <x v="118"/>
    <n v="1"/>
    <s v="Cash"/>
    <x v="0"/>
    <d v="2022-10-17T00:00:00"/>
    <x v="3"/>
    <x v="4"/>
    <n v="1958"/>
    <n v="-1958"/>
    <n v="0"/>
    <n v="1968335.9500000009"/>
    <s v="Trsf"/>
    <s v="Trsf 19/10/22 RM3,000.00, Trsf 20/10/22 RM600.00 "/>
    <m/>
  </r>
  <r>
    <x v="256"/>
    <x v="5"/>
    <x v="3"/>
    <x v="347"/>
    <s v="C00000026"/>
    <x v="27"/>
    <x v="139"/>
    <n v="1"/>
    <s v="Cash"/>
    <x v="0"/>
    <d v="2022-10-17T00:00:00"/>
    <x v="3"/>
    <x v="4"/>
    <n v="603"/>
    <n v="-603"/>
    <n v="0"/>
    <n v="1968938.9500000009"/>
    <s v="Trsf"/>
    <s v="Trsf 19/10/22 RM3,000.00, Trsf 20/10/22 RM600.00 "/>
    <m/>
  </r>
  <r>
    <x v="256"/>
    <x v="5"/>
    <x v="3"/>
    <x v="347"/>
    <s v="C00000026"/>
    <x v="27"/>
    <x v="125"/>
    <n v="1"/>
    <s v="Cash"/>
    <x v="0"/>
    <d v="2022-10-17T00:00:00"/>
    <x v="3"/>
    <x v="4"/>
    <n v="254"/>
    <n v="-254"/>
    <n v="0"/>
    <n v="1969192.9500000009"/>
    <s v="Trsf"/>
    <s v="Trsf 19/10/22 RM3,000.00, Trsf 20/10/22 RM600.00 "/>
    <m/>
  </r>
  <r>
    <x v="256"/>
    <x v="5"/>
    <x v="3"/>
    <x v="347"/>
    <s v="C00000026"/>
    <x v="27"/>
    <x v="161"/>
    <n v="1"/>
    <s v="Cash"/>
    <x v="0"/>
    <d v="2022-10-17T00:00:00"/>
    <x v="3"/>
    <x v="4"/>
    <n v="55"/>
    <n v="-55"/>
    <n v="0"/>
    <n v="1969247.9500000009"/>
    <s v="Trsf"/>
    <s v="Trsf 19/10/22 RM3,000.00, Trsf 20/10/22 RM600.00 "/>
    <m/>
  </r>
  <r>
    <x v="256"/>
    <x v="5"/>
    <x v="3"/>
    <x v="347"/>
    <s v="C00000026"/>
    <x v="27"/>
    <x v="141"/>
    <n v="1"/>
    <s v="Cash"/>
    <x v="0"/>
    <d v="2022-10-17T00:00:00"/>
    <x v="3"/>
    <x v="4"/>
    <n v="160"/>
    <n v="-160"/>
    <n v="0"/>
    <n v="1969407.9500000009"/>
    <s v="Trsf"/>
    <s v="Trsf 19/10/22 RM3,000.00, Trsf 20/10/22 RM600.00 "/>
    <m/>
  </r>
  <r>
    <x v="256"/>
    <x v="5"/>
    <x v="3"/>
    <x v="347"/>
    <s v="C00000026"/>
    <x v="27"/>
    <x v="162"/>
    <n v="1"/>
    <s v="Cash"/>
    <x v="0"/>
    <d v="2022-10-17T00:00:00"/>
    <x v="3"/>
    <x v="4"/>
    <n v="240"/>
    <n v="-240"/>
    <n v="0"/>
    <n v="1969647.9500000009"/>
    <s v="Trsf"/>
    <s v="Trsf 19/10/22 RM3,000.00, Trsf 20/10/22 RM600.00 "/>
    <m/>
  </r>
  <r>
    <x v="256"/>
    <x v="5"/>
    <x v="3"/>
    <x v="347"/>
    <s v="C00000026"/>
    <x v="27"/>
    <x v="150"/>
    <n v="1"/>
    <s v="Cash"/>
    <x v="0"/>
    <d v="2022-10-17T00:00:00"/>
    <x v="3"/>
    <x v="4"/>
    <n v="105"/>
    <n v="-105"/>
    <n v="0"/>
    <n v="1969752.9500000009"/>
    <s v="Trsf"/>
    <s v="Trsf 19/10/22 RM3,000.00, Trsf 20/10/22 RM600.00 "/>
    <m/>
  </r>
  <r>
    <x v="256"/>
    <x v="5"/>
    <x v="3"/>
    <x v="347"/>
    <s v="C00000026"/>
    <x v="27"/>
    <x v="12"/>
    <n v="2"/>
    <s v="Cash"/>
    <x v="0"/>
    <d v="2022-10-17T00:00:00"/>
    <x v="3"/>
    <x v="4"/>
    <n v="125"/>
    <n v="-125"/>
    <n v="0"/>
    <n v="1969877.9500000009"/>
    <s v="Trsf"/>
    <s v="Trsf 19/10/22 RM3,000.00, Trsf 20/10/22 RM600.00 "/>
    <m/>
  </r>
  <r>
    <x v="256"/>
    <x v="5"/>
    <x v="3"/>
    <x v="347"/>
    <s v="C00000026"/>
    <x v="27"/>
    <x v="153"/>
    <n v="2"/>
    <s v="Cash"/>
    <x v="0"/>
    <d v="2022-10-17T00:00:00"/>
    <x v="3"/>
    <x v="4"/>
    <n v="100"/>
    <n v="-100"/>
    <n v="0"/>
    <n v="1969977.9500000009"/>
    <s v="Trsf"/>
    <s v="Trsf 19/10/22 RM3,000.00, Trsf 20/10/22 RM600.00 "/>
    <m/>
  </r>
  <r>
    <x v="256"/>
    <x v="5"/>
    <x v="3"/>
    <x v="348"/>
    <s v="C00000010"/>
    <x v="9"/>
    <x v="48"/>
    <n v="1"/>
    <n v="120"/>
    <x v="2"/>
    <d v="2023-02-14T00:00:00"/>
    <x v="8"/>
    <x v="5"/>
    <n v="395"/>
    <n v="-395"/>
    <n v="0"/>
    <n v="1970372.9500000009"/>
    <s v="Trsf"/>
    <s v="Trsf 19/1/23, RM24,940.00"/>
    <m/>
  </r>
  <r>
    <x v="257"/>
    <x v="5"/>
    <x v="3"/>
    <x v="349"/>
    <s v="C00000009"/>
    <x v="8"/>
    <x v="139"/>
    <n v="2"/>
    <n v="60"/>
    <x v="3"/>
    <d v="2022-12-17T00:00:00"/>
    <x v="0"/>
    <x v="4"/>
    <n v="1085.4000000000001"/>
    <n v="-1085.4000000000001"/>
    <n v="0"/>
    <n v="1971458.3500000008"/>
    <s v="Chq"/>
    <s v="Chq HL 019025 dd 27/3/23"/>
    <m/>
  </r>
  <r>
    <x v="257"/>
    <x v="5"/>
    <x v="3"/>
    <x v="349"/>
    <s v="C00000009"/>
    <x v="8"/>
    <x v="140"/>
    <n v="2"/>
    <n v="60"/>
    <x v="3"/>
    <d v="2022-12-17T00:00:00"/>
    <x v="0"/>
    <x v="4"/>
    <n v="874.8"/>
    <n v="-874.8"/>
    <n v="0"/>
    <n v="1972333.1500000008"/>
    <s v="Chq"/>
    <s v="Chq HL 019025 dd 27/3/23"/>
    <m/>
  </r>
  <r>
    <x v="258"/>
    <x v="5"/>
    <x v="3"/>
    <x v="350"/>
    <s v="C00000004"/>
    <x v="3"/>
    <x v="120"/>
    <n v="6"/>
    <n v="120"/>
    <x v="2"/>
    <d v="2023-02-17T00:00:00"/>
    <x v="8"/>
    <x v="5"/>
    <n v="10824"/>
    <n v="-10824"/>
    <n v="0"/>
    <n v="1983157.1500000008"/>
    <s v="Chq"/>
    <s v="HLB016114Cleared22/2/23-RM15,677.20"/>
    <m/>
  </r>
  <r>
    <x v="258"/>
    <x v="5"/>
    <x v="3"/>
    <x v="350"/>
    <s v="C00000004"/>
    <x v="3"/>
    <x v="96"/>
    <n v="1"/>
    <n v="120"/>
    <x v="2"/>
    <d v="2023-02-17T00:00:00"/>
    <x v="8"/>
    <x v="5"/>
    <n v="1804"/>
    <n v="-1804"/>
    <n v="0"/>
    <n v="1984961.1500000008"/>
    <s v="Chq"/>
    <s v="HLB016114Cleared22/2/23-RM15,677.20"/>
    <m/>
  </r>
  <r>
    <x v="258"/>
    <x v="5"/>
    <x v="3"/>
    <x v="350"/>
    <s v="C00000004"/>
    <x v="3"/>
    <x v="112"/>
    <n v="3"/>
    <n v="120"/>
    <x v="2"/>
    <d v="2023-02-17T00:00:00"/>
    <x v="8"/>
    <x v="5"/>
    <n v="1344.6"/>
    <n v="-1344.6"/>
    <n v="0"/>
    <n v="1986305.7500000009"/>
    <s v="Chq"/>
    <s v="HLB016114Cleared22/2/23-RM15,677.20"/>
    <m/>
  </r>
  <r>
    <x v="258"/>
    <x v="5"/>
    <x v="3"/>
    <x v="350"/>
    <s v="C00000004"/>
    <x v="3"/>
    <x v="163"/>
    <n v="3"/>
    <n v="120"/>
    <x v="2"/>
    <d v="2023-02-17T00:00:00"/>
    <x v="8"/>
    <x v="5"/>
    <n v="1344.6"/>
    <n v="-1344.6"/>
    <n v="0"/>
    <n v="1987650.350000001"/>
    <s v="Chq"/>
    <s v="HLB016114Cleared22/2/23-RM15,677.20"/>
    <m/>
  </r>
  <r>
    <x v="258"/>
    <x v="5"/>
    <x v="3"/>
    <x v="350"/>
    <s v="C00000004"/>
    <x v="3"/>
    <x v="106"/>
    <n v="4"/>
    <n v="120"/>
    <x v="2"/>
    <d v="2023-02-17T00:00:00"/>
    <x v="8"/>
    <x v="5"/>
    <n v="360"/>
    <n v="-360"/>
    <n v="0"/>
    <n v="1988010.350000001"/>
    <s v="Chq"/>
    <s v="HLB016114Cleared22/2/23-RM15,677.20"/>
    <m/>
  </r>
  <r>
    <x v="259"/>
    <x v="5"/>
    <x v="3"/>
    <x v="351"/>
    <s v="C00000001"/>
    <x v="0"/>
    <x v="118"/>
    <n v="1"/>
    <s v="Cash"/>
    <x v="0"/>
    <d v="2022-10-21T00:00:00"/>
    <x v="3"/>
    <x v="4"/>
    <n v="1936"/>
    <n v="-1936"/>
    <n v="0"/>
    <n v="1989946.350000001"/>
    <s v="Trsf"/>
    <s v="Trsf 1/11/22 RM3,004.00"/>
    <m/>
  </r>
  <r>
    <x v="259"/>
    <x v="5"/>
    <x v="3"/>
    <x v="351"/>
    <s v="C00000001"/>
    <x v="0"/>
    <x v="100"/>
    <n v="4"/>
    <s v="Cash"/>
    <x v="0"/>
    <d v="2022-10-21T00:00:00"/>
    <x v="3"/>
    <x v="4"/>
    <n v="1068"/>
    <n v="-1068"/>
    <n v="0"/>
    <n v="1991014.350000001"/>
    <s v="Trsf"/>
    <s v="Trsf 1/11/22 RM3,004.00"/>
    <m/>
  </r>
  <r>
    <x v="260"/>
    <x v="5"/>
    <x v="3"/>
    <x v="352"/>
    <s v="C00000020"/>
    <x v="19"/>
    <x v="118"/>
    <n v="2"/>
    <s v="Cash"/>
    <x v="0"/>
    <d v="2022-10-22T00:00:00"/>
    <x v="3"/>
    <x v="4"/>
    <n v="3608"/>
    <n v="-3608"/>
    <n v="0"/>
    <n v="1994622.350000001"/>
    <s v="Trsf"/>
    <s v="Trsf 21/10/22 RM7,590.50"/>
    <m/>
  </r>
  <r>
    <x v="260"/>
    <x v="5"/>
    <x v="3"/>
    <x v="352"/>
    <s v="C00000020"/>
    <x v="19"/>
    <x v="157"/>
    <n v="10"/>
    <s v="Cash"/>
    <x v="0"/>
    <d v="2022-10-22T00:00:00"/>
    <x v="3"/>
    <x v="4"/>
    <n v="2520"/>
    <n v="-2520"/>
    <n v="0"/>
    <n v="1997142.350000001"/>
    <s v="Trsf"/>
    <s v="Trsf 21/10/22 RM7,590.50"/>
    <m/>
  </r>
  <r>
    <x v="260"/>
    <x v="5"/>
    <x v="3"/>
    <x v="352"/>
    <s v="C00000020"/>
    <x v="19"/>
    <x v="133"/>
    <n v="5"/>
    <s v="Cash"/>
    <x v="0"/>
    <d v="2022-10-22T00:00:00"/>
    <x v="3"/>
    <x v="4"/>
    <n v="1462.5"/>
    <n v="-1462.5"/>
    <n v="0"/>
    <n v="1998604.850000001"/>
    <s v="Trsf"/>
    <s v="Trsf 21/10/22 RM7,590.50"/>
    <m/>
  </r>
  <r>
    <x v="260"/>
    <x v="5"/>
    <x v="3"/>
    <x v="353"/>
    <s v="C00000021"/>
    <x v="21"/>
    <x v="15"/>
    <n v="1"/>
    <s v="Cash"/>
    <x v="0"/>
    <d v="2022-10-22T00:00:00"/>
    <x v="3"/>
    <x v="4"/>
    <n v="1936"/>
    <n v="-1936"/>
    <n v="0"/>
    <n v="2000540.850000001"/>
    <s v="PD Chq"/>
    <s v="Chq PBB 395376, cleared070223 RM2,837.00"/>
    <m/>
  </r>
  <r>
    <x v="260"/>
    <x v="5"/>
    <x v="3"/>
    <x v="353"/>
    <s v="C00000021"/>
    <x v="21"/>
    <x v="157"/>
    <n v="3"/>
    <s v="Cash"/>
    <x v="0"/>
    <d v="2022-10-22T00:00:00"/>
    <x v="3"/>
    <x v="4"/>
    <n v="801"/>
    <n v="-801"/>
    <n v="0"/>
    <n v="2001341.850000001"/>
    <s v="PD Chq"/>
    <s v="Chq PBB 395376, cleared070223 RM2,837.00"/>
    <m/>
  </r>
  <r>
    <x v="260"/>
    <x v="5"/>
    <x v="3"/>
    <x v="353"/>
    <s v="C00000021"/>
    <x v="21"/>
    <x v="152"/>
    <n v="1"/>
    <s v="Cash"/>
    <x v="0"/>
    <d v="2022-10-22T00:00:00"/>
    <x v="3"/>
    <x v="4"/>
    <n v="100"/>
    <n v="-100"/>
    <n v="0"/>
    <n v="2001441.850000001"/>
    <s v="PD Chq"/>
    <s v="Chq PBB 395376, cleared070223 RM2,837.00"/>
    <m/>
  </r>
  <r>
    <x v="261"/>
    <x v="5"/>
    <x v="3"/>
    <x v="354"/>
    <s v="C00000020"/>
    <x v="19"/>
    <x v="12"/>
    <n v="4"/>
    <s v="Cash"/>
    <x v="0"/>
    <d v="2022-10-27T00:00:00"/>
    <x v="3"/>
    <x v="4"/>
    <n v="250"/>
    <n v="-250"/>
    <n v="0"/>
    <n v="2001691.850000001"/>
    <s v="Trsf"/>
    <s v="Trsf 27/10/22 RM250.00"/>
    <m/>
  </r>
  <r>
    <x v="262"/>
    <x v="5"/>
    <x v="3"/>
    <x v="355"/>
    <s v="C00000020"/>
    <x v="19"/>
    <x v="120"/>
    <n v="15"/>
    <s v="Cash"/>
    <x v="0"/>
    <d v="2022-10-31T00:00:00"/>
    <x v="3"/>
    <x v="4"/>
    <n v="27060"/>
    <n v="-27060"/>
    <n v="0"/>
    <n v="2028751.850000001"/>
    <s v="Trsf"/>
    <s v="Trsf 24/2/23 RM22,000.00(RM789.40), Trsf 27/2/23 RM11,000.00, Trsf 23/3/23 RM10,000.00, Trsf 29/3/23 RM34,000.00(RM5,270.60)"/>
    <m/>
  </r>
  <r>
    <x v="262"/>
    <x v="5"/>
    <x v="3"/>
    <x v="355"/>
    <s v="C00000020"/>
    <x v="19"/>
    <x v="157"/>
    <n v="45"/>
    <s v="Cash"/>
    <x v="0"/>
    <d v="2022-10-31T00:00:00"/>
    <x v="3"/>
    <x v="4"/>
    <n v="11340"/>
    <n v="-11340"/>
    <n v="0"/>
    <n v="2040091.850000001"/>
    <s v="Trsf"/>
    <s v="Trsf 29/3/23 RM34,000.00"/>
    <m/>
  </r>
  <r>
    <x v="262"/>
    <x v="5"/>
    <x v="3"/>
    <x v="355"/>
    <s v="C00000020"/>
    <x v="19"/>
    <x v="158"/>
    <n v="7"/>
    <s v="Cash"/>
    <x v="0"/>
    <d v="2022-10-31T00:00:00"/>
    <x v="3"/>
    <x v="4"/>
    <n v="2047.5"/>
    <n v="-2047.5"/>
    <n v="0"/>
    <n v="2042139.350000001"/>
    <s v="Trsf"/>
    <s v="Trsf 29/3/23 RM34,000.00"/>
    <m/>
  </r>
  <r>
    <x v="262"/>
    <x v="5"/>
    <x v="3"/>
    <x v="355"/>
    <s v="C00000020"/>
    <x v="19"/>
    <x v="164"/>
    <n v="15"/>
    <s v="Cash"/>
    <x v="0"/>
    <d v="2022-10-31T00:00:00"/>
    <x v="3"/>
    <x v="4"/>
    <n v="3900"/>
    <n v="-3900"/>
    <n v="0"/>
    <n v="2046039.350000001"/>
    <s v="Trsf"/>
    <s v="Trsf 29/3/23 RM34,000.00"/>
    <m/>
  </r>
  <r>
    <x v="262"/>
    <x v="5"/>
    <x v="3"/>
    <x v="355"/>
    <s v="C00000020"/>
    <x v="19"/>
    <x v="12"/>
    <n v="15"/>
    <s v="Cash"/>
    <x v="0"/>
    <d v="2022-10-31T00:00:00"/>
    <x v="3"/>
    <x v="4"/>
    <n v="937.5"/>
    <n v="-937.5"/>
    <n v="0"/>
    <n v="2046976.850000001"/>
    <s v="Trsf"/>
    <s v="Trsf 29/3/23 RM34,000.00"/>
    <m/>
  </r>
  <r>
    <x v="262"/>
    <x v="5"/>
    <x v="3"/>
    <x v="355"/>
    <s v="C00000020"/>
    <x v="19"/>
    <x v="159"/>
    <n v="2"/>
    <s v="Cash"/>
    <x v="0"/>
    <d v="2022-10-31T00:00:00"/>
    <x v="3"/>
    <x v="4"/>
    <n v="2000"/>
    <n v="-2000"/>
    <n v="0"/>
    <n v="2048976.850000001"/>
    <s v="Trsf"/>
    <s v="Trsf 29/3/23 RM34,000.00"/>
    <m/>
  </r>
  <r>
    <x v="262"/>
    <x v="5"/>
    <x v="3"/>
    <x v="355"/>
    <s v="C00000020"/>
    <x v="19"/>
    <x v="160"/>
    <n v="4"/>
    <s v="Cash"/>
    <x v="0"/>
    <d v="2022-10-31T00:00:00"/>
    <x v="3"/>
    <x v="4"/>
    <n v="400"/>
    <n v="-400"/>
    <n v="0"/>
    <n v="2049376.850000001"/>
    <s v="Trsf"/>
    <s v="Trsf 29/3/23 RM34,000.00"/>
    <m/>
  </r>
  <r>
    <x v="262"/>
    <x v="5"/>
    <x v="3"/>
    <x v="356"/>
    <s v="C00000021"/>
    <x v="21"/>
    <x v="15"/>
    <n v="1"/>
    <s v="Cash"/>
    <x v="0"/>
    <d v="2022-10-31T00:00:00"/>
    <x v="3"/>
    <x v="4"/>
    <n v="1936"/>
    <n v="-1936"/>
    <n v="0"/>
    <n v="2051312.850000001"/>
    <s v="PD Chq"/>
    <s v="Chq PBB 395377, cleared160223 RM3,095.00)"/>
    <m/>
  </r>
  <r>
    <x v="262"/>
    <x v="5"/>
    <x v="3"/>
    <x v="356"/>
    <s v="C00000021"/>
    <x v="21"/>
    <x v="100"/>
    <n v="3"/>
    <s v="Cash"/>
    <x v="0"/>
    <d v="2022-10-31T00:00:00"/>
    <x v="3"/>
    <x v="4"/>
    <n v="801"/>
    <n v="-801"/>
    <n v="0"/>
    <n v="2052113.850000001"/>
    <s v="PD Chq"/>
    <s v="Chq PBB 395377, cleared160223 RM3,095.00)"/>
    <m/>
  </r>
  <r>
    <x v="262"/>
    <x v="5"/>
    <x v="3"/>
    <x v="356"/>
    <s v="C00000021"/>
    <x v="21"/>
    <x v="160"/>
    <n v="1"/>
    <s v="Cash"/>
    <x v="0"/>
    <d v="2022-10-31T00:00:00"/>
    <x v="3"/>
    <x v="4"/>
    <n v="100"/>
    <n v="-100"/>
    <n v="0"/>
    <n v="2052213.850000001"/>
    <s v="PD Chq"/>
    <s v="Chq PBB 395377, cleared160223 RM3,095.00)"/>
    <m/>
  </r>
  <r>
    <x v="262"/>
    <x v="5"/>
    <x v="3"/>
    <x v="356"/>
    <s v="C00000021"/>
    <x v="21"/>
    <x v="165"/>
    <n v="1"/>
    <s v="Cash"/>
    <x v="0"/>
    <d v="2022-10-31T00:00:00"/>
    <x v="3"/>
    <x v="4"/>
    <n v="258"/>
    <n v="-258"/>
    <n v="0"/>
    <n v="2052471.850000001"/>
    <s v="PD Chq"/>
    <s v="Chq PBB 395377, cleared160223 RM3,095.00)"/>
    <m/>
  </r>
  <r>
    <x v="263"/>
    <x v="6"/>
    <x v="3"/>
    <x v="357"/>
    <s v="C00000004"/>
    <x v="3"/>
    <x v="120"/>
    <n v="5"/>
    <n v="120"/>
    <x v="2"/>
    <d v="2023-03-01T00:00:00"/>
    <x v="9"/>
    <x v="5"/>
    <n v="9020"/>
    <n v="-9020"/>
    <n v="0"/>
    <n v="2061491.850000001"/>
    <s v="Chq"/>
    <s v="HLB016115Cleared22/2/23-RM10,824.00"/>
    <m/>
  </r>
  <r>
    <x v="263"/>
    <x v="6"/>
    <x v="3"/>
    <x v="357"/>
    <s v="C00000004"/>
    <x v="3"/>
    <x v="96"/>
    <n v="1"/>
    <n v="120"/>
    <x v="2"/>
    <d v="2023-03-01T00:00:00"/>
    <x v="9"/>
    <x v="5"/>
    <n v="1804"/>
    <n v="-1804"/>
    <n v="0"/>
    <n v="2063295.850000001"/>
    <s v="Chq"/>
    <s v="HLB016115Cleared22/2/23-RM10,824.00"/>
    <m/>
  </r>
  <r>
    <x v="263"/>
    <x v="6"/>
    <x v="3"/>
    <x v="358"/>
    <s v="C00000010"/>
    <x v="9"/>
    <x v="45"/>
    <n v="5"/>
    <n v="120"/>
    <x v="2"/>
    <d v="2023-03-01T00:00:00"/>
    <x v="9"/>
    <x v="5"/>
    <n v="9020"/>
    <n v="-9020"/>
    <n v="0"/>
    <n v="2072315.850000001"/>
    <s v="Trsf"/>
    <s v="Trsf 24/2/23, RM22,670.50"/>
    <m/>
  </r>
  <r>
    <x v="263"/>
    <x v="6"/>
    <x v="3"/>
    <x v="358"/>
    <s v="C00000010"/>
    <x v="9"/>
    <x v="148"/>
    <n v="5"/>
    <n v="120"/>
    <x v="2"/>
    <d v="2023-03-01T00:00:00"/>
    <x v="9"/>
    <x v="5"/>
    <n v="1245"/>
    <n v="-1245"/>
    <n v="0"/>
    <n v="2073560.850000001"/>
    <s v="Trsf"/>
    <s v="Trsf 24/2/23, RM22,670.50"/>
    <m/>
  </r>
  <r>
    <x v="263"/>
    <x v="6"/>
    <x v="3"/>
    <x v="358"/>
    <s v="C00000010"/>
    <x v="9"/>
    <x v="12"/>
    <n v="10"/>
    <n v="120"/>
    <x v="2"/>
    <d v="2023-03-01T00:00:00"/>
    <x v="9"/>
    <x v="5"/>
    <n v="575"/>
    <n v="-575"/>
    <n v="0"/>
    <n v="2074135.850000001"/>
    <s v="Trsf"/>
    <s v="Trsf 24/2/23, RM22,670.50"/>
    <m/>
  </r>
  <r>
    <x v="263"/>
    <x v="6"/>
    <x v="3"/>
    <x v="358"/>
    <s v="C00000010"/>
    <x v="9"/>
    <x v="150"/>
    <n v="4"/>
    <n v="120"/>
    <x v="2"/>
    <d v="2023-03-01T00:00:00"/>
    <x v="9"/>
    <x v="5"/>
    <n v="420"/>
    <n v="-420"/>
    <n v="0"/>
    <n v="2074555.850000001"/>
    <s v="Trsf"/>
    <s v="Trsf 24/2/23, RM22,670.50"/>
    <m/>
  </r>
  <r>
    <x v="264"/>
    <x v="6"/>
    <x v="3"/>
    <x v="359"/>
    <s v="C00000009"/>
    <x v="8"/>
    <x v="120"/>
    <n v="2"/>
    <n v="60"/>
    <x v="3"/>
    <d v="2023-01-02T00:00:00"/>
    <x v="7"/>
    <x v="5"/>
    <n v="3608"/>
    <n v="-3608"/>
    <n v="0"/>
    <n v="2078163.850000001"/>
    <s v="Chq"/>
    <s v="Chq HL 019025 dd 27/3/23"/>
    <m/>
  </r>
  <r>
    <x v="264"/>
    <x v="6"/>
    <x v="3"/>
    <x v="359"/>
    <s v="C00000009"/>
    <x v="8"/>
    <x v="112"/>
    <n v="1"/>
    <n v="60"/>
    <x v="3"/>
    <d v="2023-01-02T00:00:00"/>
    <x v="7"/>
    <x v="5"/>
    <n v="437.4"/>
    <n v="-437.4"/>
    <n v="0"/>
    <n v="2078601.2500000009"/>
    <s v="Chq"/>
    <s v="Chq HL 019025 dd 27/3/23"/>
    <m/>
  </r>
  <r>
    <x v="264"/>
    <x v="6"/>
    <x v="3"/>
    <x v="359"/>
    <s v="C00000009"/>
    <x v="8"/>
    <x v="140"/>
    <n v="1"/>
    <n v="60"/>
    <x v="3"/>
    <d v="2023-01-02T00:00:00"/>
    <x v="7"/>
    <x v="5"/>
    <n v="437.4"/>
    <n v="-437.4"/>
    <n v="0"/>
    <n v="2079038.6500000008"/>
    <s v="Chq"/>
    <s v="Chq HL 019025 dd 27/3/23"/>
    <m/>
  </r>
  <r>
    <x v="265"/>
    <x v="6"/>
    <x v="3"/>
    <x v="360"/>
    <s v="C00000020"/>
    <x v="19"/>
    <x v="106"/>
    <n v="4"/>
    <s v="Cash"/>
    <x v="0"/>
    <d v="2022-11-04T00:00:00"/>
    <x v="5"/>
    <x v="4"/>
    <n v="360"/>
    <n v="-360"/>
    <n v="0"/>
    <n v="2079398.6500000008"/>
    <s v="Trsf"/>
    <s v="Trsf 4/11/22 RM403.80"/>
    <m/>
  </r>
  <r>
    <x v="265"/>
    <x v="6"/>
    <x v="3"/>
    <x v="360"/>
    <s v="C00000020"/>
    <x v="19"/>
    <x v="166"/>
    <n v="1"/>
    <s v="Cash"/>
    <x v="0"/>
    <d v="2022-11-04T00:00:00"/>
    <x v="5"/>
    <x v="4"/>
    <n v="43.8"/>
    <n v="-43.8"/>
    <n v="0"/>
    <n v="2079442.4500000009"/>
    <s v="Trsf"/>
    <s v="Trsf 4/11/22 RM403.80"/>
    <m/>
  </r>
  <r>
    <x v="266"/>
    <x v="6"/>
    <x v="3"/>
    <x v="361"/>
    <s v="C00000031"/>
    <x v="31"/>
    <x v="167"/>
    <n v="1"/>
    <s v="Cash"/>
    <x v="0"/>
    <d v="2022-11-05T00:00:00"/>
    <x v="5"/>
    <x v="4"/>
    <n v="260"/>
    <n v="-260"/>
    <n v="0"/>
    <n v="2079702.4500000009"/>
    <s v="Trsf"/>
    <s v="Bank in Cash RM892.60 - 9/11/22"/>
    <m/>
  </r>
  <r>
    <x v="266"/>
    <x v="6"/>
    <x v="3"/>
    <x v="361"/>
    <s v="C00000031"/>
    <x v="31"/>
    <x v="112"/>
    <n v="1"/>
    <s v="Cash"/>
    <x v="0"/>
    <d v="2022-11-05T00:00:00"/>
    <x v="5"/>
    <x v="4"/>
    <n v="534.6"/>
    <n v="-534.6"/>
    <n v="0"/>
    <n v="2080237.050000001"/>
    <s v="Trsf"/>
    <s v="Bank in Cash RM892.60 - 9/11/22"/>
    <m/>
  </r>
  <r>
    <x v="266"/>
    <x v="6"/>
    <x v="3"/>
    <x v="361"/>
    <s v="C00000031"/>
    <x v="31"/>
    <x v="106"/>
    <n v="1"/>
    <s v="Cash"/>
    <x v="0"/>
    <d v="2022-11-05T00:00:00"/>
    <x v="5"/>
    <x v="4"/>
    <n v="98"/>
    <n v="-98"/>
    <n v="0"/>
    <n v="2080335.050000001"/>
    <s v="Trsf"/>
    <s v="Bank in Cash RM892.60 - 9/11/22"/>
    <m/>
  </r>
  <r>
    <x v="267"/>
    <x v="6"/>
    <x v="3"/>
    <x v="362"/>
    <s v="C00000022"/>
    <x v="23"/>
    <x v="104"/>
    <n v="1"/>
    <s v="Cash"/>
    <x v="0"/>
    <d v="2022-11-07T00:00:00"/>
    <x v="5"/>
    <x v="4"/>
    <n v="1141"/>
    <n v="-1141"/>
    <n v="0"/>
    <n v="2081476.050000001"/>
    <s v="Trsf"/>
    <s v="Trsf 20/12/22 RM1,409.00"/>
    <m/>
  </r>
  <r>
    <x v="267"/>
    <x v="6"/>
    <x v="3"/>
    <x v="362"/>
    <s v="C00000022"/>
    <x v="23"/>
    <x v="123"/>
    <n v="1"/>
    <s v="Cash"/>
    <x v="0"/>
    <d v="2022-11-07T00:00:00"/>
    <x v="5"/>
    <x v="4"/>
    <n v="175"/>
    <n v="-175"/>
    <n v="0"/>
    <n v="2081651.050000001"/>
    <s v="Trsf"/>
    <s v="Trsf 20/12/22 RM1,409.00"/>
    <m/>
  </r>
  <r>
    <x v="268"/>
    <x v="6"/>
    <x v="3"/>
    <x v="363"/>
    <s v="C00000030"/>
    <x v="32"/>
    <x v="168"/>
    <n v="4"/>
    <s v="Cash"/>
    <x v="0"/>
    <d v="2022-11-08T00:00:00"/>
    <x v="5"/>
    <x v="4"/>
    <n v="1170"/>
    <n v="-1170"/>
    <n v="0"/>
    <n v="2082821.050000001"/>
    <s v="Trsf"/>
    <s v="Trsf 9/11/22 RM4,373.00"/>
    <m/>
  </r>
  <r>
    <x v="268"/>
    <x v="6"/>
    <x v="3"/>
    <x v="363"/>
    <s v="C00000030"/>
    <x v="32"/>
    <x v="169"/>
    <n v="4"/>
    <s v="Cash"/>
    <x v="0"/>
    <d v="2022-11-08T00:00:00"/>
    <x v="5"/>
    <x v="4"/>
    <n v="2250"/>
    <n v="-2250"/>
    <n v="0"/>
    <n v="2085071.050000001"/>
    <s v="Trsf"/>
    <s v="Trsf 9/11/22 RM4,373.00"/>
    <m/>
  </r>
  <r>
    <x v="268"/>
    <x v="6"/>
    <x v="3"/>
    <x v="363"/>
    <s v="C00000030"/>
    <x v="32"/>
    <x v="170"/>
    <n v="3"/>
    <s v="Cash"/>
    <x v="0"/>
    <d v="2022-11-08T00:00:00"/>
    <x v="5"/>
    <x v="4"/>
    <n v="855"/>
    <n v="-855"/>
    <n v="0"/>
    <n v="2085926.050000001"/>
    <s v="Trsf"/>
    <s v="Trsf 9/11/22 RM4,373.00"/>
    <m/>
  </r>
  <r>
    <x v="268"/>
    <x v="6"/>
    <x v="3"/>
    <x v="363"/>
    <s v="C00000030"/>
    <x v="32"/>
    <x v="171"/>
    <n v="1"/>
    <s v="Cash"/>
    <x v="0"/>
    <d v="2022-11-08T00:00:00"/>
    <x v="5"/>
    <x v="4"/>
    <n v="98"/>
    <n v="-98"/>
    <n v="0"/>
    <n v="2086024.050000001"/>
    <s v="Trsf"/>
    <s v="Trsf 9/11/22 RM4,373.00"/>
    <m/>
  </r>
  <r>
    <x v="269"/>
    <x v="6"/>
    <x v="3"/>
    <x v="364"/>
    <s v="C00000021"/>
    <x v="21"/>
    <x v="15"/>
    <n v="1"/>
    <s v="Cash"/>
    <x v="0"/>
    <d v="2022-11-09T00:00:00"/>
    <x v="5"/>
    <x v="4"/>
    <n v="1936"/>
    <n v="-1936"/>
    <n v="0"/>
    <n v="2087960.050000001"/>
    <s v="PD Chq"/>
    <s v="Chq PBB 395378, cleared100323 RM3,094.00)"/>
    <m/>
  </r>
  <r>
    <x v="269"/>
    <x v="6"/>
    <x v="3"/>
    <x v="364"/>
    <s v="C00000021"/>
    <x v="21"/>
    <x v="100"/>
    <n v="4"/>
    <s v="Cash"/>
    <x v="0"/>
    <d v="2022-11-09T00:00:00"/>
    <x v="5"/>
    <x v="4"/>
    <n v="1068"/>
    <n v="-1068"/>
    <n v="0"/>
    <n v="2089028.050000001"/>
    <s v="PD Chq"/>
    <s v="Chq PBB 395378, cleared100323 RM3,094.00)"/>
    <m/>
  </r>
  <r>
    <x v="269"/>
    <x v="6"/>
    <x v="3"/>
    <x v="364"/>
    <s v="C00000021"/>
    <x v="21"/>
    <x v="106"/>
    <n v="1"/>
    <s v="Cash"/>
    <x v="0"/>
    <d v="2022-11-09T00:00:00"/>
    <x v="5"/>
    <x v="4"/>
    <n v="90"/>
    <n v="-90"/>
    <n v="0"/>
    <n v="2089118.050000001"/>
    <s v="PD Chq"/>
    <s v="Chq PBB 395378, cleared100323 RM3,094.00)"/>
    <m/>
  </r>
  <r>
    <x v="270"/>
    <x v="6"/>
    <x v="3"/>
    <x v="365"/>
    <s v="C00000020"/>
    <x v="19"/>
    <x v="120"/>
    <n v="5"/>
    <s v="Cash"/>
    <x v="0"/>
    <d v="2022-11-11T00:00:00"/>
    <x v="5"/>
    <x v="4"/>
    <n v="9020"/>
    <n v="-9020"/>
    <n v="0"/>
    <n v="2098138.0500000007"/>
    <s v="Trsf"/>
    <s v="Trsf 29/3/23 RM34,000.00(RM8,104.40), Trsf 14/4/23 RM5,000.00(RM915.60)"/>
    <m/>
  </r>
  <r>
    <x v="270"/>
    <x v="6"/>
    <x v="3"/>
    <x v="365"/>
    <s v="C00000020"/>
    <x v="19"/>
    <x v="157"/>
    <n v="12"/>
    <s v="Cash"/>
    <x v="0"/>
    <d v="2022-11-11T00:00:00"/>
    <x v="5"/>
    <x v="4"/>
    <n v="3024"/>
    <n v="-3024"/>
    <n v="0"/>
    <n v="2101162.0500000007"/>
    <s v="Trsf"/>
    <s v="Trsf 14/4/23 RM5,000.00(RM3,024.00)"/>
    <m/>
  </r>
  <r>
    <x v="270"/>
    <x v="6"/>
    <x v="3"/>
    <x v="365"/>
    <s v="C00000020"/>
    <x v="19"/>
    <x v="158"/>
    <n v="4"/>
    <s v="Cash"/>
    <x v="0"/>
    <d v="2022-11-11T00:00:00"/>
    <x v="5"/>
    <x v="4"/>
    <n v="1170"/>
    <n v="-1170"/>
    <n v="0"/>
    <n v="2102332.0500000007"/>
    <s v="Trsf"/>
    <s v="Trsf 14/4/23 RM5,000.00(RM1,060.40), Trsf 17/4/23 RM15,000.00(RM109.60)"/>
    <m/>
  </r>
  <r>
    <x v="270"/>
    <x v="6"/>
    <x v="3"/>
    <x v="365"/>
    <s v="C00000020"/>
    <x v="19"/>
    <x v="12"/>
    <n v="5"/>
    <s v="Cash"/>
    <x v="0"/>
    <d v="2022-11-11T00:00:00"/>
    <x v="5"/>
    <x v="4"/>
    <n v="312.5"/>
    <n v="-312.5"/>
    <n v="0"/>
    <n v="2102644.5500000007"/>
    <s v="Trsf"/>
    <s v="Trsf 17/4/23 RM15,000.00(RM312.50)"/>
    <m/>
  </r>
  <r>
    <x v="270"/>
    <x v="6"/>
    <x v="3"/>
    <x v="365"/>
    <s v="C00000020"/>
    <x v="19"/>
    <x v="159"/>
    <n v="1"/>
    <s v="Cash"/>
    <x v="0"/>
    <d v="2022-11-11T00:00:00"/>
    <x v="5"/>
    <x v="4"/>
    <n v="1000"/>
    <n v="-1000"/>
    <n v="0"/>
    <n v="2103644.5500000007"/>
    <s v="Trsf"/>
    <s v="Trsf 17/4/23 RM15,000.00(RM1,000.00)"/>
    <m/>
  </r>
  <r>
    <x v="270"/>
    <x v="6"/>
    <x v="3"/>
    <x v="365"/>
    <s v="C00000020"/>
    <x v="19"/>
    <x v="106"/>
    <n v="4"/>
    <s v="Cash"/>
    <x v="0"/>
    <d v="2022-11-11T00:00:00"/>
    <x v="5"/>
    <x v="4"/>
    <n v="360"/>
    <n v="-360"/>
    <n v="0"/>
    <n v="2104004.5500000007"/>
    <s v="Trsf"/>
    <s v="Trsf 17/4/23 RM15,000.00(RM360.00)"/>
    <m/>
  </r>
  <r>
    <x v="271"/>
    <x v="6"/>
    <x v="3"/>
    <x v="366"/>
    <s v="C00000027"/>
    <x v="28"/>
    <x v="118"/>
    <n v="4"/>
    <s v="Cash"/>
    <x v="0"/>
    <d v="2022-11-14T00:00:00"/>
    <x v="5"/>
    <x v="4"/>
    <n v="7920"/>
    <n v="-7920"/>
    <n v="0"/>
    <n v="2111924.5500000007"/>
    <s v="Trsf"/>
    <s v="Bank Islam 164701 Cleared 4/4/23, RM14,564.60"/>
    <m/>
  </r>
  <r>
    <x v="271"/>
    <x v="6"/>
    <x v="3"/>
    <x v="366"/>
    <s v="C00000027"/>
    <x v="28"/>
    <x v="112"/>
    <n v="2"/>
    <s v="Cash"/>
    <x v="0"/>
    <d v="2022-11-14T00:00:00"/>
    <x v="5"/>
    <x v="4"/>
    <n v="993.6"/>
    <n v="-993.6"/>
    <n v="0"/>
    <n v="2112918.1500000008"/>
    <s v="Trsf"/>
    <s v="Bank Islam 164701 Cleared 4/4/23, RM14,564.60"/>
    <m/>
  </r>
  <r>
    <x v="271"/>
    <x v="6"/>
    <x v="3"/>
    <x v="366"/>
    <s v="C00000027"/>
    <x v="28"/>
    <x v="163"/>
    <n v="2"/>
    <s v="Cash"/>
    <x v="0"/>
    <d v="2022-11-14T00:00:00"/>
    <x v="5"/>
    <x v="4"/>
    <n v="993.6"/>
    <n v="-993.6"/>
    <n v="0"/>
    <n v="2113911.7500000009"/>
    <s v="Trsf"/>
    <s v="Bank Islam 164701 Cleared 4/4/23, RM14,564.60"/>
    <m/>
  </r>
  <r>
    <x v="271"/>
    <x v="6"/>
    <x v="3"/>
    <x v="366"/>
    <s v="C00000027"/>
    <x v="28"/>
    <x v="156"/>
    <n v="1"/>
    <s v="Cash"/>
    <x v="0"/>
    <d v="2022-11-14T00:00:00"/>
    <x v="5"/>
    <x v="4"/>
    <n v="315"/>
    <n v="-315"/>
    <n v="0"/>
    <n v="2114226.7500000009"/>
    <s v="Trsf"/>
    <s v="Bank Islam 164701 Cleared 4/4/23, RM14,564.60"/>
    <m/>
  </r>
  <r>
    <x v="271"/>
    <x v="6"/>
    <x v="3"/>
    <x v="366"/>
    <s v="C00000027"/>
    <x v="28"/>
    <x v="141"/>
    <n v="4"/>
    <s v="Cash"/>
    <x v="0"/>
    <d v="2022-11-14T00:00:00"/>
    <x v="5"/>
    <x v="4"/>
    <n v="640"/>
    <n v="-640"/>
    <n v="0"/>
    <n v="2114866.7500000009"/>
    <s v="Trsf"/>
    <s v="Bank Islam 164701 Cleared 4/4/23, RM14,564.60"/>
    <m/>
  </r>
  <r>
    <x v="271"/>
    <x v="6"/>
    <x v="3"/>
    <x v="366"/>
    <s v="C00000027"/>
    <x v="28"/>
    <x v="106"/>
    <n v="4"/>
    <s v="Cash"/>
    <x v="0"/>
    <d v="2022-11-14T00:00:00"/>
    <x v="5"/>
    <x v="4"/>
    <n v="360"/>
    <n v="-360"/>
    <n v="0"/>
    <n v="2115226.7500000009"/>
    <s v="Trsf"/>
    <s v="Bank Islam 164701 Cleared 4/4/23, RM14,564.60"/>
    <m/>
  </r>
  <r>
    <x v="271"/>
    <x v="6"/>
    <x v="3"/>
    <x v="366"/>
    <s v="C00000027"/>
    <x v="28"/>
    <x v="137"/>
    <n v="6"/>
    <s v="Cash"/>
    <x v="0"/>
    <d v="2022-11-14T00:00:00"/>
    <x v="5"/>
    <x v="4"/>
    <n v="270"/>
    <n v="-270"/>
    <n v="0"/>
    <n v="2115496.7500000009"/>
    <s v="Trsf"/>
    <s v="Bank Islam 164701 Cleared 4/4/23, RM14,564.60"/>
    <m/>
  </r>
  <r>
    <x v="271"/>
    <x v="6"/>
    <x v="3"/>
    <x v="366"/>
    <s v="C00000027"/>
    <x v="28"/>
    <x v="131"/>
    <n v="1"/>
    <s v="Cash"/>
    <x v="0"/>
    <d v="2022-11-14T00:00:00"/>
    <x v="5"/>
    <x v="4"/>
    <n v="440"/>
    <n v="-440"/>
    <n v="0"/>
    <n v="2115936.7500000009"/>
    <s v="Trsf"/>
    <s v="Bank Islam 164701 Cleared 4/4/23, RM14,564.60"/>
    <m/>
  </r>
  <r>
    <x v="271"/>
    <x v="6"/>
    <x v="3"/>
    <x v="366"/>
    <s v="C00000027"/>
    <x v="28"/>
    <x v="125"/>
    <n v="6"/>
    <s v="Cash"/>
    <x v="0"/>
    <d v="2022-11-14T00:00:00"/>
    <x v="5"/>
    <x v="4"/>
    <n v="1524"/>
    <n v="-1524"/>
    <n v="0"/>
    <n v="2117460.7500000009"/>
    <s v="Trsf"/>
    <s v="Bank Islam 164701 Cleared 4/4/23, RM14,564.60"/>
    <m/>
  </r>
  <r>
    <x v="271"/>
    <x v="6"/>
    <x v="3"/>
    <x v="366"/>
    <s v="C00000027"/>
    <x v="28"/>
    <x v="104"/>
    <n v="1"/>
    <s v="Cash"/>
    <x v="0"/>
    <d v="2022-11-14T00:00:00"/>
    <x v="5"/>
    <x v="4"/>
    <n v="1108.4000000000001"/>
    <n v="-1108.4000000000001"/>
    <n v="0"/>
    <n v="2118569.1500000008"/>
    <s v="Trsf"/>
    <s v="Bank Islam 164701 Cleared 4/4/23, RM14,564.60"/>
    <m/>
  </r>
  <r>
    <x v="272"/>
    <x v="6"/>
    <x v="3"/>
    <x v="367"/>
    <s v="C00000019"/>
    <x v="18"/>
    <x v="120"/>
    <n v="2"/>
    <s v="Cash"/>
    <x v="0"/>
    <d v="2022-11-15T00:00:00"/>
    <x v="5"/>
    <x v="4"/>
    <n v="3872"/>
    <n v="-3872"/>
    <n v="0"/>
    <n v="2122441.1500000008"/>
    <s v="Trsf"/>
    <s v="Trsf 14/12/22 RM1,500.00, Trsf 21/12/22 RM1,500.00,  Trsf 15/1/23 RM2,000.00(RM872.00)"/>
    <m/>
  </r>
  <r>
    <x v="272"/>
    <x v="6"/>
    <x v="3"/>
    <x v="367"/>
    <s v="C00000019"/>
    <x v="18"/>
    <x v="112"/>
    <n v="2"/>
    <s v="Cash"/>
    <x v="0"/>
    <d v="2022-11-15T00:00:00"/>
    <x v="5"/>
    <x v="4"/>
    <n v="961.2"/>
    <n v="-961.2"/>
    <n v="0"/>
    <n v="2123402.350000001"/>
    <s v="Trsf"/>
    <s v="Trsf 15/1/23 RM2,000.00"/>
    <m/>
  </r>
  <r>
    <x v="272"/>
    <x v="6"/>
    <x v="3"/>
    <x v="367"/>
    <s v="C00000019"/>
    <x v="18"/>
    <x v="52"/>
    <n v="1"/>
    <s v="Cash"/>
    <x v="0"/>
    <d v="2022-11-15T00:00:00"/>
    <x v="5"/>
    <x v="4"/>
    <n v="450"/>
    <n v="-450"/>
    <n v="0"/>
    <n v="2123852.350000001"/>
    <s v="Trsf"/>
    <s v="Trsf 15/1/23 RM2,000.00(RM166.80),  Trsf 20/1/23 RM2,000.00(RM283.20)"/>
    <m/>
  </r>
  <r>
    <x v="273"/>
    <x v="6"/>
    <x v="3"/>
    <x v="368"/>
    <s v="C00000019"/>
    <x v="18"/>
    <x v="4"/>
    <n v="1"/>
    <s v="Cash"/>
    <x v="0"/>
    <d v="2022-11-17T00:00:00"/>
    <x v="5"/>
    <x v="4"/>
    <n v="105"/>
    <n v="-105"/>
    <n v="0"/>
    <n v="2123957.350000001"/>
    <s v="Trsf"/>
    <s v="Trsf 20/1/23 RM2,000.00"/>
    <m/>
  </r>
  <r>
    <x v="274"/>
    <x v="6"/>
    <x v="3"/>
    <x v="369"/>
    <s v="C00000001"/>
    <x v="0"/>
    <x v="118"/>
    <n v="1"/>
    <s v="Cash"/>
    <x v="0"/>
    <d v="2022-11-22T00:00:00"/>
    <x v="5"/>
    <x v="4"/>
    <n v="1936"/>
    <n v="-1936"/>
    <n v="0"/>
    <n v="2125893.350000001"/>
    <s v="Trsf"/>
    <s v="Trsf 2/12/22"/>
    <m/>
  </r>
  <r>
    <x v="274"/>
    <x v="6"/>
    <x v="3"/>
    <x v="370"/>
    <s v="C00000031"/>
    <x v="31"/>
    <x v="167"/>
    <n v="3"/>
    <s v="Cash"/>
    <x v="0"/>
    <d v="2022-11-22T00:00:00"/>
    <x v="5"/>
    <x v="4"/>
    <n v="780"/>
    <n v="-780"/>
    <n v="0"/>
    <n v="2126673.350000001"/>
    <s v="Trsf"/>
    <s v="Bank in Cash RM780.00 - 23/11/22"/>
    <m/>
  </r>
  <r>
    <x v="274"/>
    <x v="6"/>
    <x v="3"/>
    <x v="371"/>
    <s v="C00000020"/>
    <x v="19"/>
    <x v="120"/>
    <n v="6"/>
    <s v="Cash"/>
    <x v="0"/>
    <d v="2022-11-22T00:00:00"/>
    <x v="5"/>
    <x v="4"/>
    <n v="10824"/>
    <n v="-10824"/>
    <n v="0"/>
    <n v="2137497.350000001"/>
    <s v="Trsf"/>
    <s v="Trsf 17/4/23 RM15,000.00(RM10,824.00)"/>
    <m/>
  </r>
  <r>
    <x v="274"/>
    <x v="6"/>
    <x v="3"/>
    <x v="371"/>
    <s v="C00000020"/>
    <x v="19"/>
    <x v="157"/>
    <n v="12"/>
    <s v="Cash"/>
    <x v="0"/>
    <d v="2022-11-22T00:00:00"/>
    <x v="5"/>
    <x v="4"/>
    <n v="3024"/>
    <n v="-3024"/>
    <n v="0"/>
    <n v="2140521.350000001"/>
    <s v="Trsf"/>
    <s v="Trsf 17/4/23 RM15,000.00(RM2,393.90), Trsf 20/4/23 RM10,000.00(RM630.10)"/>
    <m/>
  </r>
  <r>
    <x v="274"/>
    <x v="6"/>
    <x v="3"/>
    <x v="371"/>
    <s v="C00000020"/>
    <x v="19"/>
    <x v="172"/>
    <n v="6"/>
    <s v="Cash"/>
    <x v="0"/>
    <d v="2022-11-22T00:00:00"/>
    <x v="5"/>
    <x v="4"/>
    <n v="1560"/>
    <n v="-1560"/>
    <n v="0"/>
    <n v="2142081.350000001"/>
    <s v="Trsf"/>
    <s v="Trsf 20/4/23 RM10,000.00(RM1,560.00)"/>
    <m/>
  </r>
  <r>
    <x v="274"/>
    <x v="6"/>
    <x v="3"/>
    <x v="371"/>
    <s v="C00000020"/>
    <x v="19"/>
    <x v="12"/>
    <n v="6"/>
    <s v="Cash"/>
    <x v="0"/>
    <d v="2022-11-22T00:00:00"/>
    <x v="5"/>
    <x v="4"/>
    <n v="375"/>
    <n v="-375"/>
    <n v="0"/>
    <n v="2142456.350000001"/>
    <s v="Trsf"/>
    <s v="Trsf 20/4/23 RM10,000.00(RM375.00)"/>
    <m/>
  </r>
  <r>
    <x v="274"/>
    <x v="6"/>
    <x v="3"/>
    <x v="371"/>
    <s v="C00000020"/>
    <x v="19"/>
    <x v="159"/>
    <n v="1"/>
    <s v="Cash"/>
    <x v="0"/>
    <d v="2022-11-22T00:00:00"/>
    <x v="5"/>
    <x v="4"/>
    <n v="1000"/>
    <n v="-1000"/>
    <n v="0"/>
    <n v="2143456.350000001"/>
    <s v="Trsf"/>
    <s v="Trsf 20/4/23 RM10,000.00(RM1,000.00)"/>
    <m/>
  </r>
  <r>
    <x v="274"/>
    <x v="6"/>
    <x v="3"/>
    <x v="371"/>
    <s v="C00000020"/>
    <x v="19"/>
    <x v="173"/>
    <n v="6"/>
    <s v="Cash"/>
    <x v="0"/>
    <d v="2022-11-22T00:00:00"/>
    <x v="5"/>
    <x v="4"/>
    <n v="453.59999999999997"/>
    <n v="-453.59999999999997"/>
    <n v="0"/>
    <n v="2143909.9500000011"/>
    <s v="Trsf"/>
    <s v="Trsf 20/4/23 RM10,000.00(RM453.60)"/>
    <m/>
  </r>
  <r>
    <x v="275"/>
    <x v="6"/>
    <x v="3"/>
    <x v="372"/>
    <s v="C00000003"/>
    <x v="2"/>
    <x v="15"/>
    <n v="3"/>
    <n v="45"/>
    <x v="1"/>
    <d v="2023-01-13T00:00:00"/>
    <x v="7"/>
    <x v="5"/>
    <n v="5808"/>
    <n v="-5808"/>
    <n v="0"/>
    <n v="2149717.9500000011"/>
    <s v="PD Chq"/>
    <s v="RHB 00570 16/1/23cleared-RM2,000.00, RHB 00571 25/1/23cleared-RM2,000.00, RHB 00572 30/1/23cleared-RM2,000.00"/>
    <m/>
  </r>
  <r>
    <x v="275"/>
    <x v="6"/>
    <x v="3"/>
    <x v="372"/>
    <s v="C00000003"/>
    <x v="2"/>
    <x v="155"/>
    <n v="1"/>
    <n v="45"/>
    <x v="1"/>
    <d v="2023-01-13T00:00:00"/>
    <x v="7"/>
    <x v="5"/>
    <n v="306"/>
    <n v="-306"/>
    <n v="0"/>
    <n v="2150023.9500000011"/>
    <s v="PD Chq"/>
    <s v="RHB 00570 16/1/23cleared-RM2,000.00, RHB 00571 25/1/23cleared-RM2,000.00, RHB 00572 30/1/23cleared-RM2,000.00(RM192.00), RHB 00573 13/2/23cleared-RM1,219.00(RM114.00)"/>
    <m/>
  </r>
  <r>
    <x v="275"/>
    <x v="6"/>
    <x v="3"/>
    <x v="372"/>
    <s v="C00000003"/>
    <x v="2"/>
    <x v="12"/>
    <n v="5"/>
    <n v="45"/>
    <x v="1"/>
    <d v="2023-01-13T00:00:00"/>
    <x v="7"/>
    <x v="5"/>
    <n v="325"/>
    <n v="-325"/>
    <n v="0"/>
    <n v="2150348.9500000011"/>
    <s v="PD Chq"/>
    <s v="RHB 00573 13/2/23cleared-RM1,219.00(RM325.00)"/>
    <m/>
  </r>
  <r>
    <x v="275"/>
    <x v="6"/>
    <x v="3"/>
    <x v="372"/>
    <s v="C00000003"/>
    <x v="2"/>
    <x v="4"/>
    <n v="6"/>
    <n v="45"/>
    <x v="1"/>
    <d v="2023-01-13T00:00:00"/>
    <x v="7"/>
    <x v="5"/>
    <n v="630"/>
    <n v="-630"/>
    <n v="0"/>
    <n v="2150978.9500000011"/>
    <s v="PD Chq"/>
    <s v="RHB 00573 13/2/23cleared-RM1,219.00(RM630.00)"/>
    <m/>
  </r>
  <r>
    <x v="275"/>
    <x v="6"/>
    <x v="3"/>
    <x v="372"/>
    <s v="C00000003"/>
    <x v="2"/>
    <x v="153"/>
    <n v="3"/>
    <n v="45"/>
    <x v="1"/>
    <d v="2023-01-13T00:00:00"/>
    <x v="7"/>
    <x v="5"/>
    <n v="150"/>
    <n v="-150"/>
    <n v="0"/>
    <n v="2151128.9500000011"/>
    <s v="PD Chq"/>
    <s v="RHB 00573 13/2/23cleared-RM1,219.00(RM150.00)"/>
    <m/>
  </r>
  <r>
    <x v="275"/>
    <x v="6"/>
    <x v="3"/>
    <x v="373"/>
    <s v="C00000010"/>
    <x v="9"/>
    <x v="45"/>
    <n v="5"/>
    <n v="120"/>
    <x v="2"/>
    <d v="2023-03-29T00:00:00"/>
    <x v="9"/>
    <x v="5"/>
    <n v="9020"/>
    <n v="-9020"/>
    <n v="0"/>
    <n v="2160148.9500000011"/>
    <s v="Trsf"/>
    <s v="Trsf 24/2/23, RM22,670.50"/>
    <m/>
  </r>
  <r>
    <x v="275"/>
    <x v="6"/>
    <x v="3"/>
    <x v="373"/>
    <s v="C00000010"/>
    <x v="9"/>
    <x v="148"/>
    <n v="5"/>
    <n v="120"/>
    <x v="2"/>
    <d v="2023-03-29T00:00:00"/>
    <x v="9"/>
    <x v="5"/>
    <n v="1245"/>
    <n v="-1245"/>
    <n v="0"/>
    <n v="2161393.9500000011"/>
    <s v="Trsf"/>
    <s v="Trsf 24/2/23, RM22,670.50"/>
    <m/>
  </r>
  <r>
    <x v="275"/>
    <x v="6"/>
    <x v="3"/>
    <x v="373"/>
    <s v="C00000010"/>
    <x v="9"/>
    <x v="132"/>
    <n v="5"/>
    <n v="120"/>
    <x v="2"/>
    <d v="2023-03-29T00:00:00"/>
    <x v="9"/>
    <x v="5"/>
    <n v="287.5"/>
    <n v="-287.5"/>
    <n v="0"/>
    <n v="2161681.4500000011"/>
    <s v="Trsf"/>
    <s v="Trsf 24/2/23, RM22,670.50"/>
    <m/>
  </r>
  <r>
    <x v="275"/>
    <x v="6"/>
    <x v="3"/>
    <x v="373"/>
    <s v="C00000010"/>
    <x v="9"/>
    <x v="4"/>
    <n v="4"/>
    <n v="120"/>
    <x v="2"/>
    <d v="2023-03-29T00:00:00"/>
    <x v="9"/>
    <x v="5"/>
    <n v="420"/>
    <n v="-420"/>
    <n v="0"/>
    <n v="2162101.4500000011"/>
    <s v="Trsf"/>
    <s v="Trsf 24/2/23, RM22,670.50"/>
    <m/>
  </r>
  <r>
    <x v="275"/>
    <x v="6"/>
    <x v="3"/>
    <x v="373"/>
    <s v="C00000010"/>
    <x v="9"/>
    <x v="174"/>
    <n v="4"/>
    <n v="120"/>
    <x v="2"/>
    <d v="2023-03-29T00:00:00"/>
    <x v="9"/>
    <x v="5"/>
    <n v="200"/>
    <n v="-200"/>
    <n v="0"/>
    <n v="2162301.4500000011"/>
    <s v="Trsf"/>
    <s v="Trsf 24/2/23, RM22,670.50"/>
    <m/>
  </r>
  <r>
    <x v="275"/>
    <x v="6"/>
    <x v="3"/>
    <x v="373"/>
    <s v="C00000010"/>
    <x v="9"/>
    <x v="125"/>
    <n v="1"/>
    <n v="120"/>
    <x v="2"/>
    <d v="2023-03-29T00:00:00"/>
    <x v="9"/>
    <x v="5"/>
    <n v="238"/>
    <n v="-238"/>
    <n v="0"/>
    <n v="2162539.4500000011"/>
    <s v="Trsf"/>
    <s v="Trsf 24/2/23, RM22,670.50"/>
    <m/>
  </r>
  <r>
    <x v="276"/>
    <x v="6"/>
    <x v="3"/>
    <x v="374"/>
    <s v="C00000032"/>
    <x v="33"/>
    <x v="167"/>
    <n v="1"/>
    <s v="Cash"/>
    <x v="0"/>
    <d v="2022-11-30T00:00:00"/>
    <x v="5"/>
    <x v="4"/>
    <n v="260"/>
    <n v="-260"/>
    <n v="0"/>
    <n v="2162799.4500000011"/>
    <s v="Trsf"/>
    <s v="Bank in Cash RM260.00 - 30/11/22"/>
    <m/>
  </r>
  <r>
    <x v="276"/>
    <x v="6"/>
    <x v="3"/>
    <x v="375"/>
    <s v="C00000033"/>
    <x v="34"/>
    <x v="167"/>
    <n v="1"/>
    <s v="Cash"/>
    <x v="0"/>
    <d v="2022-11-30T00:00:00"/>
    <x v="5"/>
    <x v="4"/>
    <n v="260"/>
    <n v="-260"/>
    <n v="0"/>
    <n v="2163059.4500000011"/>
    <s v="Trsf"/>
    <s v="Bank in Cash RM375.00 - 30/11/22"/>
    <m/>
  </r>
  <r>
    <x v="276"/>
    <x v="6"/>
    <x v="3"/>
    <x v="375"/>
    <s v="C00000033"/>
    <x v="34"/>
    <x v="4"/>
    <n v="1"/>
    <s v="Cash"/>
    <x v="0"/>
    <d v="2022-11-30T00:00:00"/>
    <x v="5"/>
    <x v="4"/>
    <n v="115"/>
    <n v="-115"/>
    <n v="0"/>
    <n v="2163174.4500000011"/>
    <s v="Trsf"/>
    <s v="Bank in Cash RM375.00 - 30/11/22"/>
    <m/>
  </r>
  <r>
    <x v="277"/>
    <x v="0"/>
    <x v="3"/>
    <x v="376"/>
    <s v="C00000031"/>
    <x v="31"/>
    <x v="153"/>
    <n v="1"/>
    <s v="Cash"/>
    <x v="0"/>
    <d v="2022-12-01T00:00:00"/>
    <x v="0"/>
    <x v="4"/>
    <n v="60"/>
    <n v="-60"/>
    <n v="0"/>
    <n v="2163234.4500000011"/>
    <s v="Trsf"/>
    <m/>
    <m/>
  </r>
  <r>
    <x v="277"/>
    <x v="0"/>
    <x v="3"/>
    <x v="377"/>
    <s v="C00000022"/>
    <x v="23"/>
    <x v="175"/>
    <n v="3"/>
    <s v="Cash"/>
    <x v="0"/>
    <d v="2022-12-01T00:00:00"/>
    <x v="0"/>
    <x v="4"/>
    <n v="855"/>
    <n v="-855"/>
    <n v="0"/>
    <n v="2164089.4500000011"/>
    <s v="Trsf"/>
    <s v="Trsf 5/1/23 RM905.00"/>
    <m/>
  </r>
  <r>
    <x v="278"/>
    <x v="0"/>
    <x v="3"/>
    <x v="378"/>
    <s v="C00000020"/>
    <x v="19"/>
    <x v="7"/>
    <n v="2"/>
    <s v="Cash"/>
    <x v="0"/>
    <d v="2022-12-02T00:00:00"/>
    <x v="0"/>
    <x v="4"/>
    <n v="3608"/>
    <n v="-3608"/>
    <n v="0"/>
    <n v="2167697.4500000011"/>
    <s v="Trsf"/>
    <s v="Trsf 20/4/23 RM10,000.00(RM3,608.00)"/>
    <m/>
  </r>
  <r>
    <x v="278"/>
    <x v="0"/>
    <x v="3"/>
    <x v="378"/>
    <s v="C00000020"/>
    <x v="19"/>
    <x v="157"/>
    <n v="3"/>
    <s v="Cash"/>
    <x v="0"/>
    <d v="2022-12-02T00:00:00"/>
    <x v="0"/>
    <x v="4"/>
    <n v="756"/>
    <n v="-756"/>
    <n v="0"/>
    <n v="2168453.4500000011"/>
    <s v="Trsf"/>
    <s v="Trsf 20/4/23 RM10,000.00(RM756.00)"/>
    <m/>
  </r>
  <r>
    <x v="278"/>
    <x v="0"/>
    <x v="3"/>
    <x v="378"/>
    <s v="C00000020"/>
    <x v="19"/>
    <x v="132"/>
    <n v="2"/>
    <s v="Cash"/>
    <x v="0"/>
    <d v="2022-12-02T00:00:00"/>
    <x v="0"/>
    <x v="4"/>
    <n v="125"/>
    <n v="-125"/>
    <n v="0"/>
    <n v="2168578.4500000011"/>
    <s v="Trsf"/>
    <s v="Trsf 20/4/23 RM10,000.00(RM125.00)"/>
    <m/>
  </r>
  <r>
    <x v="278"/>
    <x v="0"/>
    <x v="3"/>
    <x v="379"/>
    <s v="C00000020"/>
    <x v="19"/>
    <x v="7"/>
    <n v="1"/>
    <s v="Cash"/>
    <x v="0"/>
    <d v="2022-12-02T00:00:00"/>
    <x v="0"/>
    <x v="4"/>
    <n v="1804"/>
    <n v="-1804"/>
    <n v="0"/>
    <n v="2170382.4500000011"/>
    <s v="Trsf"/>
    <s v="Trsf 20/4/23 RM10,000.00(RM1,492.30), Trsf 27/4/23 RM10,000.00(RM311.70)"/>
    <m/>
  </r>
  <r>
    <x v="278"/>
    <x v="0"/>
    <x v="3"/>
    <x v="379"/>
    <s v="C00000020"/>
    <x v="19"/>
    <x v="157"/>
    <n v="3"/>
    <s v="Cash"/>
    <x v="0"/>
    <d v="2022-12-02T00:00:00"/>
    <x v="0"/>
    <x v="4"/>
    <n v="756"/>
    <n v="-756"/>
    <n v="0"/>
    <n v="2171138.4500000011"/>
    <s v="Trsf"/>
    <s v="Trsf 27/4/23 RM10,000.00(RM756.00)"/>
    <m/>
  </r>
  <r>
    <x v="278"/>
    <x v="0"/>
    <x v="3"/>
    <x v="379"/>
    <s v="C00000020"/>
    <x v="19"/>
    <x v="176"/>
    <n v="1"/>
    <s v="Cash"/>
    <x v="0"/>
    <d v="2022-12-02T00:00:00"/>
    <x v="0"/>
    <x v="4"/>
    <n v="292.5"/>
    <n v="-292.5"/>
    <n v="0"/>
    <n v="2171430.9500000011"/>
    <s v="Trsf"/>
    <s v="Trsf 27/4/23 RM10,000.00(RM292.50)"/>
    <m/>
  </r>
  <r>
    <x v="278"/>
    <x v="0"/>
    <x v="3"/>
    <x v="379"/>
    <s v="C00000020"/>
    <x v="19"/>
    <x v="132"/>
    <n v="1"/>
    <s v="Cash"/>
    <x v="0"/>
    <d v="2022-12-02T00:00:00"/>
    <x v="0"/>
    <x v="4"/>
    <n v="62.5"/>
    <n v="-62.5"/>
    <n v="0"/>
    <n v="2171493.4500000011"/>
    <s v="Trsf"/>
    <s v="Trsf 27/4/23 RM10,000.00(RM62.50)"/>
    <m/>
  </r>
  <r>
    <x v="278"/>
    <x v="0"/>
    <x v="3"/>
    <x v="379"/>
    <s v="C00000020"/>
    <x v="19"/>
    <x v="159"/>
    <n v="1"/>
    <s v="Cash"/>
    <x v="0"/>
    <d v="2022-12-02T00:00:00"/>
    <x v="0"/>
    <x v="4"/>
    <n v="1000"/>
    <n v="-1000"/>
    <n v="0"/>
    <n v="2172493.4500000011"/>
    <s v="Trsf"/>
    <s v="Trsf 27/4/23 RM10,000.00(RM1,000.00)"/>
    <m/>
  </r>
  <r>
    <x v="279"/>
    <x v="0"/>
    <x v="3"/>
    <x v="380"/>
    <s v="C00000009"/>
    <x v="8"/>
    <x v="7"/>
    <n v="1"/>
    <n v="60"/>
    <x v="3"/>
    <d v="2023-02-01T00:00:00"/>
    <x v="8"/>
    <x v="5"/>
    <n v="1804"/>
    <n v="-1804"/>
    <n v="0"/>
    <n v="2174297.4500000011"/>
    <s v="Chq"/>
    <s v="Chq HL 020172 Cleared 12/6/23 RM4,632.80"/>
    <m/>
  </r>
  <r>
    <x v="279"/>
    <x v="0"/>
    <x v="3"/>
    <x v="380"/>
    <s v="C00000009"/>
    <x v="8"/>
    <x v="96"/>
    <n v="1"/>
    <n v="60"/>
    <x v="3"/>
    <d v="2023-02-01T00:00:00"/>
    <x v="8"/>
    <x v="5"/>
    <n v="1804"/>
    <n v="-1804"/>
    <n v="0"/>
    <n v="2176101.4500000011"/>
    <s v="Chq"/>
    <s v="Chq HL 020172 Cleared 12/6/23 RM4,632.80"/>
    <m/>
  </r>
  <r>
    <x v="279"/>
    <x v="0"/>
    <x v="3"/>
    <x v="380"/>
    <s v="C00000009"/>
    <x v="8"/>
    <x v="112"/>
    <n v="2"/>
    <n v="60"/>
    <x v="3"/>
    <d v="2023-02-01T00:00:00"/>
    <x v="8"/>
    <x v="5"/>
    <n v="874.8"/>
    <n v="-874.8"/>
    <n v="0"/>
    <n v="2176976.2500000009"/>
    <s v="Chq"/>
    <s v="Chq HL 020172 Cleared 12/6/23 RM4,632.80"/>
    <m/>
  </r>
  <r>
    <x v="279"/>
    <x v="0"/>
    <x v="3"/>
    <x v="380"/>
    <s v="C00000009"/>
    <x v="8"/>
    <x v="123"/>
    <n v="1"/>
    <n v="60"/>
    <x v="3"/>
    <d v="2023-02-01T00:00:00"/>
    <x v="8"/>
    <x v="5"/>
    <n v="150"/>
    <n v="-150"/>
    <n v="0"/>
    <n v="2177126.2500000009"/>
    <s v="Chq"/>
    <s v="Chq HL 020172 Cleared 12/6/23 RM4,632.80"/>
    <m/>
  </r>
  <r>
    <x v="279"/>
    <x v="0"/>
    <x v="3"/>
    <x v="381"/>
    <s v="C00000020"/>
    <x v="19"/>
    <x v="7"/>
    <n v="3"/>
    <s v="Cash"/>
    <x v="0"/>
    <d v="2022-12-03T00:00:00"/>
    <x v="0"/>
    <x v="4"/>
    <n v="5412"/>
    <n v="-5412"/>
    <n v="0"/>
    <n v="2182538.2500000009"/>
    <s v="Trsf"/>
    <s v="Trsf 27/4/23 RM10,000.00(RM5,412.00)"/>
    <m/>
  </r>
  <r>
    <x v="279"/>
    <x v="0"/>
    <x v="3"/>
    <x v="381"/>
    <s v="C00000020"/>
    <x v="19"/>
    <x v="157"/>
    <n v="3"/>
    <s v="Cash"/>
    <x v="0"/>
    <d v="2022-12-03T00:00:00"/>
    <x v="0"/>
    <x v="4"/>
    <n v="756"/>
    <n v="-756"/>
    <n v="0"/>
    <n v="2183294.2500000009"/>
    <s v="Trsf"/>
    <s v="Trsf 27/4/23 RM10,000.00(RM756.00)"/>
    <m/>
  </r>
  <r>
    <x v="279"/>
    <x v="0"/>
    <x v="3"/>
    <x v="381"/>
    <s v="C00000020"/>
    <x v="19"/>
    <x v="164"/>
    <n v="4"/>
    <s v="Cash"/>
    <x v="0"/>
    <d v="2022-12-03T00:00:00"/>
    <x v="0"/>
    <x v="4"/>
    <n v="1040"/>
    <n v="-1040"/>
    <n v="0"/>
    <n v="2184334.2500000009"/>
    <s v="Trsf"/>
    <s v="Trsf 27/4/23 RM10,000.00(RM1,40.00)"/>
    <m/>
  </r>
  <r>
    <x v="279"/>
    <x v="0"/>
    <x v="3"/>
    <x v="381"/>
    <s v="C00000020"/>
    <x v="19"/>
    <x v="132"/>
    <n v="3"/>
    <s v="Cash"/>
    <x v="0"/>
    <d v="2022-12-03T00:00:00"/>
    <x v="0"/>
    <x v="4"/>
    <n v="187.5"/>
    <n v="-187.5"/>
    <n v="0"/>
    <n v="2184521.7500000009"/>
    <s v="Trsf"/>
    <s v="Trsf 27/4/23 RM10,000.00(RM187.50)"/>
    <m/>
  </r>
  <r>
    <x v="280"/>
    <x v="0"/>
    <x v="3"/>
    <x v="382"/>
    <s v="C00000022"/>
    <x v="23"/>
    <x v="177"/>
    <n v="1"/>
    <s v="Cash"/>
    <x v="0"/>
    <d v="2022-12-05T00:00:00"/>
    <x v="0"/>
    <x v="4"/>
    <n v="45"/>
    <n v="-45"/>
    <n v="0"/>
    <n v="2184566.7500000009"/>
    <s v="Trsf"/>
    <s v="Trsf 20/12/22 RM1,409.00"/>
    <m/>
  </r>
  <r>
    <x v="280"/>
    <x v="0"/>
    <x v="3"/>
    <x v="382"/>
    <s v="C00000022"/>
    <x v="23"/>
    <x v="178"/>
    <n v="1"/>
    <s v="Cash"/>
    <x v="0"/>
    <d v="2022-12-05T00:00:00"/>
    <x v="0"/>
    <x v="4"/>
    <n v="48"/>
    <n v="-48"/>
    <n v="0"/>
    <n v="2184614.7500000009"/>
    <s v="Trsf"/>
    <s v="Trsf 20/12/22 RM1,409.00"/>
    <m/>
  </r>
  <r>
    <x v="281"/>
    <x v="0"/>
    <x v="3"/>
    <x v="383"/>
    <s v="C00000021"/>
    <x v="21"/>
    <x v="118"/>
    <n v="1"/>
    <s v="Cash"/>
    <x v="0"/>
    <d v="2022-12-06T00:00:00"/>
    <x v="0"/>
    <x v="4"/>
    <n v="1936"/>
    <n v="-1936"/>
    <n v="0"/>
    <n v="2186550.7500000009"/>
    <s v="PD Chq"/>
    <s v="Chq PBB 395379, cleared240323 RM3,067.00)"/>
    <m/>
  </r>
  <r>
    <x v="281"/>
    <x v="0"/>
    <x v="3"/>
    <x v="383"/>
    <s v="C00000021"/>
    <x v="21"/>
    <x v="100"/>
    <n v="3"/>
    <s v="Cash"/>
    <x v="0"/>
    <d v="2022-12-06T00:00:00"/>
    <x v="0"/>
    <x v="4"/>
    <n v="801"/>
    <n v="-801"/>
    <n v="0"/>
    <n v="2187351.7500000009"/>
    <s v="PD Chq"/>
    <s v="Chq PBB 395379, cleared240323 RM3,067.00)"/>
    <m/>
  </r>
  <r>
    <x v="281"/>
    <x v="0"/>
    <x v="3"/>
    <x v="383"/>
    <s v="C00000021"/>
    <x v="21"/>
    <x v="4"/>
    <n v="1"/>
    <s v="Cash"/>
    <x v="0"/>
    <d v="2022-12-06T00:00:00"/>
    <x v="0"/>
    <x v="4"/>
    <n v="105"/>
    <n v="-105"/>
    <n v="0"/>
    <n v="2187456.7500000009"/>
    <s v="PD Chq"/>
    <s v="Chq PBB 395379, cleared240323 RM3,067.00)"/>
    <m/>
  </r>
  <r>
    <x v="281"/>
    <x v="0"/>
    <x v="3"/>
    <x v="383"/>
    <s v="C00000021"/>
    <x v="21"/>
    <x v="134"/>
    <n v="1"/>
    <s v="Cash"/>
    <x v="0"/>
    <d v="2022-12-06T00:00:00"/>
    <x v="0"/>
    <x v="4"/>
    <n v="225"/>
    <n v="-225"/>
    <n v="0"/>
    <n v="2187681.7500000009"/>
    <s v="PD Chq"/>
    <s v="Chq PBB 395379, cleared240323 RM3,067.00)"/>
    <m/>
  </r>
  <r>
    <x v="282"/>
    <x v="0"/>
    <x v="3"/>
    <x v="384"/>
    <s v="C00000022"/>
    <x v="23"/>
    <x v="7"/>
    <n v="1"/>
    <s v="Cash"/>
    <x v="0"/>
    <d v="2022-12-07T00:00:00"/>
    <x v="0"/>
    <x v="4"/>
    <n v="2024"/>
    <n v="-2024"/>
    <n v="0"/>
    <n v="2189705.7500000009"/>
    <s v="Trsf"/>
    <s v="Trsf 20/1/23 RM1,500.00,  Trsf 28/2/23 RM2,500.00(RM524.00)"/>
    <m/>
  </r>
  <r>
    <x v="283"/>
    <x v="0"/>
    <x v="3"/>
    <x v="385"/>
    <s v="C00000020"/>
    <x v="19"/>
    <x v="120"/>
    <n v="10"/>
    <s v="Cash"/>
    <x v="0"/>
    <d v="2022-12-09T00:00:00"/>
    <x v="0"/>
    <x v="4"/>
    <n v="18040"/>
    <n v="-18040"/>
    <n v="0"/>
    <n v="2207745.7500000009"/>
    <s v="Trsf"/>
    <s v="Trsf 27/4/23 RM10,000.00(RM181.80), Trsf 28/4/23 RM20,000.00(RM17,858.20)"/>
    <m/>
  </r>
  <r>
    <x v="283"/>
    <x v="0"/>
    <x v="3"/>
    <x v="385"/>
    <s v="C00000020"/>
    <x v="19"/>
    <x v="118"/>
    <n v="5"/>
    <s v="Cash"/>
    <x v="0"/>
    <d v="2022-12-09T00:00:00"/>
    <x v="0"/>
    <x v="4"/>
    <n v="9020"/>
    <n v="-9020"/>
    <n v="0"/>
    <n v="2216765.7500000009"/>
    <s v="Trsf"/>
    <s v="Trsf 28/4/23 RM20,000.00(RM2,141.80), Trsf 5/5/23 RM11,000.00(RM6,878.20)"/>
    <m/>
  </r>
  <r>
    <x v="283"/>
    <x v="0"/>
    <x v="3"/>
    <x v="385"/>
    <s v="C00000020"/>
    <x v="19"/>
    <x v="157"/>
    <n v="51"/>
    <s v="Cash"/>
    <x v="0"/>
    <d v="2022-12-09T00:00:00"/>
    <x v="0"/>
    <x v="4"/>
    <n v="12852"/>
    <n v="-12852"/>
    <n v="0"/>
    <n v="2229617.7500000009"/>
    <s v="Trsf"/>
    <s v="Trsf 5/5/23 RM11,000.00(RM4,121.80), Trsf 6/5/23 RM4,000.00, Trsf 31/5/23 RM5,000.00(RM4,730.20)"/>
    <m/>
  </r>
  <r>
    <x v="283"/>
    <x v="0"/>
    <x v="3"/>
    <x v="385"/>
    <s v="C00000020"/>
    <x v="19"/>
    <x v="158"/>
    <n v="2"/>
    <s v="Cash"/>
    <x v="0"/>
    <d v="2022-12-09T00:00:00"/>
    <x v="0"/>
    <x v="4"/>
    <n v="585"/>
    <n v="-585"/>
    <n v="0"/>
    <n v="2230202.7500000009"/>
    <s v="Trsf"/>
    <s v="Trsf 31/5/23 RM5,000.00(RM269.80), Trsf 16/6/23 RM20,000.00(315.20)"/>
    <m/>
  </r>
  <r>
    <x v="283"/>
    <x v="0"/>
    <x v="3"/>
    <x v="385"/>
    <s v="C00000020"/>
    <x v="19"/>
    <x v="172"/>
    <n v="20"/>
    <s v="Cash"/>
    <x v="0"/>
    <d v="2022-12-09T00:00:00"/>
    <x v="0"/>
    <x v="4"/>
    <n v="5200"/>
    <n v="-5200"/>
    <n v="0"/>
    <n v="2235402.7500000009"/>
    <s v="Trsf"/>
    <s v="Trsf 16/6/23 RM20,000.00"/>
    <m/>
  </r>
  <r>
    <x v="283"/>
    <x v="0"/>
    <x v="3"/>
    <x v="385"/>
    <s v="C00000020"/>
    <x v="19"/>
    <x v="12"/>
    <n v="15"/>
    <s v="Cash"/>
    <x v="0"/>
    <d v="2022-12-09T00:00:00"/>
    <x v="0"/>
    <x v="4"/>
    <n v="937.5"/>
    <n v="-937.5"/>
    <n v="0"/>
    <n v="2236340.2500000009"/>
    <s v="Trsf"/>
    <s v="Trsf 16/6/23 RM20,000.00"/>
    <m/>
  </r>
  <r>
    <x v="283"/>
    <x v="0"/>
    <x v="3"/>
    <x v="385"/>
    <s v="C00000020"/>
    <x v="19"/>
    <x v="159"/>
    <n v="2"/>
    <s v="Cash"/>
    <x v="0"/>
    <d v="2022-12-09T00:00:00"/>
    <x v="0"/>
    <x v="4"/>
    <n v="2000"/>
    <n v="-2000"/>
    <n v="0"/>
    <n v="2238340.2500000009"/>
    <s v="Trsf"/>
    <s v="Trsf 16/6/23 RM20,000.00"/>
    <m/>
  </r>
  <r>
    <x v="283"/>
    <x v="0"/>
    <x v="3"/>
    <x v="385"/>
    <s v="C00000020"/>
    <x v="19"/>
    <x v="173"/>
    <n v="6"/>
    <s v="Cash"/>
    <x v="0"/>
    <d v="2022-12-09T00:00:00"/>
    <x v="0"/>
    <x v="4"/>
    <n v="453.59999999999997"/>
    <n v="-453.59999999999997"/>
    <n v="0"/>
    <n v="2238793.850000001"/>
    <s v="Trsf"/>
    <s v="Trsf 16/6/23 RM20,000.00"/>
    <m/>
  </r>
  <r>
    <x v="284"/>
    <x v="0"/>
    <x v="3"/>
    <x v="386"/>
    <s v="C00000021"/>
    <x v="21"/>
    <x v="118"/>
    <n v="1"/>
    <s v="Cash"/>
    <x v="0"/>
    <d v="2022-12-13T00:00:00"/>
    <x v="0"/>
    <x v="4"/>
    <n v="1936"/>
    <n v="-1936"/>
    <n v="0"/>
    <n v="2240729.850000001"/>
    <s v="PD Chq"/>
    <s v="Chq PBB 395380, cleared040423 RM2,842.00"/>
    <m/>
  </r>
  <r>
    <x v="284"/>
    <x v="0"/>
    <x v="3"/>
    <x v="386"/>
    <s v="C00000021"/>
    <x v="21"/>
    <x v="100"/>
    <n v="3"/>
    <s v="Cash"/>
    <x v="0"/>
    <d v="2022-12-13T00:00:00"/>
    <x v="0"/>
    <x v="4"/>
    <n v="801"/>
    <n v="-801"/>
    <n v="0"/>
    <n v="2241530.850000001"/>
    <s v="PD Chq"/>
    <s v="Chq PBB 395380, cleared040423 RM2,842.00"/>
    <m/>
  </r>
  <r>
    <x v="284"/>
    <x v="0"/>
    <x v="3"/>
    <x v="386"/>
    <s v="C00000021"/>
    <x v="21"/>
    <x v="4"/>
    <n v="1"/>
    <s v="Cash"/>
    <x v="0"/>
    <d v="2022-12-13T00:00:00"/>
    <x v="0"/>
    <x v="4"/>
    <n v="105"/>
    <n v="-105"/>
    <n v="0"/>
    <n v="2241635.850000001"/>
    <s v="PD Chq"/>
    <s v="Chq PBB 395380, cleared040423 RM2,842.00"/>
    <m/>
  </r>
  <r>
    <x v="285"/>
    <x v="0"/>
    <x v="3"/>
    <x v="387"/>
    <s v="C00000026"/>
    <x v="27"/>
    <x v="118"/>
    <n v="1"/>
    <s v="Cash"/>
    <x v="0"/>
    <d v="2022-12-14T00:00:00"/>
    <x v="0"/>
    <x v="4"/>
    <n v="1958"/>
    <n v="-1958"/>
    <n v="0"/>
    <n v="2243593.850000001"/>
    <s v="Trsf"/>
    <s v="Trsf 16/12/22 RM2,063.00"/>
    <m/>
  </r>
  <r>
    <x v="285"/>
    <x v="0"/>
    <x v="3"/>
    <x v="387"/>
    <s v="C00000026"/>
    <x v="27"/>
    <x v="150"/>
    <n v="1"/>
    <s v="Cash"/>
    <x v="0"/>
    <d v="2022-12-14T00:00:00"/>
    <x v="0"/>
    <x v="4"/>
    <n v="105"/>
    <n v="-105"/>
    <n v="0"/>
    <n v="2243698.850000001"/>
    <s v="Trsf"/>
    <s v="Trsf 16/12/22 RM2,063.00"/>
    <m/>
  </r>
  <r>
    <x v="286"/>
    <x v="0"/>
    <x v="3"/>
    <x v="388"/>
    <s v="C00000020"/>
    <x v="19"/>
    <x v="120"/>
    <n v="9"/>
    <s v="Cash"/>
    <x v="0"/>
    <d v="2022-12-22T00:00:00"/>
    <x v="0"/>
    <x v="4"/>
    <n v="16236"/>
    <n v="-16236"/>
    <n v="0"/>
    <n v="2259934.850000001"/>
    <s v="Trsf"/>
    <s v="Trsf 16/6/23 RM20,000.00(RM11,093.70), Trsf 1/7/23 RM200.00(RM200.00), Trsf 6/7/23 RM20,000.00(RM4,942.30)"/>
    <m/>
  </r>
  <r>
    <x v="286"/>
    <x v="0"/>
    <x v="3"/>
    <x v="388"/>
    <s v="C00000020"/>
    <x v="19"/>
    <x v="118"/>
    <n v="6"/>
    <s v="Cash"/>
    <x v="0"/>
    <d v="2022-12-22T00:00:00"/>
    <x v="0"/>
    <x v="4"/>
    <n v="10824"/>
    <n v="-10824"/>
    <n v="0"/>
    <n v="2270758.850000001"/>
    <s v="Trsf"/>
    <s v="Trsf 6/7/23 RM20,000.00(RM10,824.00)"/>
    <m/>
  </r>
  <r>
    <x v="286"/>
    <x v="0"/>
    <x v="3"/>
    <x v="388"/>
    <s v="C00000020"/>
    <x v="19"/>
    <x v="157"/>
    <n v="42"/>
    <s v="Cash"/>
    <x v="0"/>
    <d v="2022-12-22T00:00:00"/>
    <x v="0"/>
    <x v="4"/>
    <n v="10584"/>
    <n v="-10584"/>
    <n v="0"/>
    <n v="2281342.850000001"/>
    <s v="Trsf"/>
    <s v="Trsf 6/7/23 RM20,000.00(RM4,233.70), Trsf 14/7/23 RM10,000.00(RM6,350.30)"/>
    <m/>
  </r>
  <r>
    <x v="286"/>
    <x v="0"/>
    <x v="3"/>
    <x v="388"/>
    <s v="C00000020"/>
    <x v="19"/>
    <x v="172"/>
    <n v="20"/>
    <s v="Cash"/>
    <x v="0"/>
    <d v="2022-12-22T00:00:00"/>
    <x v="0"/>
    <x v="4"/>
    <n v="5200"/>
    <n v="-5200"/>
    <n v="0"/>
    <n v="2286542.850000001"/>
    <s v="Trsf"/>
    <s v="Trsf 14/7/23 RM10,000.00(RM3,649.70), Trsf 26/7/23 RM8,000.00(RM1,550.30)"/>
    <m/>
  </r>
  <r>
    <x v="286"/>
    <x v="0"/>
    <x v="3"/>
    <x v="388"/>
    <s v="C00000020"/>
    <x v="19"/>
    <x v="12"/>
    <n v="15"/>
    <s v="Cash"/>
    <x v="0"/>
    <d v="2022-12-22T00:00:00"/>
    <x v="0"/>
    <x v="4"/>
    <n v="937.5"/>
    <n v="-937.5"/>
    <n v="0"/>
    <n v="2287480.350000001"/>
    <s v="Trsf"/>
    <s v="Trsf 26/7/23 RM8,000.00(RM937.50)"/>
    <m/>
  </r>
  <r>
    <x v="286"/>
    <x v="0"/>
    <x v="3"/>
    <x v="388"/>
    <s v="C00000020"/>
    <x v="19"/>
    <x v="159"/>
    <n v="3"/>
    <s v="Cash"/>
    <x v="0"/>
    <d v="2022-12-22T00:00:00"/>
    <x v="0"/>
    <x v="4"/>
    <n v="3000"/>
    <n v="-3000"/>
    <n v="0"/>
    <n v="2290480.350000001"/>
    <s v="Trsf"/>
    <s v="Trsf 26/7/23 RM8,000.00(RM3,000.00)"/>
    <m/>
  </r>
  <r>
    <x v="286"/>
    <x v="0"/>
    <x v="3"/>
    <x v="388"/>
    <s v="C00000020"/>
    <x v="19"/>
    <x v="150"/>
    <n v="8"/>
    <s v="Cash"/>
    <x v="0"/>
    <d v="2022-12-22T00:00:00"/>
    <x v="0"/>
    <x v="4"/>
    <n v="840"/>
    <n v="-840"/>
    <n v="0"/>
    <n v="2291320.350000001"/>
    <s v="Trsf"/>
    <s v="Trsf 26/7/23 RMRM8,000.00(RM840.00)"/>
    <m/>
  </r>
  <r>
    <x v="286"/>
    <x v="0"/>
    <x v="3"/>
    <x v="388"/>
    <s v="C00000020"/>
    <x v="19"/>
    <x v="179"/>
    <n v="1"/>
    <s v="Cash"/>
    <x v="0"/>
    <d v="2022-12-22T00:00:00"/>
    <x v="0"/>
    <x v="4"/>
    <n v="65"/>
    <n v="-65"/>
    <n v="0"/>
    <n v="2291385.350000001"/>
    <s v="Trsf"/>
    <s v="Trsf 26/7/23 RM8,000.00(RM65.00)"/>
    <m/>
  </r>
  <r>
    <x v="287"/>
    <x v="0"/>
    <x v="3"/>
    <x v="389"/>
    <s v="C00000001"/>
    <x v="0"/>
    <x v="118"/>
    <n v="1"/>
    <s v="Cash"/>
    <x v="0"/>
    <d v="2022-12-20T00:00:00"/>
    <x v="0"/>
    <x v="4"/>
    <n v="1892"/>
    <n v="-1892"/>
    <n v="0"/>
    <n v="2293277.350000001"/>
    <s v="Trsf"/>
    <s v="Trsf 23/12/22, RM3,332.00"/>
    <m/>
  </r>
  <r>
    <x v="287"/>
    <x v="0"/>
    <x v="3"/>
    <x v="389"/>
    <s v="C00000001"/>
    <x v="0"/>
    <x v="157"/>
    <n v="4"/>
    <s v="Cash"/>
    <x v="0"/>
    <d v="2022-12-20T00:00:00"/>
    <x v="0"/>
    <x v="4"/>
    <n v="1020"/>
    <n v="-1020"/>
    <n v="0"/>
    <n v="2294297.350000001"/>
    <s v="Trsf"/>
    <s v="Trsf 23/12/22, RM3,332.00"/>
    <m/>
  </r>
  <r>
    <x v="287"/>
    <x v="0"/>
    <x v="3"/>
    <x v="389"/>
    <s v="C00000001"/>
    <x v="0"/>
    <x v="4"/>
    <n v="4"/>
    <s v="Cash"/>
    <x v="0"/>
    <d v="2022-12-20T00:00:00"/>
    <x v="0"/>
    <x v="4"/>
    <n v="420"/>
    <n v="-420"/>
    <n v="0"/>
    <n v="2294717.350000001"/>
    <s v="Trsf"/>
    <s v="Trsf 23/12/22, RM3,332.00"/>
    <m/>
  </r>
  <r>
    <x v="286"/>
    <x v="0"/>
    <x v="3"/>
    <x v="390"/>
    <s v="C00000022"/>
    <x v="23"/>
    <x v="180"/>
    <n v="1"/>
    <s v="Cash"/>
    <x v="0"/>
    <d v="2022-12-22T00:00:00"/>
    <x v="0"/>
    <x v="4"/>
    <n v="50"/>
    <n v="-50"/>
    <n v="0"/>
    <n v="2294767.350000001"/>
    <s v="Trsf"/>
    <s v="Trsf 5/1/23 RM905.00"/>
    <m/>
  </r>
  <r>
    <x v="288"/>
    <x v="0"/>
    <x v="3"/>
    <x v="391"/>
    <s v="C00000019"/>
    <x v="18"/>
    <x v="120"/>
    <n v="2"/>
    <s v="Cash"/>
    <x v="0"/>
    <d v="2022-12-23T00:00:00"/>
    <x v="0"/>
    <x v="4"/>
    <n v="3784"/>
    <n v="-3784"/>
    <n v="0"/>
    <n v="2298551.350000001"/>
    <s v="Trsf"/>
    <s v="Trsf 20/1/23 RM2,000.00(RM1,611.80), Trsf 24/2/23 RM1,500.00, Trsf 2/3/23 RM1,500.00(RM672.20)"/>
    <m/>
  </r>
  <r>
    <x v="288"/>
    <x v="0"/>
    <x v="3"/>
    <x v="391"/>
    <s v="C00000019"/>
    <x v="18"/>
    <x v="181"/>
    <n v="2"/>
    <s v="Cash"/>
    <x v="0"/>
    <d v="2022-12-23T00:00:00"/>
    <x v="0"/>
    <x v="4"/>
    <n v="939.6"/>
    <n v="-939.59999999999991"/>
    <n v="0"/>
    <n v="2299490.9500000011"/>
    <s v="Trsf"/>
    <s v="Trsf 2/3/23 RM1,500.00(RM827.80), Trsf 7/4/23 RM2,000.00(RM111.80)"/>
    <m/>
  </r>
  <r>
    <x v="288"/>
    <x v="0"/>
    <x v="3"/>
    <x v="391"/>
    <s v="C00000019"/>
    <x v="18"/>
    <x v="12"/>
    <n v="5"/>
    <s v="Cash"/>
    <x v="0"/>
    <d v="2022-12-23T00:00:00"/>
    <x v="0"/>
    <x v="4"/>
    <n v="312.5"/>
    <n v="-312.5"/>
    <n v="0"/>
    <n v="2299803.4500000011"/>
    <s v="Trsf"/>
    <s v="Trsf 7/4/23 RM2,000.00"/>
    <m/>
  </r>
  <r>
    <x v="288"/>
    <x v="0"/>
    <x v="3"/>
    <x v="391"/>
    <s v="C00000019"/>
    <x v="18"/>
    <x v="93"/>
    <n v="2"/>
    <s v="Cash"/>
    <x v="0"/>
    <d v="2022-12-23T00:00:00"/>
    <x v="0"/>
    <x v="4"/>
    <n v="210"/>
    <n v="-210"/>
    <n v="0"/>
    <n v="2300013.4500000011"/>
    <s v="Trsf"/>
    <s v="Trsf 7/4/23 RM2,000.00"/>
    <m/>
  </r>
  <r>
    <x v="288"/>
    <x v="0"/>
    <x v="3"/>
    <x v="391"/>
    <s v="C00000019"/>
    <x v="18"/>
    <x v="182"/>
    <n v="1"/>
    <s v="Cash"/>
    <x v="0"/>
    <d v="2022-12-23T00:00:00"/>
    <x v="0"/>
    <x v="4"/>
    <n v="440"/>
    <n v="-440"/>
    <n v="0"/>
    <n v="2300453.4500000011"/>
    <s v="Trsf"/>
    <s v="Trsf 7/4/23 RM2,000.00"/>
    <m/>
  </r>
  <r>
    <x v="288"/>
    <x v="0"/>
    <x v="3"/>
    <x v="391"/>
    <s v="C00000019"/>
    <x v="18"/>
    <x v="52"/>
    <n v="1"/>
    <s v="Cash"/>
    <x v="0"/>
    <d v="2022-12-23T00:00:00"/>
    <x v="0"/>
    <x v="4"/>
    <n v="450"/>
    <n v="-450"/>
    <n v="0"/>
    <n v="2300903.4500000011"/>
    <s v="Trsf"/>
    <s v="Trsf 7/4/23 RM2,000.00"/>
    <m/>
  </r>
  <r>
    <x v="289"/>
    <x v="0"/>
    <x v="3"/>
    <x v="392"/>
    <s v="C00000021"/>
    <x v="21"/>
    <x v="118"/>
    <n v="1"/>
    <s v="Cash"/>
    <x v="0"/>
    <d v="2022-12-24T00:00:00"/>
    <x v="0"/>
    <x v="4"/>
    <n v="1936"/>
    <n v="-1936"/>
    <n v="0"/>
    <n v="2302839.4500000011"/>
    <s v="PD Chq"/>
    <s v="Chq PBB 395381, cleared120423 RM2,842.00"/>
    <m/>
  </r>
  <r>
    <x v="289"/>
    <x v="0"/>
    <x v="3"/>
    <x v="392"/>
    <s v="C00000021"/>
    <x v="21"/>
    <x v="100"/>
    <n v="3"/>
    <s v="Cash"/>
    <x v="0"/>
    <d v="2022-12-24T00:00:00"/>
    <x v="0"/>
    <x v="4"/>
    <n v="801"/>
    <n v="-801"/>
    <n v="0"/>
    <n v="2303640.4500000011"/>
    <s v="PD Chq"/>
    <s v="Chq PBB 395381, cleared120423 RM2,842.00"/>
    <m/>
  </r>
  <r>
    <x v="289"/>
    <x v="0"/>
    <x v="3"/>
    <x v="392"/>
    <s v="C00000021"/>
    <x v="21"/>
    <x v="4"/>
    <n v="1"/>
    <s v="Cash"/>
    <x v="0"/>
    <d v="2022-12-24T00:00:00"/>
    <x v="0"/>
    <x v="4"/>
    <n v="105"/>
    <n v="-105"/>
    <n v="0"/>
    <n v="2303745.4500000011"/>
    <s v="PD Chq"/>
    <s v="Chq PBB 395381, cleared120423 RM2,842.00"/>
    <m/>
  </r>
  <r>
    <x v="290"/>
    <x v="0"/>
    <x v="3"/>
    <x v="393"/>
    <s v="C00000010"/>
    <x v="9"/>
    <x v="121"/>
    <n v="6"/>
    <n v="120"/>
    <x v="2"/>
    <d v="2023-04-26T00:00:00"/>
    <x v="11"/>
    <x v="5"/>
    <n v="10032"/>
    <n v="-10032"/>
    <n v="0"/>
    <n v="2313777.4500000011"/>
    <s v="Trsf"/>
    <s v="Trsf 27/3/23, RM14,227.00"/>
    <m/>
  </r>
  <r>
    <x v="290"/>
    <x v="0"/>
    <x v="3"/>
    <x v="393"/>
    <s v="C00000010"/>
    <x v="9"/>
    <x v="148"/>
    <n v="10"/>
    <n v="120"/>
    <x v="2"/>
    <d v="2023-04-26T00:00:00"/>
    <x v="11"/>
    <x v="5"/>
    <n v="2250"/>
    <n v="-2250"/>
    <n v="0"/>
    <n v="2316027.4500000011"/>
    <s v="Trsf"/>
    <s v="Trsf 27/3/23, RM14,227.00"/>
    <m/>
  </r>
  <r>
    <x v="290"/>
    <x v="0"/>
    <x v="3"/>
    <x v="393"/>
    <s v="C00000010"/>
    <x v="9"/>
    <x v="12"/>
    <n v="10"/>
    <n v="120"/>
    <x v="2"/>
    <d v="2023-04-26T00:00:00"/>
    <x v="11"/>
    <x v="5"/>
    <n v="575"/>
    <n v="-575"/>
    <n v="0"/>
    <n v="2316602.4500000011"/>
    <s v="Trsf"/>
    <s v="Trsf 27/3/23, RM14,227.00"/>
    <m/>
  </r>
  <r>
    <x v="290"/>
    <x v="0"/>
    <x v="3"/>
    <x v="393"/>
    <s v="C00000010"/>
    <x v="9"/>
    <x v="4"/>
    <n v="4"/>
    <n v="120"/>
    <x v="2"/>
    <d v="2023-04-26T00:00:00"/>
    <x v="11"/>
    <x v="5"/>
    <n v="420"/>
    <n v="-420"/>
    <n v="0"/>
    <n v="2317022.4500000011"/>
    <s v="Trsf"/>
    <s v="Trsf 27/3/23, RM14,227.00"/>
    <m/>
  </r>
  <r>
    <x v="290"/>
    <x v="0"/>
    <x v="3"/>
    <x v="393"/>
    <s v="C00000010"/>
    <x v="9"/>
    <x v="174"/>
    <n v="4"/>
    <n v="120"/>
    <x v="2"/>
    <d v="2023-04-26T00:00:00"/>
    <x v="11"/>
    <x v="5"/>
    <n v="200"/>
    <n v="-200"/>
    <n v="0"/>
    <n v="2317222.4500000011"/>
    <s v="Trsf"/>
    <s v="Trsf 27/3/23, RM14,227.00"/>
    <m/>
  </r>
  <r>
    <x v="290"/>
    <x v="0"/>
    <x v="3"/>
    <x v="393"/>
    <s v="C00000010"/>
    <x v="9"/>
    <x v="183"/>
    <n v="1"/>
    <n v="120"/>
    <x v="2"/>
    <d v="2023-04-26T00:00:00"/>
    <x v="11"/>
    <x v="5"/>
    <n v="330"/>
    <n v="-330"/>
    <n v="0"/>
    <n v="2317552.4500000011"/>
    <s v="Trsf"/>
    <s v="Trsf 27/3/23, RM14,227.00"/>
    <m/>
  </r>
  <r>
    <x v="290"/>
    <x v="0"/>
    <x v="3"/>
    <x v="393"/>
    <s v="C00000010"/>
    <x v="9"/>
    <x v="131"/>
    <n v="1"/>
    <n v="120"/>
    <x v="2"/>
    <d v="2023-04-26T00:00:00"/>
    <x v="11"/>
    <x v="5"/>
    <n v="420"/>
    <n v="-420"/>
    <n v="0"/>
    <n v="2317972.4500000011"/>
    <s v="Trsf"/>
    <s v="Trsf 27/3/23, RM14,227.00"/>
    <m/>
  </r>
  <r>
    <x v="291"/>
    <x v="0"/>
    <x v="3"/>
    <x v="394"/>
    <s v="C00000020"/>
    <x v="19"/>
    <x v="157"/>
    <n v="4"/>
    <s v="Cash"/>
    <x v="0"/>
    <d v="2022-12-28T00:00:00"/>
    <x v="0"/>
    <x v="4"/>
    <n v="1008"/>
    <n v="-1008"/>
    <n v="0"/>
    <n v="2318980.4500000011"/>
    <s v="Trsf"/>
    <s v="Trsf 28/12/22 "/>
    <m/>
  </r>
  <r>
    <x v="292"/>
    <x v="0"/>
    <x v="3"/>
    <x v="395"/>
    <s v="C00000020"/>
    <x v="19"/>
    <x v="118"/>
    <n v="7"/>
    <s v="Cash"/>
    <x v="0"/>
    <d v="2022-12-30T00:00:00"/>
    <x v="0"/>
    <x v="4"/>
    <n v="12628"/>
    <n v="-12628"/>
    <n v="0"/>
    <n v="2331608.4500000011"/>
    <s v="Trsf"/>
    <s v="Trsf 26/7/23 RM8,000.00(RM1,607.20), Trsf 27/7/23 RM7,310.00(RM7,310.00), Trsf 4/8/23 RM5,858.00(RM3,710.80)"/>
    <m/>
  </r>
  <r>
    <x v="292"/>
    <x v="0"/>
    <x v="3"/>
    <x v="395"/>
    <s v="C00000020"/>
    <x v="19"/>
    <x v="184"/>
    <n v="20"/>
    <s v="Cash"/>
    <x v="0"/>
    <d v="2022-12-30T00:00:00"/>
    <x v="0"/>
    <x v="4"/>
    <n v="5040"/>
    <n v="-5040"/>
    <n v="0"/>
    <n v="2336648.4500000011"/>
    <s v="Trsf"/>
    <s v="Trsf 4/8/23 RM5,858.00(RM2,147.20), Trsf 7/8/23 RM6,110.00(RM2,892.80)"/>
    <m/>
  </r>
  <r>
    <x v="292"/>
    <x v="0"/>
    <x v="3"/>
    <x v="395"/>
    <s v="C00000020"/>
    <x v="19"/>
    <x v="172"/>
    <n v="9"/>
    <s v="Cash"/>
    <x v="0"/>
    <d v="2022-12-30T00:00:00"/>
    <x v="0"/>
    <x v="4"/>
    <n v="2340"/>
    <n v="-2340"/>
    <n v="0"/>
    <n v="2338988.4500000011"/>
    <s v="Trsf"/>
    <s v="Trsf 7/8/23 RM6,110.00(RM2,340.00)"/>
    <m/>
  </r>
  <r>
    <x v="292"/>
    <x v="0"/>
    <x v="3"/>
    <x v="395"/>
    <s v="C00000020"/>
    <x v="19"/>
    <x v="12"/>
    <n v="5"/>
    <s v="Cash"/>
    <x v="0"/>
    <d v="2022-12-30T00:00:00"/>
    <x v="0"/>
    <x v="4"/>
    <n v="312.5"/>
    <n v="-312.5"/>
    <n v="0"/>
    <n v="2339300.9500000011"/>
    <s v="Trsf"/>
    <s v="Trsf 7/8/23 RM6,110.00(RM312.50)"/>
    <m/>
  </r>
  <r>
    <x v="292"/>
    <x v="0"/>
    <x v="3"/>
    <x v="395"/>
    <s v="C00000020"/>
    <x v="19"/>
    <x v="159"/>
    <n v="1"/>
    <s v="Cash"/>
    <x v="0"/>
    <d v="2022-12-30T00:00:00"/>
    <x v="0"/>
    <x v="4"/>
    <n v="1000"/>
    <n v="-1000"/>
    <n v="0"/>
    <n v="2340300.9500000011"/>
    <s v="Trsf"/>
    <s v="Trsf 7/8/23 RM6,110.00(RM564.70), Trsf 15/8/23 RM5,552.00(RM435.30)"/>
    <m/>
  </r>
  <r>
    <x v="292"/>
    <x v="0"/>
    <x v="3"/>
    <x v="395"/>
    <s v="C00000020"/>
    <x v="19"/>
    <x v="150"/>
    <n v="4"/>
    <s v="Cash"/>
    <x v="0"/>
    <d v="2022-12-30T00:00:00"/>
    <x v="0"/>
    <x v="4"/>
    <n v="420"/>
    <n v="-420"/>
    <n v="0"/>
    <n v="2340720.9500000011"/>
    <s v="Trsf"/>
    <s v="Trsf 15/8/23 RM5,552.00(RM420.00)"/>
    <m/>
  </r>
  <r>
    <x v="293"/>
    <x v="7"/>
    <x v="4"/>
    <x v="396"/>
    <s v="C00000020"/>
    <x v="19"/>
    <x v="121"/>
    <n v="10"/>
    <s v="Cash"/>
    <x v="0"/>
    <d v="2023-01-05T00:00:00"/>
    <x v="7"/>
    <x v="5"/>
    <n v="17380"/>
    <n v="-17380"/>
    <n v="0"/>
    <n v="2358100.9500000011"/>
    <s v="Trsf"/>
    <s v="Trsf 15/8/23 RM5,552.00(RM4,696.70), Trsf 23/8/23 RM9,000.00(RM9,000.00), Trsf 29/8/23 RM7,000.00(RM3,683.30), "/>
    <m/>
  </r>
  <r>
    <x v="293"/>
    <x v="7"/>
    <x v="4"/>
    <x v="396"/>
    <s v="C00000020"/>
    <x v="19"/>
    <x v="184"/>
    <n v="30"/>
    <s v="Cash"/>
    <x v="0"/>
    <d v="2023-01-05T00:00:00"/>
    <x v="7"/>
    <x v="5"/>
    <n v="7020"/>
    <n v="-7020"/>
    <n v="0"/>
    <n v="2365120.9500000011"/>
    <s v="Trsf"/>
    <s v="Trsf 29/8/23 RM7,000.00(RM3,316.70), Trsf 30/8/23 RM5,500.00(RM3,703.30)"/>
    <m/>
  </r>
  <r>
    <x v="293"/>
    <x v="7"/>
    <x v="4"/>
    <x v="396"/>
    <s v="C00000020"/>
    <x v="19"/>
    <x v="185"/>
    <n v="15"/>
    <s v="Cash"/>
    <x v="0"/>
    <d v="2023-01-05T00:00:00"/>
    <x v="7"/>
    <x v="5"/>
    <n v="4095"/>
    <n v="-4095"/>
    <n v="0"/>
    <n v="2369215.9500000011"/>
    <s v="Trsf"/>
    <s v="Trsf 30/8/23 RM5,500.00(RM1,796.70), Trsf 1/9/23 RM6,200.00(RM2,298.30)"/>
    <m/>
  </r>
  <r>
    <x v="293"/>
    <x v="7"/>
    <x v="4"/>
    <x v="396"/>
    <s v="C00000020"/>
    <x v="19"/>
    <x v="12"/>
    <n v="10"/>
    <s v="Cash"/>
    <x v="0"/>
    <d v="2023-01-05T00:00:00"/>
    <x v="7"/>
    <x v="5"/>
    <n v="625"/>
    <n v="-625"/>
    <n v="0"/>
    <n v="2369840.9500000011"/>
    <s v="Trsf"/>
    <s v="Trsf 1/9/23 RM6,200.00(RM625.00)"/>
    <m/>
  </r>
  <r>
    <x v="293"/>
    <x v="7"/>
    <x v="4"/>
    <x v="396"/>
    <s v="C00000020"/>
    <x v="19"/>
    <x v="106"/>
    <n v="4"/>
    <s v="Cash"/>
    <x v="0"/>
    <d v="2023-01-05T00:00:00"/>
    <x v="7"/>
    <x v="5"/>
    <n v="380"/>
    <n v="-380"/>
    <n v="0"/>
    <n v="2370220.9500000011"/>
    <s v="Trsf"/>
    <s v="Trsf 1/9/23 RM6,200.00(RM380.00)"/>
    <m/>
  </r>
  <r>
    <x v="293"/>
    <x v="7"/>
    <x v="4"/>
    <x v="396"/>
    <s v="C00000020"/>
    <x v="19"/>
    <x v="159"/>
    <n v="2"/>
    <s v="Cash"/>
    <x v="0"/>
    <d v="2023-01-05T00:00:00"/>
    <x v="7"/>
    <x v="5"/>
    <n v="2000"/>
    <n v="-2000"/>
    <n v="0"/>
    <n v="2372220.9500000011"/>
    <s v="Trsf"/>
    <s v="Trsf 1/9/23 RM6,200.00(RM2,000.00)"/>
    <m/>
  </r>
  <r>
    <x v="294"/>
    <x v="7"/>
    <x v="4"/>
    <x v="397"/>
    <s v="C00000023"/>
    <x v="24"/>
    <x v="118"/>
    <n v="2"/>
    <s v="Cash"/>
    <x v="0"/>
    <d v="2023-01-06T00:00:00"/>
    <x v="7"/>
    <x v="5"/>
    <n v="3476"/>
    <n v="-3476"/>
    <n v="0"/>
    <n v="2375696.9500000011"/>
    <s v="Trsf"/>
    <s v="Trsf 6/1/23 RM3,190.50,  Trsf 16/1/23 RM3,190.00"/>
    <m/>
  </r>
  <r>
    <x v="294"/>
    <x v="7"/>
    <x v="4"/>
    <x v="397"/>
    <s v="C00000023"/>
    <x v="24"/>
    <x v="100"/>
    <n v="8"/>
    <s v="Cash"/>
    <x v="0"/>
    <d v="2023-01-06T00:00:00"/>
    <x v="7"/>
    <x v="5"/>
    <n v="1872"/>
    <n v="-1872"/>
    <n v="0"/>
    <n v="2377568.9500000011"/>
    <s v="Trsf"/>
    <s v="Trsf 6/1/23 RM3,190.50,  Trsf 16/1/23 RM3,190.00"/>
    <m/>
  </r>
  <r>
    <x v="294"/>
    <x v="7"/>
    <x v="4"/>
    <x v="397"/>
    <s v="C00000023"/>
    <x v="24"/>
    <x v="106"/>
    <n v="6"/>
    <s v="Cash"/>
    <x v="0"/>
    <d v="2023-01-06T00:00:00"/>
    <x v="7"/>
    <x v="5"/>
    <n v="570"/>
    <n v="-570"/>
    <n v="0"/>
    <n v="2378138.9500000011"/>
    <s v="Trsf"/>
    <s v="Trsf 6/1/23 RM3,190.50,  Trsf 16/1/23 RM3,190.00"/>
    <m/>
  </r>
  <r>
    <x v="294"/>
    <x v="7"/>
    <x v="4"/>
    <x v="397"/>
    <s v="C00000023"/>
    <x v="24"/>
    <x v="132"/>
    <n v="1"/>
    <s v="Cash"/>
    <x v="0"/>
    <d v="2023-01-06T00:00:00"/>
    <x v="7"/>
    <x v="5"/>
    <n v="62.5"/>
    <n v="-62.5"/>
    <n v="0"/>
    <n v="2378201.4500000011"/>
    <s v="Trsf"/>
    <s v="Trsf 6/1/23 RM3,190.50,  Trsf 16/1/23 RM3,190.00"/>
    <m/>
  </r>
  <r>
    <x v="294"/>
    <x v="7"/>
    <x v="4"/>
    <x v="397"/>
    <s v="C00000023"/>
    <x v="24"/>
    <x v="186"/>
    <n v="2"/>
    <s v="Cash"/>
    <x v="0"/>
    <d v="2023-01-06T00:00:00"/>
    <x v="7"/>
    <x v="5"/>
    <n v="400"/>
    <n v="-400"/>
    <n v="0"/>
    <n v="2378601.4500000011"/>
    <s v="Trsf"/>
    <s v="Trsf 6/1/23 RM3,190.50,  Trsf 16/1/23 RM3,190.00"/>
    <m/>
  </r>
  <r>
    <x v="295"/>
    <x v="7"/>
    <x v="4"/>
    <x v="398"/>
    <s v="C00000020"/>
    <x v="19"/>
    <x v="118"/>
    <n v="3"/>
    <s v="Cash"/>
    <x v="0"/>
    <d v="2023-01-07T00:00:00"/>
    <x v="7"/>
    <x v="5"/>
    <n v="5214"/>
    <n v="-5214"/>
    <n v="0"/>
    <n v="2383815.4500000011"/>
    <s v="Trsf"/>
    <s v="Trsf 1/9/23 RM6,200.00(RM896.70), Trsf 11/9/23 RM6,000.00(RM4,317.30)"/>
    <m/>
  </r>
  <r>
    <x v="295"/>
    <x v="7"/>
    <x v="4"/>
    <x v="398"/>
    <s v="C00000020"/>
    <x v="19"/>
    <x v="184"/>
    <n v="10"/>
    <s v="Cash"/>
    <x v="0"/>
    <d v="2023-01-07T00:00:00"/>
    <x v="7"/>
    <x v="5"/>
    <n v="2340"/>
    <n v="-2340"/>
    <n v="0"/>
    <n v="2386155.4500000011"/>
    <s v="Trsf"/>
    <s v="Trsf 11/9/23 RM6,000.00(RM1,682.70), Trsf 12/9/23 RM5,500.00(RM657.30)"/>
    <m/>
  </r>
  <r>
    <x v="295"/>
    <x v="7"/>
    <x v="4"/>
    <x v="398"/>
    <s v="C00000020"/>
    <x v="19"/>
    <x v="185"/>
    <n v="4"/>
    <s v="Cash"/>
    <x v="0"/>
    <d v="2023-01-07T00:00:00"/>
    <x v="7"/>
    <x v="5"/>
    <n v="1092"/>
    <n v="-1092"/>
    <n v="0"/>
    <n v="2387247.4500000011"/>
    <s v="Trsf"/>
    <s v="Trsf 12/9/23 RM5,500.00(RM1,092.00)"/>
    <m/>
  </r>
  <r>
    <x v="295"/>
    <x v="7"/>
    <x v="4"/>
    <x v="398"/>
    <s v="C00000020"/>
    <x v="19"/>
    <x v="106"/>
    <n v="4"/>
    <s v="Cash"/>
    <x v="0"/>
    <d v="2023-01-07T00:00:00"/>
    <x v="7"/>
    <x v="5"/>
    <n v="380"/>
    <n v="-380"/>
    <n v="0"/>
    <n v="2387627.4500000011"/>
    <s v="Trsf"/>
    <s v="Trsf 12/9/23 RM5,500.00(RM380.00)"/>
    <m/>
  </r>
  <r>
    <x v="295"/>
    <x v="7"/>
    <x v="4"/>
    <x v="398"/>
    <s v="C00000020"/>
    <x v="19"/>
    <x v="132"/>
    <n v="3"/>
    <s v="Cash"/>
    <x v="0"/>
    <d v="2023-01-07T00:00:00"/>
    <x v="7"/>
    <x v="5"/>
    <n v="187.5"/>
    <n v="-187.5"/>
    <n v="0"/>
    <n v="2387814.9500000011"/>
    <s v="Trsf"/>
    <s v="Trsf 12/9/23 RM5,500.00(RM187.50)"/>
    <m/>
  </r>
  <r>
    <x v="296"/>
    <x v="7"/>
    <x v="4"/>
    <x v="399"/>
    <s v="C00000021"/>
    <x v="21"/>
    <x v="118"/>
    <n v="1"/>
    <s v="Cash"/>
    <x v="0"/>
    <d v="2023-01-09T00:00:00"/>
    <x v="7"/>
    <x v="5"/>
    <n v="1870"/>
    <n v="-1870"/>
    <n v="0"/>
    <n v="2389684.9500000011"/>
    <s v="PD Chq"/>
    <s v="Chq PBB 395384, cleared180423 RM3,373.50"/>
    <m/>
  </r>
  <r>
    <x v="296"/>
    <x v="7"/>
    <x v="4"/>
    <x v="399"/>
    <s v="C00000021"/>
    <x v="21"/>
    <x v="100"/>
    <n v="2"/>
    <s v="Cash"/>
    <x v="0"/>
    <d v="2023-01-09T00:00:00"/>
    <x v="7"/>
    <x v="5"/>
    <n v="510"/>
    <n v="-510"/>
    <n v="0"/>
    <n v="2390194.9500000011"/>
    <s v="PD Chq"/>
    <s v="Chq PBB 395384, cleared180423 RM3,373.50"/>
    <m/>
  </r>
  <r>
    <x v="296"/>
    <x v="7"/>
    <x v="4"/>
    <x v="399"/>
    <s v="C00000021"/>
    <x v="21"/>
    <x v="4"/>
    <n v="1"/>
    <s v="Cash"/>
    <x v="0"/>
    <d v="2023-01-09T00:00:00"/>
    <x v="7"/>
    <x v="5"/>
    <n v="105"/>
    <n v="-105"/>
    <n v="0"/>
    <n v="2390299.9500000011"/>
    <s v="PD Chq"/>
    <s v="Chq PBB 395384, cleared180423 RM3,373.50"/>
    <m/>
  </r>
  <r>
    <x v="296"/>
    <x v="7"/>
    <x v="4"/>
    <x v="399"/>
    <s v="C00000021"/>
    <x v="21"/>
    <x v="129"/>
    <n v="12"/>
    <s v="Cash"/>
    <x v="0"/>
    <d v="2023-01-09T00:00:00"/>
    <x v="7"/>
    <x v="5"/>
    <n v="576"/>
    <n v="-576"/>
    <n v="0"/>
    <n v="2390875.9500000011"/>
    <s v="PD Chq"/>
    <s v="Chq PBB 395384, cleared180423 RM3,373.50"/>
    <m/>
  </r>
  <r>
    <x v="296"/>
    <x v="7"/>
    <x v="4"/>
    <x v="399"/>
    <s v="C00000021"/>
    <x v="21"/>
    <x v="132"/>
    <n v="5"/>
    <s v="Cash"/>
    <x v="0"/>
    <d v="2023-01-09T00:00:00"/>
    <x v="7"/>
    <x v="5"/>
    <n v="312.5"/>
    <n v="-312.5"/>
    <n v="0"/>
    <n v="2391188.4500000011"/>
    <s v="PD Chq"/>
    <s v="Chq PBB 395384, cleared180423 RM3,373.50"/>
    <m/>
  </r>
  <r>
    <x v="296"/>
    <x v="7"/>
    <x v="4"/>
    <x v="400"/>
    <s v="C00000023"/>
    <x v="24"/>
    <x v="118"/>
    <n v="1"/>
    <s v="Cash"/>
    <x v="0"/>
    <d v="2023-01-09T00:00:00"/>
    <x v="7"/>
    <x v="5"/>
    <n v="1738"/>
    <n v="-1738"/>
    <n v="0"/>
    <n v="2392926.4500000011"/>
    <s v="Trsf"/>
    <s v="Trsf 9/1/23 RM2,936.50"/>
    <m/>
  </r>
  <r>
    <x v="296"/>
    <x v="7"/>
    <x v="4"/>
    <x v="400"/>
    <s v="C00000023"/>
    <x v="24"/>
    <x v="148"/>
    <n v="4"/>
    <s v="Cash"/>
    <x v="0"/>
    <d v="2023-01-09T00:00:00"/>
    <x v="7"/>
    <x v="5"/>
    <n v="936"/>
    <n v="-936"/>
    <n v="0"/>
    <n v="2393862.4500000011"/>
    <s v="Trsf"/>
    <s v="Trsf 9/1/23 RM2,936.50"/>
    <m/>
  </r>
  <r>
    <x v="296"/>
    <x v="7"/>
    <x v="4"/>
    <x v="400"/>
    <s v="C00000023"/>
    <x v="24"/>
    <x v="132"/>
    <n v="1"/>
    <s v="Cash"/>
    <x v="0"/>
    <d v="2023-01-09T00:00:00"/>
    <x v="7"/>
    <x v="5"/>
    <n v="62.5"/>
    <n v="-62.5"/>
    <n v="0"/>
    <n v="2393924.9500000011"/>
    <s v="Trsf"/>
    <s v="Trsf 9/1/23 RM2,936.50"/>
    <m/>
  </r>
  <r>
    <x v="296"/>
    <x v="7"/>
    <x v="4"/>
    <x v="400"/>
    <s v="C00000023"/>
    <x v="24"/>
    <x v="186"/>
    <n v="1"/>
    <s v="Cash"/>
    <x v="0"/>
    <d v="2023-01-09T00:00:00"/>
    <x v="7"/>
    <x v="5"/>
    <n v="200"/>
    <n v="-200"/>
    <n v="0"/>
    <n v="2394124.9500000011"/>
    <s v="Trsf"/>
    <s v="Trsf 9/1/23 RM2,936.50"/>
    <m/>
  </r>
  <r>
    <x v="296"/>
    <x v="7"/>
    <x v="4"/>
    <x v="401"/>
    <s v="C00000020"/>
    <x v="19"/>
    <x v="187"/>
    <n v="1"/>
    <s v="Cash"/>
    <x v="0"/>
    <d v="2023-01-09T00:00:00"/>
    <x v="7"/>
    <x v="5"/>
    <n v="800"/>
    <n v="-800"/>
    <n v="0"/>
    <n v="2394924.9500000011"/>
    <s v="Trsf"/>
    <s v="Trsf 12/9/23 RM5,500.00(RM800.00)"/>
    <m/>
  </r>
  <r>
    <x v="297"/>
    <x v="7"/>
    <x v="4"/>
    <x v="402"/>
    <s v="C00000001"/>
    <x v="0"/>
    <x v="118"/>
    <n v="1"/>
    <s v="Cash"/>
    <x v="0"/>
    <d v="2023-01-11T00:00:00"/>
    <x v="7"/>
    <x v="5"/>
    <n v="1804"/>
    <n v="-1804"/>
    <n v="0"/>
    <n v="2396728.9500000011"/>
    <s v="Trsf"/>
    <s v="Trsf 12/1/23, RM1,804.00"/>
    <m/>
  </r>
  <r>
    <x v="297"/>
    <x v="7"/>
    <x v="4"/>
    <x v="403"/>
    <s v="C00000014"/>
    <x v="13"/>
    <x v="45"/>
    <n v="1"/>
    <s v="Cash"/>
    <x v="0"/>
    <d v="2023-01-11T00:00:00"/>
    <x v="7"/>
    <x v="5"/>
    <n v="1738"/>
    <n v="-1738"/>
    <n v="0"/>
    <n v="2398466.9500000011"/>
    <s v="Cash"/>
    <s v="Cash 13/1/23 RM2,132.50"/>
    <m/>
  </r>
  <r>
    <x v="297"/>
    <x v="7"/>
    <x v="4"/>
    <x v="403"/>
    <s v="C00000014"/>
    <x v="13"/>
    <x v="184"/>
    <n v="1"/>
    <s v="Cash"/>
    <x v="0"/>
    <d v="2023-01-11T00:00:00"/>
    <x v="7"/>
    <x v="5"/>
    <n v="237"/>
    <n v="-237"/>
    <n v="0"/>
    <n v="2398703.9500000011"/>
    <s v="Cash"/>
    <s v="Cash 13/1/23 RM2,132.50"/>
    <m/>
  </r>
  <r>
    <x v="297"/>
    <x v="7"/>
    <x v="4"/>
    <x v="403"/>
    <s v="C00000014"/>
    <x v="13"/>
    <x v="106"/>
    <n v="1"/>
    <s v="Cash"/>
    <x v="0"/>
    <d v="2023-01-11T00:00:00"/>
    <x v="7"/>
    <x v="5"/>
    <n v="95"/>
    <n v="-95"/>
    <n v="0"/>
    <n v="2398798.9500000011"/>
    <s v="Cash"/>
    <s v="Cash 13/1/23 RM2,132.50"/>
    <m/>
  </r>
  <r>
    <x v="297"/>
    <x v="7"/>
    <x v="4"/>
    <x v="403"/>
    <s v="C00000014"/>
    <x v="13"/>
    <x v="132"/>
    <n v="1"/>
    <s v="Cash"/>
    <x v="0"/>
    <d v="2023-01-11T00:00:00"/>
    <x v="7"/>
    <x v="5"/>
    <n v="62.5"/>
    <n v="-62.5"/>
    <n v="0"/>
    <n v="2398861.4500000011"/>
    <s v="Cash"/>
    <s v="Cash 13/1/23 RM2,132.50"/>
    <m/>
  </r>
  <r>
    <x v="297"/>
    <x v="7"/>
    <x v="4"/>
    <x v="404"/>
    <s v="C00000023"/>
    <x v="24"/>
    <x v="188"/>
    <n v="1"/>
    <s v="Cash"/>
    <x v="0"/>
    <d v="2023-01-11T00:00:00"/>
    <x v="7"/>
    <x v="5"/>
    <n v="1738"/>
    <n v="-1738"/>
    <n v="0"/>
    <n v="2400599.4500000011"/>
    <s v="Trsf"/>
    <s v="Trsf 11/1/23 RM2,440.00"/>
    <m/>
  </r>
  <r>
    <x v="297"/>
    <x v="7"/>
    <x v="4"/>
    <x v="404"/>
    <s v="C00000023"/>
    <x v="24"/>
    <x v="148"/>
    <n v="3"/>
    <s v="Cash"/>
    <x v="0"/>
    <d v="2023-01-11T00:00:00"/>
    <x v="7"/>
    <x v="5"/>
    <n v="702"/>
    <n v="-702"/>
    <n v="0"/>
    <n v="2401301.4500000011"/>
    <s v="Trsf"/>
    <s v="Trsf 11/1/23 RM2,440.00"/>
    <m/>
  </r>
  <r>
    <x v="298"/>
    <x v="7"/>
    <x v="4"/>
    <x v="405"/>
    <s v="C00000010"/>
    <x v="9"/>
    <x v="188"/>
    <n v="6"/>
    <n v="120"/>
    <x v="2"/>
    <d v="2023-05-12T00:00:00"/>
    <x v="12"/>
    <x v="5"/>
    <n v="9768"/>
    <n v="-9768"/>
    <n v="0"/>
    <n v="2411069.4500000011"/>
    <s v="Trsf"/>
    <s v="Trsf 2/5/23 RM31,397.00"/>
    <m/>
  </r>
  <r>
    <x v="298"/>
    <x v="7"/>
    <x v="4"/>
    <x v="405"/>
    <s v="C00000010"/>
    <x v="9"/>
    <x v="148"/>
    <n v="10"/>
    <n v="120"/>
    <x v="2"/>
    <d v="2023-05-12T00:00:00"/>
    <x v="12"/>
    <x v="5"/>
    <n v="2070"/>
    <n v="-2070"/>
    <n v="0"/>
    <n v="2413139.4500000011"/>
    <s v="Trsf"/>
    <s v="Trsf 2/5/23 RM31,397.00"/>
    <m/>
  </r>
  <r>
    <x v="298"/>
    <x v="7"/>
    <x v="4"/>
    <x v="405"/>
    <s v="C00000010"/>
    <x v="9"/>
    <x v="132"/>
    <n v="10"/>
    <n v="120"/>
    <x v="2"/>
    <d v="2023-05-12T00:00:00"/>
    <x v="12"/>
    <x v="5"/>
    <n v="575"/>
    <n v="-575"/>
    <n v="0"/>
    <n v="2413714.4500000011"/>
    <s v="Trsf"/>
    <s v="Trsf 2/5/23 RM31,397.00"/>
    <m/>
  </r>
  <r>
    <x v="298"/>
    <x v="7"/>
    <x v="4"/>
    <x v="405"/>
    <s v="C00000010"/>
    <x v="9"/>
    <x v="4"/>
    <n v="8"/>
    <n v="120"/>
    <x v="2"/>
    <d v="2023-05-12T00:00:00"/>
    <x v="12"/>
    <x v="5"/>
    <n v="840"/>
    <n v="-840"/>
    <n v="0"/>
    <n v="2414554.4500000011"/>
    <s v="Trsf"/>
    <s v="Trsf 2/5/23 RM31,397.00"/>
    <m/>
  </r>
  <r>
    <x v="298"/>
    <x v="7"/>
    <x v="4"/>
    <x v="405"/>
    <s v="C00000010"/>
    <x v="9"/>
    <x v="174"/>
    <n v="4"/>
    <n v="120"/>
    <x v="2"/>
    <d v="2023-05-12T00:00:00"/>
    <x v="12"/>
    <x v="5"/>
    <n v="200"/>
    <n v="-200"/>
    <n v="0"/>
    <n v="2414754.4500000011"/>
    <s v="Trsf"/>
    <s v="Trsf 2/5/23 RM31,397.00"/>
    <m/>
  </r>
  <r>
    <x v="298"/>
    <x v="7"/>
    <x v="4"/>
    <x v="405"/>
    <s v="C00000010"/>
    <x v="9"/>
    <x v="48"/>
    <n v="1"/>
    <n v="120"/>
    <x v="2"/>
    <d v="2023-05-12T00:00:00"/>
    <x v="12"/>
    <x v="5"/>
    <n v="395"/>
    <n v="-395"/>
    <n v="0"/>
    <n v="2415149.4500000011"/>
    <s v="Trsf"/>
    <s v="Trsf 2/5/23 RM31,397.00"/>
    <m/>
  </r>
  <r>
    <x v="298"/>
    <x v="7"/>
    <x v="4"/>
    <x v="405"/>
    <s v="C00000010"/>
    <x v="9"/>
    <x v="131"/>
    <n v="1"/>
    <n v="120"/>
    <x v="2"/>
    <d v="2023-05-12T00:00:00"/>
    <x v="12"/>
    <x v="5"/>
    <n v="420"/>
    <n v="-420"/>
    <n v="0"/>
    <n v="2415569.4500000011"/>
    <s v="Trsf"/>
    <s v="Trsf 2/5/23 RM31,397.00"/>
    <m/>
  </r>
  <r>
    <x v="298"/>
    <x v="7"/>
    <x v="4"/>
    <x v="406"/>
    <s v="C00000020"/>
    <x v="19"/>
    <x v="188"/>
    <n v="5"/>
    <s v="Cash"/>
    <x v="0"/>
    <d v="2023-01-12T00:00:00"/>
    <x v="7"/>
    <x v="5"/>
    <n v="8690"/>
    <n v="-8690"/>
    <n v="0"/>
    <n v="2424259.4500000011"/>
    <s v="Trsf"/>
    <s v="Trsf 12/9/23 RM5,500.00(RM2,383.20), Trsf 15/9/23 RM5,800.00(RM5,800.00), Trsf 21/9/23 RM6,700.00(RM506.80)"/>
    <m/>
  </r>
  <r>
    <x v="298"/>
    <x v="7"/>
    <x v="4"/>
    <x v="406"/>
    <s v="C00000020"/>
    <x v="19"/>
    <x v="148"/>
    <n v="15"/>
    <s v="Cash"/>
    <x v="0"/>
    <d v="2023-01-12T00:00:00"/>
    <x v="7"/>
    <x v="5"/>
    <n v="3510"/>
    <n v="-3510"/>
    <n v="0"/>
    <n v="2427769.4500000011"/>
    <s v="Trsf"/>
    <s v="Trsf 21/9/23 RM6,700.00(RM3,510.00)"/>
    <m/>
  </r>
  <r>
    <x v="298"/>
    <x v="7"/>
    <x v="4"/>
    <x v="406"/>
    <s v="C00000020"/>
    <x v="19"/>
    <x v="185"/>
    <n v="6"/>
    <s v="Cash"/>
    <x v="0"/>
    <d v="2023-01-12T00:00:00"/>
    <x v="7"/>
    <x v="5"/>
    <n v="1638"/>
    <n v="-1638"/>
    <n v="0"/>
    <n v="2429407.4500000011"/>
    <s v="Trsf"/>
    <s v="Trsf 21/9/23 RM6,700.00(RM1,638.00)"/>
    <m/>
  </r>
  <r>
    <x v="298"/>
    <x v="7"/>
    <x v="4"/>
    <x v="406"/>
    <s v="C00000020"/>
    <x v="19"/>
    <x v="159"/>
    <n v="1"/>
    <s v="Cash"/>
    <x v="0"/>
    <d v="2023-01-12T00:00:00"/>
    <x v="7"/>
    <x v="5"/>
    <n v="1000"/>
    <n v="-1000"/>
    <n v="0"/>
    <n v="2430407.4500000011"/>
    <s v="Trsf"/>
    <s v="Trsf 21/9/23 RM6,700.00(RM1,000.00)"/>
    <m/>
  </r>
  <r>
    <x v="298"/>
    <x v="7"/>
    <x v="4"/>
    <x v="406"/>
    <s v="C00000020"/>
    <x v="19"/>
    <x v="132"/>
    <n v="5"/>
    <s v="Cash"/>
    <x v="0"/>
    <d v="2023-01-12T00:00:00"/>
    <x v="7"/>
    <x v="5"/>
    <n v="312.5"/>
    <n v="-312.5"/>
    <n v="0"/>
    <n v="2430719.9500000011"/>
    <s v="Trsf"/>
    <s v="Trsf 21/9/23 RM6,700.00(RM45.20), Trsf 27/9/23 RM23,000.00(RM267.30)"/>
    <m/>
  </r>
  <r>
    <x v="298"/>
    <x v="7"/>
    <x v="4"/>
    <x v="406"/>
    <s v="C00000020"/>
    <x v="19"/>
    <x v="4"/>
    <n v="4"/>
    <s v="Cash"/>
    <x v="0"/>
    <d v="2023-01-12T00:00:00"/>
    <x v="7"/>
    <x v="5"/>
    <n v="420"/>
    <n v="-420"/>
    <n v="0"/>
    <n v="2431139.9500000011"/>
    <s v="Trsf"/>
    <s v="Trsf 27/9/23 RM23,000.00(RM420.00) "/>
    <m/>
  </r>
  <r>
    <x v="298"/>
    <x v="7"/>
    <x v="4"/>
    <x v="407"/>
    <s v="C00000022"/>
    <x v="23"/>
    <x v="125"/>
    <n v="1"/>
    <s v="Cash"/>
    <x v="0"/>
    <d v="2023-01-12T00:00:00"/>
    <x v="7"/>
    <x v="5"/>
    <n v="256"/>
    <n v="-256"/>
    <n v="0"/>
    <n v="2431395.9500000011"/>
    <s v="Trsf"/>
    <s v="Trsf 28/2/23 RM2,500.00(RM256.00)"/>
    <m/>
  </r>
  <r>
    <x v="299"/>
    <x v="7"/>
    <x v="4"/>
    <x v="408"/>
    <s v="C00000023"/>
    <x v="24"/>
    <x v="188"/>
    <n v="1"/>
    <s v="Cash"/>
    <x v="0"/>
    <d v="2023-01-13T00:00:00"/>
    <x v="7"/>
    <x v="5"/>
    <n v="1738"/>
    <n v="-1738"/>
    <n v="0"/>
    <n v="2433133.9500000011"/>
    <s v="Trsf"/>
    <s v="Trsf 13/1/23 RM1,800.50"/>
    <m/>
  </r>
  <r>
    <x v="299"/>
    <x v="7"/>
    <x v="4"/>
    <x v="408"/>
    <s v="C00000023"/>
    <x v="24"/>
    <x v="132"/>
    <n v="1"/>
    <s v="Cash"/>
    <x v="0"/>
    <d v="2023-01-13T00:00:00"/>
    <x v="7"/>
    <x v="5"/>
    <n v="62.5"/>
    <n v="-62.5"/>
    <n v="0"/>
    <n v="2433196.4500000011"/>
    <s v="Trsf"/>
    <s v="Trsf 13/1/23 RM1,800.50"/>
    <m/>
  </r>
  <r>
    <x v="300"/>
    <x v="7"/>
    <x v="4"/>
    <x v="409"/>
    <s v="C00000029"/>
    <x v="30"/>
    <x v="12"/>
    <n v="4"/>
    <s v="Cash"/>
    <x v="0"/>
    <d v="2023-01-14T00:00:00"/>
    <x v="7"/>
    <x v="5"/>
    <n v="250"/>
    <n v="-250"/>
    <n v="0"/>
    <n v="2433446.4500000011"/>
    <s v="Trsf"/>
    <s v="Trsf 14/1/23 RM250.00"/>
    <m/>
  </r>
  <r>
    <x v="300"/>
    <x v="7"/>
    <x v="4"/>
    <x v="410"/>
    <s v="C00000020"/>
    <x v="19"/>
    <x v="118"/>
    <n v="5"/>
    <s v="Cash"/>
    <x v="0"/>
    <d v="2023-01-14T00:00:00"/>
    <x v="7"/>
    <x v="5"/>
    <n v="8690"/>
    <n v="-8690"/>
    <n v="0"/>
    <n v="2442136.4500000011"/>
    <s v="Trsf"/>
    <s v="Trsf 27/9/23 RM23,000.00(RM8.690.00)"/>
    <m/>
  </r>
  <r>
    <x v="300"/>
    <x v="7"/>
    <x v="4"/>
    <x v="410"/>
    <s v="C00000020"/>
    <x v="19"/>
    <x v="148"/>
    <n v="15"/>
    <s v="Cash"/>
    <x v="0"/>
    <d v="2023-01-14T00:00:00"/>
    <x v="7"/>
    <x v="5"/>
    <n v="3510"/>
    <n v="-3510"/>
    <n v="0"/>
    <n v="2445646.4500000011"/>
    <s v="Trsf"/>
    <s v="Trsf 27/9/23 RM23,000.00(RM3,510.00)"/>
    <m/>
  </r>
  <r>
    <x v="300"/>
    <x v="7"/>
    <x v="4"/>
    <x v="410"/>
    <s v="C00000020"/>
    <x v="19"/>
    <x v="185"/>
    <n v="6"/>
    <s v="Cash"/>
    <x v="0"/>
    <d v="2023-01-14T00:00:00"/>
    <x v="7"/>
    <x v="5"/>
    <n v="1638"/>
    <n v="-1638"/>
    <n v="0"/>
    <n v="2447284.4500000011"/>
    <s v="Trsf"/>
    <s v="Trsf 27/9/23 RM23,000.00(RM1,638.00)"/>
    <m/>
  </r>
  <r>
    <x v="300"/>
    <x v="7"/>
    <x v="4"/>
    <x v="410"/>
    <s v="C00000020"/>
    <x v="19"/>
    <x v="132"/>
    <n v="5"/>
    <s v="Cash"/>
    <x v="0"/>
    <d v="2023-01-14T00:00:00"/>
    <x v="7"/>
    <x v="5"/>
    <n v="312.5"/>
    <n v="-312.5"/>
    <n v="0"/>
    <n v="2447596.9500000011"/>
    <s v="Trsf"/>
    <s v="Trsf 27/9/23 RM23,000.00(RM312.50)"/>
    <m/>
  </r>
  <r>
    <x v="301"/>
    <x v="7"/>
    <x v="4"/>
    <x v="411"/>
    <s v="C00000021"/>
    <x v="21"/>
    <x v="118"/>
    <n v="1"/>
    <s v="Cash"/>
    <x v="0"/>
    <d v="2023-01-16T00:00:00"/>
    <x v="7"/>
    <x v="5"/>
    <n v="1936"/>
    <n v="-1936"/>
    <n v="0"/>
    <n v="2449532.9500000011"/>
    <s v="PD Chq"/>
    <s v="Chq PBB 395385, cleared260423 RM2,832.00"/>
    <m/>
  </r>
  <r>
    <x v="301"/>
    <x v="7"/>
    <x v="4"/>
    <x v="411"/>
    <s v="C00000021"/>
    <x v="21"/>
    <x v="100"/>
    <n v="3"/>
    <s v="Cash"/>
    <x v="0"/>
    <d v="2023-01-16T00:00:00"/>
    <x v="7"/>
    <x v="5"/>
    <n v="801"/>
    <n v="-801"/>
    <n v="0"/>
    <n v="2450333.9500000011"/>
    <s v="PD Chq"/>
    <s v="Chq PBB 395385, cleared260423 RM2,832.00"/>
    <m/>
  </r>
  <r>
    <x v="301"/>
    <x v="7"/>
    <x v="4"/>
    <x v="411"/>
    <s v="C00000021"/>
    <x v="21"/>
    <x v="106"/>
    <n v="1"/>
    <s v="Cash"/>
    <x v="0"/>
    <d v="2023-01-16T00:00:00"/>
    <x v="7"/>
    <x v="5"/>
    <n v="95"/>
    <n v="-95"/>
    <n v="0"/>
    <n v="2450428.9500000011"/>
    <s v="PD Chq"/>
    <s v="Chq PBB 395385, cleared260423 RM2,832.00"/>
    <m/>
  </r>
  <r>
    <x v="302"/>
    <x v="7"/>
    <x v="4"/>
    <x v="412"/>
    <s v="C00000022"/>
    <x v="23"/>
    <x v="7"/>
    <n v="1"/>
    <s v="Cash"/>
    <x v="0"/>
    <d v="2023-01-18T00:00:00"/>
    <x v="7"/>
    <x v="5"/>
    <n v="1936"/>
    <n v="-1936"/>
    <n v="0"/>
    <n v="2452364.9500000011"/>
    <s v="Trsf"/>
    <s v="Trsf 28/2/23 RM2,500.00(RM1,720.00),  Trsf 29/3/23 RM1,500.00(RM216.00)"/>
    <m/>
  </r>
  <r>
    <x v="302"/>
    <x v="7"/>
    <x v="4"/>
    <x v="413"/>
    <s v="C00000010"/>
    <x v="9"/>
    <x v="188"/>
    <n v="8"/>
    <n v="120"/>
    <x v="2"/>
    <d v="2023-05-18T00:00:00"/>
    <x v="12"/>
    <x v="5"/>
    <n v="13024"/>
    <n v="-13024"/>
    <n v="0"/>
    <n v="2465388.9500000011"/>
    <s v="Trsf"/>
    <s v="Trsf 2/5/23 RM31,397.00"/>
    <m/>
  </r>
  <r>
    <x v="302"/>
    <x v="7"/>
    <x v="4"/>
    <x v="413"/>
    <s v="C00000010"/>
    <x v="9"/>
    <x v="148"/>
    <n v="10"/>
    <n v="120"/>
    <x v="2"/>
    <d v="2023-05-18T00:00:00"/>
    <x v="12"/>
    <x v="5"/>
    <n v="2070"/>
    <n v="-2070"/>
    <n v="0"/>
    <n v="2467458.9500000011"/>
    <s v="Trsf"/>
    <s v="Trsf 2/5/23 RM31,397.00"/>
    <m/>
  </r>
  <r>
    <x v="302"/>
    <x v="7"/>
    <x v="4"/>
    <x v="413"/>
    <s v="C00000010"/>
    <x v="9"/>
    <x v="132"/>
    <n v="10"/>
    <n v="120"/>
    <x v="2"/>
    <d v="2023-05-18T00:00:00"/>
    <x v="12"/>
    <x v="5"/>
    <n v="575"/>
    <n v="-575"/>
    <n v="0"/>
    <n v="2468033.9500000011"/>
    <s v="Trsf"/>
    <s v="Trsf 2/5/23 RM31,397.00"/>
    <m/>
  </r>
  <r>
    <x v="302"/>
    <x v="7"/>
    <x v="4"/>
    <x v="413"/>
    <s v="C00000010"/>
    <x v="9"/>
    <x v="4"/>
    <n v="8"/>
    <n v="120"/>
    <x v="2"/>
    <d v="2023-05-18T00:00:00"/>
    <x v="12"/>
    <x v="5"/>
    <n v="840"/>
    <n v="-840"/>
    <n v="0"/>
    <n v="2468873.9500000011"/>
    <s v="Trsf"/>
    <s v="Trsf 2/5/23 RM31,397.00"/>
    <m/>
  </r>
  <r>
    <x v="302"/>
    <x v="7"/>
    <x v="4"/>
    <x v="413"/>
    <s v="C00000010"/>
    <x v="9"/>
    <x v="174"/>
    <n v="4"/>
    <n v="120"/>
    <x v="2"/>
    <d v="2023-05-18T00:00:00"/>
    <x v="12"/>
    <x v="5"/>
    <n v="200"/>
    <n v="-200"/>
    <n v="0"/>
    <n v="2469073.9500000011"/>
    <s v="Trsf"/>
    <s v="Trsf 2/5/23 RM31,397.00"/>
    <m/>
  </r>
  <r>
    <x v="302"/>
    <x v="7"/>
    <x v="4"/>
    <x v="413"/>
    <s v="C00000010"/>
    <x v="9"/>
    <x v="131"/>
    <n v="1"/>
    <n v="120"/>
    <x v="2"/>
    <d v="2023-05-18T00:00:00"/>
    <x v="12"/>
    <x v="5"/>
    <n v="420"/>
    <n v="-420"/>
    <n v="0"/>
    <n v="2469493.9500000011"/>
    <s v="Trsf"/>
    <s v="Trsf 29/5/23 RM10,765.00"/>
    <m/>
  </r>
  <r>
    <x v="303"/>
    <x v="7"/>
    <x v="4"/>
    <x v="414"/>
    <s v="C00000020"/>
    <x v="19"/>
    <x v="7"/>
    <n v="5"/>
    <s v="Cash"/>
    <x v="0"/>
    <d v="2023-01-19T00:00:00"/>
    <x v="7"/>
    <x v="5"/>
    <n v="8690"/>
    <n v="-8690"/>
    <n v="0"/>
    <n v="2478183.9500000011"/>
    <s v="Trsf"/>
    <s v="Trsf 27/9/23 RM23,000.00(RM8,162.20), Trsf 1/10/23 RM14,500.00(RM527.80)"/>
    <m/>
  </r>
  <r>
    <x v="303"/>
    <x v="7"/>
    <x v="4"/>
    <x v="414"/>
    <s v="C00000020"/>
    <x v="19"/>
    <x v="148"/>
    <n v="15"/>
    <s v="Cash"/>
    <x v="0"/>
    <d v="2023-01-19T00:00:00"/>
    <x v="7"/>
    <x v="5"/>
    <n v="3510"/>
    <n v="-3510"/>
    <n v="0"/>
    <n v="2481693.9500000011"/>
    <s v="Trsf"/>
    <s v="Trsf 1/10/23 RM14,500.00(RM3,510.00)"/>
    <m/>
  </r>
  <r>
    <x v="303"/>
    <x v="7"/>
    <x v="4"/>
    <x v="414"/>
    <s v="C00000020"/>
    <x v="19"/>
    <x v="185"/>
    <n v="5"/>
    <s v="Cash"/>
    <x v="0"/>
    <d v="2023-01-19T00:00:00"/>
    <x v="7"/>
    <x v="5"/>
    <n v="1365"/>
    <n v="-1365"/>
    <n v="0"/>
    <n v="2483058.9500000011"/>
    <s v="Trsf"/>
    <s v="Trsf 1/10/23 RM14,500.00(RM1,365.00)"/>
    <m/>
  </r>
  <r>
    <x v="303"/>
    <x v="7"/>
    <x v="4"/>
    <x v="414"/>
    <s v="C00000020"/>
    <x v="19"/>
    <x v="159"/>
    <n v="1"/>
    <s v="Cash"/>
    <x v="0"/>
    <d v="2023-01-19T00:00:00"/>
    <x v="7"/>
    <x v="5"/>
    <n v="1000"/>
    <n v="-1000"/>
    <n v="0"/>
    <n v="2484058.9500000011"/>
    <s v="Trsf"/>
    <s v="Trsf 1/10/23 RM14,500.00(RM1,000.00)"/>
    <m/>
  </r>
  <r>
    <x v="304"/>
    <x v="7"/>
    <x v="4"/>
    <x v="415"/>
    <s v="C00000019"/>
    <x v="18"/>
    <x v="120"/>
    <n v="2"/>
    <s v="Cash"/>
    <x v="0"/>
    <d v="2023-01-20T00:00:00"/>
    <x v="7"/>
    <x v="5"/>
    <n v="3476"/>
    <n v="-3476"/>
    <n v="0"/>
    <n v="2487534.9500000011"/>
    <s v="Trsf"/>
    <s v="Trsf 7/4/23 RM2,000.00(RM475.70), Trsf 24/4/23 RM1,000.00, Trsf 26/4/23 RM1,500.00, Trsf 7/5/23 RM2,000.00(RM500.30)"/>
    <m/>
  </r>
  <r>
    <x v="304"/>
    <x v="7"/>
    <x v="4"/>
    <x v="415"/>
    <s v="C00000019"/>
    <x v="18"/>
    <x v="181"/>
    <n v="3"/>
    <s v="Cash"/>
    <x v="0"/>
    <d v="2023-01-20T00:00:00"/>
    <x v="7"/>
    <x v="5"/>
    <n v="1263.5999999999999"/>
    <n v="-1263.5999999999999"/>
    <n v="0"/>
    <n v="2488798.5500000012"/>
    <s v="Trsf"/>
    <s v="Trsf 7/5/23 RM2,000.00(RM1,263.60)"/>
    <m/>
  </r>
  <r>
    <x v="304"/>
    <x v="7"/>
    <x v="4"/>
    <x v="415"/>
    <s v="C00000019"/>
    <x v="18"/>
    <x v="12"/>
    <n v="5"/>
    <s v="Cash"/>
    <x v="0"/>
    <d v="2023-01-20T00:00:00"/>
    <x v="7"/>
    <x v="5"/>
    <n v="312.5"/>
    <n v="-312.5"/>
    <n v="0"/>
    <n v="2489111.0500000012"/>
    <s v="Trsf"/>
    <s v="Trsf 7/5/23 RM2,000.00(RM236.10), Trsf 11/5/23 RM1,000.00(RM76.40)"/>
    <m/>
  </r>
  <r>
    <x v="304"/>
    <x v="7"/>
    <x v="4"/>
    <x v="415"/>
    <s v="C00000019"/>
    <x v="18"/>
    <x v="93"/>
    <n v="2"/>
    <s v="Cash"/>
    <x v="0"/>
    <d v="2023-01-20T00:00:00"/>
    <x v="7"/>
    <x v="5"/>
    <n v="210"/>
    <n v="-210"/>
    <n v="0"/>
    <n v="2489321.0500000012"/>
    <s v="Trsf"/>
    <s v="Trsf 11/5/23 RM1,000.00(RM210.00)"/>
    <m/>
  </r>
  <r>
    <x v="304"/>
    <x v="7"/>
    <x v="4"/>
    <x v="415"/>
    <s v="C00000019"/>
    <x v="18"/>
    <x v="182"/>
    <n v="1"/>
    <s v="Cash"/>
    <x v="0"/>
    <d v="2023-01-20T00:00:00"/>
    <x v="7"/>
    <x v="5"/>
    <n v="440"/>
    <n v="-440"/>
    <n v="0"/>
    <n v="2489761.0500000012"/>
    <s v="Trsf"/>
    <s v="Trsf 11/5/23 RM1,000.00(RM440.00)"/>
    <m/>
  </r>
  <r>
    <x v="304"/>
    <x v="7"/>
    <x v="4"/>
    <x v="415"/>
    <s v="C00000019"/>
    <x v="18"/>
    <x v="52"/>
    <n v="1"/>
    <s v="Cash"/>
    <x v="0"/>
    <d v="2023-01-20T00:00:00"/>
    <x v="7"/>
    <x v="5"/>
    <n v="450"/>
    <n v="-450"/>
    <n v="0"/>
    <n v="2490211.0500000012"/>
    <s v="Trsf"/>
    <s v="Trsf 11/5/23 RM1,000.00(RM273.60), Trsf 18/5/23 RM1,000.00(RM176.40)"/>
    <m/>
  </r>
  <r>
    <x v="305"/>
    <x v="7"/>
    <x v="4"/>
    <x v="416"/>
    <s v="C00000009"/>
    <x v="8"/>
    <x v="7"/>
    <n v="2"/>
    <n v="60"/>
    <x v="3"/>
    <d v="2023-03-28T00:00:00"/>
    <x v="9"/>
    <x v="5"/>
    <n v="3256"/>
    <n v="-3256"/>
    <n v="0"/>
    <n v="2493467.0500000012"/>
    <s v="Chq"/>
    <s v="Chq HL 020281 dd 26/4/23"/>
    <m/>
  </r>
  <r>
    <x v="305"/>
    <x v="7"/>
    <x v="4"/>
    <x v="416"/>
    <s v="C00000009"/>
    <x v="8"/>
    <x v="96"/>
    <n v="1"/>
    <n v="60"/>
    <x v="3"/>
    <d v="2023-03-28T00:00:00"/>
    <x v="9"/>
    <x v="5"/>
    <n v="1628"/>
    <n v="-1628"/>
    <n v="0"/>
    <n v="2495095.0500000012"/>
    <s v="Chq"/>
    <s v="Chq HL 020281 dd 26/4/23"/>
    <m/>
  </r>
  <r>
    <x v="305"/>
    <x v="7"/>
    <x v="4"/>
    <x v="416"/>
    <s v="C00000009"/>
    <x v="8"/>
    <x v="125"/>
    <n v="3"/>
    <n v="60"/>
    <x v="3"/>
    <d v="2023-03-28T00:00:00"/>
    <x v="9"/>
    <x v="5"/>
    <n v="732"/>
    <n v="-732"/>
    <n v="0"/>
    <n v="2495827.0500000012"/>
    <s v="Chq"/>
    <s v="Chq HL 020281 dd 26/4/23"/>
    <m/>
  </r>
  <r>
    <x v="305"/>
    <x v="7"/>
    <x v="4"/>
    <x v="417"/>
    <s v="C00000034"/>
    <x v="35"/>
    <x v="189"/>
    <n v="1"/>
    <s v="Cash"/>
    <x v="0"/>
    <d v="2023-01-27T00:00:00"/>
    <x v="7"/>
    <x v="5"/>
    <n v="1738"/>
    <n v="-1738"/>
    <n v="0"/>
    <n v="2497565.0500000012"/>
    <s v="Trsf"/>
    <s v="Trsf 27/1/23 RM2,917.80"/>
    <m/>
  </r>
  <r>
    <x v="305"/>
    <x v="7"/>
    <x v="4"/>
    <x v="417"/>
    <s v="C00000034"/>
    <x v="35"/>
    <x v="100"/>
    <n v="2"/>
    <s v="Cash"/>
    <x v="0"/>
    <d v="2023-01-27T00:00:00"/>
    <x v="7"/>
    <x v="5"/>
    <n v="438"/>
    <n v="-438"/>
    <n v="0"/>
    <n v="2498003.0500000012"/>
    <s v="Trsf"/>
    <s v="Trsf 27/1/23 RM2,917.80"/>
    <m/>
  </r>
  <r>
    <x v="305"/>
    <x v="7"/>
    <x v="4"/>
    <x v="417"/>
    <s v="C00000034"/>
    <x v="35"/>
    <x v="190"/>
    <n v="1"/>
    <s v="Cash"/>
    <x v="0"/>
    <d v="2023-01-27T00:00:00"/>
    <x v="7"/>
    <x v="5"/>
    <n v="219"/>
    <n v="-219"/>
    <n v="0"/>
    <n v="2498222.0500000012"/>
    <s v="Trsf"/>
    <s v="Trsf 27/1/23 RM2,917.80"/>
    <m/>
  </r>
  <r>
    <x v="305"/>
    <x v="7"/>
    <x v="4"/>
    <x v="417"/>
    <s v="C00000034"/>
    <x v="35"/>
    <x v="191"/>
    <n v="2"/>
    <s v="Cash"/>
    <x v="0"/>
    <d v="2023-01-27T00:00:00"/>
    <x v="7"/>
    <x v="5"/>
    <n v="394.8"/>
    <n v="-394.8"/>
    <n v="0"/>
    <n v="2498616.850000001"/>
    <s v="Trsf"/>
    <s v="Trsf 27/1/23 RM2,917.80"/>
    <m/>
  </r>
  <r>
    <x v="305"/>
    <x v="7"/>
    <x v="4"/>
    <x v="417"/>
    <s v="C00000034"/>
    <x v="35"/>
    <x v="192"/>
    <n v="1"/>
    <s v="Cash"/>
    <x v="0"/>
    <d v="2023-01-27T00:00:00"/>
    <x v="7"/>
    <x v="5"/>
    <n v="64"/>
    <n v="-64"/>
    <n v="0"/>
    <n v="2498680.850000001"/>
    <s v="Trsf"/>
    <s v="Trsf 27/1/23 RM2,917.80"/>
    <m/>
  </r>
  <r>
    <x v="305"/>
    <x v="7"/>
    <x v="4"/>
    <x v="417"/>
    <s v="C00000034"/>
    <x v="35"/>
    <x v="193"/>
    <n v="1"/>
    <s v="Cash"/>
    <x v="0"/>
    <d v="2023-01-27T00:00:00"/>
    <x v="7"/>
    <x v="5"/>
    <n v="64"/>
    <n v="-64"/>
    <n v="0"/>
    <n v="2498744.850000001"/>
    <s v="Trsf"/>
    <s v="Trsf 27/1/23 RM2,917.80"/>
    <m/>
  </r>
  <r>
    <x v="306"/>
    <x v="7"/>
    <x v="4"/>
    <x v="418"/>
    <s v="C00000020"/>
    <x v="19"/>
    <x v="188"/>
    <n v="5"/>
    <s v="Cash"/>
    <x v="0"/>
    <d v="2023-01-30T00:00:00"/>
    <x v="7"/>
    <x v="5"/>
    <n v="8690"/>
    <n v="-8690"/>
    <n v="0"/>
    <n v="2507434.850000001"/>
    <s v="Trsf"/>
    <s v="Trsf 1/10/23 RM14,500.00(RM8,097.20), Trsf 6/10/23 RM6,400.00(RM592.80) "/>
    <m/>
  </r>
  <r>
    <x v="306"/>
    <x v="7"/>
    <x v="4"/>
    <x v="418"/>
    <s v="C00000020"/>
    <x v="19"/>
    <x v="100"/>
    <n v="3"/>
    <s v="Cash"/>
    <x v="0"/>
    <d v="2023-01-30T00:00:00"/>
    <x v="7"/>
    <x v="5"/>
    <n v="702"/>
    <n v="-702"/>
    <n v="0"/>
    <n v="2508136.850000001"/>
    <s v="Trsf"/>
    <s v="Trsf 6/10/23 RM6,400.00(RM702.00) "/>
    <m/>
  </r>
  <r>
    <x v="306"/>
    <x v="7"/>
    <x v="4"/>
    <x v="418"/>
    <s v="C00000020"/>
    <x v="19"/>
    <x v="112"/>
    <n v="4"/>
    <s v="Cash"/>
    <x v="0"/>
    <d v="2023-01-30T00:00:00"/>
    <x v="7"/>
    <x v="5"/>
    <n v="1684.8"/>
    <n v="-1684.8"/>
    <n v="0"/>
    <n v="2509821.6500000008"/>
    <s v="Trsf"/>
    <s v="Trsf 6/10/23 RM6,400.00(RM1,684.80) "/>
    <m/>
  </r>
  <r>
    <x v="306"/>
    <x v="7"/>
    <x v="4"/>
    <x v="418"/>
    <s v="C00000020"/>
    <x v="19"/>
    <x v="185"/>
    <n v="7"/>
    <s v="Cash"/>
    <x v="0"/>
    <d v="2023-01-30T00:00:00"/>
    <x v="7"/>
    <x v="5"/>
    <n v="1911"/>
    <n v="-1911"/>
    <n v="0"/>
    <n v="2511732.6500000008"/>
    <s v="Trsf"/>
    <s v="Trsf 6/10/23 RM6,400.00(RM1,911.00) "/>
    <m/>
  </r>
  <r>
    <x v="306"/>
    <x v="7"/>
    <x v="4"/>
    <x v="418"/>
    <s v="C00000020"/>
    <x v="19"/>
    <x v="159"/>
    <n v="1"/>
    <s v="Cash"/>
    <x v="0"/>
    <d v="2023-01-30T00:00:00"/>
    <x v="7"/>
    <x v="5"/>
    <n v="1000"/>
    <n v="-1000"/>
    <n v="0"/>
    <n v="2512732.6500000008"/>
    <s v="Trsf"/>
    <s v="Trsf 6/10/23 RM6,400.00(RM1,000.00) "/>
    <m/>
  </r>
  <r>
    <x v="306"/>
    <x v="7"/>
    <x v="4"/>
    <x v="418"/>
    <s v="C00000020"/>
    <x v="19"/>
    <x v="132"/>
    <n v="4"/>
    <s v="Cash"/>
    <x v="0"/>
    <d v="2023-01-30T00:00:00"/>
    <x v="7"/>
    <x v="5"/>
    <n v="250"/>
    <n v="-250"/>
    <n v="0"/>
    <n v="2512982.6500000008"/>
    <s v="Trsf"/>
    <s v="Trsf 6/10/23 RM6,400.00(RM250.00) "/>
    <m/>
  </r>
  <r>
    <x v="306"/>
    <x v="7"/>
    <x v="4"/>
    <x v="418"/>
    <s v="C00000020"/>
    <x v="19"/>
    <x v="106"/>
    <n v="4"/>
    <s v="Cash"/>
    <x v="0"/>
    <d v="2023-01-30T00:00:00"/>
    <x v="7"/>
    <x v="5"/>
    <n v="380"/>
    <n v="-380"/>
    <n v="0"/>
    <n v="2513362.6500000008"/>
    <s v="Trsf"/>
    <s v="Trsf 6/10/23 RM6,400.00(RM259.40), Trsf 6/10/23 RM610.00(RM120.60)"/>
    <m/>
  </r>
  <r>
    <x v="306"/>
    <x v="7"/>
    <x v="4"/>
    <x v="419"/>
    <s v="C00000022"/>
    <x v="23"/>
    <x v="194"/>
    <n v="2"/>
    <s v="Cash"/>
    <x v="0"/>
    <d v="2023-01-30T00:00:00"/>
    <x v="7"/>
    <x v="5"/>
    <n v="570"/>
    <n v="-570"/>
    <n v="0"/>
    <n v="2513932.6500000008"/>
    <s v="Trsf"/>
    <s v="Trsf 29/3/23 RM1,500.00"/>
    <m/>
  </r>
  <r>
    <x v="307"/>
    <x v="8"/>
    <x v="4"/>
    <x v="420"/>
    <s v="C00000034"/>
    <x v="35"/>
    <x v="195"/>
    <n v="2"/>
    <s v="Cash"/>
    <x v="0"/>
    <d v="2023-02-01T00:00:00"/>
    <x v="8"/>
    <x v="5"/>
    <n v="3555"/>
    <n v="-3555"/>
    <n v="0"/>
    <n v="2517487.6500000008"/>
    <s v="Trsf"/>
    <s v="Trsf 1/2/23 RM3,555.00"/>
    <m/>
  </r>
  <r>
    <x v="308"/>
    <x v="8"/>
    <x v="4"/>
    <x v="421"/>
    <s v="C00000021"/>
    <x v="21"/>
    <x v="118"/>
    <n v="1"/>
    <s v="Cash"/>
    <x v="0"/>
    <d v="2023-02-02T00:00:00"/>
    <x v="8"/>
    <x v="5"/>
    <n v="1870"/>
    <n v="-1870"/>
    <n v="0"/>
    <n v="2519357.6500000008"/>
    <s v="PD Chq"/>
    <s v="Chq PBB 395386, cleared180523 RM2,475.00"/>
    <m/>
  </r>
  <r>
    <x v="308"/>
    <x v="8"/>
    <x v="4"/>
    <x v="421"/>
    <s v="C00000021"/>
    <x v="21"/>
    <x v="100"/>
    <n v="2"/>
    <s v="Cash"/>
    <x v="0"/>
    <d v="2023-02-02T00:00:00"/>
    <x v="8"/>
    <x v="5"/>
    <n v="510"/>
    <n v="-510"/>
    <n v="0"/>
    <n v="2519867.6500000008"/>
    <s v="PD Chq"/>
    <s v="Chq PBB 395386, cleared180523 RM2,475.00"/>
    <m/>
  </r>
  <r>
    <x v="308"/>
    <x v="8"/>
    <x v="4"/>
    <x v="421"/>
    <s v="C00000021"/>
    <x v="21"/>
    <x v="106"/>
    <n v="1"/>
    <s v="Cash"/>
    <x v="0"/>
    <d v="2023-02-02T00:00:00"/>
    <x v="8"/>
    <x v="5"/>
    <n v="95"/>
    <n v="-95"/>
    <n v="0"/>
    <n v="2519962.6500000008"/>
    <s v="PD Chq"/>
    <s v="Chq PBB 395386, cleared180523 RM2,475.00"/>
    <m/>
  </r>
  <r>
    <x v="309"/>
    <x v="8"/>
    <x v="4"/>
    <x v="422"/>
    <s v="C00000020"/>
    <x v="19"/>
    <x v="118"/>
    <n v="3"/>
    <s v="Cash"/>
    <x v="0"/>
    <d v="2023-02-03T00:00:00"/>
    <x v="8"/>
    <x v="5"/>
    <n v="5214"/>
    <n v="-5214"/>
    <n v="0"/>
    <n v="2525176.6500000008"/>
    <s v="Trsf"/>
    <s v="Trsf 6/10/23 RM610.00(RM489.40), Trsf 13/10/23 RM1,025.00(RM1,025.00), Trsf 17/10/23 RM15,000.00(RM3,699.60)"/>
    <m/>
  </r>
  <r>
    <x v="309"/>
    <x v="8"/>
    <x v="4"/>
    <x v="422"/>
    <s v="C00000020"/>
    <x v="19"/>
    <x v="148"/>
    <n v="3"/>
    <s v="Cash"/>
    <x v="0"/>
    <d v="2023-02-03T00:00:00"/>
    <x v="8"/>
    <x v="5"/>
    <n v="684"/>
    <n v="-684"/>
    <n v="0"/>
    <n v="2525860.6500000008"/>
    <s v="Trsf"/>
    <s v="Trsf 17/10/23 RM15,000.00(RM684.00)"/>
    <m/>
  </r>
  <r>
    <x v="309"/>
    <x v="8"/>
    <x v="4"/>
    <x v="422"/>
    <s v="C00000020"/>
    <x v="19"/>
    <x v="185"/>
    <n v="3"/>
    <s v="Cash"/>
    <x v="0"/>
    <d v="2023-02-03T00:00:00"/>
    <x v="8"/>
    <x v="5"/>
    <n v="793.80000000000007"/>
    <n v="-793.80000000000007"/>
    <n v="0"/>
    <n v="2526654.4500000007"/>
    <s v="Trsf"/>
    <s v="Trsf 17/10/23 RM15,000.00(RM793.80)"/>
    <m/>
  </r>
  <r>
    <x v="309"/>
    <x v="8"/>
    <x v="4"/>
    <x v="422"/>
    <s v="C00000020"/>
    <x v="19"/>
    <x v="106"/>
    <n v="3"/>
    <s v="Cash"/>
    <x v="0"/>
    <d v="2023-02-03T00:00:00"/>
    <x v="8"/>
    <x v="5"/>
    <n v="285"/>
    <n v="-285"/>
    <n v="0"/>
    <n v="2526939.4500000007"/>
    <s v="Trsf"/>
    <s v="Trsf 17/10/23 RM15,000.00(RM285.00)"/>
    <m/>
  </r>
  <r>
    <x v="309"/>
    <x v="8"/>
    <x v="4"/>
    <x v="422"/>
    <s v="C00000020"/>
    <x v="19"/>
    <x v="93"/>
    <n v="1"/>
    <s v="Cash"/>
    <x v="0"/>
    <d v="2023-02-03T00:00:00"/>
    <x v="8"/>
    <x v="5"/>
    <n v="105"/>
    <n v="-105"/>
    <n v="0"/>
    <n v="2527044.4500000007"/>
    <s v="Trsf"/>
    <s v="Trsf 17/10/23 RM15,000.00(RM105.00)"/>
    <m/>
  </r>
  <r>
    <x v="310"/>
    <x v="8"/>
    <x v="4"/>
    <x v="423"/>
    <s v="C00000022"/>
    <x v="23"/>
    <x v="7"/>
    <n v="1"/>
    <s v="Cash"/>
    <x v="0"/>
    <d v="2023-02-08T00:00:00"/>
    <x v="8"/>
    <x v="5"/>
    <n v="1936"/>
    <n v="-1936"/>
    <n v="0"/>
    <n v="2528980.4500000007"/>
    <s v="Trsf"/>
    <s v="Trsf 29/3/23 RM1,500.00(RM714.00), Trsf 14/4/23 RM2,000.00(RM1,222.00)"/>
    <m/>
  </r>
  <r>
    <x v="310"/>
    <x v="8"/>
    <x v="4"/>
    <x v="423"/>
    <s v="C00000022"/>
    <x v="23"/>
    <x v="194"/>
    <n v="2"/>
    <s v="Cash"/>
    <x v="0"/>
    <d v="2023-02-08T00:00:00"/>
    <x v="8"/>
    <x v="5"/>
    <n v="570"/>
    <n v="-570"/>
    <n v="0"/>
    <n v="2529550.4500000007"/>
    <s v="Trsf"/>
    <s v="Trsf 14/4/23 RM2,000.00(RM570.00)"/>
    <m/>
  </r>
  <r>
    <x v="310"/>
    <x v="8"/>
    <x v="4"/>
    <x v="423"/>
    <s v="C00000022"/>
    <x v="23"/>
    <x v="52"/>
    <n v="1"/>
    <s v="Cash"/>
    <x v="0"/>
    <d v="2023-02-08T00:00:00"/>
    <x v="8"/>
    <x v="5"/>
    <n v="450"/>
    <n v="-450"/>
    <n v="0"/>
    <n v="2530000.4500000007"/>
    <s v="Trsf"/>
    <s v="Trsf 14/4/23 RM2,000.00(RM208), Trsf 16/6/23 RM1,500.00(RM242.00)"/>
    <m/>
  </r>
  <r>
    <x v="310"/>
    <x v="8"/>
    <x v="4"/>
    <x v="424"/>
    <s v="C00000034"/>
    <x v="35"/>
    <x v="100"/>
    <n v="8"/>
    <s v="Cash"/>
    <x v="0"/>
    <d v="2023-02-08T00:00:00"/>
    <x v="8"/>
    <x v="5"/>
    <n v="1752"/>
    <n v="-1752"/>
    <n v="0"/>
    <n v="2531752.4500000007"/>
    <s v="Trsf"/>
    <s v="Trsf 8/2/23 RM6,947.00"/>
    <m/>
  </r>
  <r>
    <x v="310"/>
    <x v="8"/>
    <x v="4"/>
    <x v="424"/>
    <s v="C00000034"/>
    <x v="35"/>
    <x v="190"/>
    <n v="4"/>
    <s v="Cash"/>
    <x v="0"/>
    <d v="2023-02-08T00:00:00"/>
    <x v="8"/>
    <x v="5"/>
    <n v="876"/>
    <n v="-876"/>
    <n v="0"/>
    <n v="2532628.4500000007"/>
    <s v="Trsf"/>
    <s v="Trsf 8/2/23 RM6,947.00"/>
    <m/>
  </r>
  <r>
    <x v="310"/>
    <x v="8"/>
    <x v="4"/>
    <x v="424"/>
    <s v="C00000034"/>
    <x v="35"/>
    <x v="196"/>
    <n v="5"/>
    <s v="Cash"/>
    <x v="0"/>
    <d v="2023-02-08T00:00:00"/>
    <x v="8"/>
    <x v="5"/>
    <n v="987"/>
    <n v="-987"/>
    <n v="0"/>
    <n v="2533615.4500000007"/>
    <s v="Trsf"/>
    <s v="Trsf 8/2/23 RM6,947.00"/>
    <m/>
  </r>
  <r>
    <x v="310"/>
    <x v="8"/>
    <x v="4"/>
    <x v="424"/>
    <s v="C00000034"/>
    <x v="35"/>
    <x v="106"/>
    <n v="4"/>
    <s v="Cash"/>
    <x v="0"/>
    <d v="2023-02-08T00:00:00"/>
    <x v="8"/>
    <x v="5"/>
    <n v="350"/>
    <n v="-350"/>
    <n v="0"/>
    <n v="2533965.4500000007"/>
    <s v="Trsf"/>
    <s v="Trsf 8/2/23 RM6,947.00"/>
    <m/>
  </r>
  <r>
    <x v="310"/>
    <x v="8"/>
    <x v="4"/>
    <x v="424"/>
    <s v="C00000034"/>
    <x v="35"/>
    <x v="197"/>
    <n v="18"/>
    <s v="Cash"/>
    <x v="0"/>
    <d v="2023-02-08T00:00:00"/>
    <x v="8"/>
    <x v="5"/>
    <n v="2268"/>
    <n v="-2268"/>
    <n v="0"/>
    <n v="2536233.4500000007"/>
    <s v="Trsf"/>
    <s v="Trsf 8/2/23 RM6,947.00"/>
    <m/>
  </r>
  <r>
    <x v="310"/>
    <x v="8"/>
    <x v="4"/>
    <x v="424"/>
    <s v="C00000034"/>
    <x v="35"/>
    <x v="198"/>
    <n v="6"/>
    <s v="Cash"/>
    <x v="0"/>
    <d v="2023-02-08T00:00:00"/>
    <x v="8"/>
    <x v="5"/>
    <n v="714"/>
    <n v="-714"/>
    <n v="0"/>
    <n v="2536947.4500000007"/>
    <s v="Trsf"/>
    <s v="Trsf 8/2/23 RM6,947.00"/>
    <m/>
  </r>
  <r>
    <x v="311"/>
    <x v="8"/>
    <x v="4"/>
    <x v="425"/>
    <s v="C00000020"/>
    <x v="19"/>
    <x v="118"/>
    <n v="4"/>
    <s v="Cash"/>
    <x v="0"/>
    <d v="2023-02-09T00:00:00"/>
    <x v="8"/>
    <x v="5"/>
    <n v="6952"/>
    <n v="-6952"/>
    <n v="0"/>
    <n v="2543899.4500000007"/>
    <s v="Trsf"/>
    <s v="Trsf 17/10/23 RM15,000.00(RM6,952.00)"/>
    <m/>
  </r>
  <r>
    <x v="311"/>
    <x v="8"/>
    <x v="4"/>
    <x v="425"/>
    <s v="C00000020"/>
    <x v="19"/>
    <x v="100"/>
    <n v="15"/>
    <s v="Cash"/>
    <x v="0"/>
    <d v="2023-02-09T00:00:00"/>
    <x v="8"/>
    <x v="5"/>
    <n v="3420"/>
    <n v="-3420"/>
    <n v="0"/>
    <n v="2547319.4500000007"/>
    <s v="Trsf"/>
    <s v="Trsf 17/10/23 RM15,000.00(RM2,480.60), Trsf 20/10/23 RM3,000.00(RM939.40)"/>
    <m/>
  </r>
  <r>
    <x v="311"/>
    <x v="8"/>
    <x v="4"/>
    <x v="425"/>
    <s v="C00000020"/>
    <x v="19"/>
    <x v="185"/>
    <n v="8"/>
    <s v="Cash"/>
    <x v="0"/>
    <d v="2023-02-09T00:00:00"/>
    <x v="8"/>
    <x v="5"/>
    <n v="2116.8000000000002"/>
    <n v="-2116.7999999999997"/>
    <n v="4.5474735088646412E-13"/>
    <n v="2549436.2500000005"/>
    <s v="Trsf"/>
    <s v="Trsf 20/10/23 RM3,000.00(RM2,060.60), Trsf 25/10/23 RM8,300.00(56.20)"/>
    <m/>
  </r>
  <r>
    <x v="311"/>
    <x v="8"/>
    <x v="4"/>
    <x v="425"/>
    <s v="C00000020"/>
    <x v="19"/>
    <x v="106"/>
    <n v="4"/>
    <s v="Cash"/>
    <x v="0"/>
    <d v="2023-02-09T00:00:00"/>
    <x v="8"/>
    <x v="5"/>
    <n v="380"/>
    <n v="-380"/>
    <n v="0"/>
    <n v="2549816.2500000005"/>
    <s v="Trsf"/>
    <s v="Trsf 25/10/23 RM8,300.00(RM380.00)"/>
    <m/>
  </r>
  <r>
    <x v="311"/>
    <x v="8"/>
    <x v="4"/>
    <x v="425"/>
    <s v="C00000020"/>
    <x v="19"/>
    <x v="159"/>
    <n v="1"/>
    <s v="Cash"/>
    <x v="0"/>
    <d v="2023-02-09T00:00:00"/>
    <x v="8"/>
    <x v="5"/>
    <n v="1000"/>
    <n v="-1000"/>
    <n v="0"/>
    <n v="2550816.2500000005"/>
    <s v="Trsf"/>
    <s v="Trsf 25/10/23 RM8,300.00(RM1,000.00)"/>
    <m/>
  </r>
  <r>
    <x v="311"/>
    <x v="8"/>
    <x v="4"/>
    <x v="426"/>
    <s v="C00000020"/>
    <x v="19"/>
    <x v="132"/>
    <n v="4"/>
    <s v="Cash"/>
    <x v="0"/>
    <d v="2023-02-09T00:00:00"/>
    <x v="8"/>
    <x v="5"/>
    <n v="250"/>
    <n v="-250"/>
    <n v="0"/>
    <n v="2551066.2500000005"/>
    <s v="Trsf"/>
    <s v="Trsf 25/10/23 RM8,300.00(RM250.00)"/>
    <m/>
  </r>
  <r>
    <x v="311"/>
    <x v="8"/>
    <x v="4"/>
    <x v="427"/>
    <s v="C00000022"/>
    <x v="23"/>
    <x v="93"/>
    <n v="1"/>
    <s v="Cash"/>
    <x v="0"/>
    <d v="2023-02-09T00:00:00"/>
    <x v="8"/>
    <x v="5"/>
    <n v="110"/>
    <n v="-110"/>
    <n v="0"/>
    <n v="2551176.2500000005"/>
    <s v="Trsf"/>
    <s v="Trsf 16/6/23 RM1,500.00(RM110.00)"/>
    <m/>
  </r>
  <r>
    <x v="312"/>
    <x v="8"/>
    <x v="4"/>
    <x v="428"/>
    <s v="C00000021"/>
    <x v="21"/>
    <x v="118"/>
    <n v="1"/>
    <s v="Cash"/>
    <x v="0"/>
    <d v="2023-02-10T00:00:00"/>
    <x v="8"/>
    <x v="5"/>
    <n v="1870"/>
    <n v="-1870"/>
    <n v="0"/>
    <n v="2553046.2500000005"/>
    <s v="PD Chq"/>
    <s v="Chq PBB 395389, cleared110723 RM2,730.00"/>
    <m/>
  </r>
  <r>
    <x v="312"/>
    <x v="8"/>
    <x v="4"/>
    <x v="428"/>
    <s v="C00000021"/>
    <x v="21"/>
    <x v="100"/>
    <n v="3"/>
    <s v="Cash"/>
    <x v="0"/>
    <d v="2023-02-10T00:00:00"/>
    <x v="8"/>
    <x v="5"/>
    <n v="765"/>
    <n v="-765"/>
    <n v="0"/>
    <n v="2553811.2500000005"/>
    <s v="PD Chq"/>
    <s v="Chq PBB 395389, cleared110723 RM2,730.00"/>
    <m/>
  </r>
  <r>
    <x v="312"/>
    <x v="8"/>
    <x v="4"/>
    <x v="428"/>
    <s v="C00000021"/>
    <x v="21"/>
    <x v="106"/>
    <n v="1"/>
    <s v="Cash"/>
    <x v="0"/>
    <d v="2023-02-10T00:00:00"/>
    <x v="8"/>
    <x v="5"/>
    <n v="95"/>
    <n v="-95"/>
    <n v="0"/>
    <n v="2553906.2500000005"/>
    <s v="PD Chq"/>
    <s v="Chq PBB 395389, cleared110723 RM2,730.00"/>
    <m/>
  </r>
  <r>
    <x v="312"/>
    <x v="8"/>
    <x v="4"/>
    <x v="429"/>
    <s v="C00000010"/>
    <x v="9"/>
    <x v="188"/>
    <n v="5"/>
    <n v="120"/>
    <x v="2"/>
    <d v="2023-06-10T00:00:00"/>
    <x v="1"/>
    <x v="5"/>
    <n v="8140"/>
    <n v="-8140"/>
    <n v="0"/>
    <n v="2562046.2500000005"/>
    <s v="Trsf"/>
    <s v="Trsf 29/5/23 RM10,765.00"/>
    <m/>
  </r>
  <r>
    <x v="312"/>
    <x v="8"/>
    <x v="4"/>
    <x v="429"/>
    <s v="C00000010"/>
    <x v="9"/>
    <x v="100"/>
    <n v="5"/>
    <n v="120"/>
    <x v="2"/>
    <d v="2023-06-10T00:00:00"/>
    <x v="1"/>
    <x v="5"/>
    <n v="1035"/>
    <n v="-1035"/>
    <n v="0"/>
    <n v="2563081.2500000005"/>
    <s v="Trsf"/>
    <s v="Trsf 29/5/23 RM10,765.00"/>
    <m/>
  </r>
  <r>
    <x v="312"/>
    <x v="8"/>
    <x v="4"/>
    <x v="429"/>
    <s v="C00000010"/>
    <x v="9"/>
    <x v="132"/>
    <n v="10"/>
    <n v="120"/>
    <x v="2"/>
    <d v="2023-06-10T00:00:00"/>
    <x v="1"/>
    <x v="5"/>
    <n v="575"/>
    <n v="-575"/>
    <n v="0"/>
    <n v="2563656.2500000005"/>
    <s v="Trsf"/>
    <s v="Trsf 29/5/23 RM10,765.00"/>
    <m/>
  </r>
  <r>
    <x v="312"/>
    <x v="8"/>
    <x v="4"/>
    <x v="429"/>
    <s v="C00000010"/>
    <x v="9"/>
    <x v="4"/>
    <n v="4"/>
    <n v="120"/>
    <x v="2"/>
    <d v="2023-06-10T00:00:00"/>
    <x v="1"/>
    <x v="5"/>
    <n v="420"/>
    <n v="-420"/>
    <n v="0"/>
    <n v="2564076.2500000005"/>
    <s v="Trsf"/>
    <s v="Trsf 29/5/23 RM10,765.00"/>
    <m/>
  </r>
  <r>
    <x v="312"/>
    <x v="8"/>
    <x v="4"/>
    <x v="429"/>
    <s v="C00000010"/>
    <x v="9"/>
    <x v="199"/>
    <n v="2"/>
    <n v="120"/>
    <x v="2"/>
    <d v="2023-06-10T00:00:00"/>
    <x v="1"/>
    <x v="5"/>
    <n v="595"/>
    <n v="-595"/>
    <n v="0"/>
    <n v="2564671.2500000005"/>
    <s v="Trsf"/>
    <s v="Trsf 29/5/23 RM10,765.00"/>
    <m/>
  </r>
  <r>
    <x v="313"/>
    <x v="8"/>
    <x v="4"/>
    <x v="430"/>
    <s v="C00000020"/>
    <x v="19"/>
    <x v="118"/>
    <n v="5"/>
    <s v="Cash"/>
    <x v="0"/>
    <d v="2023-02-11T00:00:00"/>
    <x v="8"/>
    <x v="5"/>
    <n v="8690"/>
    <n v="-8690"/>
    <n v="0"/>
    <n v="2573361.2500000005"/>
    <s v="Trsf"/>
    <s v="Trsf 25/10/23 RM8,300.00(RM6,613.80), Trsf 27/10/23 RM1,100.00(RM1,100.00), Trsf 31/10/23 RM9,000.00(RM976.20)"/>
    <m/>
  </r>
  <r>
    <x v="313"/>
    <x v="8"/>
    <x v="4"/>
    <x v="430"/>
    <s v="C00000020"/>
    <x v="19"/>
    <x v="100"/>
    <n v="15"/>
    <s v="Cash"/>
    <x v="0"/>
    <d v="2023-02-11T00:00:00"/>
    <x v="8"/>
    <x v="5"/>
    <n v="3420"/>
    <n v="-3420"/>
    <n v="0"/>
    <n v="2576781.2500000005"/>
    <s v="Trsf"/>
    <s v="Trsf 31/10/23 RM9,000.00(RM3,420.00)"/>
    <m/>
  </r>
  <r>
    <x v="313"/>
    <x v="8"/>
    <x v="4"/>
    <x v="430"/>
    <s v="C00000020"/>
    <x v="19"/>
    <x v="185"/>
    <n v="8"/>
    <s v="Cash"/>
    <x v="0"/>
    <d v="2023-02-11T00:00:00"/>
    <x v="8"/>
    <x v="5"/>
    <n v="2116.8000000000002"/>
    <n v="-2116.8000000000002"/>
    <n v="0"/>
    <n v="2578898.0500000003"/>
    <s v="Trsf"/>
    <s v="Trsf 31/10/23 RM9,000.00(RM2,116.80)"/>
    <m/>
  </r>
  <r>
    <x v="313"/>
    <x v="8"/>
    <x v="4"/>
    <x v="430"/>
    <s v="C00000020"/>
    <x v="19"/>
    <x v="159"/>
    <n v="1"/>
    <s v="Cash"/>
    <x v="0"/>
    <d v="2023-02-11T00:00:00"/>
    <x v="8"/>
    <x v="5"/>
    <n v="1000"/>
    <n v="-1000"/>
    <n v="0"/>
    <n v="2579898.0500000003"/>
    <s v="Trsf"/>
    <s v="Trsf 31/10/23 RM9,000.00(RM1,000.00)"/>
    <m/>
  </r>
  <r>
    <x v="313"/>
    <x v="8"/>
    <x v="4"/>
    <x v="431"/>
    <s v="C00000020"/>
    <x v="19"/>
    <x v="132"/>
    <n v="5"/>
    <s v="Cash"/>
    <x v="0"/>
    <d v="2023-02-11T00:00:00"/>
    <x v="8"/>
    <x v="5"/>
    <n v="312.5"/>
    <n v="-312.5"/>
    <n v="0"/>
    <n v="2580210.5500000003"/>
    <s v="Trsf"/>
    <s v="Trsf 31/10/23 RM9,000.00(312.50)"/>
    <m/>
  </r>
  <r>
    <x v="313"/>
    <x v="8"/>
    <x v="4"/>
    <x v="432"/>
    <s v="C00000019"/>
    <x v="18"/>
    <x v="200"/>
    <n v="1"/>
    <s v="Cash"/>
    <x v="0"/>
    <d v="2023-02-11T00:00:00"/>
    <x v="8"/>
    <x v="5"/>
    <n v="450"/>
    <n v="-450"/>
    <n v="0"/>
    <n v="2580660.5500000003"/>
    <s v="Trsf"/>
    <s v="Trsf 18/5/23 RM1,000.00(RM450.00)"/>
    <m/>
  </r>
  <r>
    <x v="314"/>
    <x v="8"/>
    <x v="4"/>
    <x v="433"/>
    <s v="C00000035"/>
    <x v="36"/>
    <x v="201"/>
    <n v="1"/>
    <s v="Cash"/>
    <x v="0"/>
    <d v="2023-02-15T00:00:00"/>
    <x v="8"/>
    <x v="5"/>
    <n v="260"/>
    <n v="-260"/>
    <n v="0"/>
    <n v="2580920.5500000003"/>
    <s v="Trsf"/>
    <s v="Trsf 15/2/23 RM861.00"/>
    <m/>
  </r>
  <r>
    <x v="314"/>
    <x v="8"/>
    <x v="4"/>
    <x v="433"/>
    <s v="C00000035"/>
    <x v="36"/>
    <x v="100"/>
    <n v="1"/>
    <s v="Cash"/>
    <x v="0"/>
    <d v="2023-02-15T00:00:00"/>
    <x v="8"/>
    <x v="5"/>
    <n v="228"/>
    <n v="-228"/>
    <n v="0"/>
    <n v="2581148.5500000003"/>
    <s v="Trsf"/>
    <s v="Trsf 15/2/23 RM861.00"/>
    <m/>
  </r>
  <r>
    <x v="314"/>
    <x v="8"/>
    <x v="4"/>
    <x v="433"/>
    <s v="C00000035"/>
    <x v="36"/>
    <x v="106"/>
    <n v="1"/>
    <s v="Cash"/>
    <x v="0"/>
    <d v="2023-02-15T00:00:00"/>
    <x v="8"/>
    <x v="5"/>
    <n v="105"/>
    <n v="-105"/>
    <n v="0"/>
    <n v="2581253.5500000003"/>
    <s v="Trsf"/>
    <s v="Trsf 15/2/23 RM861.00"/>
    <m/>
  </r>
  <r>
    <x v="314"/>
    <x v="8"/>
    <x v="4"/>
    <x v="433"/>
    <s v="C00000035"/>
    <x v="36"/>
    <x v="138"/>
    <n v="1"/>
    <s v="Cash"/>
    <x v="0"/>
    <d v="2023-02-15T00:00:00"/>
    <x v="8"/>
    <x v="5"/>
    <n v="170"/>
    <n v="-170"/>
    <n v="0"/>
    <n v="2581423.5500000003"/>
    <s v="Trsf"/>
    <s v="Trsf 15/2/23 RM861.00"/>
    <m/>
  </r>
  <r>
    <x v="314"/>
    <x v="8"/>
    <x v="4"/>
    <x v="433"/>
    <s v="C00000035"/>
    <x v="36"/>
    <x v="153"/>
    <n v="1"/>
    <s v="Cash"/>
    <x v="0"/>
    <d v="2023-02-15T00:00:00"/>
    <x v="8"/>
    <x v="5"/>
    <n v="50"/>
    <n v="-50"/>
    <n v="0"/>
    <n v="2581473.5500000003"/>
    <s v="Trsf"/>
    <s v="Trsf 15/2/23 RM861.00"/>
    <m/>
  </r>
  <r>
    <x v="314"/>
    <x v="8"/>
    <x v="4"/>
    <x v="433"/>
    <s v="C00000035"/>
    <x v="36"/>
    <x v="202"/>
    <n v="1"/>
    <s v="Cash"/>
    <x v="0"/>
    <d v="2023-02-15T00:00:00"/>
    <x v="8"/>
    <x v="5"/>
    <n v="48"/>
    <n v="-48"/>
    <n v="0"/>
    <n v="2581521.5500000003"/>
    <s v="Trsf"/>
    <s v="Trsf 15/2/23 RM861.00"/>
    <m/>
  </r>
  <r>
    <x v="315"/>
    <x v="8"/>
    <x v="4"/>
    <x v="434"/>
    <s v="C00000020"/>
    <x v="19"/>
    <x v="118"/>
    <n v="3"/>
    <s v="Cash"/>
    <x v="0"/>
    <d v="2023-02-16T00:00:00"/>
    <x v="8"/>
    <x v="5"/>
    <n v="5214"/>
    <n v="-5214"/>
    <n v="0"/>
    <n v="2586735.5500000003"/>
    <s v="Trsf"/>
    <s v="Trsf 31/10/23 RM9,000.00(RM1,174.50), 6/11/23 RM19,500.00(RM4.039.50)"/>
    <m/>
  </r>
  <r>
    <x v="315"/>
    <x v="8"/>
    <x v="4"/>
    <x v="434"/>
    <s v="C00000020"/>
    <x v="19"/>
    <x v="100"/>
    <n v="20"/>
    <s v="Cash"/>
    <x v="0"/>
    <d v="2023-02-16T00:00:00"/>
    <x v="8"/>
    <x v="5"/>
    <n v="4560"/>
    <n v="-4560"/>
    <n v="0"/>
    <n v="2591295.5500000003"/>
    <s v="Trsf"/>
    <s v="Trsf 6/11/23 RM19,500.00(RM4.560.00"/>
    <m/>
  </r>
  <r>
    <x v="315"/>
    <x v="8"/>
    <x v="4"/>
    <x v="434"/>
    <s v="C00000020"/>
    <x v="19"/>
    <x v="185"/>
    <n v="6"/>
    <s v="Cash"/>
    <x v="0"/>
    <d v="2023-02-16T00:00:00"/>
    <x v="8"/>
    <x v="5"/>
    <n v="1587.6000000000001"/>
    <n v="-1587.6000000000001"/>
    <n v="0"/>
    <n v="2592883.1500000004"/>
    <s v="Trsf"/>
    <s v="Trsf 6/11/23 RM19,500.00(RM1,587.60)"/>
    <m/>
  </r>
  <r>
    <x v="315"/>
    <x v="8"/>
    <x v="4"/>
    <x v="434"/>
    <s v="C00000020"/>
    <x v="19"/>
    <x v="128"/>
    <n v="4"/>
    <s v="Cash"/>
    <x v="0"/>
    <d v="2023-02-16T00:00:00"/>
    <x v="8"/>
    <x v="5"/>
    <n v="1008"/>
    <n v="-1008"/>
    <n v="0"/>
    <n v="2593891.1500000004"/>
    <s v="Trsf"/>
    <s v="Trsf 6/11/23 RM19,500.00(RM1,008.00)"/>
    <m/>
  </r>
  <r>
    <x v="315"/>
    <x v="8"/>
    <x v="4"/>
    <x v="434"/>
    <s v="C00000020"/>
    <x v="19"/>
    <x v="159"/>
    <n v="1"/>
    <s v="Cash"/>
    <x v="0"/>
    <d v="2023-02-16T00:00:00"/>
    <x v="8"/>
    <x v="5"/>
    <n v="1000"/>
    <n v="-1000"/>
    <n v="0"/>
    <n v="2594891.1500000004"/>
    <s v="Trsf"/>
    <s v="Trsf 6/11/23 RM19,500.00(RM1,000.00)"/>
    <m/>
  </r>
  <r>
    <x v="315"/>
    <x v="8"/>
    <x v="4"/>
    <x v="435"/>
    <s v="C00000020"/>
    <x v="19"/>
    <x v="132"/>
    <n v="7"/>
    <s v="Cash"/>
    <x v="0"/>
    <d v="2023-02-16T00:00:00"/>
    <x v="8"/>
    <x v="5"/>
    <n v="437.5"/>
    <n v="-437.5"/>
    <n v="0"/>
    <n v="2595328.6500000004"/>
    <s v="Trsf"/>
    <s v="Trsf 6/11/23 RM19,500.00(RM437.50)"/>
    <m/>
  </r>
  <r>
    <x v="315"/>
    <x v="8"/>
    <x v="4"/>
    <x v="436"/>
    <s v="C00000020"/>
    <x v="19"/>
    <x v="118"/>
    <n v="2"/>
    <s v="Cash"/>
    <x v="0"/>
    <d v="2023-02-16T00:00:00"/>
    <x v="8"/>
    <x v="5"/>
    <n v="3476"/>
    <n v="-3476"/>
    <n v="0"/>
    <n v="2598804.6500000004"/>
    <s v="Trsf"/>
    <s v="Trsf 6/11/23 RM19,500.00(RM3,476.00)"/>
    <m/>
  </r>
  <r>
    <x v="315"/>
    <x v="8"/>
    <x v="4"/>
    <x v="436"/>
    <s v="C00000020"/>
    <x v="19"/>
    <x v="203"/>
    <n v="2"/>
    <s v="Cash"/>
    <x v="0"/>
    <d v="2023-02-16T00:00:00"/>
    <x v="8"/>
    <x v="5"/>
    <n v="3828"/>
    <n v="-3828"/>
    <n v="0"/>
    <n v="2602632.6500000004"/>
    <s v="Trsf"/>
    <s v="Trsf 6/11/23 RM19,500.00(RM3,391.40), 15/11/23 RM7,800.00(RM436.60)"/>
    <m/>
  </r>
  <r>
    <x v="315"/>
    <x v="8"/>
    <x v="4"/>
    <x v="437"/>
    <s v="C00000022"/>
    <x v="23"/>
    <x v="204"/>
    <n v="1"/>
    <s v="Cash"/>
    <x v="0"/>
    <d v="2023-02-16T00:00:00"/>
    <x v="8"/>
    <x v="5"/>
    <n v="100"/>
    <n v="-100"/>
    <n v="0"/>
    <n v="2602732.6500000004"/>
    <s v="Trsf"/>
    <s v="Trsf 16/6/23 RM1,500.00(RM100.00)"/>
    <m/>
  </r>
  <r>
    <x v="315"/>
    <x v="8"/>
    <x v="4"/>
    <x v="437"/>
    <s v="C00000022"/>
    <x v="23"/>
    <x v="205"/>
    <n v="1"/>
    <s v="Cash"/>
    <x v="0"/>
    <d v="2023-02-16T00:00:00"/>
    <x v="8"/>
    <x v="5"/>
    <n v="102"/>
    <n v="-102"/>
    <n v="0"/>
    <n v="2602834.6500000004"/>
    <s v="Trsf"/>
    <s v="Trsf 16/6/23 RM1,500.00(RM102.00)"/>
    <m/>
  </r>
  <r>
    <x v="316"/>
    <x v="8"/>
    <x v="4"/>
    <x v="438"/>
    <s v="C00000021"/>
    <x v="21"/>
    <x v="118"/>
    <n v="1"/>
    <s v="Cash"/>
    <x v="0"/>
    <d v="2023-02-18T00:00:00"/>
    <x v="8"/>
    <x v="5"/>
    <n v="1870"/>
    <n v="-1870"/>
    <n v="0"/>
    <n v="2604704.6500000004"/>
    <s v="PD Chq"/>
    <s v="Chq PBB 395388, cleared280623 RM2,475.00"/>
    <m/>
  </r>
  <r>
    <x v="316"/>
    <x v="8"/>
    <x v="4"/>
    <x v="438"/>
    <s v="C00000021"/>
    <x v="21"/>
    <x v="100"/>
    <n v="2"/>
    <s v="Cash"/>
    <x v="0"/>
    <d v="2023-02-18T00:00:00"/>
    <x v="8"/>
    <x v="5"/>
    <n v="510"/>
    <n v="-510"/>
    <n v="0"/>
    <n v="2605214.6500000004"/>
    <s v="PD Chq"/>
    <s v="Chq PBB 395388, cleared280623 RM2,475.00"/>
    <m/>
  </r>
  <r>
    <x v="316"/>
    <x v="8"/>
    <x v="4"/>
    <x v="438"/>
    <s v="C00000021"/>
    <x v="21"/>
    <x v="106"/>
    <n v="1"/>
    <s v="Cash"/>
    <x v="0"/>
    <d v="2023-02-18T00:00:00"/>
    <x v="8"/>
    <x v="5"/>
    <n v="95"/>
    <n v="-95"/>
    <n v="0"/>
    <n v="2605309.6500000004"/>
    <s v="PD Chq"/>
    <s v="Chq PBB 395388, cleared280623 RM2,475.00"/>
    <m/>
  </r>
  <r>
    <x v="317"/>
    <x v="8"/>
    <x v="4"/>
    <x v="439"/>
    <s v="C00000004"/>
    <x v="3"/>
    <x v="112"/>
    <n v="5"/>
    <n v="120"/>
    <x v="2"/>
    <d v="2023-06-21T00:00:00"/>
    <x v="1"/>
    <x v="5"/>
    <n v="1620"/>
    <n v="-1620"/>
    <n v="0"/>
    <n v="2606929.6500000004"/>
    <s v="Chq"/>
    <s v="HLB017358Cleared20/7/23-RM1,620.00"/>
    <m/>
  </r>
  <r>
    <x v="317"/>
    <x v="8"/>
    <x v="4"/>
    <x v="440"/>
    <s v="C00000020"/>
    <x v="19"/>
    <x v="132"/>
    <n v="12"/>
    <s v="Cash"/>
    <x v="0"/>
    <d v="2023-02-21T00:00:00"/>
    <x v="8"/>
    <x v="5"/>
    <n v="750"/>
    <n v="-750"/>
    <n v="0"/>
    <n v="2607679.6500000004"/>
    <s v="Trsf"/>
    <s v="Trsf 15/11/23 RM7,800.00(RM750.00)"/>
    <m/>
  </r>
  <r>
    <x v="317"/>
    <x v="8"/>
    <x v="4"/>
    <x v="441"/>
    <s v="C00000020"/>
    <x v="19"/>
    <x v="118"/>
    <n v="5"/>
    <s v="Cash"/>
    <x v="0"/>
    <d v="2023-02-21T00:00:00"/>
    <x v="8"/>
    <x v="5"/>
    <n v="8690"/>
    <n v="-8690"/>
    <n v="0"/>
    <n v="2616369.6500000004"/>
    <s v="Trsf"/>
    <s v="Trsf 15/11/23 RM7,800.00(RM6,613.40), 18/11/23 RM3,000.00(RM2,076.60)"/>
    <m/>
  </r>
  <r>
    <x v="317"/>
    <x v="8"/>
    <x v="4"/>
    <x v="441"/>
    <s v="C00000020"/>
    <x v="19"/>
    <x v="167"/>
    <n v="10"/>
    <s v="Cash"/>
    <x v="0"/>
    <d v="2023-02-21T00:00:00"/>
    <x v="8"/>
    <x v="5"/>
    <n v="17380"/>
    <n v="-17380"/>
    <n v="0"/>
    <n v="2633749.6500000004"/>
    <s v="Trsf"/>
    <s v="Trsf 18/11/23 RM3,000.00(RM923.40), 21/11/23 RM3,500.00(EM3,500.00), 24/11/23 RM9,500.00(RM9,500.00), 28/11/23 RM8,500.00(RM3,456.60)"/>
    <m/>
  </r>
  <r>
    <x v="317"/>
    <x v="8"/>
    <x v="4"/>
    <x v="441"/>
    <s v="C00000020"/>
    <x v="19"/>
    <x v="100"/>
    <n v="45"/>
    <s v="Cash"/>
    <x v="0"/>
    <d v="2023-02-21T00:00:00"/>
    <x v="8"/>
    <x v="5"/>
    <n v="10260"/>
    <n v="-5043.3999999999996"/>
    <n v="5216.6000000000004"/>
    <n v="2644009.6500000004"/>
    <s v="Trsf"/>
    <s v="Trsf 28/11/23 RM8,500.00(RM5,043.40)"/>
    <m/>
  </r>
  <r>
    <x v="317"/>
    <x v="8"/>
    <x v="4"/>
    <x v="441"/>
    <s v="C00000020"/>
    <x v="19"/>
    <x v="128"/>
    <n v="20"/>
    <s v="Cash"/>
    <x v="0"/>
    <d v="2023-02-21T00:00:00"/>
    <x v="8"/>
    <x v="5"/>
    <n v="5040"/>
    <m/>
    <n v="5040"/>
    <n v="2649049.6500000004"/>
    <s v="Trsf"/>
    <m/>
    <m/>
  </r>
  <r>
    <x v="317"/>
    <x v="8"/>
    <x v="4"/>
    <x v="441"/>
    <s v="C00000020"/>
    <x v="19"/>
    <x v="106"/>
    <n v="4"/>
    <s v="Cash"/>
    <x v="0"/>
    <d v="2023-02-21T00:00:00"/>
    <x v="8"/>
    <x v="5"/>
    <n v="380"/>
    <m/>
    <n v="380"/>
    <n v="2649429.6500000004"/>
    <s v="Trsf"/>
    <m/>
    <m/>
  </r>
  <r>
    <x v="317"/>
    <x v="8"/>
    <x v="4"/>
    <x v="441"/>
    <s v="C00000020"/>
    <x v="19"/>
    <x v="159"/>
    <n v="2"/>
    <s v="Cash"/>
    <x v="0"/>
    <d v="2023-02-21T00:00:00"/>
    <x v="8"/>
    <x v="5"/>
    <n v="2000"/>
    <m/>
    <n v="2000"/>
    <n v="2651429.6500000004"/>
    <s v="Trsf"/>
    <m/>
    <m/>
  </r>
  <r>
    <x v="318"/>
    <x v="8"/>
    <x v="4"/>
    <x v="442"/>
    <s v="C00000027"/>
    <x v="28"/>
    <x v="104"/>
    <n v="1"/>
    <s v="Cash"/>
    <x v="0"/>
    <d v="2023-02-24T00:00:00"/>
    <x v="8"/>
    <x v="5"/>
    <n v="1059.5"/>
    <n v="-1059.5"/>
    <n v="0"/>
    <n v="2652489.1500000004"/>
    <s v="Trsf"/>
    <s v="Bank Islam 164748 Cleared 4/10/23, RM10,000.00(RM1,059.50)"/>
    <m/>
  </r>
  <r>
    <x v="319"/>
    <x v="8"/>
    <x v="4"/>
    <x v="443"/>
    <s v="C00000020"/>
    <x v="19"/>
    <x v="132"/>
    <n v="3"/>
    <s v="Cash"/>
    <x v="0"/>
    <d v="2023-02-25T00:00:00"/>
    <x v="8"/>
    <x v="5"/>
    <n v="187.5"/>
    <m/>
    <n v="187.5"/>
    <n v="2652676.6500000004"/>
    <s v="Trsf"/>
    <m/>
    <m/>
  </r>
  <r>
    <x v="319"/>
    <x v="8"/>
    <x v="4"/>
    <x v="443"/>
    <s v="C00000020"/>
    <x v="19"/>
    <x v="106"/>
    <n v="4"/>
    <s v="Cash"/>
    <x v="0"/>
    <d v="2023-02-25T00:00:00"/>
    <x v="8"/>
    <x v="5"/>
    <n v="380"/>
    <m/>
    <n v="380"/>
    <n v="2653056.6500000004"/>
    <s v="Trsf"/>
    <m/>
    <m/>
  </r>
  <r>
    <x v="319"/>
    <x v="8"/>
    <x v="4"/>
    <x v="443"/>
    <s v="C00000020"/>
    <x v="19"/>
    <x v="159"/>
    <n v="1"/>
    <s v="Cash"/>
    <x v="0"/>
    <d v="2023-02-25T00:00:00"/>
    <x v="8"/>
    <x v="5"/>
    <n v="1000"/>
    <m/>
    <n v="1000"/>
    <n v="2654056.6500000004"/>
    <s v="Trsf"/>
    <m/>
    <m/>
  </r>
  <r>
    <x v="319"/>
    <x v="8"/>
    <x v="4"/>
    <x v="444"/>
    <s v="C00000019"/>
    <x v="18"/>
    <x v="181"/>
    <n v="2"/>
    <s v="Cash"/>
    <x v="0"/>
    <d v="2023-02-25T00:00:00"/>
    <x v="8"/>
    <x v="5"/>
    <n v="842.4"/>
    <n v="-842.40000000000009"/>
    <n v="0"/>
    <n v="2654899.0500000003"/>
    <s v="Trsf"/>
    <s v="Trsf 18/5/23 RM1,000.00(RM373.60), Trsf 1/6/23 RM1,500.00(RM468.80)"/>
    <m/>
  </r>
  <r>
    <x v="320"/>
    <x v="8"/>
    <x v="4"/>
    <x v="445"/>
    <s v="C00000019"/>
    <x v="18"/>
    <x v="132"/>
    <n v="5"/>
    <s v="Cash"/>
    <x v="0"/>
    <d v="2023-02-28T00:00:00"/>
    <x v="8"/>
    <x v="5"/>
    <n v="312.5"/>
    <n v="-312.5"/>
    <n v="0"/>
    <n v="2655211.5500000003"/>
    <s v="Trsf"/>
    <s v="Trsf 1/6/23 RM1,500.00(RM312.50)"/>
    <m/>
  </r>
  <r>
    <x v="321"/>
    <x v="9"/>
    <x v="4"/>
    <x v="446"/>
    <s v="C00000022"/>
    <x v="23"/>
    <x v="7"/>
    <n v="1"/>
    <s v="Cash"/>
    <x v="0"/>
    <d v="2023-03-01T00:00:00"/>
    <x v="9"/>
    <x v="5"/>
    <n v="1936"/>
    <n v="-1936"/>
    <n v="0"/>
    <n v="2657147.5500000003"/>
    <s v="Trsf"/>
    <s v="Trsf 16/6/23 RM1,500.00(RM946.00), Trsf 15/9/23 RM5,000.00(RM990.00)"/>
    <m/>
  </r>
  <r>
    <x v="322"/>
    <x v="9"/>
    <x v="4"/>
    <x v="447"/>
    <s v="C00000001"/>
    <x v="0"/>
    <x v="118"/>
    <n v="1"/>
    <s v="Cash"/>
    <x v="0"/>
    <d v="2023-03-02T00:00:00"/>
    <x v="9"/>
    <x v="5"/>
    <n v="1804"/>
    <n v="-1804"/>
    <n v="0"/>
    <n v="2658951.5500000003"/>
    <s v="Trsf"/>
    <s v="Trsf 2/3/23, RM2,716.00"/>
    <m/>
  </r>
  <r>
    <x v="322"/>
    <x v="9"/>
    <x v="4"/>
    <x v="447"/>
    <s v="C00000001"/>
    <x v="0"/>
    <x v="100"/>
    <n v="4"/>
    <s v="Cash"/>
    <x v="0"/>
    <d v="2023-03-02T00:00:00"/>
    <x v="9"/>
    <x v="5"/>
    <n v="912"/>
    <n v="-912"/>
    <n v="0"/>
    <n v="2659863.5500000003"/>
    <s v="Trsf"/>
    <s v="Trsf 2/3/23, RM2,716.00"/>
    <m/>
  </r>
  <r>
    <x v="322"/>
    <x v="9"/>
    <x v="4"/>
    <x v="448"/>
    <s v="C00000036"/>
    <x v="37"/>
    <x v="125"/>
    <n v="1"/>
    <s v="Cash"/>
    <x v="0"/>
    <d v="2023-03-02T00:00:00"/>
    <x v="9"/>
    <x v="5"/>
    <n v="256"/>
    <n v="-256"/>
    <n v="0"/>
    <n v="2660119.5500000003"/>
    <s v="Trsf"/>
    <s v="Trsf 2/3/23 RM366.00"/>
    <m/>
  </r>
  <r>
    <x v="322"/>
    <x v="9"/>
    <x v="4"/>
    <x v="448"/>
    <s v="C00000036"/>
    <x v="37"/>
    <x v="4"/>
    <n v="1"/>
    <s v="Cash"/>
    <x v="0"/>
    <d v="2023-03-02T00:00:00"/>
    <x v="9"/>
    <x v="5"/>
    <n v="110"/>
    <n v="-110"/>
    <n v="0"/>
    <n v="2660229.5500000003"/>
    <s v="Trsf"/>
    <s v="Trsf 2/3/23 RM366.00"/>
    <m/>
  </r>
  <r>
    <x v="323"/>
    <x v="9"/>
    <x v="4"/>
    <x v="449"/>
    <s v="C00000020"/>
    <x v="19"/>
    <x v="132"/>
    <n v="15"/>
    <s v="Cash"/>
    <x v="0"/>
    <d v="2023-03-03T00:00:00"/>
    <x v="9"/>
    <x v="5"/>
    <n v="937.5"/>
    <m/>
    <n v="937.5"/>
    <n v="2661167.0500000003"/>
    <s v="Trsf"/>
    <m/>
    <m/>
  </r>
  <r>
    <x v="323"/>
    <x v="9"/>
    <x v="4"/>
    <x v="450"/>
    <s v="C00000020"/>
    <x v="19"/>
    <x v="118"/>
    <n v="10"/>
    <s v="Cash"/>
    <x v="0"/>
    <d v="2023-03-03T00:00:00"/>
    <x v="9"/>
    <x v="5"/>
    <n v="17380"/>
    <m/>
    <n v="17380"/>
    <n v="2678547.0500000003"/>
    <s v="Trsf"/>
    <m/>
    <m/>
  </r>
  <r>
    <x v="323"/>
    <x v="9"/>
    <x v="4"/>
    <x v="450"/>
    <s v="C00000020"/>
    <x v="19"/>
    <x v="120"/>
    <n v="5"/>
    <s v="Cash"/>
    <x v="0"/>
    <d v="2023-03-03T00:00:00"/>
    <x v="9"/>
    <x v="5"/>
    <n v="8690"/>
    <m/>
    <n v="8690"/>
    <n v="2687237.0500000003"/>
    <s v="Trsf"/>
    <m/>
    <m/>
  </r>
  <r>
    <x v="323"/>
    <x v="9"/>
    <x v="4"/>
    <x v="450"/>
    <s v="C00000020"/>
    <x v="19"/>
    <x v="100"/>
    <n v="40"/>
    <s v="Cash"/>
    <x v="0"/>
    <d v="2023-03-03T00:00:00"/>
    <x v="9"/>
    <x v="5"/>
    <n v="9120"/>
    <m/>
    <n v="9120"/>
    <n v="2696357.0500000003"/>
    <s v="Trsf"/>
    <m/>
    <m/>
  </r>
  <r>
    <x v="323"/>
    <x v="9"/>
    <x v="4"/>
    <x v="450"/>
    <s v="C00000020"/>
    <x v="19"/>
    <x v="128"/>
    <n v="20"/>
    <s v="Cash"/>
    <x v="0"/>
    <d v="2023-03-03T00:00:00"/>
    <x v="9"/>
    <x v="5"/>
    <n v="5040"/>
    <m/>
    <n v="5040"/>
    <n v="2701397.0500000003"/>
    <s v="Trsf"/>
    <m/>
    <m/>
  </r>
  <r>
    <x v="323"/>
    <x v="9"/>
    <x v="4"/>
    <x v="450"/>
    <s v="C00000020"/>
    <x v="19"/>
    <x v="106"/>
    <n v="4"/>
    <s v="Cash"/>
    <x v="0"/>
    <d v="2023-03-03T00:00:00"/>
    <x v="9"/>
    <x v="5"/>
    <n v="380"/>
    <m/>
    <n v="380"/>
    <n v="2701777.0500000003"/>
    <s v="Trsf"/>
    <m/>
    <m/>
  </r>
  <r>
    <x v="323"/>
    <x v="9"/>
    <x v="4"/>
    <x v="450"/>
    <s v="C00000020"/>
    <x v="19"/>
    <x v="159"/>
    <n v="2"/>
    <s v="Cash"/>
    <x v="0"/>
    <d v="2023-03-03T00:00:00"/>
    <x v="9"/>
    <x v="5"/>
    <n v="2000"/>
    <m/>
    <n v="2000"/>
    <n v="2703777.0500000003"/>
    <s v="Trsf"/>
    <m/>
    <m/>
  </r>
  <r>
    <x v="323"/>
    <x v="9"/>
    <x v="4"/>
    <x v="451"/>
    <s v="C00000037"/>
    <x v="38"/>
    <x v="120"/>
    <n v="2"/>
    <n v="30"/>
    <x v="5"/>
    <d v="2023-04-02T00:00:00"/>
    <x v="11"/>
    <x v="5"/>
    <n v="3608"/>
    <n v="-3608"/>
    <n v="0"/>
    <n v="2707385.0500000003"/>
    <s v="Chq"/>
    <s v="MBB 014620 cleared 060323 RM4,784.40"/>
    <m/>
  </r>
  <r>
    <x v="323"/>
    <x v="9"/>
    <x v="4"/>
    <x v="451"/>
    <s v="C00000037"/>
    <x v="38"/>
    <x v="112"/>
    <n v="2"/>
    <n v="30"/>
    <x v="5"/>
    <d v="2023-04-02T00:00:00"/>
    <x v="11"/>
    <x v="5"/>
    <n v="842.4"/>
    <n v="-842.4"/>
    <n v="0"/>
    <n v="2708227.45"/>
    <s v="Chq"/>
    <s v="MBB 014620 cleared 060323 RM4,784.40"/>
    <m/>
  </r>
  <r>
    <x v="323"/>
    <x v="9"/>
    <x v="4"/>
    <x v="451"/>
    <s v="C00000037"/>
    <x v="38"/>
    <x v="106"/>
    <n v="2"/>
    <n v="30"/>
    <x v="5"/>
    <d v="2023-04-02T00:00:00"/>
    <x v="11"/>
    <x v="5"/>
    <n v="190"/>
    <n v="-190"/>
    <n v="0"/>
    <n v="2708417.45"/>
    <s v="Chq"/>
    <s v="MBB 014620 cleared 060323 RM4,784.40"/>
    <m/>
  </r>
  <r>
    <x v="323"/>
    <x v="9"/>
    <x v="4"/>
    <x v="451"/>
    <s v="C00000037"/>
    <x v="38"/>
    <x v="129"/>
    <n v="3"/>
    <n v="30"/>
    <x v="5"/>
    <d v="2023-04-02T00:00:00"/>
    <x v="11"/>
    <x v="5"/>
    <n v="144"/>
    <n v="-144"/>
    <n v="0"/>
    <n v="2708561.45"/>
    <s v="Chq"/>
    <s v="MBB 014620 cleared 060323 RM4,784.40"/>
    <m/>
  </r>
  <r>
    <x v="324"/>
    <x v="9"/>
    <x v="4"/>
    <x v="452"/>
    <s v="C00000036"/>
    <x v="37"/>
    <x v="206"/>
    <n v="1"/>
    <s v="Cash"/>
    <x v="0"/>
    <d v="2023-03-06T00:00:00"/>
    <x v="9"/>
    <x v="5"/>
    <n v="950"/>
    <n v="-950"/>
    <n v="0"/>
    <n v="2709511.45"/>
    <s v="Trsf"/>
    <s v="Trsf 6/3/23 RM1,425.00"/>
    <m/>
  </r>
  <r>
    <x v="324"/>
    <x v="9"/>
    <x v="4"/>
    <x v="452"/>
    <s v="C00000036"/>
    <x v="37"/>
    <x v="207"/>
    <n v="1"/>
    <s v="Cash"/>
    <x v="0"/>
    <d v="2023-03-06T00:00:00"/>
    <x v="9"/>
    <x v="5"/>
    <n v="475"/>
    <n v="-475"/>
    <n v="0"/>
    <n v="2709986.45"/>
    <s v="Trsf"/>
    <s v="Trsf 6/3/23 RM1,425.00"/>
    <m/>
  </r>
  <r>
    <x v="324"/>
    <x v="9"/>
    <x v="4"/>
    <x v="452"/>
    <s v="C00000036"/>
    <x v="37"/>
    <x v="208"/>
    <n v="2"/>
    <s v="Cash"/>
    <x v="0"/>
    <d v="2023-03-06T00:00:00"/>
    <x v="9"/>
    <x v="5"/>
    <n v="0"/>
    <n v="0"/>
    <n v="0"/>
    <n v="2709986.45"/>
    <s v="Trsf"/>
    <s v="Trsf 6/3/23 RM1,425.00"/>
    <m/>
  </r>
  <r>
    <x v="324"/>
    <x v="9"/>
    <x v="4"/>
    <x v="453"/>
    <s v="C00000021"/>
    <x v="21"/>
    <x v="118"/>
    <n v="1"/>
    <s v="Cash"/>
    <x v="0"/>
    <d v="2023-03-06T00:00:00"/>
    <x v="9"/>
    <x v="5"/>
    <n v="1870"/>
    <n v="-1870"/>
    <n v="0"/>
    <n v="2711856.45"/>
    <s v="PD Chq"/>
    <s v="Chq PBB 395390, cleared270723 RM2,475.00"/>
    <m/>
  </r>
  <r>
    <x v="324"/>
    <x v="9"/>
    <x v="4"/>
    <x v="453"/>
    <s v="C00000021"/>
    <x v="21"/>
    <x v="100"/>
    <n v="2"/>
    <s v="Cash"/>
    <x v="0"/>
    <d v="2023-03-06T00:00:00"/>
    <x v="9"/>
    <x v="5"/>
    <n v="510"/>
    <n v="-510"/>
    <n v="0"/>
    <n v="2712366.45"/>
    <s v="PD Chq"/>
    <s v="Chq PBB 395390, cleared270723 RM2,475.00"/>
    <m/>
  </r>
  <r>
    <x v="324"/>
    <x v="9"/>
    <x v="4"/>
    <x v="453"/>
    <s v="C00000021"/>
    <x v="21"/>
    <x v="106"/>
    <n v="1"/>
    <s v="Cash"/>
    <x v="0"/>
    <d v="2023-03-06T00:00:00"/>
    <x v="9"/>
    <x v="5"/>
    <n v="95"/>
    <n v="-95"/>
    <n v="0"/>
    <n v="2712461.45"/>
    <s v="PD Chq"/>
    <s v="Chq PBB 395390, cleared270723 RM2,475.00"/>
    <m/>
  </r>
  <r>
    <x v="325"/>
    <x v="9"/>
    <x v="4"/>
    <x v="454"/>
    <s v="C00000019"/>
    <x v="18"/>
    <x v="120"/>
    <n v="2"/>
    <s v="Cash"/>
    <x v="0"/>
    <d v="2023-03-07T00:00:00"/>
    <x v="9"/>
    <x v="5"/>
    <n v="3564"/>
    <n v="-3564"/>
    <n v="0"/>
    <n v="2716025.45"/>
    <s v="Trsf"/>
    <s v="Trsf 1/6/23 RM1,500.00(RM718.70), Trsf 13/6/23 RM1,000.00, Trsf 23/6/23 RM2,000.00(RM1,845.30)"/>
    <m/>
  </r>
  <r>
    <x v="325"/>
    <x v="9"/>
    <x v="4"/>
    <x v="454"/>
    <s v="C00000019"/>
    <x v="18"/>
    <x v="112"/>
    <n v="2"/>
    <s v="Cash"/>
    <x v="0"/>
    <d v="2023-03-07T00:00:00"/>
    <x v="9"/>
    <x v="5"/>
    <n v="842.4"/>
    <n v="-842.40000000000009"/>
    <n v="-1.1368683772161603E-13"/>
    <n v="2716867.85"/>
    <s v="Trsf"/>
    <s v="Trsf 23/6/23 RM2,000.00(RM154.70), Trsf 24/6/23 RM500.00, Trsf 12/7/23 RM1,000.00(RM187.70)"/>
    <m/>
  </r>
  <r>
    <x v="326"/>
    <x v="9"/>
    <x v="4"/>
    <x v="455"/>
    <s v="C00000019"/>
    <x v="18"/>
    <x v="132"/>
    <n v="5"/>
    <s v="Cash"/>
    <x v="0"/>
    <d v="2023-03-08T00:00:00"/>
    <x v="9"/>
    <x v="5"/>
    <n v="312.5"/>
    <n v="-312.5"/>
    <n v="0"/>
    <n v="2717180.35"/>
    <s v="Trsf"/>
    <s v="Trsf 12/7/23 RM1,000.00(RM312.50)"/>
    <m/>
  </r>
  <r>
    <x v="326"/>
    <x v="9"/>
    <x v="4"/>
    <x v="455"/>
    <s v="C00000019"/>
    <x v="18"/>
    <x v="209"/>
    <n v="1"/>
    <s v="Cash"/>
    <x v="0"/>
    <d v="2023-03-08T00:00:00"/>
    <x v="9"/>
    <x v="5"/>
    <n v="625"/>
    <n v="-625"/>
    <n v="0"/>
    <n v="2717805.35"/>
    <s v="Trsf"/>
    <s v="Trsf 12/7/23 RM1,000.00(RM499.80), Trsf 14/7/23 RM1,000.00(RM125.20)"/>
    <m/>
  </r>
  <r>
    <x v="326"/>
    <x v="9"/>
    <x v="4"/>
    <x v="455"/>
    <s v="C00000019"/>
    <x v="18"/>
    <x v="210"/>
    <n v="1"/>
    <s v="Cash"/>
    <x v="0"/>
    <d v="2023-03-08T00:00:00"/>
    <x v="9"/>
    <x v="5"/>
    <n v="38"/>
    <n v="-38"/>
    <n v="0"/>
    <n v="2717843.35"/>
    <s v="Trsf"/>
    <s v="Trsf 14/7/23 RM1,000.00(RM38.00)"/>
    <m/>
  </r>
  <r>
    <x v="326"/>
    <x v="9"/>
    <x v="4"/>
    <x v="455"/>
    <s v="C00000019"/>
    <x v="18"/>
    <x v="178"/>
    <n v="1"/>
    <s v="Cash"/>
    <x v="0"/>
    <d v="2023-03-08T00:00:00"/>
    <x v="9"/>
    <x v="5"/>
    <n v="45"/>
    <n v="-45"/>
    <n v="0"/>
    <n v="2717888.35"/>
    <s v="Trsf"/>
    <s v="Trsf 14/7/23 RM1,000.00(RM45.00)"/>
    <m/>
  </r>
  <r>
    <x v="327"/>
    <x v="9"/>
    <x v="4"/>
    <x v="456"/>
    <s v="C00000014"/>
    <x v="13"/>
    <x v="45"/>
    <n v="1"/>
    <s v="Cash"/>
    <x v="0"/>
    <d v="2023-03-10T00:00:00"/>
    <x v="9"/>
    <x v="5"/>
    <n v="1804"/>
    <n v="-1804"/>
    <n v="0"/>
    <n v="2719692.35"/>
    <s v="Cash"/>
    <s v="Cash 11/3/23 RM2,545.00"/>
    <m/>
  </r>
  <r>
    <x v="327"/>
    <x v="9"/>
    <x v="4"/>
    <x v="456"/>
    <s v="C00000014"/>
    <x v="13"/>
    <x v="184"/>
    <n v="1"/>
    <s v="Cash"/>
    <x v="0"/>
    <d v="2023-03-10T00:00:00"/>
    <x v="9"/>
    <x v="5"/>
    <n v="237"/>
    <n v="-237"/>
    <n v="0"/>
    <n v="2719929.35"/>
    <s v="Cash"/>
    <s v="Cash 11/3/23 RM2,545.00"/>
    <m/>
  </r>
  <r>
    <x v="327"/>
    <x v="9"/>
    <x v="4"/>
    <x v="456"/>
    <s v="C00000014"/>
    <x v="13"/>
    <x v="211"/>
    <n v="1"/>
    <s v="Cash"/>
    <x v="0"/>
    <d v="2023-03-10T00:00:00"/>
    <x v="9"/>
    <x v="5"/>
    <n v="64"/>
    <n v="-64"/>
    <n v="0"/>
    <n v="2719993.35"/>
    <s v="Cash"/>
    <s v="Cash 11/3/23 RM2,545.00"/>
    <m/>
  </r>
  <r>
    <x v="327"/>
    <x v="9"/>
    <x v="4"/>
    <x v="456"/>
    <s v="C00000014"/>
    <x v="13"/>
    <x v="193"/>
    <n v="1"/>
    <s v="Cash"/>
    <x v="0"/>
    <d v="2023-03-10T00:00:00"/>
    <x v="9"/>
    <x v="5"/>
    <n v="66"/>
    <n v="-66"/>
    <n v="0"/>
    <n v="2720059.35"/>
    <s v="Cash"/>
    <s v="Cash 11/3/23 RM2,545.00"/>
    <m/>
  </r>
  <r>
    <x v="327"/>
    <x v="9"/>
    <x v="4"/>
    <x v="456"/>
    <s v="C00000014"/>
    <x v="13"/>
    <x v="212"/>
    <n v="1"/>
    <s v="Cash"/>
    <x v="0"/>
    <d v="2023-03-10T00:00:00"/>
    <x v="9"/>
    <x v="5"/>
    <n v="116"/>
    <n v="-116"/>
    <n v="0"/>
    <n v="2720175.35"/>
    <s v="Cash"/>
    <s v="Cash 11/3/23 RM2,545.00"/>
    <m/>
  </r>
  <r>
    <x v="327"/>
    <x v="9"/>
    <x v="4"/>
    <x v="456"/>
    <s v="C00000014"/>
    <x v="13"/>
    <x v="165"/>
    <n v="1"/>
    <s v="Cash"/>
    <x v="0"/>
    <d v="2023-03-10T00:00:00"/>
    <x v="9"/>
    <x v="5"/>
    <n v="258"/>
    <n v="-258"/>
    <n v="0"/>
    <n v="2720433.35"/>
    <s v="Cash"/>
    <s v="Cash 11/3/23 RM2,545.00"/>
    <m/>
  </r>
  <r>
    <x v="328"/>
    <x v="9"/>
    <x v="4"/>
    <x v="457"/>
    <s v="C00000020"/>
    <x v="19"/>
    <x v="106"/>
    <n v="1"/>
    <s v="Cash"/>
    <x v="0"/>
    <d v="2023-03-11T00:00:00"/>
    <x v="9"/>
    <x v="5"/>
    <n v="95"/>
    <m/>
    <n v="95"/>
    <n v="2720528.35"/>
    <s v="Trsf"/>
    <m/>
    <m/>
  </r>
  <r>
    <x v="328"/>
    <x v="9"/>
    <x v="4"/>
    <x v="457"/>
    <s v="C00000020"/>
    <x v="19"/>
    <x v="4"/>
    <n v="1"/>
    <s v="Cash"/>
    <x v="0"/>
    <d v="2023-03-11T00:00:00"/>
    <x v="9"/>
    <x v="5"/>
    <n v="105"/>
    <m/>
    <n v="105"/>
    <n v="2720633.35"/>
    <s v="Trsf"/>
    <m/>
    <m/>
  </r>
  <r>
    <x v="329"/>
    <x v="9"/>
    <x v="4"/>
    <x v="458"/>
    <s v="C00000010"/>
    <x v="9"/>
    <x v="188"/>
    <n v="6"/>
    <n v="120"/>
    <x v="2"/>
    <d v="2023-07-12T00:00:00"/>
    <x v="4"/>
    <x v="5"/>
    <n v="9768"/>
    <n v="-9768"/>
    <n v="0"/>
    <n v="2730401.35"/>
    <s v="Trsf"/>
    <s v="Trsf 30/6/23 RM12,678.00"/>
    <m/>
  </r>
  <r>
    <x v="329"/>
    <x v="9"/>
    <x v="4"/>
    <x v="458"/>
    <s v="C00000010"/>
    <x v="9"/>
    <x v="100"/>
    <n v="10"/>
    <n v="120"/>
    <x v="2"/>
    <d v="2023-07-12T00:00:00"/>
    <x v="4"/>
    <x v="5"/>
    <n v="2070"/>
    <n v="-2070"/>
    <n v="0"/>
    <n v="2732471.35"/>
    <s v="Trsf"/>
    <s v="Trsf 30/6/23 RM12,678.00"/>
    <m/>
  </r>
  <r>
    <x v="329"/>
    <x v="9"/>
    <x v="4"/>
    <x v="458"/>
    <s v="C00000010"/>
    <x v="9"/>
    <x v="131"/>
    <n v="2"/>
    <n v="120"/>
    <x v="2"/>
    <d v="2023-07-12T00:00:00"/>
    <x v="4"/>
    <x v="5"/>
    <n v="840"/>
    <n v="-840"/>
    <n v="0"/>
    <n v="2733311.35"/>
    <s v="Trsf"/>
    <s v="Trsf 30/6/23 RM12,678.00"/>
    <m/>
  </r>
  <r>
    <x v="329"/>
    <x v="9"/>
    <x v="4"/>
    <x v="459"/>
    <s v="C00000020"/>
    <x v="19"/>
    <x v="132"/>
    <n v="10"/>
    <s v="Cash"/>
    <x v="0"/>
    <d v="2023-03-14T00:00:00"/>
    <x v="9"/>
    <x v="5"/>
    <n v="625"/>
    <m/>
    <n v="625"/>
    <n v="2733936.35"/>
    <s v="Trsf"/>
    <m/>
    <m/>
  </r>
  <r>
    <x v="329"/>
    <x v="9"/>
    <x v="4"/>
    <x v="460"/>
    <s v="C00000020"/>
    <x v="19"/>
    <x v="15"/>
    <n v="10"/>
    <s v="Cash"/>
    <x v="0"/>
    <d v="2023-03-14T00:00:00"/>
    <x v="9"/>
    <x v="5"/>
    <n v="17380"/>
    <m/>
    <n v="17380"/>
    <n v="2751316.35"/>
    <s v="Trsf"/>
    <m/>
    <m/>
  </r>
  <r>
    <x v="329"/>
    <x v="9"/>
    <x v="4"/>
    <x v="460"/>
    <s v="C00000020"/>
    <x v="19"/>
    <x v="100"/>
    <n v="28"/>
    <s v="Cash"/>
    <x v="0"/>
    <d v="2023-03-14T00:00:00"/>
    <x v="9"/>
    <x v="5"/>
    <n v="6384"/>
    <m/>
    <n v="6384"/>
    <n v="2757700.35"/>
    <s v="Trsf"/>
    <m/>
    <m/>
  </r>
  <r>
    <x v="329"/>
    <x v="9"/>
    <x v="4"/>
    <x v="460"/>
    <s v="C00000020"/>
    <x v="19"/>
    <x v="128"/>
    <n v="12"/>
    <s v="Cash"/>
    <x v="0"/>
    <d v="2023-03-14T00:00:00"/>
    <x v="9"/>
    <x v="5"/>
    <n v="3024"/>
    <m/>
    <n v="3024"/>
    <n v="2760724.35"/>
    <s v="Trsf"/>
    <m/>
    <m/>
  </r>
  <r>
    <x v="329"/>
    <x v="9"/>
    <x v="4"/>
    <x v="460"/>
    <s v="C00000020"/>
    <x v="19"/>
    <x v="106"/>
    <n v="4"/>
    <s v="Cash"/>
    <x v="0"/>
    <d v="2023-03-14T00:00:00"/>
    <x v="9"/>
    <x v="5"/>
    <n v="380"/>
    <m/>
    <n v="380"/>
    <n v="2761104.35"/>
    <s v="Trsf"/>
    <m/>
    <m/>
  </r>
  <r>
    <x v="329"/>
    <x v="9"/>
    <x v="4"/>
    <x v="460"/>
    <s v="C00000020"/>
    <x v="19"/>
    <x v="159"/>
    <n v="2"/>
    <s v="Cash"/>
    <x v="0"/>
    <d v="2023-03-14T00:00:00"/>
    <x v="9"/>
    <x v="5"/>
    <n v="2000"/>
    <m/>
    <n v="2000"/>
    <n v="2763104.35"/>
    <s v="Trsf"/>
    <m/>
    <m/>
  </r>
  <r>
    <x v="329"/>
    <x v="9"/>
    <x v="4"/>
    <x v="461"/>
    <s v="C00000019"/>
    <x v="18"/>
    <x v="153"/>
    <n v="4"/>
    <s v="Cash"/>
    <x v="0"/>
    <d v="2023-03-14T00:00:00"/>
    <x v="9"/>
    <x v="5"/>
    <n v="200"/>
    <n v="-200"/>
    <n v="0"/>
    <n v="2763304.35"/>
    <s v="Trsf"/>
    <s v="Trsf 14/7/23 RM1,000.00(RM200.00)"/>
    <m/>
  </r>
  <r>
    <x v="329"/>
    <x v="9"/>
    <x v="4"/>
    <x v="461"/>
    <s v="C00000019"/>
    <x v="18"/>
    <x v="182"/>
    <n v="1"/>
    <s v="Cash"/>
    <x v="0"/>
    <d v="2023-03-14T00:00:00"/>
    <x v="9"/>
    <x v="5"/>
    <n v="440"/>
    <n v="-440"/>
    <n v="0"/>
    <n v="2763744.35"/>
    <s v="Trsf"/>
    <s v="Trsf 14/7/23 RM1,000.00(RM440.00)"/>
    <m/>
  </r>
  <r>
    <x v="329"/>
    <x v="9"/>
    <x v="4"/>
    <x v="462"/>
    <s v="C00000009"/>
    <x v="8"/>
    <x v="7"/>
    <n v="2"/>
    <n v="60"/>
    <x v="3"/>
    <d v="2023-05-13T00:00:00"/>
    <x v="12"/>
    <x v="5"/>
    <n v="3344"/>
    <n v="-3344"/>
    <n v="0"/>
    <n v="2767088.35"/>
    <s v="Chq"/>
    <s v="Chq HL 022468 dd 18/10/23 RM4,461.80"/>
    <m/>
  </r>
  <r>
    <x v="329"/>
    <x v="9"/>
    <x v="4"/>
    <x v="462"/>
    <s v="C00000009"/>
    <x v="8"/>
    <x v="112"/>
    <n v="2"/>
    <n v="60"/>
    <x v="3"/>
    <d v="2023-05-13T00:00:00"/>
    <x v="12"/>
    <x v="5"/>
    <n v="745.2"/>
    <n v="-745.2"/>
    <n v="0"/>
    <n v="2767833.5500000003"/>
    <s v="Chq"/>
    <s v="Chq HL 022468 dd 18/10/23 RM4,461.80"/>
    <m/>
  </r>
  <r>
    <x v="329"/>
    <x v="9"/>
    <x v="4"/>
    <x v="462"/>
    <s v="C00000009"/>
    <x v="8"/>
    <x v="163"/>
    <n v="1"/>
    <n v="60"/>
    <x v="3"/>
    <d v="2023-05-13T00:00:00"/>
    <x v="12"/>
    <x v="5"/>
    <n v="372.6"/>
    <n v="-372.6"/>
    <n v="0"/>
    <n v="2768206.1500000004"/>
    <s v="Chq"/>
    <s v="Chq HL 022468 dd 18/10/23 RM4,461.80"/>
    <m/>
  </r>
  <r>
    <x v="330"/>
    <x v="9"/>
    <x v="4"/>
    <x v="463"/>
    <s v="C00000021"/>
    <x v="21"/>
    <x v="118"/>
    <n v="1"/>
    <s v="Cash"/>
    <x v="0"/>
    <d v="2023-03-16T00:00:00"/>
    <x v="9"/>
    <x v="5"/>
    <n v="1870"/>
    <n v="-1870"/>
    <n v="0"/>
    <n v="2770076.1500000004"/>
    <s v="PD Chq"/>
    <s v="Chq PBB 395391, cleared21/08/23 RM2,475.00"/>
    <m/>
  </r>
  <r>
    <x v="330"/>
    <x v="9"/>
    <x v="4"/>
    <x v="463"/>
    <s v="C00000021"/>
    <x v="21"/>
    <x v="100"/>
    <n v="2"/>
    <s v="Cash"/>
    <x v="0"/>
    <d v="2023-03-16T00:00:00"/>
    <x v="9"/>
    <x v="5"/>
    <n v="510"/>
    <n v="-510"/>
    <n v="0"/>
    <n v="2770586.1500000004"/>
    <s v="PD Chq"/>
    <s v="Chq PBB 395391, cleared21/08/23 RM2,475.00"/>
    <m/>
  </r>
  <r>
    <x v="330"/>
    <x v="9"/>
    <x v="4"/>
    <x v="463"/>
    <s v="C00000021"/>
    <x v="21"/>
    <x v="106"/>
    <n v="1"/>
    <s v="Cash"/>
    <x v="0"/>
    <d v="2023-03-16T00:00:00"/>
    <x v="9"/>
    <x v="5"/>
    <n v="95"/>
    <n v="-95"/>
    <n v="0"/>
    <n v="2770681.1500000004"/>
    <s v="PD Chq"/>
    <s v="Chq PBB 395391, cleared21/08/23 RM2,475.00"/>
    <m/>
  </r>
  <r>
    <x v="330"/>
    <x v="9"/>
    <x v="4"/>
    <x v="464"/>
    <s v="C00000014"/>
    <x v="13"/>
    <x v="45"/>
    <n v="2"/>
    <s v="Cash"/>
    <x v="0"/>
    <d v="2023-03-16T00:00:00"/>
    <x v="9"/>
    <x v="5"/>
    <n v="3608"/>
    <n v="-3608"/>
    <n v="0"/>
    <n v="2774289.1500000004"/>
    <s v="Cash"/>
    <s v="Cash 18/3/23 RM7,025.00"/>
    <m/>
  </r>
  <r>
    <x v="330"/>
    <x v="9"/>
    <x v="4"/>
    <x v="464"/>
    <s v="C00000014"/>
    <x v="13"/>
    <x v="157"/>
    <n v="8"/>
    <s v="Cash"/>
    <x v="0"/>
    <d v="2023-03-16T00:00:00"/>
    <x v="9"/>
    <x v="5"/>
    <n v="1896"/>
    <n v="-1896"/>
    <n v="0"/>
    <n v="2776185.1500000004"/>
    <s v="Cash"/>
    <s v="Cash 18/3/23 RM7,025.00"/>
    <m/>
  </r>
  <r>
    <x v="330"/>
    <x v="9"/>
    <x v="4"/>
    <x v="464"/>
    <s v="C00000014"/>
    <x v="13"/>
    <x v="141"/>
    <n v="1"/>
    <s v="Cash"/>
    <x v="0"/>
    <d v="2023-03-16T00:00:00"/>
    <x v="9"/>
    <x v="5"/>
    <n v="160"/>
    <n v="-160"/>
    <n v="0"/>
    <n v="2776345.1500000004"/>
    <s v="Cash"/>
    <s v="Cash 18/3/23 RM7,025.00"/>
    <m/>
  </r>
  <r>
    <x v="330"/>
    <x v="9"/>
    <x v="4"/>
    <x v="464"/>
    <s v="C00000014"/>
    <x v="13"/>
    <x v="213"/>
    <n v="1"/>
    <s v="Cash"/>
    <x v="0"/>
    <d v="2023-03-16T00:00:00"/>
    <x v="9"/>
    <x v="5"/>
    <n v="165"/>
    <n v="-165"/>
    <n v="0"/>
    <n v="2776510.1500000004"/>
    <s v="Cash"/>
    <s v="Cash 18/3/23 RM7,025.00"/>
    <m/>
  </r>
  <r>
    <x v="330"/>
    <x v="9"/>
    <x v="4"/>
    <x v="464"/>
    <s v="C00000014"/>
    <x v="13"/>
    <x v="214"/>
    <n v="1"/>
    <s v="Cash"/>
    <x v="0"/>
    <d v="2023-03-16T00:00:00"/>
    <x v="9"/>
    <x v="5"/>
    <n v="290"/>
    <n v="-290"/>
    <n v="0"/>
    <n v="2776800.1500000004"/>
    <s v="Cash"/>
    <s v="Cash 18/3/23 RM7,025.00"/>
    <m/>
  </r>
  <r>
    <x v="330"/>
    <x v="9"/>
    <x v="4"/>
    <x v="464"/>
    <s v="C00000014"/>
    <x v="13"/>
    <x v="125"/>
    <n v="2"/>
    <s v="Cash"/>
    <x v="0"/>
    <d v="2023-03-16T00:00:00"/>
    <x v="9"/>
    <x v="5"/>
    <n v="516"/>
    <n v="-516"/>
    <n v="0"/>
    <n v="2777316.1500000004"/>
    <s v="Cash"/>
    <s v="Cash 18/3/23 RM7,025.00"/>
    <m/>
  </r>
  <r>
    <x v="330"/>
    <x v="9"/>
    <x v="4"/>
    <x v="464"/>
    <s v="C00000014"/>
    <x v="13"/>
    <x v="106"/>
    <n v="2"/>
    <s v="Cash"/>
    <x v="0"/>
    <d v="2023-03-16T00:00:00"/>
    <x v="9"/>
    <x v="5"/>
    <n v="190"/>
    <n v="-190"/>
    <n v="0"/>
    <n v="2777506.1500000004"/>
    <s v="Cash"/>
    <s v="Cash 18/3/23 RM7,025.00"/>
    <m/>
  </r>
  <r>
    <x v="330"/>
    <x v="9"/>
    <x v="4"/>
    <x v="464"/>
    <s v="C00000014"/>
    <x v="13"/>
    <x v="153"/>
    <n v="4"/>
    <s v="Cash"/>
    <x v="0"/>
    <d v="2023-03-16T00:00:00"/>
    <x v="9"/>
    <x v="5"/>
    <n v="200"/>
    <n v="-200"/>
    <n v="0"/>
    <n v="2777706.1500000004"/>
    <s v="Cash"/>
    <s v="Cash 18/3/23 RM7,025.00"/>
    <m/>
  </r>
  <r>
    <x v="331"/>
    <x v="9"/>
    <x v="4"/>
    <x v="465"/>
    <s v="C00000037"/>
    <x v="38"/>
    <x v="120"/>
    <n v="2"/>
    <n v="30"/>
    <x v="5"/>
    <d v="2023-04-19T00:00:00"/>
    <x v="11"/>
    <x v="5"/>
    <n v="3608"/>
    <n v="-3608"/>
    <n v="0"/>
    <n v="2781314.1500000004"/>
    <s v="Chq"/>
    <s v="MBB 014665 cleared 200323 RM4,450.40"/>
    <m/>
  </r>
  <r>
    <x v="331"/>
    <x v="9"/>
    <x v="4"/>
    <x v="465"/>
    <s v="C00000037"/>
    <x v="38"/>
    <x v="112"/>
    <n v="2"/>
    <n v="30"/>
    <x v="5"/>
    <d v="2023-04-19T00:00:00"/>
    <x v="11"/>
    <x v="5"/>
    <n v="842.4"/>
    <n v="-842.4"/>
    <n v="0"/>
    <n v="2782156.5500000003"/>
    <s v="Chq"/>
    <s v="MBB 014665 cleared 200323 RM4,450.40"/>
    <m/>
  </r>
  <r>
    <x v="332"/>
    <x v="9"/>
    <x v="4"/>
    <x v="466"/>
    <s v="C00000020"/>
    <x v="19"/>
    <x v="132"/>
    <n v="5"/>
    <s v="Cash"/>
    <x v="0"/>
    <d v="2023-03-23T00:00:00"/>
    <x v="9"/>
    <x v="5"/>
    <n v="312.5"/>
    <m/>
    <n v="312.5"/>
    <n v="2782469.0500000003"/>
    <s v="Trsf"/>
    <m/>
    <m/>
  </r>
  <r>
    <x v="332"/>
    <x v="9"/>
    <x v="4"/>
    <x v="467"/>
    <s v="C00000020"/>
    <x v="19"/>
    <x v="7"/>
    <n v="5"/>
    <s v="Cash"/>
    <x v="0"/>
    <d v="2023-03-23T00:00:00"/>
    <x v="9"/>
    <x v="5"/>
    <n v="8690"/>
    <m/>
    <n v="8690"/>
    <n v="2791159.0500000003"/>
    <s v="Trsf"/>
    <m/>
    <m/>
  </r>
  <r>
    <x v="332"/>
    <x v="9"/>
    <x v="4"/>
    <x v="467"/>
    <s v="C00000020"/>
    <x v="19"/>
    <x v="100"/>
    <n v="15"/>
    <s v="Cash"/>
    <x v="0"/>
    <d v="2023-03-23T00:00:00"/>
    <x v="9"/>
    <x v="5"/>
    <n v="3420"/>
    <m/>
    <n v="3420"/>
    <n v="2794579.0500000003"/>
    <s v="Trsf"/>
    <m/>
    <m/>
  </r>
  <r>
    <x v="332"/>
    <x v="9"/>
    <x v="4"/>
    <x v="467"/>
    <s v="C00000020"/>
    <x v="19"/>
    <x v="128"/>
    <n v="8"/>
    <s v="Cash"/>
    <x v="0"/>
    <d v="2023-03-23T00:00:00"/>
    <x v="9"/>
    <x v="5"/>
    <n v="2016"/>
    <m/>
    <n v="2016"/>
    <n v="2796595.0500000003"/>
    <s v="Trsf"/>
    <m/>
    <m/>
  </r>
  <r>
    <x v="332"/>
    <x v="9"/>
    <x v="4"/>
    <x v="467"/>
    <s v="C00000020"/>
    <x v="19"/>
    <x v="106"/>
    <n v="4"/>
    <s v="Cash"/>
    <x v="0"/>
    <d v="2023-03-23T00:00:00"/>
    <x v="9"/>
    <x v="5"/>
    <n v="380"/>
    <m/>
    <n v="380"/>
    <n v="2796975.0500000003"/>
    <s v="Trsf"/>
    <m/>
    <m/>
  </r>
  <r>
    <x v="332"/>
    <x v="9"/>
    <x v="4"/>
    <x v="467"/>
    <s v="C00000020"/>
    <x v="19"/>
    <x v="159"/>
    <n v="1"/>
    <s v="Cash"/>
    <x v="0"/>
    <d v="2023-03-23T00:00:00"/>
    <x v="9"/>
    <x v="5"/>
    <n v="1000"/>
    <m/>
    <n v="1000"/>
    <n v="2797975.0500000003"/>
    <s v="Trsf"/>
    <m/>
    <m/>
  </r>
  <r>
    <x v="333"/>
    <x v="9"/>
    <x v="4"/>
    <x v="468"/>
    <s v="C00000021"/>
    <x v="21"/>
    <x v="118"/>
    <n v="1"/>
    <s v="Cash"/>
    <x v="0"/>
    <d v="2023-03-25T00:00:00"/>
    <x v="9"/>
    <x v="5"/>
    <n v="1870"/>
    <n v="-1870"/>
    <n v="0"/>
    <n v="2799845.0500000003"/>
    <s v="PD Chq"/>
    <s v="Chq PBB 395392, cleared 4/10/23 RM3,240.00"/>
    <m/>
  </r>
  <r>
    <x v="333"/>
    <x v="9"/>
    <x v="4"/>
    <x v="468"/>
    <s v="C00000021"/>
    <x v="21"/>
    <x v="100"/>
    <n v="5"/>
    <s v="Cash"/>
    <x v="0"/>
    <d v="2023-03-25T00:00:00"/>
    <x v="9"/>
    <x v="5"/>
    <n v="1275"/>
    <n v="-1275"/>
    <n v="0"/>
    <n v="2801120.0500000003"/>
    <s v="PD Chq"/>
    <s v="Chq PBB 395392, cleared 4/10/23 RM3,240.00"/>
    <m/>
  </r>
  <r>
    <x v="333"/>
    <x v="9"/>
    <x v="4"/>
    <x v="468"/>
    <s v="C00000021"/>
    <x v="21"/>
    <x v="106"/>
    <n v="1"/>
    <s v="Cash"/>
    <x v="0"/>
    <d v="2023-03-25T00:00:00"/>
    <x v="9"/>
    <x v="5"/>
    <n v="95"/>
    <n v="-95"/>
    <n v="0"/>
    <n v="2801215.0500000003"/>
    <s v="PD Chq"/>
    <s v="Chq PBB 395392, cleared 4/10/23 RM3,240.00"/>
    <m/>
  </r>
  <r>
    <x v="333"/>
    <x v="9"/>
    <x v="4"/>
    <x v="469"/>
    <s v="C00000034"/>
    <x v="35"/>
    <x v="215"/>
    <n v="10"/>
    <s v="Cash"/>
    <x v="0"/>
    <d v="2023-03-25T00:00:00"/>
    <x v="9"/>
    <x v="5"/>
    <n v="1350"/>
    <n v="-1350"/>
    <n v="0"/>
    <n v="2802565.0500000003"/>
    <s v="Trsf"/>
    <s v="Trsf 25/3/23 RM1,575.00"/>
    <m/>
  </r>
  <r>
    <x v="333"/>
    <x v="9"/>
    <x v="4"/>
    <x v="469"/>
    <s v="C00000034"/>
    <x v="35"/>
    <x v="216"/>
    <n v="1"/>
    <s v="Cash"/>
    <x v="0"/>
    <d v="2023-03-25T00:00:00"/>
    <x v="9"/>
    <x v="5"/>
    <n v="225"/>
    <n v="-225"/>
    <n v="0"/>
    <n v="2802790.0500000003"/>
    <s v="Trsf"/>
    <s v="Trsf 25/3/23 RM1,575.00"/>
    <m/>
  </r>
  <r>
    <x v="334"/>
    <x v="9"/>
    <x v="4"/>
    <x v="470"/>
    <s v="C00000034"/>
    <x v="35"/>
    <x v="217"/>
    <n v="2"/>
    <s v="Cash"/>
    <x v="0"/>
    <d v="2023-03-27T00:00:00"/>
    <x v="9"/>
    <x v="5"/>
    <n v="3608"/>
    <n v="-3608"/>
    <n v="0"/>
    <n v="2806398.0500000003"/>
    <s v="Trsf"/>
    <s v="Trsf 27/3/23 RM4,530.00"/>
    <m/>
  </r>
  <r>
    <x v="334"/>
    <x v="9"/>
    <x v="4"/>
    <x v="470"/>
    <s v="C00000034"/>
    <x v="35"/>
    <x v="184"/>
    <n v="2"/>
    <s v="Cash"/>
    <x v="0"/>
    <d v="2023-03-27T00:00:00"/>
    <x v="9"/>
    <x v="5"/>
    <n v="450"/>
    <n v="-450"/>
    <n v="0"/>
    <n v="2806848.0500000003"/>
    <s v="Trsf"/>
    <s v="Trsf 27/3/23 RM4,530.00"/>
    <m/>
  </r>
  <r>
    <x v="334"/>
    <x v="9"/>
    <x v="4"/>
    <x v="470"/>
    <s v="C00000034"/>
    <x v="35"/>
    <x v="101"/>
    <n v="2"/>
    <s v="Cash"/>
    <x v="0"/>
    <d v="2023-03-27T00:00:00"/>
    <x v="9"/>
    <x v="5"/>
    <n v="472"/>
    <n v="-472"/>
    <n v="0"/>
    <n v="2807320.0500000003"/>
    <s v="Trsf"/>
    <s v="Trsf 27/3/23 RM4,530.00"/>
    <m/>
  </r>
  <r>
    <x v="335"/>
    <x v="9"/>
    <x v="4"/>
    <x v="471"/>
    <s v="C00000026"/>
    <x v="27"/>
    <x v="118"/>
    <n v="1"/>
    <s v="Cash"/>
    <x v="0"/>
    <d v="2023-03-28T00:00:00"/>
    <x v="9"/>
    <x v="5"/>
    <n v="1870"/>
    <n v="-1870"/>
    <n v="0"/>
    <n v="2809190.0500000003"/>
    <s v="Trsf"/>
    <s v="Trsf 30/3/23 RM2,000.00(RM1,870.00)"/>
    <m/>
  </r>
  <r>
    <x v="335"/>
    <x v="9"/>
    <x v="4"/>
    <x v="471"/>
    <s v="C00000026"/>
    <x v="27"/>
    <x v="112"/>
    <n v="1"/>
    <s v="Cash"/>
    <x v="0"/>
    <d v="2023-03-28T00:00:00"/>
    <x v="9"/>
    <x v="5"/>
    <n v="448.2"/>
    <n v="-448.2"/>
    <n v="0"/>
    <n v="2809638.2500000005"/>
    <s v="Trsf"/>
    <s v="Trsf 30/3/23 RM2,000.00(RM130.00),  Trsf 5/4/23 RM1,026.20(RM318.20)"/>
    <m/>
  </r>
  <r>
    <x v="335"/>
    <x v="9"/>
    <x v="4"/>
    <x v="471"/>
    <s v="C00000026"/>
    <x v="27"/>
    <x v="125"/>
    <n v="1"/>
    <s v="Cash"/>
    <x v="0"/>
    <d v="2023-03-28T00:00:00"/>
    <x v="9"/>
    <x v="5"/>
    <n v="258"/>
    <n v="-258"/>
    <n v="0"/>
    <n v="2809896.2500000005"/>
    <s v="Trsf"/>
    <s v="Trsf 5/4/23 RM1,026.20(RM258.20)"/>
    <m/>
  </r>
  <r>
    <x v="335"/>
    <x v="9"/>
    <x v="4"/>
    <x v="471"/>
    <s v="C00000026"/>
    <x v="27"/>
    <x v="52"/>
    <n v="1"/>
    <s v="Cash"/>
    <x v="0"/>
    <d v="2023-03-28T00:00:00"/>
    <x v="9"/>
    <x v="5"/>
    <n v="450"/>
    <n v="-450"/>
    <n v="0"/>
    <n v="2810346.2500000005"/>
    <s v="Trsf"/>
    <s v="Trsf 5/4/23 RM1,026.20(RM450.00)"/>
    <m/>
  </r>
  <r>
    <x v="336"/>
    <x v="9"/>
    <x v="4"/>
    <x v="472"/>
    <s v="C00000037"/>
    <x v="38"/>
    <x v="120"/>
    <n v="2"/>
    <n v="30"/>
    <x v="5"/>
    <d v="2023-04-29T00:00:00"/>
    <x v="11"/>
    <x v="5"/>
    <n v="3608"/>
    <n v="-3608"/>
    <n v="0"/>
    <n v="2813954.2500000005"/>
    <s v="Chq"/>
    <s v="MBB 014706 cleared 020523 RM6,644.10"/>
    <m/>
  </r>
  <r>
    <x v="336"/>
    <x v="9"/>
    <x v="4"/>
    <x v="472"/>
    <s v="C00000037"/>
    <x v="38"/>
    <x v="112"/>
    <n v="3"/>
    <n v="30"/>
    <x v="5"/>
    <d v="2023-04-29T00:00:00"/>
    <x v="11"/>
    <x v="5"/>
    <n v="1263.5999999999999"/>
    <n v="-1263.5999999999999"/>
    <n v="0"/>
    <n v="2815217.8500000006"/>
    <s v="Chq"/>
    <s v="MBB 014706 cleared 020523 RM6,644.10"/>
    <m/>
  </r>
  <r>
    <x v="336"/>
    <x v="9"/>
    <x v="4"/>
    <x v="472"/>
    <s v="C00000037"/>
    <x v="38"/>
    <x v="106"/>
    <n v="2"/>
    <n v="30"/>
    <x v="5"/>
    <d v="2023-04-29T00:00:00"/>
    <x v="11"/>
    <x v="5"/>
    <n v="190"/>
    <n v="-190"/>
    <n v="0"/>
    <n v="2815407.8500000006"/>
    <s v="Chq"/>
    <s v="MBB 014706 cleared 020523 RM6,644.10"/>
    <m/>
  </r>
  <r>
    <x v="336"/>
    <x v="9"/>
    <x v="4"/>
    <x v="472"/>
    <s v="C00000037"/>
    <x v="38"/>
    <x v="125"/>
    <n v="2"/>
    <n v="30"/>
    <x v="5"/>
    <d v="2023-04-29T00:00:00"/>
    <x v="11"/>
    <x v="5"/>
    <n v="520"/>
    <n v="-520"/>
    <n v="0"/>
    <n v="2815927.8500000006"/>
    <s v="Chq"/>
    <s v="MBB 014706 cleared 020523 RM6,644.10"/>
    <m/>
  </r>
  <r>
    <x v="336"/>
    <x v="9"/>
    <x v="4"/>
    <x v="472"/>
    <s v="C00000037"/>
    <x v="38"/>
    <x v="218"/>
    <n v="1"/>
    <n v="30"/>
    <x v="5"/>
    <d v="2023-04-29T00:00:00"/>
    <x v="11"/>
    <x v="5"/>
    <n v="875"/>
    <n v="-875"/>
    <n v="0"/>
    <n v="2816802.8500000006"/>
    <s v="Chq"/>
    <s v="MBB 014706 cleared 020523 RM6,644.10"/>
    <m/>
  </r>
  <r>
    <x v="336"/>
    <x v="9"/>
    <x v="4"/>
    <x v="472"/>
    <s v="C00000037"/>
    <x v="38"/>
    <x v="132"/>
    <n v="3"/>
    <n v="30"/>
    <x v="5"/>
    <d v="2023-04-29T00:00:00"/>
    <x v="11"/>
    <x v="5"/>
    <n v="187.5"/>
    <n v="-187.5"/>
    <n v="0"/>
    <n v="2816990.3500000006"/>
    <s v="Chq"/>
    <s v="MBB 014706 cleared 020523 RM6,644.10"/>
    <m/>
  </r>
  <r>
    <x v="336"/>
    <x v="9"/>
    <x v="4"/>
    <x v="473"/>
    <s v="C00000034"/>
    <x v="35"/>
    <x v="106"/>
    <n v="3"/>
    <s v="Cash"/>
    <x v="0"/>
    <d v="2023-03-30T00:00:00"/>
    <x v="9"/>
    <x v="5"/>
    <n v="300"/>
    <n v="-300"/>
    <n v="0"/>
    <n v="2817290.3500000006"/>
    <s v="Trsf"/>
    <s v="Trsf 30/3/23 RM487.50"/>
    <m/>
  </r>
  <r>
    <x v="336"/>
    <x v="9"/>
    <x v="4"/>
    <x v="474"/>
    <s v="C00000034"/>
    <x v="35"/>
    <x v="132"/>
    <n v="3"/>
    <s v="Cash"/>
    <x v="0"/>
    <d v="2023-03-30T00:00:00"/>
    <x v="9"/>
    <x v="5"/>
    <n v="187.5"/>
    <n v="-187.5"/>
    <n v="0"/>
    <n v="2817477.8500000006"/>
    <s v="Trsf"/>
    <s v="Trsf 30/3/23 RM487.50"/>
    <m/>
  </r>
  <r>
    <x v="336"/>
    <x v="9"/>
    <x v="4"/>
    <x v="475"/>
    <s v="C00000020"/>
    <x v="19"/>
    <x v="132"/>
    <n v="5"/>
    <s v="Cash"/>
    <x v="0"/>
    <d v="2023-03-30T00:00:00"/>
    <x v="9"/>
    <x v="5"/>
    <n v="312.5"/>
    <m/>
    <n v="312.5"/>
    <n v="2817790.3500000006"/>
    <s v="Trsf"/>
    <m/>
    <m/>
  </r>
  <r>
    <x v="336"/>
    <x v="9"/>
    <x v="4"/>
    <x v="476"/>
    <s v="C00000020"/>
    <x v="19"/>
    <x v="7"/>
    <n v="5"/>
    <s v="Cash"/>
    <x v="0"/>
    <d v="2023-03-30T00:00:00"/>
    <x v="9"/>
    <x v="5"/>
    <n v="8690"/>
    <m/>
    <n v="8690"/>
    <n v="2826480.3500000006"/>
    <s v="Trsf"/>
    <m/>
    <m/>
  </r>
  <r>
    <x v="336"/>
    <x v="9"/>
    <x v="4"/>
    <x v="476"/>
    <s v="C00000020"/>
    <x v="19"/>
    <x v="100"/>
    <n v="10"/>
    <s v="Cash"/>
    <x v="0"/>
    <d v="2023-03-30T00:00:00"/>
    <x v="9"/>
    <x v="5"/>
    <n v="2280"/>
    <m/>
    <n v="2280"/>
    <n v="2828760.3500000006"/>
    <s v="Trsf"/>
    <m/>
    <m/>
  </r>
  <r>
    <x v="336"/>
    <x v="9"/>
    <x v="4"/>
    <x v="476"/>
    <s v="C00000020"/>
    <x v="19"/>
    <x v="128"/>
    <n v="5"/>
    <s v="Cash"/>
    <x v="0"/>
    <d v="2023-03-30T00:00:00"/>
    <x v="9"/>
    <x v="5"/>
    <n v="1260"/>
    <m/>
    <n v="1260"/>
    <n v="2830020.3500000006"/>
    <s v="Trsf"/>
    <m/>
    <m/>
  </r>
  <r>
    <x v="336"/>
    <x v="9"/>
    <x v="4"/>
    <x v="476"/>
    <s v="C00000020"/>
    <x v="19"/>
    <x v="106"/>
    <n v="4"/>
    <s v="Cash"/>
    <x v="0"/>
    <d v="2023-03-30T00:00:00"/>
    <x v="9"/>
    <x v="5"/>
    <n v="380"/>
    <m/>
    <n v="380"/>
    <n v="2830400.3500000006"/>
    <s v="Trsf"/>
    <m/>
    <m/>
  </r>
  <r>
    <x v="337"/>
    <x v="10"/>
    <x v="4"/>
    <x v="477"/>
    <s v="C00000022"/>
    <x v="23"/>
    <x v="219"/>
    <n v="1"/>
    <s v="Cash"/>
    <x v="0"/>
    <d v="2023-04-03T00:00:00"/>
    <x v="11"/>
    <x v="5"/>
    <n v="475.2"/>
    <n v="-475.2"/>
    <n v="0"/>
    <n v="2830875.5500000007"/>
    <s v="Trsf"/>
    <s v="Trsf 15/9/23 RM5,000.00(RM475.20)"/>
    <m/>
  </r>
  <r>
    <x v="337"/>
    <x v="10"/>
    <x v="4"/>
    <x v="478"/>
    <s v="C00000034"/>
    <x v="35"/>
    <x v="217"/>
    <n v="1"/>
    <s v="Cash"/>
    <x v="0"/>
    <d v="2023-04-03T00:00:00"/>
    <x v="11"/>
    <x v="5"/>
    <n v="1848"/>
    <n v="-1848"/>
    <n v="0"/>
    <n v="2832723.5500000007"/>
    <s v="Trsf"/>
    <s v="Trsf 3/4/23 RM4,410.00, Cash in hand trsf 4/4/23 RM30.00"/>
    <m/>
  </r>
  <r>
    <x v="337"/>
    <x v="10"/>
    <x v="4"/>
    <x v="478"/>
    <s v="C00000034"/>
    <x v="35"/>
    <x v="216"/>
    <n v="5"/>
    <s v="Cash"/>
    <x v="0"/>
    <d v="2023-04-03T00:00:00"/>
    <x v="11"/>
    <x v="5"/>
    <n v="1125"/>
    <n v="-1125"/>
    <n v="0"/>
    <n v="2833848.5500000007"/>
    <s v="Trsf"/>
    <s v="Trsf 3/4/23 RM4,410.00, Cash in hand trsf 4/4/23 RM30.01"/>
    <m/>
  </r>
  <r>
    <x v="337"/>
    <x v="10"/>
    <x v="4"/>
    <x v="478"/>
    <s v="C00000034"/>
    <x v="35"/>
    <x v="220"/>
    <n v="1"/>
    <s v="Cash"/>
    <x v="0"/>
    <d v="2023-04-03T00:00:00"/>
    <x v="11"/>
    <x v="5"/>
    <n v="225"/>
    <n v="-225"/>
    <n v="0"/>
    <n v="2834073.5500000007"/>
    <s v="Trsf"/>
    <s v="Trsf 3/4/23 RM4,410.00, Cash in hand trsf 4/4/23 RM30.02"/>
    <m/>
  </r>
  <r>
    <x v="337"/>
    <x v="10"/>
    <x v="4"/>
    <x v="478"/>
    <s v="C00000034"/>
    <x v="35"/>
    <x v="101"/>
    <n v="2"/>
    <s v="Cash"/>
    <x v="0"/>
    <d v="2023-04-03T00:00:00"/>
    <x v="11"/>
    <x v="5"/>
    <n v="472"/>
    <n v="-472"/>
    <n v="0"/>
    <n v="2834545.5500000007"/>
    <s v="Trsf"/>
    <s v="Trsf 3/4/23 RM4,410.00, Cash in hand trsf 4/4/23 RM30.03"/>
    <m/>
  </r>
  <r>
    <x v="337"/>
    <x v="10"/>
    <x v="4"/>
    <x v="478"/>
    <s v="C00000034"/>
    <x v="35"/>
    <x v="106"/>
    <n v="1"/>
    <s v="Cash"/>
    <x v="0"/>
    <d v="2023-04-03T00:00:00"/>
    <x v="11"/>
    <x v="5"/>
    <n v="100"/>
    <n v="-100"/>
    <n v="0"/>
    <n v="2834645.5500000007"/>
    <s v="Trsf"/>
    <s v="Trsf 3/4/23 RM4,410.00, Cash in hand trsf 4/4/23 RM30.04"/>
    <m/>
  </r>
  <r>
    <x v="337"/>
    <x v="10"/>
    <x v="4"/>
    <x v="478"/>
    <s v="C00000034"/>
    <x v="35"/>
    <x v="131"/>
    <n v="1"/>
    <s v="Cash"/>
    <x v="0"/>
    <d v="2023-04-03T00:00:00"/>
    <x v="11"/>
    <x v="5"/>
    <n v="420"/>
    <n v="-420"/>
    <n v="0"/>
    <n v="2835065.5500000007"/>
    <s v="Trsf"/>
    <s v="Trsf 3/4/23 RM4,410.00, Cash in hand trsf 4/4/23 RM30.05"/>
    <m/>
  </r>
  <r>
    <x v="337"/>
    <x v="10"/>
    <x v="4"/>
    <x v="478"/>
    <s v="C00000034"/>
    <x v="35"/>
    <x v="132"/>
    <n v="4"/>
    <s v="Cash"/>
    <x v="0"/>
    <d v="2023-04-03T00:00:00"/>
    <x v="11"/>
    <x v="5"/>
    <n v="250"/>
    <n v="-250"/>
    <n v="0"/>
    <n v="2835315.5500000007"/>
    <s v="Trsf"/>
    <s v="Trsf 3/4/23 RM4,410.00, Cash in hand trsf 4/4/23 RM30.06"/>
    <m/>
  </r>
  <r>
    <x v="338"/>
    <x v="10"/>
    <x v="4"/>
    <x v="479"/>
    <s v="C00000035"/>
    <x v="36"/>
    <x v="125"/>
    <n v="1"/>
    <s v="Cash"/>
    <x v="0"/>
    <d v="2023-04-03T00:00:00"/>
    <x v="11"/>
    <x v="5"/>
    <n v="264"/>
    <n v="-264"/>
    <n v="0"/>
    <n v="2835579.5500000007"/>
    <s v="Trsf"/>
    <s v="Trsf 4/4/23 RM452.00"/>
    <m/>
  </r>
  <r>
    <x v="338"/>
    <x v="10"/>
    <x v="4"/>
    <x v="479"/>
    <s v="C00000035"/>
    <x v="36"/>
    <x v="221"/>
    <n v="1"/>
    <s v="Cash"/>
    <x v="0"/>
    <d v="2023-04-03T00:00:00"/>
    <x v="11"/>
    <x v="5"/>
    <n v="70"/>
    <n v="-70"/>
    <n v="0"/>
    <n v="2835649.5500000007"/>
    <s v="Trsf"/>
    <s v="Trsf 4/4/23 RM452.00"/>
    <m/>
  </r>
  <r>
    <x v="338"/>
    <x v="10"/>
    <x v="4"/>
    <x v="479"/>
    <s v="C00000035"/>
    <x v="36"/>
    <x v="222"/>
    <n v="1"/>
    <s v="Cash"/>
    <x v="0"/>
    <d v="2023-04-03T00:00:00"/>
    <x v="11"/>
    <x v="5"/>
    <n v="118"/>
    <n v="-118"/>
    <n v="0"/>
    <n v="2835767.5500000007"/>
    <s v="Trsf"/>
    <s v="Trsf 4/4/23 RM452.00"/>
    <m/>
  </r>
  <r>
    <x v="339"/>
    <x v="10"/>
    <x v="4"/>
    <x v="480"/>
    <s v="C00000027"/>
    <x v="28"/>
    <x v="118"/>
    <n v="4"/>
    <s v="Cash"/>
    <x v="0"/>
    <d v="2023-04-04T00:00:00"/>
    <x v="11"/>
    <x v="5"/>
    <n v="7480"/>
    <n v="-7480"/>
    <n v="0"/>
    <n v="2843247.5500000007"/>
    <s v="Trsf"/>
    <s v="Bank Islam 164748 Cleared 4/10/23, RM10,000.00(RM7,480.00)"/>
    <m/>
  </r>
  <r>
    <x v="340"/>
    <x v="10"/>
    <x v="4"/>
    <x v="480"/>
    <s v="C00000027"/>
    <x v="28"/>
    <x v="112"/>
    <n v="3"/>
    <s v="Cash"/>
    <x v="0"/>
    <d v="2023-04-04T00:00:00"/>
    <x v="11"/>
    <x v="5"/>
    <n v="1263.5999999999999"/>
    <n v="-1263.5999999999999"/>
    <n v="0"/>
    <n v="2844511.1500000008"/>
    <s v="Trsf"/>
    <s v="Bank Islam 164748 Cleared 4/10/23, RM10,000.00(RM1,263.60)"/>
    <m/>
  </r>
  <r>
    <x v="340"/>
    <x v="10"/>
    <x v="4"/>
    <x v="480"/>
    <s v="C00000027"/>
    <x v="28"/>
    <x v="163"/>
    <n v="5"/>
    <s v="Cash"/>
    <x v="0"/>
    <d v="2023-04-04T00:00:00"/>
    <x v="11"/>
    <x v="5"/>
    <n v="2106"/>
    <n v="-196.9"/>
    <n v="1909.1"/>
    <n v="2846617.1500000008"/>
    <s v="Trsf"/>
    <s v="Bank Islam 164748 Cleared 4/10/23, RM10,000.00(RM196.90)"/>
    <m/>
  </r>
  <r>
    <x v="340"/>
    <x v="10"/>
    <x v="4"/>
    <x v="480"/>
    <s v="C00000027"/>
    <x v="28"/>
    <x v="172"/>
    <n v="1"/>
    <s v="Cash"/>
    <x v="0"/>
    <d v="2023-04-04T00:00:00"/>
    <x v="11"/>
    <x v="5"/>
    <n v="260"/>
    <m/>
    <n v="260"/>
    <n v="2846877.1500000008"/>
    <s v="Trsf"/>
    <m/>
    <m/>
  </r>
  <r>
    <x v="340"/>
    <x v="10"/>
    <x v="4"/>
    <x v="480"/>
    <s v="C00000027"/>
    <x v="28"/>
    <x v="141"/>
    <n v="4"/>
    <s v="Cash"/>
    <x v="0"/>
    <d v="2023-04-04T00:00:00"/>
    <x v="11"/>
    <x v="5"/>
    <n v="640"/>
    <m/>
    <n v="640"/>
    <n v="2847517.1500000008"/>
    <s v="Trsf"/>
    <m/>
    <m/>
  </r>
  <r>
    <x v="340"/>
    <x v="10"/>
    <x v="4"/>
    <x v="480"/>
    <s v="C00000027"/>
    <x v="28"/>
    <x v="106"/>
    <n v="4"/>
    <s v="Cash"/>
    <x v="0"/>
    <d v="2023-04-04T00:00:00"/>
    <x v="11"/>
    <x v="5"/>
    <n v="380"/>
    <m/>
    <n v="380"/>
    <n v="2847897.1500000008"/>
    <s v="Trsf"/>
    <m/>
    <m/>
  </r>
  <r>
    <x v="340"/>
    <x v="10"/>
    <x v="4"/>
    <x v="480"/>
    <s v="C00000027"/>
    <x v="28"/>
    <x v="137"/>
    <n v="12"/>
    <s v="Cash"/>
    <x v="0"/>
    <d v="2023-04-04T00:00:00"/>
    <x v="11"/>
    <x v="5"/>
    <n v="540"/>
    <m/>
    <n v="540"/>
    <n v="2848437.1500000008"/>
    <s v="Trsf"/>
    <m/>
    <m/>
  </r>
  <r>
    <x v="340"/>
    <x v="10"/>
    <x v="4"/>
    <x v="480"/>
    <s v="C00000027"/>
    <x v="28"/>
    <x v="125"/>
    <n v="5"/>
    <s v="Cash"/>
    <x v="0"/>
    <d v="2023-04-04T00:00:00"/>
    <x v="11"/>
    <x v="5"/>
    <n v="1270"/>
    <m/>
    <n v="1270"/>
    <n v="2849707.1500000008"/>
    <s v="Trsf"/>
    <m/>
    <m/>
  </r>
  <r>
    <x v="340"/>
    <x v="10"/>
    <x v="4"/>
    <x v="480"/>
    <s v="C00000027"/>
    <x v="28"/>
    <x v="104"/>
    <n v="1"/>
    <s v="Cash"/>
    <x v="0"/>
    <d v="2023-04-04T00:00:00"/>
    <x v="11"/>
    <x v="5"/>
    <n v="1059.5"/>
    <m/>
    <n v="1059.5"/>
    <n v="2850766.6500000008"/>
    <s v="Trsf"/>
    <m/>
    <m/>
  </r>
  <r>
    <x v="341"/>
    <x v="10"/>
    <x v="4"/>
    <x v="481"/>
    <s v="C00000010"/>
    <x v="9"/>
    <x v="223"/>
    <n v="6"/>
    <n v="120"/>
    <x v="2"/>
    <d v="2023-08-04T00:00:00"/>
    <x v="2"/>
    <x v="5"/>
    <n v="9900"/>
    <n v="-9900"/>
    <n v="0"/>
    <n v="2860666.6500000008"/>
    <s v="Trsf"/>
    <s v="Trsf 31/7/23 RM13,297.50"/>
    <m/>
  </r>
  <r>
    <x v="341"/>
    <x v="10"/>
    <x v="4"/>
    <x v="481"/>
    <s v="C00000010"/>
    <x v="9"/>
    <x v="216"/>
    <n v="10"/>
    <n v="120"/>
    <x v="2"/>
    <d v="2023-08-04T00:00:00"/>
    <x v="2"/>
    <x v="5"/>
    <n v="2070"/>
    <n v="-2070"/>
    <n v="0"/>
    <n v="2862736.6500000008"/>
    <s v="Trsf"/>
    <s v="Trsf 31/7/23 RM13,297.50"/>
    <m/>
  </r>
  <r>
    <x v="341"/>
    <x v="10"/>
    <x v="4"/>
    <x v="481"/>
    <s v="C00000010"/>
    <x v="9"/>
    <x v="132"/>
    <n v="5"/>
    <n v="120"/>
    <x v="2"/>
    <d v="2023-08-04T00:00:00"/>
    <x v="2"/>
    <x v="5"/>
    <n v="287.5"/>
    <n v="-287.5"/>
    <n v="0"/>
    <n v="2863024.1500000008"/>
    <s v="Trsf"/>
    <s v="Trsf 31/7/23 RM13,297.50"/>
    <m/>
  </r>
  <r>
    <x v="341"/>
    <x v="10"/>
    <x v="4"/>
    <x v="481"/>
    <s v="C00000010"/>
    <x v="9"/>
    <x v="4"/>
    <n v="4"/>
    <n v="120"/>
    <x v="2"/>
    <d v="2023-08-04T00:00:00"/>
    <x v="2"/>
    <x v="5"/>
    <n v="420"/>
    <n v="-420"/>
    <n v="0"/>
    <n v="2863444.1500000008"/>
    <s v="Trsf"/>
    <s v="Trsf 31/7/23 RM13,297.50"/>
    <m/>
  </r>
  <r>
    <x v="341"/>
    <x v="10"/>
    <x v="4"/>
    <x v="481"/>
    <s v="C00000010"/>
    <x v="9"/>
    <x v="131"/>
    <n v="1"/>
    <n v="120"/>
    <x v="2"/>
    <d v="2023-08-04T00:00:00"/>
    <x v="2"/>
    <x v="5"/>
    <n v="420"/>
    <n v="-420"/>
    <n v="0"/>
    <n v="2863864.1500000008"/>
    <s v="Trsf"/>
    <s v="Trsf 31/7/23 RM13,297.50"/>
    <m/>
  </r>
  <r>
    <x v="341"/>
    <x v="10"/>
    <x v="4"/>
    <x v="481"/>
    <s v="C00000010"/>
    <x v="9"/>
    <x v="174"/>
    <n v="4"/>
    <n v="120"/>
    <x v="2"/>
    <d v="2023-08-04T00:00:00"/>
    <x v="2"/>
    <x v="5"/>
    <n v="200"/>
    <n v="-200"/>
    <n v="0"/>
    <n v="2864064.1500000008"/>
    <s v="Trsf"/>
    <s v="Trsf 31/7/23 RM13,297.50"/>
    <m/>
  </r>
  <r>
    <x v="341"/>
    <x v="10"/>
    <x v="4"/>
    <x v="482"/>
    <s v="C00000021"/>
    <x v="21"/>
    <x v="118"/>
    <n v="1"/>
    <s v="Cash"/>
    <x v="0"/>
    <d v="2023-04-06T00:00:00"/>
    <x v="11"/>
    <x v="5"/>
    <n v="1870"/>
    <n v="-1870"/>
    <n v="0"/>
    <n v="2865934.1500000008"/>
    <s v="PD Chq"/>
    <s v="Chq PBB 395393, cleared 31/10/23 RM3,078.50"/>
    <m/>
  </r>
  <r>
    <x v="341"/>
    <x v="10"/>
    <x v="4"/>
    <x v="482"/>
    <s v="C00000021"/>
    <x v="21"/>
    <x v="106"/>
    <n v="1"/>
    <s v="Cash"/>
    <x v="0"/>
    <d v="2023-04-06T00:00:00"/>
    <x v="11"/>
    <x v="5"/>
    <n v="95"/>
    <n v="-95"/>
    <n v="0"/>
    <n v="2866029.1500000008"/>
    <s v="PD Chq"/>
    <s v="Chq PBB 395393, cleared 31/10/23 RM3,078.00"/>
    <m/>
  </r>
  <r>
    <x v="341"/>
    <x v="10"/>
    <x v="4"/>
    <x v="482"/>
    <s v="C00000021"/>
    <x v="21"/>
    <x v="132"/>
    <n v="5"/>
    <s v="Cash"/>
    <x v="0"/>
    <d v="2023-04-06T00:00:00"/>
    <x v="11"/>
    <x v="5"/>
    <n v="312.5"/>
    <n v="-312.5"/>
    <n v="0"/>
    <n v="2866341.6500000008"/>
    <s v="PD Chq"/>
    <s v="Chq PBB 395393, cleared 31/10/23 RM3,078.00"/>
    <m/>
  </r>
  <r>
    <x v="341"/>
    <x v="10"/>
    <x v="4"/>
    <x v="482"/>
    <s v="C00000021"/>
    <x v="21"/>
    <x v="134"/>
    <n v="1"/>
    <s v="Cash"/>
    <x v="0"/>
    <d v="2023-04-06T00:00:00"/>
    <x v="11"/>
    <x v="5"/>
    <n v="225"/>
    <n v="-225"/>
    <n v="0"/>
    <n v="2866566.6500000008"/>
    <s v="PD Chq"/>
    <s v="Chq PBB 395393, cleared 31/10/23 RM3,078.00"/>
    <m/>
  </r>
  <r>
    <x v="341"/>
    <x v="10"/>
    <x v="4"/>
    <x v="482"/>
    <s v="C00000021"/>
    <x v="21"/>
    <x v="224"/>
    <n v="12"/>
    <s v="Cash"/>
    <x v="0"/>
    <d v="2023-04-06T00:00:00"/>
    <x v="11"/>
    <x v="5"/>
    <n v="576"/>
    <n v="-576"/>
    <n v="0"/>
    <n v="2867142.6500000008"/>
    <s v="PD Chq"/>
    <s v="Chq PBB 395393, cleared 31/10/23 RM3,078.00"/>
    <m/>
  </r>
  <r>
    <x v="342"/>
    <x v="10"/>
    <x v="4"/>
    <x v="483"/>
    <s v="C00000020"/>
    <x v="19"/>
    <x v="132"/>
    <n v="10"/>
    <s v="Cash"/>
    <x v="0"/>
    <d v="2023-04-07T00:00:00"/>
    <x v="11"/>
    <x v="5"/>
    <n v="625"/>
    <m/>
    <n v="625"/>
    <n v="2867767.6500000008"/>
    <s v="Trsf"/>
    <m/>
    <m/>
  </r>
  <r>
    <x v="342"/>
    <x v="10"/>
    <x v="4"/>
    <x v="483"/>
    <s v="C00000020"/>
    <x v="19"/>
    <x v="225"/>
    <n v="10"/>
    <s v="Cash"/>
    <x v="0"/>
    <d v="2023-04-07T00:00:00"/>
    <x v="11"/>
    <x v="5"/>
    <n v="17820"/>
    <m/>
    <n v="17820"/>
    <n v="2885587.6500000008"/>
    <s v="Trsf"/>
    <m/>
    <m/>
  </r>
  <r>
    <x v="342"/>
    <x v="10"/>
    <x v="4"/>
    <x v="483"/>
    <s v="C00000020"/>
    <x v="19"/>
    <x v="100"/>
    <n v="30"/>
    <s v="Cash"/>
    <x v="0"/>
    <d v="2023-04-07T00:00:00"/>
    <x v="11"/>
    <x v="5"/>
    <n v="6840"/>
    <m/>
    <n v="6840"/>
    <n v="2892427.6500000008"/>
    <s v="Trsf"/>
    <m/>
    <m/>
  </r>
  <r>
    <x v="342"/>
    <x v="10"/>
    <x v="4"/>
    <x v="483"/>
    <s v="C00000020"/>
    <x v="19"/>
    <x v="101"/>
    <n v="15"/>
    <s v="Cash"/>
    <x v="0"/>
    <d v="2023-04-07T00:00:00"/>
    <x v="11"/>
    <x v="5"/>
    <n v="3780"/>
    <m/>
    <n v="3780"/>
    <n v="2896207.6500000008"/>
    <s v="Trsf"/>
    <m/>
    <m/>
  </r>
  <r>
    <x v="342"/>
    <x v="10"/>
    <x v="4"/>
    <x v="483"/>
    <s v="C00000020"/>
    <x v="19"/>
    <x v="106"/>
    <n v="4"/>
    <s v="Cash"/>
    <x v="0"/>
    <d v="2023-04-07T00:00:00"/>
    <x v="11"/>
    <x v="5"/>
    <n v="380"/>
    <m/>
    <n v="380"/>
    <n v="2896587.6500000008"/>
    <s v="Trsf"/>
    <m/>
    <m/>
  </r>
  <r>
    <x v="342"/>
    <x v="10"/>
    <x v="4"/>
    <x v="483"/>
    <s v="C00000020"/>
    <x v="19"/>
    <x v="159"/>
    <n v="1"/>
    <s v="Cash"/>
    <x v="0"/>
    <d v="2023-04-07T00:00:00"/>
    <x v="11"/>
    <x v="5"/>
    <n v="1000"/>
    <m/>
    <n v="1000"/>
    <n v="2897587.6500000008"/>
    <s v="Trsf"/>
    <m/>
    <m/>
  </r>
  <r>
    <x v="341"/>
    <x v="10"/>
    <x v="4"/>
    <x v="484"/>
    <s v="C00000009"/>
    <x v="8"/>
    <x v="4"/>
    <n v="2"/>
    <n v="60"/>
    <x v="3"/>
    <d v="2023-06-05T00:00:00"/>
    <x v="1"/>
    <x v="5"/>
    <n v="220"/>
    <n v="-220"/>
    <n v="0"/>
    <n v="2897807.6500000008"/>
    <s v="Chq"/>
    <s v="Chq HL 021424 dd 10/8/23 RM5,098.40"/>
    <m/>
  </r>
  <r>
    <x v="343"/>
    <x v="10"/>
    <x v="4"/>
    <x v="485"/>
    <s v="C00000019"/>
    <x v="18"/>
    <x v="120"/>
    <n v="2"/>
    <s v="Cash"/>
    <x v="0"/>
    <d v="2023-04-07T00:00:00"/>
    <x v="11"/>
    <x v="5"/>
    <n v="3608"/>
    <n v="-3608"/>
    <n v="0"/>
    <n v="2901415.6500000008"/>
    <s v="Trsf"/>
    <s v="Trsf 14/7/23 RM1,000.00(RM151.80), 16/7/23 RM1,000.00(RM1,000.00), 17/7/23 RM1,000.00(RM1,000.00), 26/7/23 RM1,000.00(RM1,000.00), 3/8/23 RM1,550.00(RM456.20)"/>
    <m/>
  </r>
  <r>
    <x v="343"/>
    <x v="10"/>
    <x v="4"/>
    <x v="485"/>
    <s v="C00000019"/>
    <x v="18"/>
    <x v="226"/>
    <n v="2"/>
    <s v="Cash"/>
    <x v="0"/>
    <d v="2023-04-07T00:00:00"/>
    <x v="11"/>
    <x v="5"/>
    <n v="842.4"/>
    <n v="-842.4"/>
    <n v="0"/>
    <n v="2902258.0500000007"/>
    <s v="Trsf"/>
    <s v="Trsf 3/8/23 RM1,550.00(RM842.40)"/>
    <m/>
  </r>
  <r>
    <x v="343"/>
    <x v="10"/>
    <x v="4"/>
    <x v="485"/>
    <s v="C00000019"/>
    <x v="18"/>
    <x v="4"/>
    <n v="1"/>
    <s v="Cash"/>
    <x v="0"/>
    <d v="2023-04-07T00:00:00"/>
    <x v="11"/>
    <x v="5"/>
    <n v="105"/>
    <n v="-105"/>
    <n v="0"/>
    <n v="2902363.0500000007"/>
    <s v="Trsf"/>
    <s v="Trsf 3/8/23 RM1,550.00(RM105.40)"/>
    <m/>
  </r>
  <r>
    <x v="343"/>
    <x v="10"/>
    <x v="4"/>
    <x v="485"/>
    <s v="C00000019"/>
    <x v="18"/>
    <x v="52"/>
    <n v="1"/>
    <s v="Cash"/>
    <x v="0"/>
    <d v="2023-04-07T00:00:00"/>
    <x v="11"/>
    <x v="5"/>
    <n v="450"/>
    <n v="-450"/>
    <n v="0"/>
    <n v="2902813.0500000007"/>
    <s v="Trsf"/>
    <s v="Trsf 3/8/23 RM1,550.00(RM146.40), 14/8/23 RM1,500.00(RM303.60)"/>
    <m/>
  </r>
  <r>
    <x v="343"/>
    <x v="10"/>
    <x v="4"/>
    <x v="485"/>
    <s v="C00000019"/>
    <x v="18"/>
    <x v="131"/>
    <n v="1"/>
    <s v="Cash"/>
    <x v="0"/>
    <d v="2023-04-07T00:00:00"/>
    <x v="11"/>
    <x v="5"/>
    <n v="440"/>
    <n v="-440"/>
    <n v="0"/>
    <n v="2903253.0500000007"/>
    <s v="Trsf"/>
    <s v="Trsf 14/8/23 RM1,500.00(RM440.00)"/>
    <m/>
  </r>
  <r>
    <x v="343"/>
    <x v="10"/>
    <x v="4"/>
    <x v="485"/>
    <s v="C00000019"/>
    <x v="18"/>
    <x v="132"/>
    <n v="3"/>
    <s v="Cash"/>
    <x v="0"/>
    <d v="2023-04-07T00:00:00"/>
    <x v="11"/>
    <x v="5"/>
    <n v="187.5"/>
    <n v="-187.5"/>
    <n v="0"/>
    <n v="2903440.5500000007"/>
    <s v="Trsf"/>
    <s v="Trsf 14/8/23 RM1,500.00(RM187.50)"/>
    <m/>
  </r>
  <r>
    <x v="344"/>
    <x v="10"/>
    <x v="4"/>
    <x v="486"/>
    <s v="C00000022"/>
    <x v="23"/>
    <x v="120"/>
    <n v="1"/>
    <s v="Cash"/>
    <x v="0"/>
    <d v="2023-04-08T00:00:00"/>
    <x v="11"/>
    <x v="5"/>
    <n v="1892"/>
    <n v="-1892"/>
    <n v="0"/>
    <n v="2905332.5500000007"/>
    <s v="Trsf"/>
    <s v="Trsf 15/9/23 RM5,000.00(RM1,892.00)"/>
    <m/>
  </r>
  <r>
    <x v="344"/>
    <x v="10"/>
    <x v="4"/>
    <x v="487"/>
    <s v="C00000006"/>
    <x v="5"/>
    <x v="120"/>
    <n v="1"/>
    <s v="Cash"/>
    <x v="0"/>
    <d v="2023-04-08T00:00:00"/>
    <x v="11"/>
    <x v="5"/>
    <n v="1870"/>
    <n v="-1870"/>
    <n v="0"/>
    <n v="2907202.5500000007"/>
    <s v="Chq"/>
    <s v="RHB 036060 cleared 16/6/23 RM2,104.00"/>
    <m/>
  </r>
  <r>
    <x v="344"/>
    <x v="10"/>
    <x v="4"/>
    <x v="487"/>
    <s v="C00000006"/>
    <x v="5"/>
    <x v="216"/>
    <n v="1"/>
    <s v="Cash"/>
    <x v="0"/>
    <d v="2023-04-08T00:00:00"/>
    <x v="11"/>
    <x v="5"/>
    <n v="234"/>
    <n v="-234"/>
    <n v="0"/>
    <n v="2907436.5500000007"/>
    <s v="Chq"/>
    <s v="RHB 036060 cleared 16/6/23 RM2,104.00"/>
    <m/>
  </r>
  <r>
    <x v="345"/>
    <x v="10"/>
    <x v="4"/>
    <x v="488"/>
    <s v="C00000034"/>
    <x v="35"/>
    <x v="215"/>
    <n v="13"/>
    <s v="Cash"/>
    <x v="0"/>
    <d v="2023-04-10T00:00:00"/>
    <x v="11"/>
    <x v="5"/>
    <n v="1755"/>
    <n v="-1755"/>
    <n v="0"/>
    <n v="2909191.5500000007"/>
    <s v="Trsf"/>
    <s v="Trsf 10/4/23 RM5,801.00"/>
    <m/>
  </r>
  <r>
    <x v="345"/>
    <x v="10"/>
    <x v="4"/>
    <x v="488"/>
    <s v="C00000034"/>
    <x v="35"/>
    <x v="217"/>
    <n v="2"/>
    <s v="Cash"/>
    <x v="0"/>
    <d v="2023-04-10T00:00:00"/>
    <x v="11"/>
    <x v="5"/>
    <n v="3696"/>
    <n v="-3696"/>
    <n v="0"/>
    <n v="2912887.5500000007"/>
    <s v="Trsf"/>
    <s v="Trsf 10/4/23 RM5,801.00"/>
    <m/>
  </r>
  <r>
    <x v="345"/>
    <x v="10"/>
    <x v="4"/>
    <x v="488"/>
    <s v="C00000034"/>
    <x v="35"/>
    <x v="132"/>
    <n v="4"/>
    <s v="Cash"/>
    <x v="0"/>
    <d v="2023-04-10T00:00:00"/>
    <x v="11"/>
    <x v="5"/>
    <n v="250"/>
    <n v="-250"/>
    <n v="0"/>
    <n v="2913137.5500000007"/>
    <s v="Trsf"/>
    <s v="Trsf 10/4/23 RM5,801.00"/>
    <m/>
  </r>
  <r>
    <x v="345"/>
    <x v="10"/>
    <x v="4"/>
    <x v="488"/>
    <s v="C00000034"/>
    <x v="35"/>
    <x v="106"/>
    <n v="1"/>
    <s v="Cash"/>
    <x v="0"/>
    <d v="2023-04-10T00:00:00"/>
    <x v="11"/>
    <x v="5"/>
    <n v="100"/>
    <n v="-100"/>
    <n v="0"/>
    <n v="2913237.5500000007"/>
    <s v="Trsf"/>
    <s v="Trsf 10/4/23 RM5,801.00"/>
    <m/>
  </r>
  <r>
    <x v="346"/>
    <x v="10"/>
    <x v="4"/>
    <x v="489"/>
    <s v="C00000020"/>
    <x v="19"/>
    <x v="159"/>
    <n v="1"/>
    <s v="Cash"/>
    <x v="0"/>
    <d v="2023-04-09T00:00:00"/>
    <x v="11"/>
    <x v="5"/>
    <n v="1000"/>
    <m/>
    <n v="1000"/>
    <n v="2914237.5500000007"/>
    <s v="Trsf"/>
    <m/>
    <m/>
  </r>
  <r>
    <x v="347"/>
    <x v="10"/>
    <x v="4"/>
    <x v="490"/>
    <s v="C00000038"/>
    <x v="39"/>
    <x v="201"/>
    <n v="1"/>
    <s v="Cash"/>
    <x v="0"/>
    <d v="2023-04-11T00:00:00"/>
    <x v="11"/>
    <x v="5"/>
    <n v="267"/>
    <n v="-267"/>
    <n v="0"/>
    <n v="2914504.5500000007"/>
    <s v="Trsf"/>
    <s v="Trsf 12/4/23 RM670.00"/>
    <m/>
  </r>
  <r>
    <x v="347"/>
    <x v="10"/>
    <x v="4"/>
    <x v="490"/>
    <s v="C00000038"/>
    <x v="39"/>
    <x v="170"/>
    <n v="1"/>
    <s v="Cash"/>
    <x v="0"/>
    <d v="2023-04-11T00:00:00"/>
    <x v="11"/>
    <x v="5"/>
    <n v="258"/>
    <n v="-258"/>
    <n v="0"/>
    <n v="2914762.5500000007"/>
    <s v="Trsf"/>
    <s v="Trsf 12/4/23 RM670.00"/>
    <m/>
  </r>
  <r>
    <x v="347"/>
    <x v="10"/>
    <x v="4"/>
    <x v="490"/>
    <s v="C00000038"/>
    <x v="39"/>
    <x v="227"/>
    <n v="1"/>
    <s v="Cash"/>
    <x v="0"/>
    <d v="2023-04-11T00:00:00"/>
    <x v="11"/>
    <x v="5"/>
    <n v="95"/>
    <n v="-95"/>
    <n v="0"/>
    <n v="2914857.5500000007"/>
    <s v="Trsf"/>
    <s v="Trsf 12/4/23 RM670.00"/>
    <m/>
  </r>
  <r>
    <x v="347"/>
    <x v="10"/>
    <x v="4"/>
    <x v="490"/>
    <s v="C00000038"/>
    <x v="39"/>
    <x v="228"/>
    <n v="1"/>
    <s v="Cash"/>
    <x v="0"/>
    <d v="2023-04-11T00:00:00"/>
    <x v="11"/>
    <x v="5"/>
    <n v="50"/>
    <n v="-50"/>
    <n v="0"/>
    <n v="2914907.5500000007"/>
    <s v="Trsf"/>
    <s v="Trsf 12/4/23 RM670.00"/>
    <m/>
  </r>
  <r>
    <x v="348"/>
    <x v="10"/>
    <x v="4"/>
    <x v="491"/>
    <s v="C00000021"/>
    <x v="21"/>
    <x v="118"/>
    <n v="1"/>
    <s v="Cash"/>
    <x v="0"/>
    <d v="2023-04-12T00:00:00"/>
    <x v="11"/>
    <x v="5"/>
    <n v="1870"/>
    <n v="-1870"/>
    <n v="0"/>
    <n v="2916777.5500000007"/>
    <s v="PD Chq"/>
    <s v="Chq PBB 395394, cleared 10/11/23 RM2,947.50"/>
    <m/>
  </r>
  <r>
    <x v="348"/>
    <x v="10"/>
    <x v="4"/>
    <x v="491"/>
    <s v="C00000021"/>
    <x v="21"/>
    <x v="100"/>
    <n v="3"/>
    <s v="Cash"/>
    <x v="0"/>
    <d v="2023-04-12T00:00:00"/>
    <x v="11"/>
    <x v="5"/>
    <n v="765"/>
    <n v="-765"/>
    <n v="0"/>
    <n v="2917542.5500000007"/>
    <s v="PD Chq"/>
    <s v="Chq PBB 395394, cleared 10/11/23 RM2,947.50"/>
    <m/>
  </r>
  <r>
    <x v="348"/>
    <x v="10"/>
    <x v="4"/>
    <x v="491"/>
    <s v="C00000021"/>
    <x v="21"/>
    <x v="132"/>
    <n v="5"/>
    <s v="Cash"/>
    <x v="0"/>
    <d v="2023-04-12T00:00:00"/>
    <x v="11"/>
    <x v="5"/>
    <n v="312.5"/>
    <n v="-312.5"/>
    <n v="0"/>
    <n v="2917855.0500000007"/>
    <s v="PD Chq"/>
    <s v="Chq PBB 395394, cleared 10/11/23 RM2,947.50"/>
    <m/>
  </r>
  <r>
    <x v="349"/>
    <x v="10"/>
    <x v="4"/>
    <x v="492"/>
    <s v="C00000037"/>
    <x v="38"/>
    <x v="120"/>
    <n v="2"/>
    <n v="30"/>
    <x v="5"/>
    <d v="2023-05-13T00:00:00"/>
    <x v="12"/>
    <x v="5"/>
    <n v="3696"/>
    <n v="-3696"/>
    <n v="0"/>
    <n v="2921551.0500000007"/>
    <s v="Chq"/>
    <s v="MBB 014751 cleared 150523 RM4,959.60"/>
    <m/>
  </r>
  <r>
    <x v="349"/>
    <x v="10"/>
    <x v="4"/>
    <x v="492"/>
    <s v="C00000037"/>
    <x v="38"/>
    <x v="112"/>
    <n v="3"/>
    <n v="30"/>
    <x v="5"/>
    <d v="2023-05-13T00:00:00"/>
    <x v="12"/>
    <x v="5"/>
    <n v="1263.5999999999999"/>
    <n v="-1263.5999999999999"/>
    <n v="0"/>
    <n v="2922814.6500000008"/>
    <s v="Chq"/>
    <s v="MBB 014751 cleared 150523 RM4,959.60"/>
    <m/>
  </r>
  <r>
    <x v="350"/>
    <x v="10"/>
    <x v="4"/>
    <x v="493"/>
    <s v="C00000022"/>
    <x v="23"/>
    <x v="120"/>
    <n v="1"/>
    <s v="Cash"/>
    <x v="0"/>
    <d v="2023-04-14T00:00:00"/>
    <x v="11"/>
    <x v="5"/>
    <n v="1892"/>
    <n v="-1642.8"/>
    <n v="249.20000000000005"/>
    <n v="2924706.6500000008"/>
    <s v="Trsf"/>
    <s v="Trsf 15/9/23 RM5,000.00(RM1,642.80)"/>
    <m/>
  </r>
  <r>
    <x v="350"/>
    <x v="10"/>
    <x v="4"/>
    <x v="493"/>
    <s v="C00000022"/>
    <x v="23"/>
    <x v="220"/>
    <n v="1"/>
    <s v="Cash"/>
    <x v="0"/>
    <d v="2023-04-14T00:00:00"/>
    <x v="11"/>
    <x v="5"/>
    <n v="258"/>
    <m/>
    <n v="258"/>
    <n v="2924964.6500000008"/>
    <s v="Trsf"/>
    <m/>
    <m/>
  </r>
  <r>
    <x v="350"/>
    <x v="10"/>
    <x v="4"/>
    <x v="493"/>
    <s v="C00000022"/>
    <x v="23"/>
    <x v="93"/>
    <n v="1"/>
    <s v="Cash"/>
    <x v="0"/>
    <d v="2023-04-14T00:00:00"/>
    <x v="11"/>
    <x v="5"/>
    <n v="110"/>
    <m/>
    <n v="110"/>
    <n v="2925074.6500000008"/>
    <s v="Trsf"/>
    <m/>
    <m/>
  </r>
  <r>
    <x v="351"/>
    <x v="10"/>
    <x v="4"/>
    <x v="494"/>
    <s v="C00000020"/>
    <x v="19"/>
    <x v="132"/>
    <n v="5"/>
    <s v="Cash"/>
    <x v="0"/>
    <d v="2023-04-15T00:00:00"/>
    <x v="11"/>
    <x v="5"/>
    <n v="312.5"/>
    <m/>
    <n v="312.5"/>
    <n v="2925387.1500000008"/>
    <s v="Trsf"/>
    <m/>
    <m/>
  </r>
  <r>
    <x v="351"/>
    <x v="10"/>
    <x v="4"/>
    <x v="495"/>
    <s v="C00000020"/>
    <x v="19"/>
    <x v="225"/>
    <n v="5"/>
    <s v="Cash"/>
    <x v="0"/>
    <d v="2023-04-15T00:00:00"/>
    <x v="11"/>
    <x v="5"/>
    <n v="8910"/>
    <m/>
    <n v="8910"/>
    <n v="2934297.1500000008"/>
    <s v="Trsf"/>
    <m/>
    <m/>
  </r>
  <r>
    <x v="351"/>
    <x v="10"/>
    <x v="4"/>
    <x v="495"/>
    <s v="C00000020"/>
    <x v="19"/>
    <x v="100"/>
    <n v="15"/>
    <s v="Cash"/>
    <x v="0"/>
    <d v="2023-04-15T00:00:00"/>
    <x v="11"/>
    <x v="5"/>
    <n v="3420"/>
    <m/>
    <n v="3420"/>
    <n v="2937717.1500000008"/>
    <s v="Trsf"/>
    <m/>
    <m/>
  </r>
  <r>
    <x v="351"/>
    <x v="10"/>
    <x v="4"/>
    <x v="495"/>
    <s v="C00000020"/>
    <x v="19"/>
    <x v="229"/>
    <n v="7"/>
    <s v="Cash"/>
    <x v="0"/>
    <d v="2023-04-15T00:00:00"/>
    <x v="11"/>
    <x v="5"/>
    <n v="1852.2000000000003"/>
    <m/>
    <n v="1852.2000000000003"/>
    <n v="2939569.350000001"/>
    <s v="Trsf"/>
    <m/>
    <m/>
  </r>
  <r>
    <x v="351"/>
    <x v="10"/>
    <x v="4"/>
    <x v="495"/>
    <s v="C00000020"/>
    <x v="19"/>
    <x v="159"/>
    <n v="1"/>
    <s v="Cash"/>
    <x v="0"/>
    <d v="2023-04-15T00:00:00"/>
    <x v="11"/>
    <x v="5"/>
    <n v="1000"/>
    <m/>
    <n v="1000"/>
    <n v="2940569.350000001"/>
    <s v="Trsf"/>
    <m/>
    <m/>
  </r>
  <r>
    <x v="352"/>
    <x v="10"/>
    <x v="4"/>
    <x v="496"/>
    <s v="C00000021"/>
    <x v="21"/>
    <x v="118"/>
    <n v="1"/>
    <s v="Cash"/>
    <x v="0"/>
    <d v="2023-04-18T00:00:00"/>
    <x v="11"/>
    <x v="5"/>
    <n v="1870"/>
    <n v="-1870"/>
    <n v="0"/>
    <n v="2942439.350000001"/>
    <s v="PD Chq"/>
    <s v="Chq PBB 395395, cleared 30/11/23 RM3,137.50"/>
    <m/>
  </r>
  <r>
    <x v="352"/>
    <x v="10"/>
    <x v="4"/>
    <x v="496"/>
    <s v="C00000021"/>
    <x v="21"/>
    <x v="100"/>
    <n v="3"/>
    <s v="Cash"/>
    <x v="0"/>
    <d v="2023-04-18T00:00:00"/>
    <x v="11"/>
    <x v="5"/>
    <n v="765"/>
    <n v="-765"/>
    <n v="0"/>
    <n v="2943204.350000001"/>
    <s v="PD Chq"/>
    <s v="Chq PBB 395395, cleared 30/11/23 RM3,137.50"/>
    <m/>
  </r>
  <r>
    <x v="352"/>
    <x v="10"/>
    <x v="4"/>
    <x v="496"/>
    <s v="C00000021"/>
    <x v="21"/>
    <x v="132"/>
    <n v="5"/>
    <s v="Cash"/>
    <x v="0"/>
    <d v="2023-04-18T00:00:00"/>
    <x v="11"/>
    <x v="5"/>
    <n v="312.5"/>
    <n v="-312.5"/>
    <n v="0"/>
    <n v="2943516.850000001"/>
    <s v="PD Chq"/>
    <s v="Chq PBB 395395, cleared 30/11/23 RM3,137.50"/>
    <m/>
  </r>
  <r>
    <x v="352"/>
    <x v="10"/>
    <x v="4"/>
    <x v="496"/>
    <s v="C00000021"/>
    <x v="21"/>
    <x v="106"/>
    <n v="2"/>
    <s v="Cash"/>
    <x v="0"/>
    <d v="2023-04-18T00:00:00"/>
    <x v="11"/>
    <x v="5"/>
    <n v="190"/>
    <n v="-190"/>
    <n v="0"/>
    <n v="2943706.850000001"/>
    <s v="PD Chq"/>
    <s v="Chq PBB 395395, cleared 30/11/23 RM3,137.50"/>
    <m/>
  </r>
  <r>
    <x v="353"/>
    <x v="10"/>
    <x v="4"/>
    <x v="497"/>
    <s v="C00000009"/>
    <x v="8"/>
    <x v="7"/>
    <n v="2"/>
    <n v="60"/>
    <x v="3"/>
    <d v="2023-06-18T00:00:00"/>
    <x v="1"/>
    <x v="5"/>
    <n v="3388"/>
    <n v="-3388"/>
    <n v="0"/>
    <n v="2947094.850000001"/>
    <s v="Chq"/>
    <s v="Chq HL 021424 dd 10/8/23 RM5,098.40"/>
    <m/>
  </r>
  <r>
    <x v="353"/>
    <x v="10"/>
    <x v="4"/>
    <x v="497"/>
    <s v="C00000009"/>
    <x v="8"/>
    <x v="112"/>
    <n v="2"/>
    <n v="60"/>
    <x v="3"/>
    <d v="2023-06-18T00:00:00"/>
    <x v="1"/>
    <x v="5"/>
    <n v="745.2"/>
    <n v="-745.2"/>
    <n v="0"/>
    <n v="2947840.0500000012"/>
    <s v="Chq"/>
    <s v="Chq HL 021424 dd 10/8/23 RM5,098.40"/>
    <m/>
  </r>
  <r>
    <x v="353"/>
    <x v="10"/>
    <x v="4"/>
    <x v="497"/>
    <s v="C00000009"/>
    <x v="8"/>
    <x v="163"/>
    <n v="2"/>
    <n v="60"/>
    <x v="3"/>
    <d v="2023-06-18T00:00:00"/>
    <x v="1"/>
    <x v="5"/>
    <n v="745.2"/>
    <n v="-745.2"/>
    <n v="0"/>
    <n v="2948585.2500000014"/>
    <s v="Chq"/>
    <s v="Chq HL 021424 dd 10/8/23 RM5,098.40"/>
    <m/>
  </r>
  <r>
    <x v="354"/>
    <x v="10"/>
    <x v="4"/>
    <x v="498"/>
    <s v="C00000013"/>
    <x v="12"/>
    <x v="230"/>
    <n v="3"/>
    <s v="Cash"/>
    <x v="0"/>
    <d v="2023-04-20T00:00:00"/>
    <x v="11"/>
    <x v="5"/>
    <n v="5478"/>
    <n v="-5478"/>
    <n v="0"/>
    <n v="2954063.2500000014"/>
    <s v="Chq"/>
    <s v="Trsf 20/4/23 RM14,000.00"/>
    <m/>
  </r>
  <r>
    <x v="354"/>
    <x v="10"/>
    <x v="4"/>
    <x v="498"/>
    <s v="C00000013"/>
    <x v="12"/>
    <x v="231"/>
    <n v="5"/>
    <s v="Cash"/>
    <x v="0"/>
    <d v="2023-04-20T00:00:00"/>
    <x v="11"/>
    <x v="5"/>
    <n v="2133"/>
    <n v="-2133"/>
    <n v="0"/>
    <n v="2956196.2500000014"/>
    <s v="Chq"/>
    <s v="Trsf 20/4/23 RM14,000.01"/>
    <m/>
  </r>
  <r>
    <x v="354"/>
    <x v="10"/>
    <x v="4"/>
    <x v="498"/>
    <s v="C00000013"/>
    <x v="12"/>
    <x v="232"/>
    <n v="3"/>
    <s v="Cash"/>
    <x v="0"/>
    <d v="2023-04-20T00:00:00"/>
    <x v="11"/>
    <x v="5"/>
    <n v="1279.8000000000002"/>
    <n v="-1279.8000000000002"/>
    <n v="0"/>
    <n v="2957476.0500000012"/>
    <s v="Chq"/>
    <s v="Trsf 20/4/23 RM14,000.02"/>
    <m/>
  </r>
  <r>
    <x v="354"/>
    <x v="10"/>
    <x v="4"/>
    <x v="498"/>
    <s v="C00000013"/>
    <x v="12"/>
    <x v="233"/>
    <n v="5"/>
    <s v="Cash"/>
    <x v="0"/>
    <d v="2023-04-20T00:00:00"/>
    <x v="11"/>
    <x v="5"/>
    <n v="1290"/>
    <n v="-1290"/>
    <n v="0"/>
    <n v="2958766.0500000012"/>
    <s v="Chq"/>
    <s v="Trsf 20/4/23 RM14,000.03"/>
    <m/>
  </r>
  <r>
    <x v="354"/>
    <x v="10"/>
    <x v="4"/>
    <x v="498"/>
    <s v="C00000013"/>
    <x v="12"/>
    <x v="234"/>
    <n v="12"/>
    <s v="Cash"/>
    <x v="0"/>
    <d v="2023-04-20T00:00:00"/>
    <x v="11"/>
    <x v="5"/>
    <n v="600"/>
    <n v="-600"/>
    <n v="0"/>
    <n v="2959366.0500000012"/>
    <s v="Chq"/>
    <s v="Trsf 20/4/23 RM14,000.04"/>
    <m/>
  </r>
  <r>
    <x v="354"/>
    <x v="10"/>
    <x v="4"/>
    <x v="498"/>
    <s v="C00000013"/>
    <x v="12"/>
    <x v="235"/>
    <n v="1"/>
    <s v="Cash"/>
    <x v="0"/>
    <d v="2023-04-20T00:00:00"/>
    <x v="11"/>
    <x v="5"/>
    <n v="800"/>
    <n v="-800"/>
    <n v="0"/>
    <n v="2960166.0500000012"/>
    <s v="Chq"/>
    <s v="Trsf 20/4/23 RM14,000.05"/>
    <m/>
  </r>
  <r>
    <x v="354"/>
    <x v="10"/>
    <x v="4"/>
    <x v="498"/>
    <s v="C00000013"/>
    <x v="12"/>
    <x v="236"/>
    <n v="2"/>
    <s v="Cash"/>
    <x v="0"/>
    <d v="2023-04-20T00:00:00"/>
    <x v="11"/>
    <x v="5"/>
    <n v="860"/>
    <n v="-860"/>
    <n v="0"/>
    <n v="2961026.0500000012"/>
    <s v="Chq"/>
    <s v="Trsf 20/4/23 RM14,000.06"/>
    <m/>
  </r>
  <r>
    <x v="354"/>
    <x v="10"/>
    <x v="4"/>
    <x v="498"/>
    <s v="C00000013"/>
    <x v="12"/>
    <x v="237"/>
    <n v="4"/>
    <s v="Cash"/>
    <x v="0"/>
    <d v="2023-04-20T00:00:00"/>
    <x v="11"/>
    <x v="5"/>
    <n v="440"/>
    <n v="-440"/>
    <n v="0"/>
    <n v="2961466.0500000012"/>
    <s v="Chq"/>
    <s v="Trsf 20/4/23 RM14,000.07"/>
    <m/>
  </r>
  <r>
    <x v="354"/>
    <x v="10"/>
    <x v="4"/>
    <x v="498"/>
    <s v="C00000013"/>
    <x v="12"/>
    <x v="238"/>
    <n v="3"/>
    <s v="Cash"/>
    <x v="0"/>
    <d v="2023-04-20T00:00:00"/>
    <x v="11"/>
    <x v="5"/>
    <n v="180"/>
    <n v="-180"/>
    <n v="0"/>
    <n v="2961646.0500000012"/>
    <s v="Chq"/>
    <s v="Trsf 20/4/23 RM14,000.08"/>
    <m/>
  </r>
  <r>
    <x v="354"/>
    <x v="10"/>
    <x v="4"/>
    <x v="498"/>
    <s v="C00000013"/>
    <x v="12"/>
    <x v="239"/>
    <n v="2"/>
    <s v="Cash"/>
    <x v="0"/>
    <d v="2023-04-20T00:00:00"/>
    <x v="11"/>
    <x v="5"/>
    <n v="110.4"/>
    <n v="-110.4"/>
    <n v="0"/>
    <n v="2961756.4500000011"/>
    <s v="Chq"/>
    <s v="Trsf 20/4/23 RM14,000.09"/>
    <m/>
  </r>
  <r>
    <x v="354"/>
    <x v="10"/>
    <x v="4"/>
    <x v="498"/>
    <s v="C00000013"/>
    <x v="12"/>
    <x v="240"/>
    <n v="1"/>
    <s v="Cash"/>
    <x v="0"/>
    <d v="2023-04-20T00:00:00"/>
    <x v="11"/>
    <x v="5"/>
    <n v="1108.4000000000001"/>
    <n v="-1108.4000000000001"/>
    <n v="0"/>
    <n v="2962864.850000001"/>
    <s v="Chq"/>
    <s v="Trsf 20/4/23 RM14,000.10(RM828.80), Trsf 18/5/23 RM15,000.00(RM279.60)"/>
    <m/>
  </r>
  <r>
    <x v="355"/>
    <x v="10"/>
    <x v="4"/>
    <x v="499"/>
    <s v="C00000014"/>
    <x v="13"/>
    <x v="45"/>
    <n v="2"/>
    <s v="Cash"/>
    <x v="0"/>
    <d v="2023-04-26T00:00:00"/>
    <x v="11"/>
    <x v="5"/>
    <n v="3608"/>
    <n v="-3608"/>
    <n v="0"/>
    <n v="2966472.850000001"/>
    <s v="Cash"/>
    <s v="Cash 27/4/23 RM6,792.50"/>
    <m/>
  </r>
  <r>
    <x v="355"/>
    <x v="10"/>
    <x v="4"/>
    <x v="499"/>
    <s v="C00000014"/>
    <x v="13"/>
    <x v="157"/>
    <n v="8"/>
    <s v="Cash"/>
    <x v="0"/>
    <d v="2023-04-26T00:00:00"/>
    <x v="11"/>
    <x v="5"/>
    <n v="1896"/>
    <n v="-1896"/>
    <n v="0"/>
    <n v="2968368.850000001"/>
    <s v="Cash"/>
    <s v="Cash 27/4/23 RM6,792.50"/>
    <m/>
  </r>
  <r>
    <x v="355"/>
    <x v="10"/>
    <x v="4"/>
    <x v="499"/>
    <s v="C00000014"/>
    <x v="13"/>
    <x v="141"/>
    <n v="2"/>
    <s v="Cash"/>
    <x v="0"/>
    <d v="2023-04-26T00:00:00"/>
    <x v="11"/>
    <x v="5"/>
    <n v="320"/>
    <n v="-320"/>
    <n v="0"/>
    <n v="2968688.850000001"/>
    <s v="Cash"/>
    <s v="Cash 27/4/23 RM6,792.50"/>
    <m/>
  </r>
  <r>
    <x v="355"/>
    <x v="10"/>
    <x v="4"/>
    <x v="499"/>
    <s v="C00000014"/>
    <x v="13"/>
    <x v="132"/>
    <n v="1"/>
    <s v="Cash"/>
    <x v="0"/>
    <d v="2023-04-26T00:00:00"/>
    <x v="11"/>
    <x v="5"/>
    <n v="62.5"/>
    <n v="-62.5"/>
    <n v="0"/>
    <n v="2968751.350000001"/>
    <s v="Cash"/>
    <s v="Cash 27/4/23 RM6,792.50"/>
    <m/>
  </r>
  <r>
    <x v="355"/>
    <x v="10"/>
    <x v="4"/>
    <x v="499"/>
    <s v="C00000014"/>
    <x v="13"/>
    <x v="125"/>
    <n v="2"/>
    <s v="Cash"/>
    <x v="0"/>
    <d v="2023-04-26T00:00:00"/>
    <x v="11"/>
    <x v="5"/>
    <n v="516"/>
    <n v="-516"/>
    <n v="0"/>
    <n v="2969267.350000001"/>
    <s v="Cash"/>
    <s v="Cash 27/4/23 RM6,792.50"/>
    <m/>
  </r>
  <r>
    <x v="355"/>
    <x v="10"/>
    <x v="4"/>
    <x v="499"/>
    <s v="C00000014"/>
    <x v="13"/>
    <x v="106"/>
    <n v="2"/>
    <s v="Cash"/>
    <x v="0"/>
    <d v="2023-04-26T00:00:00"/>
    <x v="11"/>
    <x v="5"/>
    <n v="190"/>
    <n v="-190"/>
    <n v="0"/>
    <n v="2969457.350000001"/>
    <s v="Cash"/>
    <s v="Cash 27/4/23 RM6,792.50"/>
    <m/>
  </r>
  <r>
    <x v="355"/>
    <x v="10"/>
    <x v="4"/>
    <x v="499"/>
    <s v="C00000014"/>
    <x v="13"/>
    <x v="153"/>
    <n v="4"/>
    <s v="Cash"/>
    <x v="0"/>
    <d v="2023-04-26T00:00:00"/>
    <x v="11"/>
    <x v="5"/>
    <n v="200"/>
    <n v="-200"/>
    <n v="0"/>
    <n v="2969657.350000001"/>
    <s v="Cash"/>
    <s v="Cash 27/4/23 RM6,792.50"/>
    <m/>
  </r>
  <r>
    <x v="355"/>
    <x v="10"/>
    <x v="4"/>
    <x v="500"/>
    <s v="C00000001"/>
    <x v="0"/>
    <x v="118"/>
    <n v="1"/>
    <s v="Cash"/>
    <x v="0"/>
    <d v="2023-04-26T00:00:00"/>
    <x v="11"/>
    <x v="5"/>
    <n v="1804"/>
    <n v="-1804"/>
    <n v="0"/>
    <n v="2971461.350000001"/>
    <s v="Trsf"/>
    <s v="Trsf 6/5/23 RM2,716.00"/>
    <m/>
  </r>
  <r>
    <x v="355"/>
    <x v="10"/>
    <x v="4"/>
    <x v="500"/>
    <s v="C00000001"/>
    <x v="0"/>
    <x v="100"/>
    <n v="4"/>
    <s v="Cash"/>
    <x v="0"/>
    <d v="2023-04-26T00:00:00"/>
    <x v="11"/>
    <x v="5"/>
    <n v="912"/>
    <n v="-912"/>
    <n v="0"/>
    <n v="2972373.350000001"/>
    <s v="Trsf"/>
    <s v="Trsf 6/5/23 RM2,716.00"/>
    <m/>
  </r>
  <r>
    <x v="356"/>
    <x v="10"/>
    <x v="4"/>
    <x v="501"/>
    <s v="C00000019"/>
    <x v="18"/>
    <x v="120"/>
    <n v="2"/>
    <s v="Cash"/>
    <x v="0"/>
    <d v="2023-04-27T00:00:00"/>
    <x v="11"/>
    <x v="5"/>
    <n v="3608"/>
    <n v="-3608"/>
    <n v="0"/>
    <n v="2975981.350000001"/>
    <s v="Trsf"/>
    <s v="Trsf 14/8/23 RM1,500.00(RM568.90), Trsf 26/8/23 RM1,000.00(RM1,000.00), Trsf 1/9/23 RM1,000.00(RM1,000.00), Trsf 5/9/23 RM1,000.00(RM1,000.00), Trsf 5/9/23 RM1,000.00(39.10)"/>
    <m/>
  </r>
  <r>
    <x v="356"/>
    <x v="10"/>
    <x v="4"/>
    <x v="501"/>
    <s v="C00000019"/>
    <x v="18"/>
    <x v="226"/>
    <n v="2"/>
    <s v="Cash"/>
    <x v="0"/>
    <d v="2023-04-27T00:00:00"/>
    <x v="11"/>
    <x v="5"/>
    <n v="842.4"/>
    <n v="-842.4"/>
    <n v="0"/>
    <n v="2976823.7500000009"/>
    <s v="Trsf"/>
    <s v="Trsf 5/9/23 RM1,000.00(RM842.40)"/>
    <m/>
  </r>
  <r>
    <x v="356"/>
    <x v="10"/>
    <x v="4"/>
    <x v="501"/>
    <s v="C00000019"/>
    <x v="18"/>
    <x v="132"/>
    <n v="3"/>
    <s v="Cash"/>
    <x v="0"/>
    <d v="2023-04-27T00:00:00"/>
    <x v="11"/>
    <x v="5"/>
    <n v="187.5"/>
    <n v="-187.5"/>
    <n v="0"/>
    <n v="2977011.2500000009"/>
    <s v="Trsf"/>
    <s v="Trsf 5/9/23 RM1,000.00(RM118.50), Trsf 8/9/23 RM500.00(RM69.00)"/>
    <m/>
  </r>
  <r>
    <x v="356"/>
    <x v="10"/>
    <x v="4"/>
    <x v="501"/>
    <s v="C00000019"/>
    <x v="18"/>
    <x v="241"/>
    <n v="1"/>
    <s v="Cash"/>
    <x v="0"/>
    <d v="2023-04-27T00:00:00"/>
    <x v="11"/>
    <x v="5"/>
    <n v="150"/>
    <n v="-150"/>
    <n v="0"/>
    <n v="2977161.2500000009"/>
    <s v="Trsf"/>
    <s v="Trsf 8/9/23 RM500.00(RM150.00)"/>
    <m/>
  </r>
  <r>
    <x v="356"/>
    <x v="10"/>
    <x v="4"/>
    <x v="501"/>
    <s v="C00000019"/>
    <x v="18"/>
    <x v="242"/>
    <n v="1"/>
    <s v="Cash"/>
    <x v="0"/>
    <d v="2023-04-27T00:00:00"/>
    <x v="11"/>
    <x v="5"/>
    <n v="160"/>
    <n v="-160"/>
    <n v="0"/>
    <n v="2977321.2500000009"/>
    <s v="Trsf"/>
    <s v="Trsf 8/9/23 RM500.00(RM160.00)"/>
    <m/>
  </r>
  <r>
    <x v="357"/>
    <x v="10"/>
    <x v="4"/>
    <x v="502"/>
    <s v="C00000020"/>
    <x v="19"/>
    <x v="121"/>
    <n v="1"/>
    <s v="Cash"/>
    <x v="0"/>
    <d v="2023-04-25T00:00:00"/>
    <x v="11"/>
    <x v="5"/>
    <n v="1782"/>
    <m/>
    <n v="1782"/>
    <n v="2979103.2500000009"/>
    <s v="Trsf"/>
    <m/>
    <m/>
  </r>
  <r>
    <x v="357"/>
    <x v="10"/>
    <x v="4"/>
    <x v="502"/>
    <s v="C00000020"/>
    <x v="19"/>
    <x v="216"/>
    <n v="3"/>
    <s v="Cash"/>
    <x v="0"/>
    <d v="2023-04-25T00:00:00"/>
    <x v="11"/>
    <x v="5"/>
    <n v="684"/>
    <m/>
    <n v="684"/>
    <n v="2979787.2500000009"/>
    <s v="Trsf"/>
    <m/>
    <m/>
  </r>
  <r>
    <x v="358"/>
    <x v="10"/>
    <x v="4"/>
    <x v="503"/>
    <s v="C00000021"/>
    <x v="21"/>
    <x v="118"/>
    <n v="1"/>
    <s v="Cash"/>
    <x v="0"/>
    <d v="2023-04-28T00:00:00"/>
    <x v="11"/>
    <x v="5"/>
    <n v="1870"/>
    <m/>
    <n v="1870"/>
    <n v="2981657.2500000009"/>
    <s v="PD Chq"/>
    <m/>
    <m/>
  </r>
  <r>
    <x v="358"/>
    <x v="10"/>
    <x v="4"/>
    <x v="503"/>
    <s v="C00000021"/>
    <x v="21"/>
    <x v="171"/>
    <n v="1"/>
    <s v="Cash"/>
    <x v="0"/>
    <d v="2023-04-28T00:00:00"/>
    <x v="11"/>
    <x v="5"/>
    <n v="95"/>
    <m/>
    <n v="95"/>
    <n v="2981752.2500000009"/>
    <s v="PD Chq"/>
    <m/>
    <m/>
  </r>
  <r>
    <x v="356"/>
    <x v="10"/>
    <x v="4"/>
    <x v="504"/>
    <s v="C00000019"/>
    <x v="18"/>
    <x v="243"/>
    <n v="1"/>
    <s v="Cash"/>
    <x v="0"/>
    <d v="2023-04-27T00:00:00"/>
    <x v="11"/>
    <x v="5"/>
    <n v="322.5"/>
    <n v="-322.5"/>
    <n v="0"/>
    <n v="2982074.7500000009"/>
    <s v="Trsf"/>
    <s v="Trsf 8/9/23 RM500.00(RM121.00), Trsf 2/10/23 RM1,000.00(RM201.50)"/>
    <m/>
  </r>
  <r>
    <x v="356"/>
    <x v="10"/>
    <x v="4"/>
    <x v="504"/>
    <s v="C00000019"/>
    <x v="18"/>
    <x v="244"/>
    <n v="1"/>
    <s v="Cash"/>
    <x v="0"/>
    <d v="2023-04-27T00:00:00"/>
    <x v="11"/>
    <x v="5"/>
    <n v="390"/>
    <n v="-390"/>
    <n v="0"/>
    <n v="2982464.7500000009"/>
    <s v="Trsf"/>
    <s v="Trsf 2/10/23 RM1,000.00(RM390.00)"/>
    <m/>
  </r>
  <r>
    <x v="359"/>
    <x v="11"/>
    <x v="4"/>
    <x v="505"/>
    <s v="C00000037"/>
    <x v="38"/>
    <x v="120"/>
    <n v="1"/>
    <n v="30"/>
    <x v="5"/>
    <d v="2023-06-01T00:00:00"/>
    <x v="1"/>
    <x v="5"/>
    <n v="1870"/>
    <n v="-1870"/>
    <n v="0"/>
    <n v="2984334.7500000009"/>
    <s v="Chq"/>
    <s v="MBB 014791 cleared 030523 RM2,856.40"/>
    <m/>
  </r>
  <r>
    <x v="359"/>
    <x v="11"/>
    <x v="4"/>
    <x v="505"/>
    <s v="C00000037"/>
    <x v="38"/>
    <x v="112"/>
    <n v="2"/>
    <n v="30"/>
    <x v="5"/>
    <d v="2023-06-01T00:00:00"/>
    <x v="1"/>
    <x v="5"/>
    <n v="842.4"/>
    <n v="-842.4"/>
    <n v="0"/>
    <n v="2985177.1500000008"/>
    <s v="Chq"/>
    <s v="MBB 014791 cleared 030523 RM2,856.40"/>
    <m/>
  </r>
  <r>
    <x v="359"/>
    <x v="11"/>
    <x v="4"/>
    <x v="505"/>
    <s v="C00000037"/>
    <x v="38"/>
    <x v="224"/>
    <n v="3"/>
    <n v="30"/>
    <x v="5"/>
    <d v="2023-06-01T00:00:00"/>
    <x v="1"/>
    <x v="5"/>
    <n v="144"/>
    <n v="-144"/>
    <n v="0"/>
    <n v="2985321.1500000008"/>
    <s v="Chq"/>
    <s v="MBB 014791 cleared 030523 RM2,856.40"/>
    <m/>
  </r>
  <r>
    <x v="359"/>
    <x v="11"/>
    <x v="4"/>
    <x v="506"/>
    <s v="C00000034"/>
    <x v="35"/>
    <x v="217"/>
    <n v="3"/>
    <s v="Cash"/>
    <x v="0"/>
    <d v="2023-05-02T00:00:00"/>
    <x v="12"/>
    <x v="5"/>
    <n v="5610"/>
    <n v="-5610"/>
    <n v="0"/>
    <n v="2990931.1500000008"/>
    <s v="Trsf"/>
    <s v="Trsf 2/5/23 RM7,908.00"/>
    <m/>
  </r>
  <r>
    <x v="359"/>
    <x v="11"/>
    <x v="4"/>
    <x v="506"/>
    <s v="C00000034"/>
    <x v="35"/>
    <x v="171"/>
    <n v="3"/>
    <s v="Cash"/>
    <x v="0"/>
    <d v="2023-05-02T00:00:00"/>
    <x v="12"/>
    <x v="5"/>
    <n v="300"/>
    <n v="-300"/>
    <n v="0"/>
    <n v="2991231.1500000008"/>
    <s v="Trsf"/>
    <s v="Trsf 2/5/23 RM7,908.00"/>
    <m/>
  </r>
  <r>
    <x v="359"/>
    <x v="11"/>
    <x v="4"/>
    <x v="506"/>
    <s v="C00000034"/>
    <x v="35"/>
    <x v="132"/>
    <n v="3"/>
    <s v="Cash"/>
    <x v="0"/>
    <d v="2023-05-02T00:00:00"/>
    <x v="12"/>
    <x v="5"/>
    <n v="187.5"/>
    <n v="-187.5"/>
    <n v="0"/>
    <n v="2991418.6500000008"/>
    <s v="Trsf"/>
    <s v="Trsf 2/5/23 RM7,908.00"/>
    <m/>
  </r>
  <r>
    <x v="359"/>
    <x v="11"/>
    <x v="4"/>
    <x v="506"/>
    <s v="C00000034"/>
    <x v="35"/>
    <x v="216"/>
    <n v="5"/>
    <s v="Cash"/>
    <x v="0"/>
    <d v="2023-05-02T00:00:00"/>
    <x v="12"/>
    <x v="5"/>
    <n v="1125"/>
    <n v="-1125"/>
    <n v="0"/>
    <n v="2992543.6500000008"/>
    <s v="Trsf"/>
    <s v="Trsf 2/5/23 RM7,908.00"/>
    <m/>
  </r>
  <r>
    <x v="359"/>
    <x v="11"/>
    <x v="4"/>
    <x v="506"/>
    <s v="C00000034"/>
    <x v="35"/>
    <x v="220"/>
    <n v="2"/>
    <s v="Cash"/>
    <x v="0"/>
    <d v="2023-05-02T00:00:00"/>
    <x v="12"/>
    <x v="5"/>
    <n v="450"/>
    <n v="-450"/>
    <n v="0"/>
    <n v="2992993.6500000008"/>
    <s v="Trsf"/>
    <s v="Trsf 2/5/23 RM7,908.00"/>
    <m/>
  </r>
  <r>
    <x v="359"/>
    <x v="11"/>
    <x v="4"/>
    <x v="506"/>
    <s v="C00000034"/>
    <x v="35"/>
    <x v="101"/>
    <n v="1"/>
    <s v="Cash"/>
    <x v="0"/>
    <d v="2023-05-02T00:00:00"/>
    <x v="12"/>
    <x v="5"/>
    <n v="236"/>
    <n v="-236"/>
    <n v="0"/>
    <n v="2993229.6500000008"/>
    <s v="Trsf"/>
    <s v="Trsf 2/5/23 RM7,908.00(RM235.50), Trsf 2/5/23 RM2,903.00(RM0.50)"/>
    <m/>
  </r>
  <r>
    <x v="359"/>
    <x v="11"/>
    <x v="4"/>
    <x v="507"/>
    <s v="C00000020"/>
    <x v="19"/>
    <x v="132"/>
    <n v="3"/>
    <s v="Cash"/>
    <x v="0"/>
    <d v="2023-05-02T00:00:00"/>
    <x v="12"/>
    <x v="5"/>
    <n v="187.5"/>
    <m/>
    <n v="187.5"/>
    <n v="2993417.1500000008"/>
    <s v="Trsf"/>
    <m/>
    <m/>
  </r>
  <r>
    <x v="359"/>
    <x v="11"/>
    <x v="4"/>
    <x v="508"/>
    <s v="C00000020"/>
    <x v="19"/>
    <x v="120"/>
    <n v="3"/>
    <s v="Cash"/>
    <x v="0"/>
    <d v="2023-05-02T00:00:00"/>
    <x v="12"/>
    <x v="5"/>
    <n v="5412"/>
    <m/>
    <n v="5412"/>
    <n v="2998829.1500000008"/>
    <s v="Trsf"/>
    <m/>
    <m/>
  </r>
  <r>
    <x v="359"/>
    <x v="11"/>
    <x v="4"/>
    <x v="508"/>
    <s v="C00000020"/>
    <x v="19"/>
    <x v="100"/>
    <n v="10"/>
    <s v="Cash"/>
    <x v="0"/>
    <d v="2023-05-02T00:00:00"/>
    <x v="12"/>
    <x v="5"/>
    <n v="2280"/>
    <m/>
    <n v="2280"/>
    <n v="3001109.1500000008"/>
    <s v="Trsf"/>
    <m/>
    <m/>
  </r>
  <r>
    <x v="359"/>
    <x v="11"/>
    <x v="4"/>
    <x v="508"/>
    <s v="C00000020"/>
    <x v="19"/>
    <x v="229"/>
    <n v="6"/>
    <s v="Cash"/>
    <x v="0"/>
    <d v="2023-05-02T00:00:00"/>
    <x v="12"/>
    <x v="5"/>
    <n v="1587.6000000000001"/>
    <m/>
    <n v="1587.6000000000001"/>
    <n v="3002696.7500000009"/>
    <s v="Trsf"/>
    <m/>
    <m/>
  </r>
  <r>
    <x v="359"/>
    <x v="11"/>
    <x v="4"/>
    <x v="508"/>
    <s v="C00000020"/>
    <x v="19"/>
    <x v="106"/>
    <n v="4"/>
    <s v="Cash"/>
    <x v="0"/>
    <d v="2023-05-02T00:00:00"/>
    <x v="12"/>
    <x v="5"/>
    <n v="380"/>
    <m/>
    <n v="380"/>
    <n v="3003076.7500000009"/>
    <s v="Trsf"/>
    <m/>
    <m/>
  </r>
  <r>
    <x v="359"/>
    <x v="11"/>
    <x v="4"/>
    <x v="508"/>
    <s v="C00000020"/>
    <x v="19"/>
    <x v="245"/>
    <n v="1"/>
    <s v="Cash"/>
    <x v="0"/>
    <d v="2023-05-02T00:00:00"/>
    <x v="12"/>
    <x v="5"/>
    <n v="420"/>
    <m/>
    <n v="420"/>
    <n v="3003496.7500000009"/>
    <s v="Trsf"/>
    <m/>
    <m/>
  </r>
  <r>
    <x v="360"/>
    <x v="11"/>
    <x v="4"/>
    <x v="509"/>
    <s v="C00000027"/>
    <x v="28"/>
    <x v="118"/>
    <n v="2"/>
    <s v="Cash"/>
    <x v="0"/>
    <d v="2023-05-06T00:00:00"/>
    <x v="12"/>
    <x v="5"/>
    <n v="3784"/>
    <m/>
    <n v="3784"/>
    <n v="3007280.7500000009"/>
    <s v="Trsf"/>
    <m/>
    <m/>
  </r>
  <r>
    <x v="361"/>
    <x v="11"/>
    <x v="4"/>
    <x v="510"/>
    <s v="C00000034"/>
    <x v="35"/>
    <x v="46"/>
    <n v="1"/>
    <s v="Cash"/>
    <x v="0"/>
    <d v="2023-05-08T00:00:00"/>
    <x v="12"/>
    <x v="5"/>
    <n v="1912.5"/>
    <n v="-1912.5"/>
    <n v="0"/>
    <n v="3009193.2500000009"/>
    <s v="Trsf"/>
    <s v="Trsf 2/5/23 RM2,903.00(RM1,912.50)"/>
    <m/>
  </r>
  <r>
    <x v="361"/>
    <x v="11"/>
    <x v="4"/>
    <x v="510"/>
    <s v="C00000034"/>
    <x v="35"/>
    <x v="171"/>
    <n v="1"/>
    <s v="Cash"/>
    <x v="0"/>
    <d v="2023-05-08T00:00:00"/>
    <x v="12"/>
    <x v="5"/>
    <n v="100"/>
    <n v="-100"/>
    <n v="0"/>
    <n v="3009293.2500000009"/>
    <s v="Trsf"/>
    <s v="Trsf 8/5/23 RM2,903.00(RM100.00)"/>
    <m/>
  </r>
  <r>
    <x v="361"/>
    <x v="11"/>
    <x v="4"/>
    <x v="510"/>
    <s v="C00000034"/>
    <x v="35"/>
    <x v="132"/>
    <n v="4"/>
    <s v="Cash"/>
    <x v="0"/>
    <d v="2023-05-08T00:00:00"/>
    <x v="12"/>
    <x v="5"/>
    <n v="250"/>
    <n v="-250"/>
    <n v="0"/>
    <n v="3009543.2500000009"/>
    <s v="Trsf"/>
    <s v="Trsf 8/5/23 RM2,903.00(RM250.00)"/>
    <m/>
  </r>
  <r>
    <x v="361"/>
    <x v="11"/>
    <x v="4"/>
    <x v="510"/>
    <s v="C00000034"/>
    <x v="35"/>
    <x v="246"/>
    <n v="4"/>
    <s v="Cash"/>
    <x v="0"/>
    <d v="2023-05-08T00:00:00"/>
    <x v="12"/>
    <x v="5"/>
    <n v="640"/>
    <n v="-640"/>
    <n v="0"/>
    <n v="3010183.2500000009"/>
    <s v="Trsf"/>
    <s v="Trsf 8/5/23 RM2,903.00(RM640.00)"/>
    <m/>
  </r>
  <r>
    <x v="361"/>
    <x v="11"/>
    <x v="4"/>
    <x v="511"/>
    <s v="C00000009"/>
    <x v="8"/>
    <x v="4"/>
    <n v="2"/>
    <n v="60"/>
    <x v="3"/>
    <d v="2023-07-07T00:00:00"/>
    <x v="4"/>
    <x v="5"/>
    <n v="220"/>
    <n v="-220"/>
    <n v="0"/>
    <n v="3010403.2500000009"/>
    <s v="Chq"/>
    <s v="Chq HL 022469 dd 20/10/23 RM4,841.20"/>
    <m/>
  </r>
  <r>
    <x v="361"/>
    <x v="11"/>
    <x v="4"/>
    <x v="512"/>
    <s v="C00000020"/>
    <x v="19"/>
    <x v="132"/>
    <n v="15"/>
    <s v="Cash"/>
    <x v="0"/>
    <d v="2023-05-08T00:00:00"/>
    <x v="12"/>
    <x v="5"/>
    <n v="937.5"/>
    <m/>
    <n v="937.5"/>
    <n v="3011340.7500000009"/>
    <s v="Trsf"/>
    <m/>
    <m/>
  </r>
  <r>
    <x v="361"/>
    <x v="11"/>
    <x v="4"/>
    <x v="513"/>
    <s v="C00000020"/>
    <x v="19"/>
    <x v="120"/>
    <n v="15"/>
    <s v="Cash"/>
    <x v="0"/>
    <d v="2023-05-08T00:00:00"/>
    <x v="12"/>
    <x v="5"/>
    <n v="27060"/>
    <m/>
    <n v="27060"/>
    <n v="3038400.7500000009"/>
    <s v="Trsf"/>
    <m/>
    <m/>
  </r>
  <r>
    <x v="361"/>
    <x v="11"/>
    <x v="4"/>
    <x v="513"/>
    <s v="C00000020"/>
    <x v="19"/>
    <x v="100"/>
    <n v="45"/>
    <s v="Cash"/>
    <x v="0"/>
    <d v="2023-05-08T00:00:00"/>
    <x v="12"/>
    <x v="5"/>
    <n v="10260"/>
    <m/>
    <n v="10260"/>
    <n v="3048660.7500000009"/>
    <s v="Trsf"/>
    <m/>
    <m/>
  </r>
  <r>
    <x v="361"/>
    <x v="11"/>
    <x v="4"/>
    <x v="513"/>
    <s v="C00000020"/>
    <x v="19"/>
    <x v="229"/>
    <n v="22"/>
    <s v="Cash"/>
    <x v="0"/>
    <d v="2023-05-08T00:00:00"/>
    <x v="12"/>
    <x v="5"/>
    <n v="5821.2000000000007"/>
    <m/>
    <n v="5821.2000000000007"/>
    <n v="3054481.9500000011"/>
    <s v="Trsf"/>
    <m/>
    <m/>
  </r>
  <r>
    <x v="361"/>
    <x v="11"/>
    <x v="4"/>
    <x v="513"/>
    <s v="C00000020"/>
    <x v="19"/>
    <x v="171"/>
    <n v="8"/>
    <s v="Cash"/>
    <x v="0"/>
    <d v="2023-05-08T00:00:00"/>
    <x v="12"/>
    <x v="5"/>
    <n v="760"/>
    <m/>
    <n v="760"/>
    <n v="3055241.9500000011"/>
    <s v="Trsf"/>
    <m/>
    <m/>
  </r>
  <r>
    <x v="361"/>
    <x v="11"/>
    <x v="4"/>
    <x v="513"/>
    <s v="C00000020"/>
    <x v="19"/>
    <x v="159"/>
    <n v="2"/>
    <s v="Cash"/>
    <x v="0"/>
    <d v="2023-05-08T00:00:00"/>
    <x v="12"/>
    <x v="5"/>
    <n v="2000"/>
    <m/>
    <n v="2000"/>
    <n v="3057241.9500000011"/>
    <s v="Trsf"/>
    <m/>
    <m/>
  </r>
  <r>
    <x v="361"/>
    <x v="11"/>
    <x v="4"/>
    <x v="514"/>
    <s v="C00000014"/>
    <x v="13"/>
    <x v="45"/>
    <n v="3"/>
    <s v="Cash"/>
    <x v="0"/>
    <d v="2023-05-08T00:00:00"/>
    <x v="12"/>
    <x v="5"/>
    <n v="5412"/>
    <n v="-5412"/>
    <n v="0"/>
    <n v="3062653.9500000011"/>
    <s v="Cash"/>
    <s v="Cash 12/5/23 RM9,692.50"/>
    <m/>
  </r>
  <r>
    <x v="361"/>
    <x v="11"/>
    <x v="4"/>
    <x v="514"/>
    <s v="C00000014"/>
    <x v="13"/>
    <x v="157"/>
    <n v="5"/>
    <s v="Cash"/>
    <x v="0"/>
    <d v="2023-05-08T00:00:00"/>
    <x v="12"/>
    <x v="5"/>
    <n v="1185"/>
    <n v="-1185"/>
    <n v="0"/>
    <n v="3063838.9500000011"/>
    <s v="Cash"/>
    <s v="Cash 12/5/23 RM9,692.50"/>
    <m/>
  </r>
  <r>
    <x v="361"/>
    <x v="11"/>
    <x v="4"/>
    <x v="514"/>
    <s v="C00000014"/>
    <x v="13"/>
    <x v="141"/>
    <n v="4"/>
    <s v="Cash"/>
    <x v="0"/>
    <d v="2023-05-08T00:00:00"/>
    <x v="12"/>
    <x v="5"/>
    <n v="640"/>
    <n v="-640"/>
    <n v="0"/>
    <n v="3064478.9500000011"/>
    <s v="Cash"/>
    <s v="Cash 12/5/23 RM9,692.50"/>
    <m/>
  </r>
  <r>
    <x v="361"/>
    <x v="11"/>
    <x v="4"/>
    <x v="514"/>
    <s v="C00000014"/>
    <x v="13"/>
    <x v="132"/>
    <n v="3"/>
    <s v="Cash"/>
    <x v="0"/>
    <d v="2023-05-08T00:00:00"/>
    <x v="12"/>
    <x v="5"/>
    <n v="187.5"/>
    <n v="-187.5"/>
    <n v="0"/>
    <n v="3064666.4500000011"/>
    <s v="Cash"/>
    <s v="Cash 12/5/23 RM9,692.50"/>
    <m/>
  </r>
  <r>
    <x v="361"/>
    <x v="11"/>
    <x v="4"/>
    <x v="514"/>
    <s v="C00000014"/>
    <x v="13"/>
    <x v="125"/>
    <n v="6"/>
    <s v="Cash"/>
    <x v="0"/>
    <d v="2023-05-08T00:00:00"/>
    <x v="12"/>
    <x v="5"/>
    <n v="1548"/>
    <n v="-1548"/>
    <n v="0"/>
    <n v="3066214.4500000011"/>
    <s v="Cash"/>
    <s v="Cash 12/5/23 RM9,692.50"/>
    <m/>
  </r>
  <r>
    <x v="361"/>
    <x v="11"/>
    <x v="4"/>
    <x v="514"/>
    <s v="C00000014"/>
    <x v="13"/>
    <x v="106"/>
    <n v="2"/>
    <s v="Cash"/>
    <x v="0"/>
    <d v="2023-05-08T00:00:00"/>
    <x v="12"/>
    <x v="5"/>
    <n v="190"/>
    <n v="-190"/>
    <n v="0"/>
    <n v="3066404.4500000011"/>
    <s v="Cash"/>
    <s v="Cash 12/5/23 RM9,692.50"/>
    <m/>
  </r>
  <r>
    <x v="361"/>
    <x v="11"/>
    <x v="4"/>
    <x v="514"/>
    <s v="C00000014"/>
    <x v="13"/>
    <x v="153"/>
    <n v="4"/>
    <s v="Cash"/>
    <x v="0"/>
    <d v="2023-05-08T00:00:00"/>
    <x v="12"/>
    <x v="5"/>
    <n v="200"/>
    <n v="-200"/>
    <n v="0"/>
    <n v="3066604.4500000011"/>
    <s v="Cash"/>
    <s v="Cash 12/5/23 RM9,692.50"/>
    <m/>
  </r>
  <r>
    <x v="361"/>
    <x v="11"/>
    <x v="4"/>
    <x v="514"/>
    <s v="C00000014"/>
    <x v="13"/>
    <x v="213"/>
    <n v="2"/>
    <s v="Cash"/>
    <x v="0"/>
    <d v="2023-05-08T00:00:00"/>
    <x v="12"/>
    <x v="5"/>
    <n v="330"/>
    <n v="-330"/>
    <n v="0"/>
    <n v="3066934.4500000011"/>
    <s v="Cash"/>
    <s v="Cash 12/5/23 RM9,692.50"/>
    <m/>
  </r>
  <r>
    <x v="362"/>
    <x v="11"/>
    <x v="4"/>
    <x v="515"/>
    <s v="C00000019"/>
    <x v="18"/>
    <x v="120"/>
    <n v="2"/>
    <s v="Cash"/>
    <x v="0"/>
    <d v="2023-05-12T00:00:00"/>
    <x v="12"/>
    <x v="5"/>
    <n v="3652"/>
    <n v="-3652"/>
    <n v="0"/>
    <n v="3070586.4500000011"/>
    <s v="Trsf"/>
    <s v="Trsf 2/10/23 RM1,000.00(RM408.50), 26/10/23 RM2,000.00(RM2,000.00), 3/11/23 RM1,000.00(RM1,000.00), 14/11/23 RM2,300.00(RM243.50)"/>
    <m/>
  </r>
  <r>
    <x v="362"/>
    <x v="11"/>
    <x v="4"/>
    <x v="515"/>
    <s v="C00000019"/>
    <x v="18"/>
    <x v="226"/>
    <n v="1"/>
    <s v="Cash"/>
    <x v="0"/>
    <d v="2023-05-12T00:00:00"/>
    <x v="12"/>
    <x v="5"/>
    <n v="421.2"/>
    <n v="-421.2"/>
    <n v="0"/>
    <n v="3071007.6500000013"/>
    <s v="Trsf"/>
    <s v="Trsf 14/11/23 RM2,300.00(RM421.20)"/>
    <m/>
  </r>
  <r>
    <x v="362"/>
    <x v="11"/>
    <x v="4"/>
    <x v="515"/>
    <s v="C00000019"/>
    <x v="18"/>
    <x v="132"/>
    <n v="3"/>
    <s v="Cash"/>
    <x v="0"/>
    <d v="2023-05-12T00:00:00"/>
    <x v="12"/>
    <x v="5"/>
    <n v="187.5"/>
    <n v="-187.5"/>
    <n v="0"/>
    <n v="3071195.1500000013"/>
    <s v="Trsf"/>
    <s v="Trsf 14/11/23 RM2,300.00(RM187.50)"/>
    <m/>
  </r>
  <r>
    <x v="362"/>
    <x v="11"/>
    <x v="4"/>
    <x v="515"/>
    <s v="C00000019"/>
    <x v="18"/>
    <x v="182"/>
    <n v="1"/>
    <s v="Cash"/>
    <x v="0"/>
    <d v="2023-05-12T00:00:00"/>
    <x v="12"/>
    <x v="5"/>
    <n v="420"/>
    <n v="-420"/>
    <n v="0"/>
    <n v="3071615.1500000013"/>
    <s v="Trsf"/>
    <s v="Trsf 14/11/23 RM2,300.00(RM420.00)"/>
    <m/>
  </r>
  <r>
    <x v="362"/>
    <x v="11"/>
    <x v="4"/>
    <x v="515"/>
    <s v="C00000019"/>
    <x v="18"/>
    <x v="4"/>
    <n v="1"/>
    <s v="Cash"/>
    <x v="0"/>
    <d v="2023-05-12T00:00:00"/>
    <x v="12"/>
    <x v="5"/>
    <n v="105"/>
    <n v="-105"/>
    <n v="0"/>
    <n v="3071720.1500000013"/>
    <s v="Trsf"/>
    <s v="Trsf 14/11/23 RM2,300.00(RM105.00)"/>
    <m/>
  </r>
  <r>
    <x v="363"/>
    <x v="11"/>
    <x v="4"/>
    <x v="516"/>
    <s v="C00000010"/>
    <x v="9"/>
    <x v="223"/>
    <n v="6"/>
    <n v="120"/>
    <x v="2"/>
    <d v="2023-09-07T00:00:00"/>
    <x v="6"/>
    <x v="5"/>
    <n v="10032"/>
    <n v="-10032"/>
    <n v="0"/>
    <n v="3081752.1500000013"/>
    <s v="Trsf"/>
    <s v="Trsf 24/8/23 RM11,813.50"/>
    <m/>
  </r>
  <r>
    <x v="363"/>
    <x v="11"/>
    <x v="4"/>
    <x v="516"/>
    <s v="C00000010"/>
    <x v="9"/>
    <x v="247"/>
    <n v="6"/>
    <n v="120"/>
    <x v="2"/>
    <d v="2023-09-07T00:00:00"/>
    <x v="6"/>
    <x v="5"/>
    <n v="1206"/>
    <n v="-1206"/>
    <n v="0"/>
    <n v="3082958.1500000013"/>
    <s v="Trsf"/>
    <s v="Trsf 24/8/23 RM11,813.50"/>
    <m/>
  </r>
  <r>
    <x v="363"/>
    <x v="11"/>
    <x v="4"/>
    <x v="516"/>
    <s v="C00000010"/>
    <x v="9"/>
    <x v="132"/>
    <n v="10"/>
    <n v="120"/>
    <x v="2"/>
    <d v="2023-09-07T00:00:00"/>
    <x v="6"/>
    <x v="5"/>
    <n v="575"/>
    <n v="-575"/>
    <n v="0"/>
    <n v="3083533.1500000013"/>
    <s v="Trsf"/>
    <s v="Trsf 24/8/23 RM11,813.50"/>
    <m/>
  </r>
  <r>
    <x v="364"/>
    <x v="11"/>
    <x v="4"/>
    <x v="517"/>
    <s v="C00000037"/>
    <x v="38"/>
    <x v="120"/>
    <n v="4"/>
    <n v="30"/>
    <x v="5"/>
    <d v="2023-06-14T00:00:00"/>
    <x v="1"/>
    <x v="5"/>
    <n v="7480"/>
    <n v="-7480"/>
    <n v="0"/>
    <n v="3091013.1500000013"/>
    <s v="Chq"/>
    <s v="MBB 014846 cleared 150623 RM13,214.50"/>
    <m/>
  </r>
  <r>
    <x v="364"/>
    <x v="11"/>
    <x v="4"/>
    <x v="517"/>
    <s v="C00000037"/>
    <x v="38"/>
    <x v="248"/>
    <n v="5"/>
    <n v="30"/>
    <x v="5"/>
    <d v="2023-06-14T00:00:00"/>
    <x v="1"/>
    <x v="5"/>
    <n v="2613"/>
    <n v="-2613"/>
    <n v="0"/>
    <n v="3093626.1500000013"/>
    <s v="Chq"/>
    <s v="MBB 014846 cleared 150623 RM13,214.50"/>
    <m/>
  </r>
  <r>
    <x v="364"/>
    <x v="11"/>
    <x v="4"/>
    <x v="517"/>
    <s v="C00000037"/>
    <x v="38"/>
    <x v="224"/>
    <n v="3"/>
    <n v="30"/>
    <x v="5"/>
    <d v="2023-06-14T00:00:00"/>
    <x v="1"/>
    <x v="5"/>
    <n v="144"/>
    <n v="-144"/>
    <n v="0"/>
    <n v="3093770.1500000013"/>
    <s v="Chq"/>
    <s v="MBB 014846 cleared 150623 RM13,214.50"/>
    <m/>
  </r>
  <r>
    <x v="364"/>
    <x v="11"/>
    <x v="4"/>
    <x v="517"/>
    <s v="C00000037"/>
    <x v="38"/>
    <x v="171"/>
    <n v="3"/>
    <n v="30"/>
    <x v="5"/>
    <d v="2023-06-14T00:00:00"/>
    <x v="1"/>
    <x v="5"/>
    <n v="285"/>
    <n v="-285"/>
    <n v="0"/>
    <n v="3094055.1500000013"/>
    <s v="Chq"/>
    <s v="MBB 014846 cleared 150623 RM13,214.50"/>
    <m/>
  </r>
  <r>
    <x v="364"/>
    <x v="11"/>
    <x v="4"/>
    <x v="517"/>
    <s v="C00000037"/>
    <x v="38"/>
    <x v="132"/>
    <n v="5"/>
    <n v="30"/>
    <x v="5"/>
    <d v="2023-06-14T00:00:00"/>
    <x v="1"/>
    <x v="5"/>
    <n v="312.5"/>
    <n v="-312.5"/>
    <n v="0"/>
    <n v="3094367.6500000013"/>
    <s v="Chq"/>
    <s v="MBB 014846 cleared 150623 RM13,214.50"/>
    <m/>
  </r>
  <r>
    <x v="364"/>
    <x v="11"/>
    <x v="4"/>
    <x v="517"/>
    <s v="C00000037"/>
    <x v="38"/>
    <x v="125"/>
    <n v="2"/>
    <n v="30"/>
    <x v="5"/>
    <d v="2023-06-14T00:00:00"/>
    <x v="1"/>
    <x v="5"/>
    <n v="520"/>
    <n v="-520"/>
    <n v="0"/>
    <n v="3094887.6500000013"/>
    <s v="Chq"/>
    <s v="MBB 014846 cleared 150623 RM13,214.50"/>
    <m/>
  </r>
  <r>
    <x v="364"/>
    <x v="11"/>
    <x v="4"/>
    <x v="517"/>
    <s v="C00000037"/>
    <x v="38"/>
    <x v="249"/>
    <n v="2"/>
    <n v="30"/>
    <x v="5"/>
    <d v="2023-06-14T00:00:00"/>
    <x v="1"/>
    <x v="5"/>
    <n v="1860"/>
    <n v="-1860"/>
    <n v="0"/>
    <n v="3096747.6500000013"/>
    <s v="Chq"/>
    <s v="MBB 014846 cleared 150623 RM13,214.50"/>
    <m/>
  </r>
  <r>
    <x v="365"/>
    <x v="11"/>
    <x v="4"/>
    <x v="518"/>
    <s v="C00000003"/>
    <x v="2"/>
    <x v="15"/>
    <n v="2"/>
    <n v="45"/>
    <x v="1"/>
    <d v="2023-07-01T00:00:00"/>
    <x v="4"/>
    <x v="5"/>
    <n v="3872"/>
    <n v="-3872"/>
    <n v="0"/>
    <n v="3100619.6500000013"/>
    <s v="PD Chq"/>
    <s v="RHB 00679 19/6/23 cleared RM1,500.00, RHB 00680 26/6/23 cleared RM1,500.00, RHB 00681 10/7/23 cleared RM1,292.00(RM872.00) "/>
    <m/>
  </r>
  <r>
    <x v="365"/>
    <x v="11"/>
    <x v="4"/>
    <x v="518"/>
    <s v="C00000003"/>
    <x v="2"/>
    <x v="4"/>
    <n v="4"/>
    <n v="45"/>
    <x v="1"/>
    <d v="2023-07-01T00:00:00"/>
    <x v="4"/>
    <x v="5"/>
    <n v="420"/>
    <n v="-420"/>
    <n v="0"/>
    <n v="3101039.6500000013"/>
    <s v="PD Chq"/>
    <s v="RHB 00681 10/7/23 cleared RM1,292.00(RM420.00) "/>
    <m/>
  </r>
  <r>
    <x v="365"/>
    <x v="11"/>
    <x v="4"/>
    <x v="519"/>
    <s v="C00000038"/>
    <x v="39"/>
    <x v="250"/>
    <n v="1"/>
    <s v="Cash"/>
    <x v="0"/>
    <d v="2023-05-17T00:00:00"/>
    <x v="12"/>
    <x v="5"/>
    <n v="280"/>
    <n v="-280"/>
    <n v="0"/>
    <n v="3101319.6500000013"/>
    <s v="Trsf"/>
    <s v="Trsf 17/5/23 RM698.00"/>
    <m/>
  </r>
  <r>
    <x v="365"/>
    <x v="11"/>
    <x v="4"/>
    <x v="519"/>
    <s v="C00000038"/>
    <x v="39"/>
    <x v="170"/>
    <n v="1"/>
    <s v="Cash"/>
    <x v="0"/>
    <d v="2023-05-17T00:00:00"/>
    <x v="12"/>
    <x v="5"/>
    <n v="258"/>
    <n v="-258"/>
    <n v="0"/>
    <n v="3101577.6500000013"/>
    <s v="Trsf"/>
    <s v="Trsf 17/5/23 RM698.00"/>
    <m/>
  </r>
  <r>
    <x v="365"/>
    <x v="11"/>
    <x v="4"/>
    <x v="519"/>
    <s v="C00000038"/>
    <x v="39"/>
    <x v="227"/>
    <n v="1"/>
    <s v="Cash"/>
    <x v="0"/>
    <d v="2023-05-17T00:00:00"/>
    <x v="12"/>
    <x v="5"/>
    <n v="105"/>
    <n v="-105"/>
    <n v="0"/>
    <n v="3101682.6500000013"/>
    <s v="Trsf"/>
    <s v="Trsf 17/5/23 RM698.00"/>
    <m/>
  </r>
  <r>
    <x v="365"/>
    <x v="11"/>
    <x v="4"/>
    <x v="519"/>
    <s v="C00000038"/>
    <x v="39"/>
    <x v="228"/>
    <n v="1"/>
    <s v="Cash"/>
    <x v="0"/>
    <d v="2023-05-17T00:00:00"/>
    <x v="12"/>
    <x v="5"/>
    <n v="55"/>
    <n v="-55"/>
    <n v="0"/>
    <n v="3101737.6500000013"/>
    <s v="Trsf"/>
    <s v="Trsf 17/5/23 RM698.00"/>
    <m/>
  </r>
  <r>
    <x v="365"/>
    <x v="11"/>
    <x v="4"/>
    <x v="520"/>
    <s v="C00000021"/>
    <x v="21"/>
    <x v="118"/>
    <n v="1"/>
    <s v="Cash"/>
    <x v="0"/>
    <d v="2023-05-17T00:00:00"/>
    <x v="12"/>
    <x v="5"/>
    <n v="1870"/>
    <m/>
    <n v="1870"/>
    <n v="3103607.6500000013"/>
    <s v="PD Chq"/>
    <m/>
    <m/>
  </r>
  <r>
    <x v="365"/>
    <x v="11"/>
    <x v="4"/>
    <x v="520"/>
    <s v="C00000021"/>
    <x v="21"/>
    <x v="100"/>
    <n v="2"/>
    <s v="Cash"/>
    <x v="0"/>
    <d v="2023-05-17T00:00:00"/>
    <x v="12"/>
    <x v="5"/>
    <n v="510"/>
    <m/>
    <n v="510"/>
    <n v="3104117.6500000013"/>
    <s v="PD Chq"/>
    <m/>
    <m/>
  </r>
  <r>
    <x v="365"/>
    <x v="11"/>
    <x v="4"/>
    <x v="520"/>
    <s v="C00000021"/>
    <x v="21"/>
    <x v="171"/>
    <n v="1"/>
    <s v="Cash"/>
    <x v="0"/>
    <d v="2023-05-17T00:00:00"/>
    <x v="12"/>
    <x v="5"/>
    <n v="95"/>
    <m/>
    <n v="95"/>
    <n v="3104212.6500000013"/>
    <s v="PD Chq"/>
    <m/>
    <m/>
  </r>
  <r>
    <x v="365"/>
    <x v="11"/>
    <x v="4"/>
    <x v="521"/>
    <s v="C00000013"/>
    <x v="12"/>
    <x v="230"/>
    <n v="4"/>
    <s v="Cash"/>
    <x v="0"/>
    <d v="2023-05-17T00:00:00"/>
    <x v="12"/>
    <x v="5"/>
    <n v="7304"/>
    <n v="-7304"/>
    <n v="0"/>
    <n v="3111516.6500000013"/>
    <s v="Chq"/>
    <s v="Trsf 18/5/23 RM15,000.00(RM7,304.00)"/>
    <m/>
  </r>
  <r>
    <x v="366"/>
    <x v="11"/>
    <x v="4"/>
    <x v="521"/>
    <s v="C00000013"/>
    <x v="12"/>
    <x v="231"/>
    <n v="5"/>
    <s v="Cash"/>
    <x v="0"/>
    <d v="2023-05-18T00:00:00"/>
    <x v="12"/>
    <x v="5"/>
    <n v="2133"/>
    <n v="-2133"/>
    <n v="0"/>
    <n v="3113649.6500000013"/>
    <s v="Chq"/>
    <s v="Trsf 18/5/23 RM15,000.00(RM2,133.00)"/>
    <m/>
  </r>
  <r>
    <x v="366"/>
    <x v="11"/>
    <x v="4"/>
    <x v="521"/>
    <s v="C00000013"/>
    <x v="12"/>
    <x v="232"/>
    <n v="3"/>
    <s v="Cash"/>
    <x v="0"/>
    <d v="2023-05-18T00:00:00"/>
    <x v="12"/>
    <x v="5"/>
    <n v="1279.8000000000002"/>
    <n v="-1279.8000000000002"/>
    <n v="0"/>
    <n v="3114929.4500000011"/>
    <s v="Chq"/>
    <s v="Trsf 18/5/23 RM15,000.00(RM1,279.80)"/>
    <m/>
  </r>
  <r>
    <x v="366"/>
    <x v="11"/>
    <x v="4"/>
    <x v="521"/>
    <s v="C00000013"/>
    <x v="12"/>
    <x v="233"/>
    <n v="5"/>
    <s v="Cash"/>
    <x v="0"/>
    <d v="2023-05-18T00:00:00"/>
    <x v="12"/>
    <x v="5"/>
    <n v="1290"/>
    <n v="-1290"/>
    <n v="0"/>
    <n v="3116219.4500000011"/>
    <s v="Chq"/>
    <s v="Trsf 18/5/23 RM15,000.00(RM1,290.00)"/>
    <m/>
  </r>
  <r>
    <x v="366"/>
    <x v="11"/>
    <x v="4"/>
    <x v="521"/>
    <s v="C00000013"/>
    <x v="12"/>
    <x v="234"/>
    <n v="3"/>
    <s v="Cash"/>
    <x v="0"/>
    <d v="2023-05-18T00:00:00"/>
    <x v="12"/>
    <x v="5"/>
    <n v="150"/>
    <n v="-150"/>
    <n v="0"/>
    <n v="3116369.4500000011"/>
    <s v="Chq"/>
    <s v="Trsf 18/5/23 RM15,000.00(RM150.00)"/>
    <m/>
  </r>
  <r>
    <x v="366"/>
    <x v="11"/>
    <x v="4"/>
    <x v="521"/>
    <s v="C00000013"/>
    <x v="12"/>
    <x v="235"/>
    <n v="2"/>
    <s v="Cash"/>
    <x v="0"/>
    <d v="2023-05-18T00:00:00"/>
    <x v="12"/>
    <x v="5"/>
    <n v="1600"/>
    <n v="-1600"/>
    <n v="0"/>
    <n v="3117969.4500000011"/>
    <s v="Chq"/>
    <s v="Trsf 18/5/23 RM15,000.00(RM1,600.00)"/>
    <m/>
  </r>
  <r>
    <x v="366"/>
    <x v="11"/>
    <x v="4"/>
    <x v="521"/>
    <s v="C00000013"/>
    <x v="12"/>
    <x v="236"/>
    <n v="3"/>
    <s v="Cash"/>
    <x v="0"/>
    <d v="2023-05-18T00:00:00"/>
    <x v="12"/>
    <x v="5"/>
    <n v="1290"/>
    <n v="-1290"/>
    <n v="0"/>
    <n v="3119259.4500000011"/>
    <s v="Chq"/>
    <s v="Trsf 18/5/23 RM15,000.00(RM963.60), Trsf 19/5/23 RM986.40(RM326.40)"/>
    <m/>
  </r>
  <r>
    <x v="366"/>
    <x v="11"/>
    <x v="4"/>
    <x v="521"/>
    <s v="C00000013"/>
    <x v="12"/>
    <x v="237"/>
    <n v="6"/>
    <s v="Cash"/>
    <x v="0"/>
    <d v="2023-05-18T00:00:00"/>
    <x v="12"/>
    <x v="5"/>
    <n v="660"/>
    <n v="-660"/>
    <n v="0"/>
    <n v="3119919.4500000011"/>
    <s v="Chq"/>
    <s v="Trsf 19/5/23 RM986.40(RM660.00)"/>
    <m/>
  </r>
  <r>
    <x v="366"/>
    <x v="11"/>
    <x v="4"/>
    <x v="522"/>
    <s v="C00000034"/>
    <x v="35"/>
    <x v="215"/>
    <n v="8"/>
    <s v="Cash"/>
    <x v="0"/>
    <d v="2023-05-18T00:00:00"/>
    <x v="12"/>
    <x v="5"/>
    <n v="1112"/>
    <n v="-1112"/>
    <n v="0"/>
    <n v="3121031.4500000011"/>
    <s v="Trsf"/>
    <s v="Trsf 18/5/23 RM1,174.50)"/>
    <m/>
  </r>
  <r>
    <x v="366"/>
    <x v="11"/>
    <x v="4"/>
    <x v="522"/>
    <s v="C00000034"/>
    <x v="35"/>
    <x v="132"/>
    <n v="1"/>
    <s v="Cash"/>
    <x v="0"/>
    <d v="2023-05-18T00:00:00"/>
    <x v="12"/>
    <x v="5"/>
    <n v="62.5"/>
    <n v="-62.5"/>
    <n v="0"/>
    <n v="3121093.9500000011"/>
    <s v="Trsf"/>
    <s v="Trsf 18/5/23 RM1,174.50)"/>
    <m/>
  </r>
  <r>
    <x v="367"/>
    <x v="11"/>
    <x v="4"/>
    <x v="523"/>
    <s v="C00000034"/>
    <x v="35"/>
    <x v="46"/>
    <n v="1"/>
    <s v="Cash"/>
    <x v="0"/>
    <d v="2023-05-20T00:00:00"/>
    <x v="12"/>
    <x v="5"/>
    <n v="1912.5"/>
    <n v="-1912.5"/>
    <n v="0"/>
    <n v="3123006.4500000011"/>
    <s v="Trsf"/>
    <s v="Trsf 20/5/23 "/>
    <m/>
  </r>
  <r>
    <x v="367"/>
    <x v="11"/>
    <x v="4"/>
    <x v="524"/>
    <s v="C00000020"/>
    <x v="19"/>
    <x v="132"/>
    <n v="3"/>
    <s v="Cash"/>
    <x v="0"/>
    <d v="2023-05-20T00:00:00"/>
    <x v="12"/>
    <x v="5"/>
    <n v="187.5"/>
    <m/>
    <n v="187.5"/>
    <n v="3123193.9500000011"/>
    <s v="Trsf"/>
    <m/>
    <m/>
  </r>
  <r>
    <x v="367"/>
    <x v="11"/>
    <x v="4"/>
    <x v="525"/>
    <s v="C00000020"/>
    <x v="19"/>
    <x v="120"/>
    <n v="3"/>
    <s v="Cash"/>
    <x v="0"/>
    <d v="2023-05-20T00:00:00"/>
    <x v="12"/>
    <x v="5"/>
    <n v="5412"/>
    <m/>
    <n v="5412"/>
    <n v="3128605.9500000011"/>
    <s v="Trsf"/>
    <m/>
    <m/>
  </r>
  <r>
    <x v="367"/>
    <x v="11"/>
    <x v="4"/>
    <x v="525"/>
    <s v="C00000020"/>
    <x v="19"/>
    <x v="100"/>
    <n v="11"/>
    <s v="Cash"/>
    <x v="0"/>
    <d v="2023-05-20T00:00:00"/>
    <x v="12"/>
    <x v="5"/>
    <n v="2508"/>
    <m/>
    <n v="2508"/>
    <n v="3131113.9500000011"/>
    <s v="Trsf"/>
    <m/>
    <m/>
  </r>
  <r>
    <x v="367"/>
    <x v="11"/>
    <x v="4"/>
    <x v="525"/>
    <s v="C00000020"/>
    <x v="19"/>
    <x v="229"/>
    <n v="3"/>
    <s v="Cash"/>
    <x v="0"/>
    <d v="2023-05-20T00:00:00"/>
    <x v="12"/>
    <x v="5"/>
    <n v="793.80000000000007"/>
    <m/>
    <n v="793.80000000000007"/>
    <n v="3131907.7500000009"/>
    <s v="Trsf"/>
    <m/>
    <m/>
  </r>
  <r>
    <x v="367"/>
    <x v="11"/>
    <x v="4"/>
    <x v="525"/>
    <s v="C00000020"/>
    <x v="19"/>
    <x v="159"/>
    <n v="2"/>
    <s v="Cash"/>
    <x v="0"/>
    <d v="2023-05-20T00:00:00"/>
    <x v="12"/>
    <x v="5"/>
    <n v="2000"/>
    <m/>
    <n v="2000"/>
    <n v="3133907.7500000009"/>
    <s v="Trsf"/>
    <m/>
    <m/>
  </r>
  <r>
    <x v="367"/>
    <x v="11"/>
    <x v="4"/>
    <x v="526"/>
    <s v="C00000014"/>
    <x v="13"/>
    <x v="121"/>
    <n v="1"/>
    <s v="Cash"/>
    <x v="0"/>
    <d v="2023-05-20T00:00:00"/>
    <x v="12"/>
    <x v="5"/>
    <n v="1804"/>
    <n v="-1804"/>
    <n v="0"/>
    <n v="3135711.7500000009"/>
    <s v="Cash"/>
    <s v="Cash 26/5/23 RM3,588.00"/>
    <m/>
  </r>
  <r>
    <x v="368"/>
    <x v="11"/>
    <x v="4"/>
    <x v="526"/>
    <s v="C00000014"/>
    <x v="13"/>
    <x v="157"/>
    <n v="4"/>
    <s v="Cash"/>
    <x v="0"/>
    <d v="2023-05-25T00:00:00"/>
    <x v="12"/>
    <x v="5"/>
    <n v="948"/>
    <n v="-948"/>
    <n v="0"/>
    <n v="3136659.7500000009"/>
    <s v="Cash"/>
    <s v="Cash 26/5/23 RM3,588.00"/>
    <m/>
  </r>
  <r>
    <x v="368"/>
    <x v="11"/>
    <x v="4"/>
    <x v="526"/>
    <s v="C00000014"/>
    <x v="13"/>
    <x v="125"/>
    <n v="2"/>
    <s v="Cash"/>
    <x v="0"/>
    <d v="2023-05-25T00:00:00"/>
    <x v="12"/>
    <x v="5"/>
    <n v="516"/>
    <n v="-516"/>
    <n v="0"/>
    <n v="3137175.7500000009"/>
    <s v="Cash"/>
    <s v="Cash 26/5/23 RM3,588.00"/>
    <m/>
  </r>
  <r>
    <x v="368"/>
    <x v="11"/>
    <x v="4"/>
    <x v="526"/>
    <s v="C00000014"/>
    <x v="13"/>
    <x v="141"/>
    <n v="2"/>
    <s v="Cash"/>
    <x v="0"/>
    <d v="2023-05-25T00:00:00"/>
    <x v="12"/>
    <x v="5"/>
    <n v="320"/>
    <n v="-320"/>
    <n v="0"/>
    <n v="3137495.7500000009"/>
    <s v="Cash"/>
    <s v="Cash 26/5/23 RM3,588.00"/>
    <m/>
  </r>
  <r>
    <x v="368"/>
    <x v="11"/>
    <x v="4"/>
    <x v="527"/>
    <s v="C00000038"/>
    <x v="39"/>
    <x v="251"/>
    <n v="1"/>
    <s v="Cash"/>
    <x v="0"/>
    <d v="2023-05-25T00:00:00"/>
    <x v="12"/>
    <x v="5"/>
    <n v="350"/>
    <n v="-350"/>
    <n v="0"/>
    <n v="3137845.7500000009"/>
    <s v="Trsf"/>
    <s v="Trsf 25/5/23 "/>
    <m/>
  </r>
  <r>
    <x v="369"/>
    <x v="11"/>
    <x v="4"/>
    <x v="528"/>
    <s v="C00000020"/>
    <x v="19"/>
    <x v="120"/>
    <n v="1"/>
    <s v="Cash"/>
    <x v="0"/>
    <d v="2023-05-26T00:00:00"/>
    <x v="12"/>
    <x v="5"/>
    <n v="1804"/>
    <n v="-1804"/>
    <n v="0"/>
    <n v="3139649.7500000009"/>
    <s v="Trsf"/>
    <s v="Trsf 26/5/23 RM2,815.10"/>
    <m/>
  </r>
  <r>
    <x v="369"/>
    <x v="11"/>
    <x v="4"/>
    <x v="528"/>
    <s v="C00000020"/>
    <x v="19"/>
    <x v="148"/>
    <n v="3"/>
    <s v="Cash"/>
    <x v="0"/>
    <d v="2023-05-26T00:00:00"/>
    <x v="12"/>
    <x v="5"/>
    <n v="684"/>
    <n v="-684"/>
    <n v="0"/>
    <n v="3140333.7500000009"/>
    <s v="Trsf"/>
    <s v="Trsf 26/5/23 RM2,815.10"/>
    <m/>
  </r>
  <r>
    <x v="369"/>
    <x v="11"/>
    <x v="4"/>
    <x v="528"/>
    <s v="C00000020"/>
    <x v="19"/>
    <x v="185"/>
    <n v="1"/>
    <s v="Cash"/>
    <x v="0"/>
    <d v="2023-05-26T00:00:00"/>
    <x v="12"/>
    <x v="5"/>
    <n v="264.60000000000002"/>
    <n v="-264.60000000000002"/>
    <n v="0"/>
    <n v="3140598.350000001"/>
    <s v="Trsf"/>
    <s v="Trsf 26/5/23 RM2,815.10"/>
    <m/>
  </r>
  <r>
    <x v="369"/>
    <x v="11"/>
    <x v="4"/>
    <x v="528"/>
    <s v="C00000020"/>
    <x v="19"/>
    <x v="132"/>
    <n v="1"/>
    <s v="Cash"/>
    <x v="0"/>
    <d v="2023-05-26T00:00:00"/>
    <x v="12"/>
    <x v="5"/>
    <n v="62.5"/>
    <n v="-62.5"/>
    <n v="0"/>
    <n v="3140660.850000001"/>
    <s v="Trsf"/>
    <s v="Trsf 26/5/23 RM2,815.10"/>
    <m/>
  </r>
  <r>
    <x v="369"/>
    <x v="11"/>
    <x v="4"/>
    <x v="529"/>
    <s v="C00000009"/>
    <x v="8"/>
    <x v="7"/>
    <n v="2"/>
    <n v="60"/>
    <x v="3"/>
    <d v="2023-07-25T00:00:00"/>
    <x v="4"/>
    <x v="5"/>
    <n v="3388"/>
    <n v="-3388"/>
    <n v="0"/>
    <n v="3144048.850000001"/>
    <s v="Chq"/>
    <s v="Chq HL 022469 dd 20/10/23 RM4,841.20"/>
    <m/>
  </r>
  <r>
    <x v="369"/>
    <x v="11"/>
    <x v="4"/>
    <x v="529"/>
    <s v="C00000009"/>
    <x v="8"/>
    <x v="112"/>
    <n v="2"/>
    <n v="60"/>
    <x v="3"/>
    <d v="2023-07-25T00:00:00"/>
    <x v="4"/>
    <x v="5"/>
    <n v="745.2"/>
    <n v="-745.2"/>
    <n v="0"/>
    <n v="3144794.0500000012"/>
    <s v="Chq"/>
    <s v="Chq HL 022469 dd 20/10/23 RM4,841.20"/>
    <m/>
  </r>
  <r>
    <x v="369"/>
    <x v="11"/>
    <x v="4"/>
    <x v="529"/>
    <s v="C00000009"/>
    <x v="8"/>
    <x v="125"/>
    <n v="2"/>
    <n v="60"/>
    <x v="3"/>
    <d v="2023-07-25T00:00:00"/>
    <x v="4"/>
    <x v="5"/>
    <n v="488"/>
    <n v="-488"/>
    <n v="0"/>
    <n v="3145282.0500000012"/>
    <s v="Chq"/>
    <s v="Chq HL 022469 dd 20/10/23 RM4,841.20"/>
    <m/>
  </r>
  <r>
    <x v="369"/>
    <x v="11"/>
    <x v="4"/>
    <x v="530"/>
    <s v="C00000014"/>
    <x v="13"/>
    <x v="45"/>
    <n v="1"/>
    <s v="Cash"/>
    <x v="0"/>
    <d v="2023-05-26T00:00:00"/>
    <x v="12"/>
    <x v="5"/>
    <n v="1804"/>
    <n v="-1804"/>
    <n v="0"/>
    <n v="3147086.0500000012"/>
    <s v="Cash"/>
    <s v="Cash 30/5/23 RM2,912.00"/>
    <m/>
  </r>
  <r>
    <x v="370"/>
    <x v="11"/>
    <x v="4"/>
    <x v="530"/>
    <s v="C00000014"/>
    <x v="13"/>
    <x v="157"/>
    <n v="4"/>
    <s v="Cash"/>
    <x v="0"/>
    <d v="2023-05-30T00:00:00"/>
    <x v="12"/>
    <x v="5"/>
    <n v="948"/>
    <n v="-948"/>
    <n v="0"/>
    <n v="3148034.0500000012"/>
    <s v="Cash"/>
    <s v="Cash 30/5/23 RM2,912.00"/>
    <m/>
  </r>
  <r>
    <x v="370"/>
    <x v="11"/>
    <x v="4"/>
    <x v="530"/>
    <s v="C00000014"/>
    <x v="13"/>
    <x v="141"/>
    <n v="1"/>
    <s v="Cash"/>
    <x v="0"/>
    <d v="2023-05-30T00:00:00"/>
    <x v="12"/>
    <x v="5"/>
    <n v="160"/>
    <n v="-160"/>
    <n v="0"/>
    <n v="3148194.0500000012"/>
    <s v="Cash"/>
    <s v="Cash 30/5/23 RM2,912.00"/>
    <m/>
  </r>
  <r>
    <x v="370"/>
    <x v="11"/>
    <x v="4"/>
    <x v="531"/>
    <s v="C00000034"/>
    <x v="35"/>
    <x v="252"/>
    <n v="1"/>
    <s v="Cash"/>
    <x v="0"/>
    <d v="2023-05-30T00:00:00"/>
    <x v="12"/>
    <x v="5"/>
    <n v="1870"/>
    <n v="-1870"/>
    <n v="0"/>
    <n v="3150064.0500000012"/>
    <s v="Trsf"/>
    <s v="Trsf 30/5/23 RM2,195.00"/>
    <m/>
  </r>
  <r>
    <x v="370"/>
    <x v="11"/>
    <x v="4"/>
    <x v="531"/>
    <s v="C00000034"/>
    <x v="35"/>
    <x v="253"/>
    <n v="1"/>
    <s v="Cash"/>
    <x v="0"/>
    <d v="2023-05-30T00:00:00"/>
    <x v="12"/>
    <x v="5"/>
    <n v="325"/>
    <n v="-325"/>
    <n v="0"/>
    <n v="3150389.0500000012"/>
    <s v="Trsf"/>
    <s v="Trsf 30/5/23 RM2,195.00"/>
    <m/>
  </r>
  <r>
    <x v="371"/>
    <x v="11"/>
    <x v="4"/>
    <x v="532"/>
    <s v="C00000001"/>
    <x v="0"/>
    <x v="118"/>
    <n v="2"/>
    <s v="Cash"/>
    <x v="0"/>
    <d v="2023-05-31T00:00:00"/>
    <x v="12"/>
    <x v="5"/>
    <n v="3608"/>
    <n v="-3608"/>
    <n v="0"/>
    <n v="3153997.0500000012"/>
    <s v="Trsf"/>
    <s v="Trsf 8/6/23 RM4,568.00"/>
    <m/>
  </r>
  <r>
    <x v="371"/>
    <x v="11"/>
    <x v="4"/>
    <x v="532"/>
    <s v="C00000001"/>
    <x v="0"/>
    <x v="100"/>
    <n v="2"/>
    <s v="Cash"/>
    <x v="0"/>
    <d v="2023-05-31T00:00:00"/>
    <x v="12"/>
    <x v="5"/>
    <n v="456"/>
    <n v="-456"/>
    <n v="0"/>
    <n v="3154453.0500000012"/>
    <s v="Trsf"/>
    <s v="Trsf 8/6/23 RM4,568.00"/>
    <m/>
  </r>
  <r>
    <x v="371"/>
    <x v="11"/>
    <x v="4"/>
    <x v="532"/>
    <s v="C00000001"/>
    <x v="0"/>
    <x v="135"/>
    <n v="2"/>
    <s v="Cash"/>
    <x v="0"/>
    <d v="2023-05-31T00:00:00"/>
    <x v="12"/>
    <x v="5"/>
    <n v="504"/>
    <n v="-504"/>
    <n v="0"/>
    <n v="3154957.0500000012"/>
    <s v="Trsf"/>
    <s v="Trsf 8/6/23 RM4,568.00"/>
    <m/>
  </r>
  <r>
    <x v="372"/>
    <x v="1"/>
    <x v="4"/>
    <x v="533"/>
    <s v="C00000038"/>
    <x v="39"/>
    <x v="251"/>
    <n v="1"/>
    <s v="Cash"/>
    <x v="0"/>
    <d v="2023-06-01T00:00:00"/>
    <x v="1"/>
    <x v="5"/>
    <n v="350"/>
    <n v="-350"/>
    <n v="0"/>
    <n v="3155307.0500000012"/>
    <s v="Trsf"/>
    <s v="Trsf 1/6/23"/>
    <m/>
  </r>
  <r>
    <x v="373"/>
    <x v="1"/>
    <x v="4"/>
    <x v="534"/>
    <s v="C00000034"/>
    <x v="35"/>
    <x v="252"/>
    <n v="2"/>
    <s v="Cash"/>
    <x v="0"/>
    <d v="2023-06-03T00:00:00"/>
    <x v="1"/>
    <x v="5"/>
    <n v="3740"/>
    <n v="-3740"/>
    <n v="0"/>
    <n v="3159047.0500000012"/>
    <s v="Trsf"/>
    <s v="Trsf 3/6/23 RM4,745.00"/>
    <m/>
  </r>
  <r>
    <x v="373"/>
    <x v="1"/>
    <x v="4"/>
    <x v="534"/>
    <s v="C00000034"/>
    <x v="35"/>
    <x v="248"/>
    <n v="2"/>
    <s v="Cash"/>
    <x v="0"/>
    <d v="2023-06-03T00:00:00"/>
    <x v="1"/>
    <x v="5"/>
    <n v="1005"/>
    <n v="-1005"/>
    <n v="0"/>
    <n v="3160052.0500000012"/>
    <s v="Trsf"/>
    <s v="Trsf 3/6/23 RM4,745.00"/>
    <m/>
  </r>
  <r>
    <x v="373"/>
    <x v="1"/>
    <x v="4"/>
    <x v="535"/>
    <s v="C00000019"/>
    <x v="18"/>
    <x v="120"/>
    <n v="2"/>
    <s v="Cash"/>
    <x v="0"/>
    <d v="2023-06-03T00:00:00"/>
    <x v="1"/>
    <x v="5"/>
    <n v="3652"/>
    <n v="-2772.8"/>
    <n v="879.19999999999982"/>
    <n v="3163704.0500000012"/>
    <s v="Trsf"/>
    <s v="Trsf 14/11/23 RM2,300.00(RM922.80), 21/11/23 RM500.00(RM500.00), 29/11/23 RM1,350.00(RM1,350.00)"/>
    <m/>
  </r>
  <r>
    <x v="373"/>
    <x v="1"/>
    <x v="4"/>
    <x v="535"/>
    <s v="C00000019"/>
    <x v="18"/>
    <x v="254"/>
    <n v="2"/>
    <s v="Cash"/>
    <x v="0"/>
    <d v="2023-06-03T00:00:00"/>
    <x v="1"/>
    <x v="5"/>
    <n v="1045.2"/>
    <m/>
    <n v="1045.2"/>
    <n v="3164749.2500000014"/>
    <s v="Trsf"/>
    <m/>
    <m/>
  </r>
  <r>
    <x v="373"/>
    <x v="1"/>
    <x v="4"/>
    <x v="535"/>
    <s v="C00000019"/>
    <x v="18"/>
    <x v="132"/>
    <n v="3"/>
    <s v="Cash"/>
    <x v="0"/>
    <d v="2023-06-03T00:00:00"/>
    <x v="1"/>
    <x v="5"/>
    <n v="187.5"/>
    <m/>
    <n v="187.5"/>
    <n v="3164936.7500000014"/>
    <s v="Trsf"/>
    <m/>
    <m/>
  </r>
  <r>
    <x v="373"/>
    <x v="1"/>
    <x v="4"/>
    <x v="535"/>
    <s v="C00000019"/>
    <x v="18"/>
    <x v="244"/>
    <n v="2"/>
    <s v="Cash"/>
    <x v="0"/>
    <d v="2023-06-03T00:00:00"/>
    <x v="1"/>
    <x v="5"/>
    <n v="780"/>
    <m/>
    <n v="780"/>
    <n v="3165716.7500000014"/>
    <s v="Trsf"/>
    <m/>
    <m/>
  </r>
  <r>
    <x v="373"/>
    <x v="1"/>
    <x v="4"/>
    <x v="535"/>
    <s v="C00000019"/>
    <x v="18"/>
    <x v="4"/>
    <n v="2"/>
    <s v="Cash"/>
    <x v="0"/>
    <d v="2023-06-03T00:00:00"/>
    <x v="1"/>
    <x v="5"/>
    <n v="210"/>
    <m/>
    <n v="210"/>
    <n v="3165926.7500000014"/>
    <s v="Trsf"/>
    <m/>
    <m/>
  </r>
  <r>
    <x v="374"/>
    <x v="1"/>
    <x v="4"/>
    <x v="536"/>
    <s v="C00000023"/>
    <x v="24"/>
    <x v="120"/>
    <n v="1"/>
    <s v="Cash"/>
    <x v="0"/>
    <d v="2023-06-07T00:00:00"/>
    <x v="1"/>
    <x v="5"/>
    <n v="1804"/>
    <n v="-1804"/>
    <n v="0"/>
    <n v="3167730.7500000014"/>
    <s v="Trsf"/>
    <s v="Trsf 1/6/23 RM3,826.50"/>
    <m/>
  </r>
  <r>
    <x v="374"/>
    <x v="1"/>
    <x v="4"/>
    <x v="536"/>
    <s v="C00000023"/>
    <x v="24"/>
    <x v="255"/>
    <n v="1"/>
    <s v="Cash"/>
    <x v="0"/>
    <d v="2023-06-07T00:00:00"/>
    <x v="1"/>
    <x v="5"/>
    <n v="360"/>
    <n v="-360"/>
    <n v="0"/>
    <n v="3168090.7500000014"/>
    <s v="Trsf"/>
    <s v="Trsf 1/6/23 RM3,826.50"/>
    <m/>
  </r>
  <r>
    <x v="374"/>
    <x v="1"/>
    <x v="4"/>
    <x v="536"/>
    <s v="C00000023"/>
    <x v="24"/>
    <x v="148"/>
    <n v="5"/>
    <s v="Cash"/>
    <x v="0"/>
    <d v="2023-06-07T00:00:00"/>
    <x v="1"/>
    <x v="5"/>
    <n v="1140"/>
    <n v="-1140"/>
    <n v="0"/>
    <n v="3169230.7500000014"/>
    <s v="Trsf"/>
    <s v="Trsf 1/6/23 RM3,826.50"/>
    <m/>
  </r>
  <r>
    <x v="374"/>
    <x v="1"/>
    <x v="4"/>
    <x v="536"/>
    <s v="C00000023"/>
    <x v="24"/>
    <x v="132"/>
    <n v="1"/>
    <s v="Cash"/>
    <x v="0"/>
    <d v="2023-06-07T00:00:00"/>
    <x v="1"/>
    <x v="5"/>
    <n v="62.5"/>
    <n v="-62.5"/>
    <n v="0"/>
    <n v="3169293.2500000014"/>
    <s v="Trsf"/>
    <s v="Trsf 1/6/23 RM3,826.50"/>
    <m/>
  </r>
  <r>
    <x v="374"/>
    <x v="1"/>
    <x v="4"/>
    <x v="536"/>
    <s v="C00000023"/>
    <x v="24"/>
    <x v="256"/>
    <n v="1"/>
    <s v="Cash"/>
    <x v="0"/>
    <d v="2023-06-07T00:00:00"/>
    <x v="1"/>
    <x v="5"/>
    <n v="80"/>
    <n v="-80"/>
    <n v="0"/>
    <n v="3169373.2500000014"/>
    <s v="Trsf"/>
    <s v="Trsf 1/6/23 RM3,826.50"/>
    <m/>
  </r>
  <r>
    <x v="374"/>
    <x v="1"/>
    <x v="4"/>
    <x v="536"/>
    <s v="C00000023"/>
    <x v="24"/>
    <x v="171"/>
    <n v="4"/>
    <s v="Cash"/>
    <x v="0"/>
    <d v="2023-06-07T00:00:00"/>
    <x v="1"/>
    <x v="5"/>
    <n v="380"/>
    <n v="-380"/>
    <n v="0"/>
    <n v="3169753.2500000014"/>
    <s v="Trsf"/>
    <s v="Trsf 1/6/23 RM3,826.50"/>
    <m/>
  </r>
  <r>
    <x v="375"/>
    <x v="1"/>
    <x v="4"/>
    <x v="537"/>
    <s v="C00000010"/>
    <x v="9"/>
    <x v="223"/>
    <n v="6"/>
    <n v="120"/>
    <x v="2"/>
    <d v="2023-10-04T00:00:00"/>
    <x v="3"/>
    <x v="5"/>
    <n v="10032"/>
    <n v="-10032"/>
    <n v="0"/>
    <n v="3179785.2500000014"/>
    <s v="Trsf"/>
    <s v="Trsf 26/9/23 RM13,457.00"/>
    <m/>
  </r>
  <r>
    <x v="375"/>
    <x v="1"/>
    <x v="4"/>
    <x v="537"/>
    <s v="C00000010"/>
    <x v="9"/>
    <x v="216"/>
    <n v="10"/>
    <n v="120"/>
    <x v="2"/>
    <d v="2023-10-04T00:00:00"/>
    <x v="3"/>
    <x v="5"/>
    <n v="2010"/>
    <n v="-2010"/>
    <n v="0"/>
    <n v="3181795.2500000014"/>
    <s v="Trsf"/>
    <s v="Trsf 26/9/23 RM13,457.00"/>
    <m/>
  </r>
  <r>
    <x v="375"/>
    <x v="1"/>
    <x v="4"/>
    <x v="537"/>
    <s v="C00000010"/>
    <x v="9"/>
    <x v="132"/>
    <n v="10"/>
    <n v="120"/>
    <x v="2"/>
    <d v="2023-10-04T00:00:00"/>
    <x v="3"/>
    <x v="5"/>
    <n v="575"/>
    <n v="-575"/>
    <n v="0"/>
    <n v="3182370.2500000014"/>
    <s v="Trsf"/>
    <s v="Trsf 26/9/23 RM13,457.00"/>
    <m/>
  </r>
  <r>
    <x v="375"/>
    <x v="1"/>
    <x v="4"/>
    <x v="537"/>
    <s v="C00000010"/>
    <x v="9"/>
    <x v="4"/>
    <n v="4"/>
    <n v="120"/>
    <x v="2"/>
    <d v="2023-10-04T00:00:00"/>
    <x v="3"/>
    <x v="5"/>
    <n v="420"/>
    <n v="-420"/>
    <n v="0"/>
    <n v="3182790.2500000014"/>
    <s v="Trsf"/>
    <s v="Trsf 26/9/23 RM13,457.00"/>
    <m/>
  </r>
  <r>
    <x v="375"/>
    <x v="1"/>
    <x v="4"/>
    <x v="537"/>
    <s v="C00000010"/>
    <x v="9"/>
    <x v="131"/>
    <n v="1"/>
    <n v="120"/>
    <x v="2"/>
    <d v="2023-10-04T00:00:00"/>
    <x v="3"/>
    <x v="5"/>
    <n v="420"/>
    <n v="-420"/>
    <n v="0"/>
    <n v="3183210.2500000014"/>
    <s v="Trsf"/>
    <s v="Trsf 26/9/23 RM13,457.00"/>
    <m/>
  </r>
  <r>
    <x v="374"/>
    <x v="1"/>
    <x v="4"/>
    <x v="538"/>
    <s v="C00000014"/>
    <x v="13"/>
    <x v="121"/>
    <n v="2"/>
    <s v="Cash"/>
    <x v="0"/>
    <d v="2023-06-07T00:00:00"/>
    <x v="1"/>
    <x v="5"/>
    <n v="3608"/>
    <n v="-3608"/>
    <n v="0"/>
    <n v="3186818.2500000014"/>
    <s v="Cash"/>
    <s v="Cash 7/6/23 RM5,392.00 "/>
    <m/>
  </r>
  <r>
    <x v="374"/>
    <x v="1"/>
    <x v="4"/>
    <x v="538"/>
    <s v="C00000014"/>
    <x v="13"/>
    <x v="157"/>
    <n v="4"/>
    <s v="Cash"/>
    <x v="0"/>
    <d v="2023-06-07T00:00:00"/>
    <x v="1"/>
    <x v="5"/>
    <n v="948"/>
    <n v="-948"/>
    <n v="0"/>
    <n v="3187766.2500000014"/>
    <s v="Cash"/>
    <s v="Cash 7/6/23 RM5,392.00 "/>
    <m/>
  </r>
  <r>
    <x v="374"/>
    <x v="1"/>
    <x v="4"/>
    <x v="538"/>
    <s v="C00000014"/>
    <x v="13"/>
    <x v="125"/>
    <n v="2"/>
    <s v="Cash"/>
    <x v="0"/>
    <d v="2023-06-07T00:00:00"/>
    <x v="1"/>
    <x v="5"/>
    <n v="516"/>
    <n v="-516"/>
    <n v="0"/>
    <n v="3188282.2500000014"/>
    <s v="Cash"/>
    <s v="Cash 7/6/23 RM5,392.00 "/>
    <m/>
  </r>
  <r>
    <x v="374"/>
    <x v="1"/>
    <x v="4"/>
    <x v="538"/>
    <s v="C00000014"/>
    <x v="13"/>
    <x v="141"/>
    <n v="2"/>
    <s v="Cash"/>
    <x v="0"/>
    <d v="2023-06-07T00:00:00"/>
    <x v="1"/>
    <x v="5"/>
    <n v="320"/>
    <n v="-320"/>
    <n v="0"/>
    <n v="3188602.2500000014"/>
    <s v="Cash"/>
    <s v="Cash 7/6/23 RM5,392.00 "/>
    <m/>
  </r>
  <r>
    <x v="376"/>
    <x v="1"/>
    <x v="4"/>
    <x v="539"/>
    <s v="C00000039"/>
    <x v="40"/>
    <x v="120"/>
    <n v="1"/>
    <s v="Cash"/>
    <x v="0"/>
    <d v="2023-06-08T00:00:00"/>
    <x v="1"/>
    <x v="5"/>
    <n v="1804"/>
    <n v="-1804"/>
    <n v="0"/>
    <n v="3190406.2500000014"/>
    <s v="Trsf"/>
    <s v="Trsf 8/6/23 RM2,968.50"/>
    <m/>
  </r>
  <r>
    <x v="376"/>
    <x v="1"/>
    <x v="4"/>
    <x v="539"/>
    <s v="C00000039"/>
    <x v="40"/>
    <x v="148"/>
    <n v="4"/>
    <s v="Cash"/>
    <x v="0"/>
    <d v="2023-06-08T00:00:00"/>
    <x v="1"/>
    <x v="5"/>
    <n v="912"/>
    <n v="-912"/>
    <n v="0"/>
    <n v="3191318.2500000014"/>
    <s v="Trsf"/>
    <s v="Trsf 8/6/23 RM2,968.50"/>
    <m/>
  </r>
  <r>
    <x v="376"/>
    <x v="1"/>
    <x v="4"/>
    <x v="539"/>
    <s v="C00000039"/>
    <x v="40"/>
    <x v="132"/>
    <n v="1"/>
    <s v="Cash"/>
    <x v="0"/>
    <d v="2023-06-08T00:00:00"/>
    <x v="1"/>
    <x v="5"/>
    <n v="62.5"/>
    <n v="-62.5"/>
    <n v="0"/>
    <n v="3191380.7500000014"/>
    <s v="Trsf"/>
    <s v="Trsf 8/6/23 RM2,968.50"/>
    <m/>
  </r>
  <r>
    <x v="376"/>
    <x v="1"/>
    <x v="4"/>
    <x v="539"/>
    <s v="C00000039"/>
    <x v="40"/>
    <x v="171"/>
    <n v="2"/>
    <s v="Cash"/>
    <x v="0"/>
    <d v="2023-06-08T00:00:00"/>
    <x v="1"/>
    <x v="5"/>
    <n v="190"/>
    <n v="-190"/>
    <n v="0"/>
    <n v="3191570.7500000014"/>
    <s v="Trsf"/>
    <s v="Trsf 8/6/23 RM2,968.50"/>
    <m/>
  </r>
  <r>
    <x v="377"/>
    <x v="1"/>
    <x v="4"/>
    <x v="540"/>
    <s v="C00000034"/>
    <x v="35"/>
    <x v="217"/>
    <n v="1"/>
    <s v="Cash"/>
    <x v="0"/>
    <d v="2023-06-09T00:00:00"/>
    <x v="1"/>
    <x v="5"/>
    <n v="1870"/>
    <n v="-1870"/>
    <n v="0"/>
    <n v="3193440.7500000014"/>
    <s v="Trsf"/>
    <s v="Trsf 10/6/23 RM2,793.00 (Inv 542 over paid RM0.20)"/>
    <m/>
  </r>
  <r>
    <x v="377"/>
    <x v="1"/>
    <x v="4"/>
    <x v="540"/>
    <s v="C00000034"/>
    <x v="35"/>
    <x v="216"/>
    <n v="2"/>
    <s v="Cash"/>
    <x v="0"/>
    <d v="2023-06-09T00:00:00"/>
    <x v="1"/>
    <x v="5"/>
    <n v="450"/>
    <n v="-450"/>
    <n v="0"/>
    <n v="3193890.7500000014"/>
    <s v="Trsf"/>
    <s v="Trsf 10/6/23 RM2,793.00 (Inv 542 over paid RM0.20)"/>
    <m/>
  </r>
  <r>
    <x v="377"/>
    <x v="1"/>
    <x v="4"/>
    <x v="540"/>
    <s v="C00000034"/>
    <x v="35"/>
    <x v="220"/>
    <n v="1"/>
    <s v="Cash"/>
    <x v="0"/>
    <d v="2023-06-09T00:00:00"/>
    <x v="1"/>
    <x v="5"/>
    <n v="225"/>
    <n v="-225"/>
    <n v="0"/>
    <n v="3194115.7500000014"/>
    <s v="Trsf"/>
    <s v="Trsf 10/6/23 RM2,793.00 (Inv 542 over paid RM0.20)"/>
    <m/>
  </r>
  <r>
    <x v="377"/>
    <x v="1"/>
    <x v="4"/>
    <x v="540"/>
    <s v="C00000034"/>
    <x v="35"/>
    <x v="257"/>
    <n v="1"/>
    <s v="Cash"/>
    <x v="0"/>
    <d v="2023-06-09T00:00:00"/>
    <x v="1"/>
    <x v="5"/>
    <n v="247.8"/>
    <n v="-247.8"/>
    <n v="0"/>
    <n v="3194363.5500000012"/>
    <s v="Trsf"/>
    <s v="Trsf 10/6/23 RM2,793.00 (Inv 542 over paid RM0.20)"/>
    <m/>
  </r>
  <r>
    <x v="378"/>
    <x v="1"/>
    <x v="4"/>
    <x v="541"/>
    <s v="C00000034"/>
    <x v="35"/>
    <x v="217"/>
    <n v="1"/>
    <s v="Cash"/>
    <x v="0"/>
    <d v="2023-06-12T00:00:00"/>
    <x v="1"/>
    <x v="5"/>
    <n v="1870"/>
    <n v="-1870"/>
    <n v="0"/>
    <n v="3196233.5500000012"/>
    <s v="Trsf"/>
    <s v="Trsf 13/6/23 RM3,000.00 &amp; Trsf 15/6/23 RM1,453.50"/>
    <m/>
  </r>
  <r>
    <x v="378"/>
    <x v="1"/>
    <x v="4"/>
    <x v="541"/>
    <s v="C00000034"/>
    <x v="35"/>
    <x v="216"/>
    <n v="2"/>
    <s v="Cash"/>
    <x v="0"/>
    <d v="2023-06-12T00:00:00"/>
    <x v="1"/>
    <x v="5"/>
    <n v="450"/>
    <n v="-450"/>
    <n v="0"/>
    <n v="3196683.5500000012"/>
    <s v="Trsf"/>
    <s v="Trsf 13/6/23 RM3,000.00 &amp; Trsf 15/6/23 RM1,453.50"/>
    <m/>
  </r>
  <r>
    <x v="378"/>
    <x v="1"/>
    <x v="4"/>
    <x v="541"/>
    <s v="C00000034"/>
    <x v="35"/>
    <x v="220"/>
    <n v="1"/>
    <s v="Cash"/>
    <x v="0"/>
    <d v="2023-06-12T00:00:00"/>
    <x v="1"/>
    <x v="5"/>
    <n v="225"/>
    <n v="-225"/>
    <n v="0"/>
    <n v="3196908.5500000012"/>
    <s v="Trsf"/>
    <s v="Trsf 13/6/23 RM3,000.00 &amp; Trsf 15/6/23 RM1,453.50"/>
    <m/>
  </r>
  <r>
    <x v="378"/>
    <x v="1"/>
    <x v="4"/>
    <x v="541"/>
    <s v="C00000034"/>
    <x v="35"/>
    <x v="258"/>
    <n v="1"/>
    <s v="Cash"/>
    <x v="0"/>
    <d v="2023-06-12T00:00:00"/>
    <x v="1"/>
    <x v="5"/>
    <n v="236"/>
    <n v="-236"/>
    <n v="0"/>
    <n v="3197144.5500000012"/>
    <s v="Trsf"/>
    <s v="Trsf 13/6/23 RM3,000.00 &amp; Trsf 15/6/23 RM1,453.50"/>
    <m/>
  </r>
  <r>
    <x v="378"/>
    <x v="1"/>
    <x v="4"/>
    <x v="541"/>
    <s v="C00000034"/>
    <x v="35"/>
    <x v="215"/>
    <n v="10"/>
    <s v="Cash"/>
    <x v="0"/>
    <d v="2023-06-12T00:00:00"/>
    <x v="1"/>
    <x v="5"/>
    <n v="1390"/>
    <n v="-1390"/>
    <n v="0"/>
    <n v="3198534.5500000012"/>
    <s v="Trsf"/>
    <s v="Trsf 13/6/23 RM3,000.00 &amp; Trsf 15/6/23 RM1,453.50"/>
    <m/>
  </r>
  <r>
    <x v="378"/>
    <x v="1"/>
    <x v="4"/>
    <x v="541"/>
    <s v="C00000034"/>
    <x v="35"/>
    <x v="132"/>
    <n v="3"/>
    <s v="Cash"/>
    <x v="0"/>
    <d v="2023-06-12T00:00:00"/>
    <x v="1"/>
    <x v="5"/>
    <n v="187.5"/>
    <n v="-187.5"/>
    <n v="0"/>
    <n v="3198722.0500000012"/>
    <s v="Trsf"/>
    <s v="Trsf 13/6/23 RM3,000.00 &amp; Trsf 15/6/23 RM1,453.50"/>
    <m/>
  </r>
  <r>
    <x v="378"/>
    <x v="1"/>
    <x v="4"/>
    <x v="541"/>
    <s v="C00000034"/>
    <x v="35"/>
    <x v="171"/>
    <n v="1"/>
    <s v="Cash"/>
    <x v="0"/>
    <d v="2023-06-12T00:00:00"/>
    <x v="1"/>
    <x v="5"/>
    <n v="95"/>
    <n v="-95"/>
    <n v="0"/>
    <n v="3198817.0500000012"/>
    <s v="Trsf"/>
    <s v="Trsf 13/6/23 RM3,000.00 &amp; Trsf 15/6/23 RM1,453.50"/>
    <m/>
  </r>
  <r>
    <x v="379"/>
    <x v="1"/>
    <x v="4"/>
    <x v="542"/>
    <s v="C00000019"/>
    <x v="18"/>
    <x v="141"/>
    <n v="1"/>
    <s v="Cash"/>
    <x v="0"/>
    <d v="2023-06-14T00:00:00"/>
    <x v="1"/>
    <x v="5"/>
    <n v="150"/>
    <m/>
    <n v="150"/>
    <n v="3198967.0500000012"/>
    <s v="Trsf"/>
    <m/>
    <m/>
  </r>
  <r>
    <x v="379"/>
    <x v="1"/>
    <x v="4"/>
    <x v="542"/>
    <s v="C00000019"/>
    <x v="18"/>
    <x v="259"/>
    <n v="1"/>
    <s v="Cash"/>
    <x v="0"/>
    <d v="2023-06-14T00:00:00"/>
    <x v="1"/>
    <x v="5"/>
    <n v="260"/>
    <m/>
    <n v="260"/>
    <n v="3199227.0500000012"/>
    <s v="Trsf"/>
    <m/>
    <m/>
  </r>
  <r>
    <x v="380"/>
    <x v="1"/>
    <x v="4"/>
    <x v="543"/>
    <s v="C00000014"/>
    <x v="13"/>
    <x v="121"/>
    <n v="2"/>
    <s v="Cash"/>
    <x v="0"/>
    <d v="2023-06-15T00:00:00"/>
    <x v="1"/>
    <x v="5"/>
    <n v="3608"/>
    <n v="-3608"/>
    <n v="0"/>
    <n v="3202835.0500000012"/>
    <s v="Cash"/>
    <s v="Cash 15/6/23 RM5,392.00 "/>
    <m/>
  </r>
  <r>
    <x v="380"/>
    <x v="1"/>
    <x v="4"/>
    <x v="543"/>
    <s v="C00000014"/>
    <x v="13"/>
    <x v="157"/>
    <n v="2"/>
    <s v="Cash"/>
    <x v="0"/>
    <d v="2023-06-15T00:00:00"/>
    <x v="1"/>
    <x v="5"/>
    <n v="474"/>
    <n v="-474"/>
    <n v="0"/>
    <n v="3203309.0500000012"/>
    <s v="Cash"/>
    <s v="Cash 15/6/23 RM5,392.00 "/>
    <m/>
  </r>
  <r>
    <x v="380"/>
    <x v="1"/>
    <x v="4"/>
    <x v="543"/>
    <s v="C00000014"/>
    <x v="13"/>
    <x v="125"/>
    <n v="2"/>
    <s v="Cash"/>
    <x v="0"/>
    <d v="2023-06-15T00:00:00"/>
    <x v="1"/>
    <x v="5"/>
    <n v="516"/>
    <n v="-516"/>
    <n v="0"/>
    <n v="3203825.0500000012"/>
    <s v="Cash"/>
    <s v="Cash 15/6/23 RM5,392.00 "/>
    <m/>
  </r>
  <r>
    <x v="380"/>
    <x v="1"/>
    <x v="4"/>
    <x v="543"/>
    <s v="C00000014"/>
    <x v="13"/>
    <x v="141"/>
    <n v="2"/>
    <s v="Cash"/>
    <x v="0"/>
    <d v="2023-06-15T00:00:00"/>
    <x v="1"/>
    <x v="5"/>
    <n v="320"/>
    <n v="-320"/>
    <n v="0"/>
    <n v="3204145.0500000012"/>
    <s v="Cash"/>
    <s v="Cash 15/6/23 RM5,392.00 "/>
    <m/>
  </r>
  <r>
    <x v="380"/>
    <x v="1"/>
    <x v="4"/>
    <x v="544"/>
    <s v="C00000038"/>
    <x v="39"/>
    <x v="260"/>
    <n v="1"/>
    <s v="Cash"/>
    <x v="0"/>
    <d v="2023-06-15T00:00:00"/>
    <x v="1"/>
    <x v="5"/>
    <n v="350"/>
    <n v="-350"/>
    <n v="0"/>
    <n v="3204495.0500000012"/>
    <s v="Trsf"/>
    <s v="Trsf 1/6/23 RM590.00"/>
    <m/>
  </r>
  <r>
    <x v="380"/>
    <x v="1"/>
    <x v="4"/>
    <x v="544"/>
    <s v="C00000038"/>
    <x v="39"/>
    <x v="227"/>
    <n v="1"/>
    <s v="Cash"/>
    <x v="0"/>
    <d v="2023-06-15T00:00:00"/>
    <x v="1"/>
    <x v="5"/>
    <n v="105"/>
    <n v="-105"/>
    <n v="0"/>
    <n v="3204600.0500000012"/>
    <s v="Trsf"/>
    <s v="Trsf 1/6/23 RM590.00"/>
    <m/>
  </r>
  <r>
    <x v="380"/>
    <x v="1"/>
    <x v="4"/>
    <x v="544"/>
    <s v="C00000038"/>
    <x v="39"/>
    <x v="228"/>
    <n v="1"/>
    <s v="Cash"/>
    <x v="0"/>
    <d v="2023-06-15T00:00:00"/>
    <x v="1"/>
    <x v="5"/>
    <n v="55"/>
    <n v="-55"/>
    <n v="0"/>
    <n v="3204655.0500000012"/>
    <s v="Trsf"/>
    <s v="Trsf 1/6/23 RM590.00"/>
    <m/>
  </r>
  <r>
    <x v="380"/>
    <x v="1"/>
    <x v="4"/>
    <x v="544"/>
    <s v="C00000038"/>
    <x v="39"/>
    <x v="261"/>
    <n v="1"/>
    <s v="Cash"/>
    <x v="0"/>
    <d v="2023-06-15T00:00:00"/>
    <x v="1"/>
    <x v="5"/>
    <n v="80"/>
    <n v="-80"/>
    <n v="0"/>
    <n v="3204735.0500000012"/>
    <s v="Trsf"/>
    <s v="Trsf 1/6/23 RM590.00"/>
    <m/>
  </r>
  <r>
    <x v="380"/>
    <x v="1"/>
    <x v="4"/>
    <x v="545"/>
    <s v="C00000034"/>
    <x v="35"/>
    <x v="217"/>
    <n v="1"/>
    <s v="Cash"/>
    <x v="0"/>
    <d v="2023-06-15T00:00:00"/>
    <x v="1"/>
    <x v="5"/>
    <n v="1870"/>
    <n v="-1870"/>
    <n v="0"/>
    <n v="3206605.0500000012"/>
    <s v="Trsf"/>
    <s v="Trsf 15/6/23 RM4,133.50"/>
    <m/>
  </r>
  <r>
    <x v="380"/>
    <x v="1"/>
    <x v="4"/>
    <x v="545"/>
    <s v="C00000034"/>
    <x v="35"/>
    <x v="220"/>
    <n v="2"/>
    <s v="Cash"/>
    <x v="0"/>
    <d v="2023-06-15T00:00:00"/>
    <x v="1"/>
    <x v="5"/>
    <n v="450"/>
    <n v="-450"/>
    <n v="0"/>
    <n v="3207055.0500000012"/>
    <s v="Trsf"/>
    <s v="Trsf 15/6/23 RM4,133.50"/>
    <m/>
  </r>
  <r>
    <x v="380"/>
    <x v="1"/>
    <x v="4"/>
    <x v="545"/>
    <s v="C00000034"/>
    <x v="35"/>
    <x v="258"/>
    <n v="1"/>
    <s v="Cash"/>
    <x v="0"/>
    <d v="2023-06-15T00:00:00"/>
    <x v="1"/>
    <x v="5"/>
    <n v="236"/>
    <n v="-236"/>
    <n v="0"/>
    <n v="3207291.0500000012"/>
    <s v="Trsf"/>
    <s v="Trsf 15/6/23 RM4,133.50"/>
    <m/>
  </r>
  <r>
    <x v="380"/>
    <x v="1"/>
    <x v="4"/>
    <x v="545"/>
    <s v="C00000034"/>
    <x v="35"/>
    <x v="215"/>
    <n v="10"/>
    <s v="Cash"/>
    <x v="0"/>
    <d v="2023-06-15T00:00:00"/>
    <x v="1"/>
    <x v="5"/>
    <n v="1390"/>
    <n v="-1390"/>
    <n v="0"/>
    <n v="3208681.0500000012"/>
    <s v="Trsf"/>
    <s v="Trsf 15/6/23 RM4,133.50"/>
    <m/>
  </r>
  <r>
    <x v="380"/>
    <x v="1"/>
    <x v="4"/>
    <x v="545"/>
    <s v="C00000034"/>
    <x v="35"/>
    <x v="132"/>
    <n v="3"/>
    <s v="Cash"/>
    <x v="0"/>
    <d v="2023-06-15T00:00:00"/>
    <x v="1"/>
    <x v="5"/>
    <n v="187.5"/>
    <n v="-187.5"/>
    <n v="0"/>
    <n v="3208868.5500000012"/>
    <s v="Trsf"/>
    <s v="Trsf 15/6/23 RM4,133.50"/>
    <m/>
  </r>
  <r>
    <x v="381"/>
    <x v="1"/>
    <x v="4"/>
    <x v="546"/>
    <s v="C00000020"/>
    <x v="19"/>
    <x v="132"/>
    <n v="6"/>
    <s v="Cash"/>
    <x v="0"/>
    <d v="2023-06-16T00:00:00"/>
    <x v="1"/>
    <x v="5"/>
    <n v="375"/>
    <m/>
    <n v="375"/>
    <n v="3209243.5500000012"/>
    <s v="Trsf"/>
    <m/>
    <m/>
  </r>
  <r>
    <x v="381"/>
    <x v="1"/>
    <x v="4"/>
    <x v="547"/>
    <s v="C00000020"/>
    <x v="19"/>
    <x v="120"/>
    <n v="6"/>
    <s v="Cash"/>
    <x v="0"/>
    <d v="2023-06-16T00:00:00"/>
    <x v="1"/>
    <x v="5"/>
    <n v="10692"/>
    <m/>
    <n v="10692"/>
    <n v="3219935.5500000012"/>
    <s v="Trsf"/>
    <m/>
    <m/>
  </r>
  <r>
    <x v="381"/>
    <x v="1"/>
    <x v="4"/>
    <x v="547"/>
    <s v="C00000020"/>
    <x v="19"/>
    <x v="100"/>
    <n v="7"/>
    <s v="Cash"/>
    <x v="0"/>
    <d v="2023-06-16T00:00:00"/>
    <x v="1"/>
    <x v="5"/>
    <n v="1575"/>
    <m/>
    <n v="1575"/>
    <n v="3221510.5500000012"/>
    <s v="Trsf"/>
    <m/>
    <m/>
  </r>
  <r>
    <x v="381"/>
    <x v="1"/>
    <x v="4"/>
    <x v="547"/>
    <s v="C00000020"/>
    <x v="19"/>
    <x v="112"/>
    <n v="4"/>
    <s v="Cash"/>
    <x v="0"/>
    <d v="2023-06-16T00:00:00"/>
    <x v="1"/>
    <x v="5"/>
    <n v="1620"/>
    <m/>
    <n v="1620"/>
    <n v="3223130.5500000012"/>
    <s v="Trsf"/>
    <m/>
    <m/>
  </r>
  <r>
    <x v="381"/>
    <x v="1"/>
    <x v="4"/>
    <x v="547"/>
    <s v="C00000020"/>
    <x v="19"/>
    <x v="101"/>
    <n v="10"/>
    <s v="Cash"/>
    <x v="0"/>
    <d v="2023-06-16T00:00:00"/>
    <x v="1"/>
    <x v="5"/>
    <n v="2480"/>
    <m/>
    <n v="2480"/>
    <n v="3225610.5500000012"/>
    <s v="Trsf"/>
    <m/>
    <m/>
  </r>
  <r>
    <x v="381"/>
    <x v="1"/>
    <x v="4"/>
    <x v="548"/>
    <s v="C00000013"/>
    <x v="12"/>
    <x v="230"/>
    <n v="9"/>
    <s v="Cash"/>
    <x v="0"/>
    <d v="2023-06-16T00:00:00"/>
    <x v="1"/>
    <x v="5"/>
    <n v="16434"/>
    <n v="-16434"/>
    <n v="0"/>
    <n v="3242044.5500000012"/>
    <s v="Chq"/>
    <s v="Cheque MBB 851950, cleared 19/6/23 RM35,991.40"/>
    <m/>
  </r>
  <r>
    <x v="382"/>
    <x v="1"/>
    <x v="4"/>
    <x v="548"/>
    <s v="C00000013"/>
    <x v="12"/>
    <x v="231"/>
    <n v="10"/>
    <s v="Cash"/>
    <x v="0"/>
    <d v="2023-06-19T00:00:00"/>
    <x v="1"/>
    <x v="5"/>
    <n v="4266"/>
    <n v="-4266"/>
    <n v="0"/>
    <n v="3246310.5500000012"/>
    <s v="Chq"/>
    <s v="Cheque MBB 851950, cleared 19/6/23 RM35,991.40"/>
    <m/>
  </r>
  <r>
    <x v="382"/>
    <x v="1"/>
    <x v="4"/>
    <x v="548"/>
    <s v="C00000013"/>
    <x v="12"/>
    <x v="232"/>
    <n v="6"/>
    <s v="Cash"/>
    <x v="0"/>
    <d v="2023-06-19T00:00:00"/>
    <x v="1"/>
    <x v="5"/>
    <n v="2559.6000000000004"/>
    <n v="-2559.6000000000004"/>
    <n v="0"/>
    <n v="3248870.1500000013"/>
    <s v="Chq"/>
    <s v="Cheque MBB 851950, cleared 19/6/23 RM35,991.40"/>
    <m/>
  </r>
  <r>
    <x v="382"/>
    <x v="1"/>
    <x v="4"/>
    <x v="548"/>
    <s v="C00000013"/>
    <x v="12"/>
    <x v="233"/>
    <n v="16"/>
    <s v="Cash"/>
    <x v="0"/>
    <d v="2023-06-19T00:00:00"/>
    <x v="1"/>
    <x v="5"/>
    <n v="4128"/>
    <n v="-4128"/>
    <n v="0"/>
    <n v="3252998.1500000013"/>
    <s v="Chq"/>
    <s v="Cheque MBB 851950, cleared 19/6/23 RM35,991.40"/>
    <m/>
  </r>
  <r>
    <x v="382"/>
    <x v="1"/>
    <x v="4"/>
    <x v="548"/>
    <s v="C00000013"/>
    <x v="12"/>
    <x v="234"/>
    <n v="15"/>
    <s v="Cash"/>
    <x v="0"/>
    <d v="2023-06-19T00:00:00"/>
    <x v="1"/>
    <x v="5"/>
    <n v="750"/>
    <n v="-750"/>
    <n v="0"/>
    <n v="3253748.1500000013"/>
    <s v="Chq"/>
    <s v="Cheque MBB 851950, cleared 19/6/23 RM35,991.40"/>
    <m/>
  </r>
  <r>
    <x v="382"/>
    <x v="1"/>
    <x v="4"/>
    <x v="548"/>
    <s v="C00000013"/>
    <x v="12"/>
    <x v="235"/>
    <n v="3"/>
    <s v="Cash"/>
    <x v="0"/>
    <d v="2023-06-19T00:00:00"/>
    <x v="1"/>
    <x v="5"/>
    <n v="2400"/>
    <n v="-2400"/>
    <n v="0"/>
    <n v="3256148.1500000013"/>
    <s v="Chq"/>
    <s v="Cheque MBB 851950, cleared 19/6/23 RM35,991.40"/>
    <m/>
  </r>
  <r>
    <x v="382"/>
    <x v="1"/>
    <x v="4"/>
    <x v="548"/>
    <s v="C00000013"/>
    <x v="12"/>
    <x v="262"/>
    <n v="5"/>
    <s v="Cash"/>
    <x v="0"/>
    <d v="2023-06-19T00:00:00"/>
    <x v="1"/>
    <x v="5"/>
    <n v="2150"/>
    <n v="-2150"/>
    <n v="0"/>
    <n v="3258298.1500000013"/>
    <s v="Chq"/>
    <s v="Cheque MBB 851950, cleared 19/6/23 RM35,991.40"/>
    <m/>
  </r>
  <r>
    <x v="382"/>
    <x v="1"/>
    <x v="4"/>
    <x v="548"/>
    <s v="C00000013"/>
    <x v="12"/>
    <x v="237"/>
    <n v="10"/>
    <s v="Cash"/>
    <x v="0"/>
    <d v="2023-06-19T00:00:00"/>
    <x v="1"/>
    <x v="5"/>
    <n v="1100"/>
    <n v="-1100"/>
    <n v="0"/>
    <n v="3259398.1500000013"/>
    <s v="Chq"/>
    <s v="Cheque MBB 851950, cleared 19/6/23 RM35,991.40"/>
    <m/>
  </r>
  <r>
    <x v="382"/>
    <x v="1"/>
    <x v="4"/>
    <x v="548"/>
    <s v="C00000013"/>
    <x v="12"/>
    <x v="238"/>
    <n v="3"/>
    <s v="Cash"/>
    <x v="0"/>
    <d v="2023-06-19T00:00:00"/>
    <x v="1"/>
    <x v="5"/>
    <n v="180"/>
    <n v="-180"/>
    <n v="0"/>
    <n v="3259578.1500000013"/>
    <s v="Chq"/>
    <s v="Cheque MBB 851950, cleared 19/6/23 RM35,991.40"/>
    <m/>
  </r>
  <r>
    <x v="382"/>
    <x v="1"/>
    <x v="4"/>
    <x v="548"/>
    <s v="C00000013"/>
    <x v="12"/>
    <x v="239"/>
    <n v="2"/>
    <s v="Cash"/>
    <x v="0"/>
    <d v="2023-06-19T00:00:00"/>
    <x v="1"/>
    <x v="5"/>
    <n v="110.4"/>
    <n v="-110.4"/>
    <n v="0"/>
    <n v="3259688.5500000012"/>
    <s v="Chq"/>
    <s v="Cheque MBB 851950, cleared 19/6/23 RM35,991.40"/>
    <m/>
  </r>
  <r>
    <x v="382"/>
    <x v="1"/>
    <x v="4"/>
    <x v="548"/>
    <s v="C00000013"/>
    <x v="12"/>
    <x v="240"/>
    <n v="1"/>
    <s v="Cash"/>
    <x v="0"/>
    <d v="2023-06-19T00:00:00"/>
    <x v="1"/>
    <x v="5"/>
    <n v="1108.4000000000001"/>
    <n v="-1108.4000000000001"/>
    <n v="0"/>
    <n v="3260796.9500000011"/>
    <s v="Chq"/>
    <s v="Cheque MBB 851950, cleared 19/6/23 RM35,991.40"/>
    <m/>
  </r>
  <r>
    <x v="382"/>
    <x v="1"/>
    <x v="4"/>
    <x v="548"/>
    <s v="C00000013"/>
    <x v="12"/>
    <x v="263"/>
    <n v="3"/>
    <s v="Cash"/>
    <x v="0"/>
    <d v="2023-06-19T00:00:00"/>
    <x v="1"/>
    <x v="5"/>
    <n v="525"/>
    <n v="-525"/>
    <n v="0"/>
    <n v="3261321.9500000011"/>
    <s v="Chq"/>
    <s v="Cheque MBB 851950, cleared 19/6/23 RM35,991.40"/>
    <m/>
  </r>
  <r>
    <x v="382"/>
    <x v="1"/>
    <x v="4"/>
    <x v="548"/>
    <s v="C00000013"/>
    <x v="12"/>
    <x v="264"/>
    <n v="1"/>
    <s v="Cash"/>
    <x v="0"/>
    <d v="2023-06-19T00:00:00"/>
    <x v="1"/>
    <x v="5"/>
    <n v="280"/>
    <n v="-280"/>
    <n v="0"/>
    <n v="3261601.9500000011"/>
    <s v="Chq"/>
    <s v="Cheque MBB 851950, cleared 19/6/23 RM35,991.40"/>
    <m/>
  </r>
  <r>
    <x v="382"/>
    <x v="1"/>
    <x v="4"/>
    <x v="549"/>
    <s v="C00000037"/>
    <x v="38"/>
    <x v="120"/>
    <n v="4"/>
    <n v="30"/>
    <x v="5"/>
    <d v="2023-07-19T00:00:00"/>
    <x v="4"/>
    <x v="5"/>
    <n v="7480"/>
    <n v="-7480"/>
    <n v="0"/>
    <n v="3269081.9500000011"/>
    <s v="Chq"/>
    <s v="MBB 014962 cleared 200723 RM11,760.30"/>
    <m/>
  </r>
  <r>
    <x v="382"/>
    <x v="1"/>
    <x v="4"/>
    <x v="549"/>
    <s v="C00000037"/>
    <x v="38"/>
    <x v="112"/>
    <n v="3"/>
    <n v="30"/>
    <x v="5"/>
    <d v="2023-07-19T00:00:00"/>
    <x v="4"/>
    <x v="5"/>
    <n v="1263.5999999999999"/>
    <n v="-1263.5999999999999"/>
    <n v="0"/>
    <n v="3270345.5500000012"/>
    <s v="Chq"/>
    <s v="MBB 014962 cleared 200723 RM11,760.30"/>
    <m/>
  </r>
  <r>
    <x v="382"/>
    <x v="1"/>
    <x v="4"/>
    <x v="549"/>
    <s v="C00000037"/>
    <x v="38"/>
    <x v="248"/>
    <n v="2"/>
    <n v="30"/>
    <x v="5"/>
    <d v="2023-07-19T00:00:00"/>
    <x v="4"/>
    <x v="5"/>
    <n v="1045.2"/>
    <n v="-1045.2"/>
    <n v="0"/>
    <n v="3271390.7500000014"/>
    <s v="Chq"/>
    <s v="MBB 014962 cleared 200723 RM11,760.30"/>
    <m/>
  </r>
  <r>
    <x v="382"/>
    <x v="1"/>
    <x v="4"/>
    <x v="549"/>
    <s v="C00000037"/>
    <x v="38"/>
    <x v="224"/>
    <n v="3"/>
    <n v="30"/>
    <x v="5"/>
    <d v="2023-07-19T00:00:00"/>
    <x v="4"/>
    <x v="5"/>
    <n v="144"/>
    <n v="-144"/>
    <n v="0"/>
    <n v="3271534.7500000014"/>
    <s v="Chq"/>
    <s v="MBB 014962 cleared 200723 RM11,760.30"/>
    <m/>
  </r>
  <r>
    <x v="382"/>
    <x v="1"/>
    <x v="4"/>
    <x v="549"/>
    <s v="C00000037"/>
    <x v="38"/>
    <x v="171"/>
    <n v="2"/>
    <n v="30"/>
    <x v="5"/>
    <d v="2023-07-19T00:00:00"/>
    <x v="4"/>
    <x v="5"/>
    <n v="190"/>
    <n v="-190"/>
    <n v="0"/>
    <n v="3271724.7500000014"/>
    <s v="Chq"/>
    <s v="MBB 014962 cleared 200723 RM11,760.30"/>
    <m/>
  </r>
  <r>
    <x v="382"/>
    <x v="1"/>
    <x v="4"/>
    <x v="549"/>
    <s v="C00000037"/>
    <x v="38"/>
    <x v="12"/>
    <n v="3"/>
    <n v="30"/>
    <x v="5"/>
    <d v="2023-07-19T00:00:00"/>
    <x v="4"/>
    <x v="5"/>
    <n v="187.5"/>
    <n v="-187.5"/>
    <n v="0"/>
    <n v="3271912.2500000014"/>
    <s v="Chq"/>
    <s v="MBB 014962 cleared 200723 RM11,760.30"/>
    <m/>
  </r>
  <r>
    <x v="382"/>
    <x v="1"/>
    <x v="4"/>
    <x v="549"/>
    <s v="C00000037"/>
    <x v="38"/>
    <x v="125"/>
    <n v="2"/>
    <n v="30"/>
    <x v="5"/>
    <d v="2023-07-19T00:00:00"/>
    <x v="4"/>
    <x v="5"/>
    <n v="520"/>
    <n v="-520"/>
    <n v="0"/>
    <n v="3272432.2500000014"/>
    <s v="Chq"/>
    <s v="MBB 014962 cleared 200723 RM11,760.30"/>
    <m/>
  </r>
  <r>
    <x v="382"/>
    <x v="1"/>
    <x v="4"/>
    <x v="549"/>
    <s v="C00000037"/>
    <x v="38"/>
    <x v="249"/>
    <n v="1"/>
    <n v="30"/>
    <x v="5"/>
    <d v="2023-07-19T00:00:00"/>
    <x v="4"/>
    <x v="5"/>
    <n v="930"/>
    <n v="-930"/>
    <n v="0"/>
    <n v="3273362.2500000014"/>
    <s v="Chq"/>
    <s v="MBB 014962 cleared 200723 RM11,760.30"/>
    <m/>
  </r>
  <r>
    <x v="383"/>
    <x v="1"/>
    <x v="4"/>
    <x v="550"/>
    <s v="C00000034"/>
    <x v="35"/>
    <x v="217"/>
    <n v="1"/>
    <s v="Cash"/>
    <x v="0"/>
    <d v="2023-06-20T00:00:00"/>
    <x v="1"/>
    <x v="5"/>
    <n v="3740"/>
    <n v="-3740"/>
    <n v="0"/>
    <n v="3277102.2500000014"/>
    <s v="Trsf"/>
    <s v="Trsf 19/6/23 RM3,740.00"/>
    <m/>
  </r>
  <r>
    <x v="384"/>
    <x v="1"/>
    <x v="4"/>
    <x v="551"/>
    <s v="C00000034"/>
    <x v="35"/>
    <x v="265"/>
    <n v="1"/>
    <s v="Cash"/>
    <x v="0"/>
    <d v="2023-06-20T00:00:00"/>
    <x v="1"/>
    <x v="5"/>
    <n v="160"/>
    <n v="-160"/>
    <n v="0"/>
    <n v="3277262.2500000014"/>
    <s v="Trsf"/>
    <s v="Trsf 21/6/23 RM485.00"/>
    <m/>
  </r>
  <r>
    <x v="384"/>
    <x v="1"/>
    <x v="4"/>
    <x v="551"/>
    <s v="C00000034"/>
    <x v="35"/>
    <x v="266"/>
    <n v="1"/>
    <s v="Cash"/>
    <x v="0"/>
    <d v="2023-06-20T00:00:00"/>
    <x v="1"/>
    <x v="5"/>
    <n v="165"/>
    <n v="-165"/>
    <n v="0"/>
    <n v="3277427.2500000014"/>
    <s v="Trsf"/>
    <s v="Trsf 21/6/23 RM485.00"/>
    <m/>
  </r>
  <r>
    <x v="384"/>
    <x v="1"/>
    <x v="4"/>
    <x v="551"/>
    <s v="C00000034"/>
    <x v="35"/>
    <x v="265"/>
    <n v="1"/>
    <s v="Cash"/>
    <x v="0"/>
    <d v="2023-06-20T00:00:00"/>
    <x v="1"/>
    <x v="5"/>
    <n v="160"/>
    <n v="-160"/>
    <n v="0"/>
    <n v="3277587.2500000014"/>
    <s v="Trsf"/>
    <s v="Trsf 21/6/23 RM485.00"/>
    <m/>
  </r>
  <r>
    <x v="385"/>
    <x v="1"/>
    <x v="4"/>
    <x v="552"/>
    <s v="C00000037"/>
    <x v="38"/>
    <x v="262"/>
    <n v="1"/>
    <n v="30"/>
    <x v="5"/>
    <d v="2023-07-21T00:00:00"/>
    <x v="4"/>
    <x v="5"/>
    <n v="390"/>
    <n v="-390"/>
    <n v="0"/>
    <n v="3277977.2500000014"/>
    <s v="Chq"/>
    <s v="MBB 014972 cleared 220623 RM390.00"/>
    <m/>
  </r>
  <r>
    <x v="386"/>
    <x v="1"/>
    <x v="4"/>
    <x v="553"/>
    <s v="C00000021"/>
    <x v="21"/>
    <x v="118"/>
    <n v="1"/>
    <s v="Cash"/>
    <x v="0"/>
    <d v="2023-06-22T00:00:00"/>
    <x v="1"/>
    <x v="5"/>
    <n v="1870"/>
    <m/>
    <n v="1870"/>
    <n v="3279847.2500000014"/>
    <s v="PD Chq"/>
    <m/>
    <m/>
  </r>
  <r>
    <x v="386"/>
    <x v="1"/>
    <x v="4"/>
    <x v="553"/>
    <s v="C00000021"/>
    <x v="21"/>
    <x v="100"/>
    <n v="2"/>
    <s v="Cash"/>
    <x v="0"/>
    <d v="2023-06-22T00:00:00"/>
    <x v="1"/>
    <x v="5"/>
    <n v="510"/>
    <m/>
    <n v="510"/>
    <n v="3280357.2500000014"/>
    <s v="PD Chq"/>
    <m/>
    <m/>
  </r>
  <r>
    <x v="386"/>
    <x v="1"/>
    <x v="4"/>
    <x v="553"/>
    <s v="C00000021"/>
    <x v="21"/>
    <x v="171"/>
    <n v="1"/>
    <s v="Cash"/>
    <x v="0"/>
    <d v="2023-06-22T00:00:00"/>
    <x v="1"/>
    <x v="5"/>
    <n v="95"/>
    <m/>
    <n v="95"/>
    <n v="3280452.2500000014"/>
    <s v="PD Chq"/>
    <m/>
    <m/>
  </r>
  <r>
    <x v="386"/>
    <x v="1"/>
    <x v="4"/>
    <x v="554"/>
    <s v="C00000034"/>
    <x v="35"/>
    <x v="131"/>
    <n v="1"/>
    <s v="Cash"/>
    <x v="0"/>
    <d v="2023-06-22T00:00:00"/>
    <x v="1"/>
    <x v="5"/>
    <n v="420"/>
    <n v="-420"/>
    <n v="0"/>
    <n v="3280872.2500000014"/>
    <s v="Trsf"/>
    <s v="Trsf 22/6/23 RM795.00"/>
    <m/>
  </r>
  <r>
    <x v="386"/>
    <x v="1"/>
    <x v="4"/>
    <x v="554"/>
    <s v="C00000034"/>
    <x v="35"/>
    <x v="132"/>
    <n v="6"/>
    <s v="Cash"/>
    <x v="0"/>
    <d v="2023-06-22T00:00:00"/>
    <x v="1"/>
    <x v="5"/>
    <n v="375"/>
    <n v="-375"/>
    <n v="0"/>
    <n v="3281247.2500000014"/>
    <s v="Trsf"/>
    <s v="Trsf 22/6/23 RM795.00"/>
    <m/>
  </r>
  <r>
    <x v="387"/>
    <x v="1"/>
    <x v="4"/>
    <x v="555"/>
    <s v="C00000014"/>
    <x v="13"/>
    <x v="125"/>
    <n v="4"/>
    <s v="Cash"/>
    <x v="0"/>
    <d v="2023-06-24T00:00:00"/>
    <x v="1"/>
    <x v="5"/>
    <n v="1032"/>
    <n v="-1032"/>
    <n v="0"/>
    <n v="3282279.2500000014"/>
    <s v="Cash"/>
    <s v="Cash 26/6/23 RM1,192.00"/>
    <m/>
  </r>
  <r>
    <x v="387"/>
    <x v="1"/>
    <x v="4"/>
    <x v="555"/>
    <s v="C00000014"/>
    <x v="13"/>
    <x v="141"/>
    <n v="1"/>
    <s v="Cash"/>
    <x v="0"/>
    <d v="2023-06-24T00:00:00"/>
    <x v="1"/>
    <x v="5"/>
    <n v="160"/>
    <n v="-160"/>
    <n v="0"/>
    <n v="3282439.2500000014"/>
    <s v="Cash"/>
    <s v="Cash 26/6/23 RM1,192.00"/>
    <m/>
  </r>
  <r>
    <x v="387"/>
    <x v="1"/>
    <x v="4"/>
    <x v="556"/>
    <s v="C00000019"/>
    <x v="18"/>
    <x v="120"/>
    <n v="2"/>
    <s v="Cash"/>
    <x v="0"/>
    <d v="2023-06-24T00:00:00"/>
    <x v="1"/>
    <x v="5"/>
    <n v="3652"/>
    <m/>
    <n v="3652"/>
    <n v="3286091.2500000014"/>
    <s v="Trsf"/>
    <m/>
    <m/>
  </r>
  <r>
    <x v="387"/>
    <x v="1"/>
    <x v="4"/>
    <x v="556"/>
    <s v="C00000019"/>
    <x v="18"/>
    <x v="226"/>
    <n v="2"/>
    <s v="Cash"/>
    <x v="0"/>
    <d v="2023-06-24T00:00:00"/>
    <x v="1"/>
    <x v="5"/>
    <n v="842.4"/>
    <m/>
    <n v="842.4"/>
    <n v="3286933.6500000013"/>
    <s v="Trsf"/>
    <m/>
    <m/>
  </r>
  <r>
    <x v="387"/>
    <x v="1"/>
    <x v="4"/>
    <x v="556"/>
    <s v="C00000019"/>
    <x v="18"/>
    <x v="132"/>
    <n v="3"/>
    <s v="Cash"/>
    <x v="0"/>
    <d v="2023-06-24T00:00:00"/>
    <x v="1"/>
    <x v="5"/>
    <n v="187.5"/>
    <m/>
    <n v="187.5"/>
    <n v="3287121.1500000013"/>
    <s v="Trsf"/>
    <m/>
    <m/>
  </r>
  <r>
    <x v="387"/>
    <x v="1"/>
    <x v="4"/>
    <x v="556"/>
    <s v="C00000019"/>
    <x v="18"/>
    <x v="244"/>
    <n v="1"/>
    <s v="Cash"/>
    <x v="0"/>
    <d v="2023-06-24T00:00:00"/>
    <x v="1"/>
    <x v="5"/>
    <n v="390"/>
    <m/>
    <n v="390"/>
    <n v="3287511.1500000013"/>
    <s v="Trsf"/>
    <m/>
    <m/>
  </r>
  <r>
    <x v="387"/>
    <x v="1"/>
    <x v="4"/>
    <x v="556"/>
    <s v="C00000019"/>
    <x v="18"/>
    <x v="125"/>
    <n v="1"/>
    <s v="Cash"/>
    <x v="0"/>
    <d v="2023-06-24T00:00:00"/>
    <x v="1"/>
    <x v="5"/>
    <n v="258"/>
    <m/>
    <n v="258"/>
    <n v="3287769.1500000013"/>
    <s v="Trsf"/>
    <m/>
    <m/>
  </r>
  <r>
    <x v="388"/>
    <x v="1"/>
    <x v="4"/>
    <x v="557"/>
    <s v="C00000013"/>
    <x v="12"/>
    <x v="267"/>
    <n v="1"/>
    <s v="Cash"/>
    <x v="0"/>
    <d v="2023-06-26T00:00:00"/>
    <x v="1"/>
    <x v="5"/>
    <n v="1958"/>
    <n v="-1958"/>
    <n v="0"/>
    <n v="3289727.1500000013"/>
    <s v="Chq"/>
    <s v="Cheque MBB 851963, cleared 27/6/23 RM2,820.50"/>
    <m/>
  </r>
  <r>
    <x v="388"/>
    <x v="1"/>
    <x v="4"/>
    <x v="557"/>
    <s v="C00000013"/>
    <x v="12"/>
    <x v="170"/>
    <n v="1"/>
    <s v="Cash"/>
    <x v="0"/>
    <d v="2023-06-26T00:00:00"/>
    <x v="1"/>
    <x v="5"/>
    <n v="237"/>
    <n v="-237"/>
    <n v="0"/>
    <n v="3289964.1500000013"/>
    <s v="Chq"/>
    <s v="Cheque MBB 851963, cleared 27/6/23 RM2,820.50"/>
    <m/>
  </r>
  <r>
    <x v="388"/>
    <x v="1"/>
    <x v="4"/>
    <x v="557"/>
    <s v="C00000013"/>
    <x v="12"/>
    <x v="268"/>
    <n v="1"/>
    <s v="Cash"/>
    <x v="0"/>
    <d v="2023-06-26T00:00:00"/>
    <x v="1"/>
    <x v="5"/>
    <n v="258"/>
    <n v="-258"/>
    <n v="0"/>
    <n v="3290222.1500000013"/>
    <s v="Chq"/>
    <s v="Cheque MBB 851963, cleared 27/6/23 RM2,820.50"/>
    <m/>
  </r>
  <r>
    <x v="388"/>
    <x v="1"/>
    <x v="4"/>
    <x v="557"/>
    <s v="C00000013"/>
    <x v="12"/>
    <x v="269"/>
    <n v="5"/>
    <s v="Cash"/>
    <x v="0"/>
    <d v="2023-06-26T00:00:00"/>
    <x v="1"/>
    <x v="5"/>
    <n v="30"/>
    <n v="-30"/>
    <n v="0"/>
    <n v="3290252.1500000013"/>
    <s v="Chq"/>
    <s v="Cheque MBB 851963, cleared 27/6/23 RM2,820.50"/>
    <m/>
  </r>
  <r>
    <x v="388"/>
    <x v="1"/>
    <x v="4"/>
    <x v="557"/>
    <s v="C00000013"/>
    <x v="12"/>
    <x v="270"/>
    <n v="5"/>
    <s v="Cash"/>
    <x v="0"/>
    <d v="2023-06-26T00:00:00"/>
    <x v="1"/>
    <x v="5"/>
    <n v="27.5"/>
    <n v="-27.5"/>
    <n v="0"/>
    <n v="3290279.6500000013"/>
    <s v="Chq"/>
    <s v="Cheque MBB 851963, cleared 27/6/23 RM2,820.50"/>
    <m/>
  </r>
  <r>
    <x v="388"/>
    <x v="1"/>
    <x v="4"/>
    <x v="557"/>
    <s v="C00000013"/>
    <x v="12"/>
    <x v="178"/>
    <n v="1"/>
    <s v="Cash"/>
    <x v="0"/>
    <d v="2023-06-26T00:00:00"/>
    <x v="1"/>
    <x v="5"/>
    <n v="50"/>
    <n v="-50"/>
    <n v="0"/>
    <n v="3290329.6500000013"/>
    <s v="Chq"/>
    <s v="Cheque MBB 851963, cleared 27/6/23 RM2,820.50"/>
    <m/>
  </r>
  <r>
    <x v="388"/>
    <x v="1"/>
    <x v="4"/>
    <x v="557"/>
    <s v="C00000013"/>
    <x v="12"/>
    <x v="271"/>
    <n v="1"/>
    <s v="Cash"/>
    <x v="0"/>
    <d v="2023-06-26T00:00:00"/>
    <x v="1"/>
    <x v="5"/>
    <n v="70"/>
    <n v="-70"/>
    <n v="0"/>
    <n v="3290399.6500000013"/>
    <s v="Chq"/>
    <s v="Cheque MBB 851963, cleared 27/6/23 RM2,820.50"/>
    <m/>
  </r>
  <r>
    <x v="388"/>
    <x v="1"/>
    <x v="4"/>
    <x v="557"/>
    <s v="C00000013"/>
    <x v="12"/>
    <x v="272"/>
    <n v="1"/>
    <s v="Cash"/>
    <x v="0"/>
    <d v="2023-06-26T00:00:00"/>
    <x v="1"/>
    <x v="5"/>
    <n v="74"/>
    <n v="-74"/>
    <n v="0"/>
    <n v="3290473.6500000013"/>
    <s v="Chq"/>
    <s v="Cheque MBB 851963, cleared 27/6/23 RM2,820.50"/>
    <m/>
  </r>
  <r>
    <x v="388"/>
    <x v="1"/>
    <x v="4"/>
    <x v="557"/>
    <s v="C00000013"/>
    <x v="12"/>
    <x v="273"/>
    <n v="1"/>
    <s v="Cash"/>
    <x v="0"/>
    <d v="2023-06-26T00:00:00"/>
    <x v="1"/>
    <x v="5"/>
    <n v="116"/>
    <n v="-116"/>
    <n v="0"/>
    <n v="3290589.6500000013"/>
    <s v="Chq"/>
    <s v="Cheque MBB 851963, cleared 27/6/23 RM2,820.50"/>
    <m/>
  </r>
  <r>
    <x v="389"/>
    <x v="1"/>
    <x v="4"/>
    <x v="558"/>
    <s v="C00000034"/>
    <x v="35"/>
    <x v="217"/>
    <n v="2"/>
    <s v="Cash"/>
    <x v="0"/>
    <d v="2023-06-27T00:00:00"/>
    <x v="1"/>
    <x v="5"/>
    <n v="3740"/>
    <n v="-3740"/>
    <n v="0"/>
    <n v="3294329.6500000013"/>
    <s v="Trsf"/>
    <s v="Trsf 27/6/23 RM3,000.00, Trsf 1/7/23 RM1,133.50(RM740.00)"/>
    <m/>
  </r>
  <r>
    <x v="389"/>
    <x v="1"/>
    <x v="4"/>
    <x v="558"/>
    <s v="C00000034"/>
    <x v="35"/>
    <x v="216"/>
    <n v="2"/>
    <s v="Cash"/>
    <x v="0"/>
    <d v="2023-06-27T00:00:00"/>
    <x v="1"/>
    <x v="5"/>
    <n v="450"/>
    <n v="-450"/>
    <n v="0"/>
    <n v="3294779.6500000013"/>
    <s v="Trsf"/>
    <s v="Trsf 1/7/23 RM1,133.50(RM393.50), Trsf 3/7/23 RM5,783.00(RM56.50)"/>
    <m/>
  </r>
  <r>
    <x v="389"/>
    <x v="1"/>
    <x v="4"/>
    <x v="558"/>
    <s v="C00000034"/>
    <x v="35"/>
    <x v="220"/>
    <n v="1"/>
    <s v="Cash"/>
    <x v="0"/>
    <d v="2023-06-27T00:00:00"/>
    <x v="1"/>
    <x v="5"/>
    <n v="225"/>
    <n v="-225"/>
    <n v="0"/>
    <n v="3295004.6500000013"/>
    <s v="Trsf"/>
    <s v="Trsf 3/7/23 RM5,783.00(RM225.00)"/>
    <m/>
  </r>
  <r>
    <x v="389"/>
    <x v="1"/>
    <x v="4"/>
    <x v="558"/>
    <s v="C00000034"/>
    <x v="35"/>
    <x v="258"/>
    <n v="1"/>
    <s v="Cash"/>
    <x v="0"/>
    <d v="2023-06-27T00:00:00"/>
    <x v="1"/>
    <x v="5"/>
    <n v="236"/>
    <n v="-236"/>
    <n v="0"/>
    <n v="3295240.6500000013"/>
    <s v="Trsf"/>
    <s v="Trsf 3/7/23 RM5,783.00(RM236.00)"/>
    <m/>
  </r>
  <r>
    <x v="389"/>
    <x v="1"/>
    <x v="4"/>
    <x v="558"/>
    <s v="C00000034"/>
    <x v="35"/>
    <x v="171"/>
    <n v="1"/>
    <s v="Cash"/>
    <x v="0"/>
    <d v="2023-06-27T00:00:00"/>
    <x v="1"/>
    <x v="5"/>
    <n v="95"/>
    <n v="-95"/>
    <n v="0"/>
    <n v="3295335.6500000013"/>
    <s v="Trsf"/>
    <s v="Trsf 3/7/23 RM5,783.00(RM95.00)"/>
    <m/>
  </r>
  <r>
    <x v="389"/>
    <x v="1"/>
    <x v="4"/>
    <x v="558"/>
    <s v="C00000034"/>
    <x v="35"/>
    <x v="132"/>
    <n v="1"/>
    <s v="Cash"/>
    <x v="0"/>
    <d v="2023-06-27T00:00:00"/>
    <x v="1"/>
    <x v="5"/>
    <n v="62.5"/>
    <n v="-62.5"/>
    <n v="0"/>
    <n v="3295398.1500000013"/>
    <s v="Trsf"/>
    <s v="Trsf 3/7/23 RM5,783.00(RM62.50)"/>
    <m/>
  </r>
  <r>
    <x v="389"/>
    <x v="1"/>
    <x v="4"/>
    <x v="558"/>
    <s v="C00000034"/>
    <x v="35"/>
    <x v="274"/>
    <n v="1"/>
    <s v="Cash"/>
    <x v="0"/>
    <d v="2023-06-27T00:00:00"/>
    <x v="1"/>
    <x v="5"/>
    <n v="165"/>
    <n v="-165"/>
    <n v="0"/>
    <n v="3295563.1500000013"/>
    <s v="Trsf"/>
    <s v="Trsf 3/7/23 RM5,783.00(RM165.00)"/>
    <m/>
  </r>
  <r>
    <x v="389"/>
    <x v="1"/>
    <x v="4"/>
    <x v="558"/>
    <s v="C00000034"/>
    <x v="35"/>
    <x v="275"/>
    <n v="1"/>
    <s v="Cash"/>
    <x v="0"/>
    <d v="2023-06-27T00:00:00"/>
    <x v="1"/>
    <x v="5"/>
    <n v="160"/>
    <n v="-160"/>
    <n v="0"/>
    <n v="3295723.1500000013"/>
    <s v="Trsf"/>
    <s v="Trsf 3/7/23 RM5,783.00(RM160.00)"/>
    <m/>
  </r>
  <r>
    <x v="390"/>
    <x v="1"/>
    <x v="4"/>
    <x v="559"/>
    <s v="C00000021"/>
    <x v="21"/>
    <x v="118"/>
    <n v="1"/>
    <s v="Cash"/>
    <x v="0"/>
    <d v="2023-06-28T00:00:00"/>
    <x v="1"/>
    <x v="5"/>
    <n v="1870"/>
    <m/>
    <n v="1870"/>
    <n v="3297593.1500000013"/>
    <s v="PD Chq"/>
    <m/>
    <m/>
  </r>
  <r>
    <x v="390"/>
    <x v="1"/>
    <x v="4"/>
    <x v="559"/>
    <s v="C00000021"/>
    <x v="21"/>
    <x v="100"/>
    <n v="2"/>
    <s v="Cash"/>
    <x v="0"/>
    <d v="2023-06-28T00:00:00"/>
    <x v="1"/>
    <x v="5"/>
    <n v="510"/>
    <m/>
    <n v="510"/>
    <n v="3298103.1500000013"/>
    <s v="PD Chq"/>
    <m/>
    <m/>
  </r>
  <r>
    <x v="390"/>
    <x v="1"/>
    <x v="4"/>
    <x v="559"/>
    <s v="C00000021"/>
    <x v="21"/>
    <x v="171"/>
    <n v="1"/>
    <s v="Cash"/>
    <x v="0"/>
    <d v="2023-06-28T00:00:00"/>
    <x v="1"/>
    <x v="5"/>
    <n v="95"/>
    <m/>
    <n v="95"/>
    <n v="3298198.1500000013"/>
    <s v="PD Chq"/>
    <m/>
    <m/>
  </r>
  <r>
    <x v="391"/>
    <x v="2"/>
    <x v="4"/>
    <x v="560"/>
    <s v="C00000009"/>
    <x v="8"/>
    <x v="4"/>
    <n v="2"/>
    <n v="60"/>
    <x v="3"/>
    <d v="2023-08-30T00:00:00"/>
    <x v="2"/>
    <x v="5"/>
    <n v="220"/>
    <m/>
    <n v="220"/>
    <n v="3298418.1500000013"/>
    <s v="Chq"/>
    <m/>
    <m/>
  </r>
  <r>
    <x v="391"/>
    <x v="2"/>
    <x v="4"/>
    <x v="561"/>
    <s v="C00000020"/>
    <x v="19"/>
    <x v="132"/>
    <n v="1"/>
    <s v="Cash"/>
    <x v="0"/>
    <d v="2023-07-01T00:00:00"/>
    <x v="4"/>
    <x v="5"/>
    <n v="62.5"/>
    <m/>
    <n v="62.5"/>
    <n v="3298480.6500000013"/>
    <s v="Trsf"/>
    <m/>
    <m/>
  </r>
  <r>
    <x v="391"/>
    <x v="2"/>
    <x v="4"/>
    <x v="561"/>
    <s v="C00000020"/>
    <x v="19"/>
    <x v="276"/>
    <n v="1"/>
    <s v="Cash"/>
    <x v="0"/>
    <d v="2023-07-01T00:00:00"/>
    <x v="4"/>
    <x v="5"/>
    <n v="50.4"/>
    <m/>
    <n v="50.4"/>
    <n v="3298531.0500000012"/>
    <s v="Trsf"/>
    <m/>
    <m/>
  </r>
  <r>
    <x v="392"/>
    <x v="2"/>
    <x v="4"/>
    <x v="562"/>
    <s v="C00000034"/>
    <x v="35"/>
    <x v="217"/>
    <n v="2"/>
    <s v="Cash"/>
    <x v="0"/>
    <d v="2023-07-03T00:00:00"/>
    <x v="4"/>
    <x v="5"/>
    <n v="3652"/>
    <n v="-3652"/>
    <n v="0"/>
    <n v="3302183.0500000012"/>
    <s v="Trsf"/>
    <s v="Trsf 3/7/23 RM5,783.00(RM3,6520.00)"/>
    <m/>
  </r>
  <r>
    <x v="392"/>
    <x v="2"/>
    <x v="4"/>
    <x v="562"/>
    <s v="C00000034"/>
    <x v="35"/>
    <x v="220"/>
    <n v="3"/>
    <s v="Cash"/>
    <x v="0"/>
    <d v="2023-07-03T00:00:00"/>
    <x v="4"/>
    <x v="5"/>
    <n v="675"/>
    <n v="-675"/>
    <n v="0"/>
    <n v="3302858.0500000012"/>
    <s v="Trsf"/>
    <s v="Trsf 3/7/23 RM5,783.00(RM675.00)"/>
    <m/>
  </r>
  <r>
    <x v="392"/>
    <x v="2"/>
    <x v="4"/>
    <x v="562"/>
    <s v="C00000034"/>
    <x v="35"/>
    <x v="258"/>
    <n v="1"/>
    <s v="Cash"/>
    <x v="0"/>
    <d v="2023-07-03T00:00:00"/>
    <x v="4"/>
    <x v="5"/>
    <n v="236"/>
    <n v="-236"/>
    <n v="0"/>
    <n v="3303094.0500000012"/>
    <s v="Trsf"/>
    <s v="Trsf 3/7/23 RM5,783.00(RM236.00)"/>
    <m/>
  </r>
  <r>
    <x v="392"/>
    <x v="2"/>
    <x v="4"/>
    <x v="562"/>
    <s v="C00000034"/>
    <x v="35"/>
    <x v="171"/>
    <n v="1"/>
    <s v="Cash"/>
    <x v="0"/>
    <d v="2023-07-03T00:00:00"/>
    <x v="4"/>
    <x v="5"/>
    <n v="95"/>
    <n v="-95"/>
    <n v="0"/>
    <n v="3303189.0500000012"/>
    <s v="Trsf"/>
    <s v="Trsf 3/7/23 RM5,783.00(RM95.00)"/>
    <m/>
  </r>
  <r>
    <x v="392"/>
    <x v="2"/>
    <x v="4"/>
    <x v="562"/>
    <s v="C00000034"/>
    <x v="35"/>
    <x v="132"/>
    <n v="2"/>
    <s v="Cash"/>
    <x v="0"/>
    <d v="2023-07-03T00:00:00"/>
    <x v="4"/>
    <x v="5"/>
    <n v="125"/>
    <n v="-125"/>
    <n v="0"/>
    <n v="3303314.0500000012"/>
    <s v="Trsf"/>
    <s v="Trsf 3/7/23 RM5,783.00(RM125.00)"/>
    <m/>
  </r>
  <r>
    <x v="392"/>
    <x v="2"/>
    <x v="4"/>
    <x v="563"/>
    <s v="C00000034"/>
    <x v="35"/>
    <x v="224"/>
    <n v="2"/>
    <s v="Cash"/>
    <x v="0"/>
    <d v="2023-07-03T00:00:00"/>
    <x v="4"/>
    <x v="5"/>
    <n v="100"/>
    <n v="-100"/>
    <n v="0"/>
    <n v="3303414.0500000012"/>
    <s v="Trsf"/>
    <s v="Trsf 3/7/23 RM100.00"/>
    <m/>
  </r>
  <r>
    <x v="393"/>
    <x v="2"/>
    <x v="4"/>
    <x v="564"/>
    <s v="C00000022"/>
    <x v="23"/>
    <x v="277"/>
    <n v="1"/>
    <s v="Cash"/>
    <x v="0"/>
    <d v="2023-07-04T00:00:00"/>
    <x v="4"/>
    <x v="5"/>
    <n v="100"/>
    <m/>
    <n v="100"/>
    <n v="3303514.0500000012"/>
    <s v="Trsf"/>
    <m/>
    <m/>
  </r>
  <r>
    <x v="394"/>
    <x v="2"/>
    <x v="4"/>
    <x v="565"/>
    <s v="C00000027"/>
    <x v="28"/>
    <x v="118"/>
    <n v="1"/>
    <s v="Cash"/>
    <x v="0"/>
    <d v="2023-07-06T00:00:00"/>
    <x v="4"/>
    <x v="5"/>
    <n v="1848"/>
    <m/>
    <n v="1848"/>
    <n v="3305362.0500000012"/>
    <s v="Trsf"/>
    <m/>
    <m/>
  </r>
  <r>
    <x v="394"/>
    <x v="2"/>
    <x v="4"/>
    <x v="565"/>
    <s v="C00000027"/>
    <x v="28"/>
    <x v="125"/>
    <n v="2"/>
    <s v="Cash"/>
    <x v="0"/>
    <d v="2023-07-06T00:00:00"/>
    <x v="4"/>
    <x v="5"/>
    <n v="508"/>
    <m/>
    <n v="508"/>
    <n v="3305870.0500000012"/>
    <s v="Trsf"/>
    <m/>
    <m/>
  </r>
  <r>
    <x v="394"/>
    <x v="2"/>
    <x v="4"/>
    <x v="565"/>
    <s v="C00000027"/>
    <x v="28"/>
    <x v="141"/>
    <n v="1"/>
    <s v="Cash"/>
    <x v="0"/>
    <d v="2023-07-06T00:00:00"/>
    <x v="4"/>
    <x v="5"/>
    <n v="160"/>
    <m/>
    <n v="160"/>
    <n v="3306030.0500000012"/>
    <s v="Trsf"/>
    <m/>
    <m/>
  </r>
  <r>
    <x v="394"/>
    <x v="2"/>
    <x v="4"/>
    <x v="566"/>
    <s v="C00000014"/>
    <x v="13"/>
    <x v="45"/>
    <n v="3"/>
    <s v="Cash"/>
    <x v="0"/>
    <d v="2023-07-06T00:00:00"/>
    <x v="4"/>
    <x v="5"/>
    <n v="5280"/>
    <n v="-5280"/>
    <n v="0"/>
    <n v="3311310.0500000012"/>
    <s v="Cash"/>
    <s v="Cash 7/7/2023 RM7,536.00"/>
    <m/>
  </r>
  <r>
    <x v="394"/>
    <x v="2"/>
    <x v="4"/>
    <x v="566"/>
    <s v="C00000014"/>
    <x v="13"/>
    <x v="157"/>
    <n v="5"/>
    <s v="Cash"/>
    <x v="0"/>
    <d v="2023-07-06T00:00:00"/>
    <x v="4"/>
    <x v="5"/>
    <n v="1185"/>
    <n v="-1185"/>
    <n v="0"/>
    <n v="3312495.0500000012"/>
    <s v="Cash"/>
    <s v="Cash 7/7/2023 RM7,536.00"/>
    <m/>
  </r>
  <r>
    <x v="394"/>
    <x v="2"/>
    <x v="4"/>
    <x v="566"/>
    <s v="C00000014"/>
    <x v="13"/>
    <x v="171"/>
    <n v="2"/>
    <s v="Cash"/>
    <x v="0"/>
    <d v="2023-07-06T00:00:00"/>
    <x v="4"/>
    <x v="5"/>
    <n v="190"/>
    <n v="-190"/>
    <n v="0"/>
    <n v="3312685.0500000012"/>
    <s v="Cash"/>
    <s v="Cash 7/7/2023 RM7,536.00"/>
    <m/>
  </r>
  <r>
    <x v="394"/>
    <x v="2"/>
    <x v="4"/>
    <x v="566"/>
    <s v="C00000014"/>
    <x v="13"/>
    <x v="278"/>
    <n v="1"/>
    <s v="Cash"/>
    <x v="0"/>
    <d v="2023-07-06T00:00:00"/>
    <x v="4"/>
    <x v="5"/>
    <n v="165"/>
    <n v="-165"/>
    <n v="0"/>
    <n v="3312850.0500000012"/>
    <s v="Cash"/>
    <s v="Cash 7/7/2023 RM7,536.00"/>
    <m/>
  </r>
  <r>
    <x v="394"/>
    <x v="2"/>
    <x v="4"/>
    <x v="566"/>
    <s v="C00000014"/>
    <x v="13"/>
    <x v="125"/>
    <n v="2"/>
    <s v="Cash"/>
    <x v="0"/>
    <d v="2023-07-06T00:00:00"/>
    <x v="4"/>
    <x v="5"/>
    <n v="516"/>
    <n v="-516"/>
    <n v="0"/>
    <n v="3313366.0500000012"/>
    <s v="Cash"/>
    <s v="Cash 7/7/2023 RM7,536.00"/>
    <m/>
  </r>
  <r>
    <x v="394"/>
    <x v="2"/>
    <x v="4"/>
    <x v="566"/>
    <s v="C00000014"/>
    <x v="13"/>
    <x v="153"/>
    <n v="4"/>
    <s v="Cash"/>
    <x v="0"/>
    <d v="2023-07-06T00:00:00"/>
    <x v="4"/>
    <x v="5"/>
    <n v="200"/>
    <n v="-200"/>
    <n v="0"/>
    <n v="3313566.0500000012"/>
    <s v="Cash"/>
    <s v="Cash 7/7/2023 RM7,536.00"/>
    <m/>
  </r>
  <r>
    <x v="395"/>
    <x v="2"/>
    <x v="4"/>
    <x v="567"/>
    <s v="C00000010"/>
    <x v="9"/>
    <x v="223"/>
    <n v="6"/>
    <n v="120"/>
    <x v="2"/>
    <d v="2023-11-07T00:00:00"/>
    <x v="5"/>
    <x v="5"/>
    <n v="9636"/>
    <m/>
    <n v="9636"/>
    <n v="3323202.0500000012"/>
    <s v="Trsf"/>
    <m/>
    <m/>
  </r>
  <r>
    <x v="395"/>
    <x v="2"/>
    <x v="4"/>
    <x v="567"/>
    <s v="C00000010"/>
    <x v="9"/>
    <x v="247"/>
    <n v="10"/>
    <n v="120"/>
    <x v="2"/>
    <d v="2023-11-07T00:00:00"/>
    <x v="5"/>
    <x v="5"/>
    <n v="1800"/>
    <m/>
    <n v="1800"/>
    <n v="3325002.0500000012"/>
    <s v="Trsf"/>
    <m/>
    <m/>
  </r>
  <r>
    <x v="395"/>
    <x v="2"/>
    <x v="4"/>
    <x v="567"/>
    <s v="C00000010"/>
    <x v="9"/>
    <x v="132"/>
    <n v="10"/>
    <n v="120"/>
    <x v="2"/>
    <d v="2023-11-07T00:00:00"/>
    <x v="5"/>
    <x v="5"/>
    <n v="575"/>
    <m/>
    <n v="575"/>
    <n v="3325577.0500000012"/>
    <s v="Trsf"/>
    <m/>
    <m/>
  </r>
  <r>
    <x v="395"/>
    <x v="2"/>
    <x v="4"/>
    <x v="567"/>
    <s v="C00000010"/>
    <x v="9"/>
    <x v="4"/>
    <n v="8"/>
    <n v="120"/>
    <x v="2"/>
    <d v="2023-11-07T00:00:00"/>
    <x v="5"/>
    <x v="5"/>
    <n v="840"/>
    <m/>
    <n v="840"/>
    <n v="3326417.0500000012"/>
    <s v="Trsf"/>
    <m/>
    <m/>
  </r>
  <r>
    <x v="395"/>
    <x v="2"/>
    <x v="4"/>
    <x v="567"/>
    <s v="C00000010"/>
    <x v="9"/>
    <x v="131"/>
    <n v="1"/>
    <n v="120"/>
    <x v="2"/>
    <d v="2023-11-07T00:00:00"/>
    <x v="5"/>
    <x v="5"/>
    <n v="420"/>
    <m/>
    <n v="420"/>
    <n v="3326837.0500000012"/>
    <s v="Trsf"/>
    <m/>
    <m/>
  </r>
  <r>
    <x v="395"/>
    <x v="2"/>
    <x v="4"/>
    <x v="567"/>
    <s v="C00000010"/>
    <x v="9"/>
    <x v="48"/>
    <n v="1"/>
    <n v="120"/>
    <x v="2"/>
    <d v="2023-11-07T00:00:00"/>
    <x v="5"/>
    <x v="5"/>
    <n v="395"/>
    <m/>
    <n v="395"/>
    <n v="3327232.0500000012"/>
    <s v="Trsf"/>
    <m/>
    <m/>
  </r>
  <r>
    <x v="395"/>
    <x v="2"/>
    <x v="4"/>
    <x v="568"/>
    <s v="C00000034"/>
    <x v="35"/>
    <x v="215"/>
    <n v="10"/>
    <s v="Cash"/>
    <x v="0"/>
    <d v="2023-07-10T00:00:00"/>
    <x v="4"/>
    <x v="5"/>
    <n v="1390"/>
    <n v="-1390"/>
    <n v="0"/>
    <n v="3328622.0500000012"/>
    <s v="Trsf"/>
    <s v="Trsf 13/7/23 RM1,400.00 (Inv 570 overpaid RM10.00 - deducted Inv 588) refer line 1936"/>
    <m/>
  </r>
  <r>
    <x v="396"/>
    <x v="2"/>
    <x v="4"/>
    <x v="569"/>
    <s v="C00000021"/>
    <x v="21"/>
    <x v="118"/>
    <n v="1"/>
    <s v="Cash"/>
    <x v="0"/>
    <d v="2023-07-11T00:00:00"/>
    <x v="4"/>
    <x v="5"/>
    <n v="1826"/>
    <m/>
    <n v="1826"/>
    <n v="3330448.0500000012"/>
    <s v="PD Chq"/>
    <m/>
    <m/>
  </r>
  <r>
    <x v="396"/>
    <x v="2"/>
    <x v="4"/>
    <x v="569"/>
    <s v="C00000021"/>
    <x v="21"/>
    <x v="100"/>
    <n v="3"/>
    <s v="Cash"/>
    <x v="0"/>
    <d v="2023-07-11T00:00:00"/>
    <x v="4"/>
    <x v="5"/>
    <n v="747"/>
    <m/>
    <n v="747"/>
    <n v="3331195.0500000012"/>
    <s v="PD Chq"/>
    <m/>
    <m/>
  </r>
  <r>
    <x v="396"/>
    <x v="2"/>
    <x v="4"/>
    <x v="569"/>
    <s v="C00000021"/>
    <x v="21"/>
    <x v="171"/>
    <n v="1"/>
    <s v="Cash"/>
    <x v="0"/>
    <d v="2023-07-11T00:00:00"/>
    <x v="4"/>
    <x v="5"/>
    <n v="95"/>
    <m/>
    <n v="95"/>
    <n v="3331290.0500000012"/>
    <s v="PD Chq"/>
    <m/>
    <m/>
  </r>
  <r>
    <x v="396"/>
    <x v="2"/>
    <x v="4"/>
    <x v="570"/>
    <s v="C00000037"/>
    <x v="38"/>
    <x v="224"/>
    <n v="3"/>
    <n v="30"/>
    <x v="5"/>
    <d v="2023-08-10T00:00:00"/>
    <x v="2"/>
    <x v="5"/>
    <n v="144"/>
    <n v="-144"/>
    <n v="0"/>
    <n v="3331434.0500000012"/>
    <s v="Chq"/>
    <s v="MBB 015039 cleared 110723 RM144.00"/>
    <m/>
  </r>
  <r>
    <x v="397"/>
    <x v="2"/>
    <x v="4"/>
    <x v="571"/>
    <s v="C00000034"/>
    <x v="35"/>
    <x v="217"/>
    <n v="2"/>
    <s v="Cash"/>
    <x v="0"/>
    <d v="2023-07-15T00:00:00"/>
    <x v="4"/>
    <x v="5"/>
    <n v="3652"/>
    <n v="-3652"/>
    <n v="0"/>
    <n v="3335086.0500000012"/>
    <s v="Trsf"/>
    <s v="Trsf 18/7/23 RM5,673.00 (Inv 573 overpaid RM100.00 - deducted Inv 588) refer line 1936"/>
    <m/>
  </r>
  <r>
    <x v="397"/>
    <x v="2"/>
    <x v="4"/>
    <x v="571"/>
    <s v="C00000034"/>
    <x v="35"/>
    <x v="220"/>
    <n v="3"/>
    <s v="Cash"/>
    <x v="0"/>
    <d v="2023-07-15T00:00:00"/>
    <x v="4"/>
    <x v="5"/>
    <n v="675"/>
    <n v="-675"/>
    <n v="0"/>
    <n v="3335761.0500000012"/>
    <s v="Trsf"/>
    <s v="Trsf 18/7/23 RM5,673.00 (Inv 573 overpaid RM100.00 - deducted Inv 588) refer line 1936"/>
    <m/>
  </r>
  <r>
    <x v="397"/>
    <x v="2"/>
    <x v="4"/>
    <x v="571"/>
    <s v="C00000034"/>
    <x v="35"/>
    <x v="258"/>
    <n v="1"/>
    <s v="Cash"/>
    <x v="0"/>
    <d v="2023-07-15T00:00:00"/>
    <x v="4"/>
    <x v="5"/>
    <n v="236"/>
    <n v="-236"/>
    <n v="0"/>
    <n v="3335997.0500000012"/>
    <s v="Trsf"/>
    <s v="Trsf 18/7/23 RM5,673.00 (Inv 573 overpaid RM100.00 - deducted Inv 588) refer line 1936"/>
    <m/>
  </r>
  <r>
    <x v="397"/>
    <x v="2"/>
    <x v="4"/>
    <x v="571"/>
    <s v="C00000034"/>
    <x v="35"/>
    <x v="171"/>
    <n v="2"/>
    <s v="Cash"/>
    <x v="0"/>
    <d v="2023-07-15T00:00:00"/>
    <x v="4"/>
    <x v="5"/>
    <n v="190"/>
    <n v="-190"/>
    <n v="0"/>
    <n v="3336187.0500000012"/>
    <s v="Trsf"/>
    <s v="Trsf 18/7/23 RM5,673.00 (Inv 573 overpaid RM100.00 - deducted Inv 588) refer line 1936"/>
    <m/>
  </r>
  <r>
    <x v="397"/>
    <x v="2"/>
    <x v="4"/>
    <x v="571"/>
    <s v="C00000034"/>
    <x v="35"/>
    <x v="132"/>
    <n v="2"/>
    <s v="Cash"/>
    <x v="0"/>
    <d v="2023-07-15T00:00:00"/>
    <x v="4"/>
    <x v="5"/>
    <n v="125"/>
    <n v="-125"/>
    <n v="0"/>
    <n v="3336312.0500000012"/>
    <s v="Trsf"/>
    <s v="Trsf 18/7/23 RM5,673.00 (Inv 573 overpaid RM100.00 - deducted Inv 588) refer line 1936"/>
    <m/>
  </r>
  <r>
    <x v="397"/>
    <x v="2"/>
    <x v="4"/>
    <x v="571"/>
    <s v="C00000034"/>
    <x v="35"/>
    <x v="215"/>
    <n v="5"/>
    <s v="Cash"/>
    <x v="0"/>
    <d v="2023-07-15T00:00:00"/>
    <x v="4"/>
    <x v="5"/>
    <n v="695"/>
    <n v="-695"/>
    <n v="0"/>
    <n v="3337007.0500000012"/>
    <s v="Trsf"/>
    <s v="Trsf 18/7/23 RM5,673.00 (Inv 573 overpaid RM100.00 - deducted Inv 588) refer line 1936"/>
    <m/>
  </r>
  <r>
    <x v="398"/>
    <x v="2"/>
    <x v="4"/>
    <x v="572"/>
    <s v="C00000021"/>
    <x v="21"/>
    <x v="118"/>
    <n v="1"/>
    <s v="Cash"/>
    <x v="0"/>
    <d v="2023-07-17T00:00:00"/>
    <x v="4"/>
    <x v="5"/>
    <n v="1826"/>
    <m/>
    <n v="1826"/>
    <n v="3338833.0500000012"/>
    <s v="PD Chq"/>
    <m/>
    <m/>
  </r>
  <r>
    <x v="398"/>
    <x v="2"/>
    <x v="4"/>
    <x v="572"/>
    <s v="C00000021"/>
    <x v="21"/>
    <x v="100"/>
    <n v="2"/>
    <s v="Cash"/>
    <x v="0"/>
    <d v="2023-07-17T00:00:00"/>
    <x v="4"/>
    <x v="5"/>
    <n v="498"/>
    <m/>
    <n v="498"/>
    <n v="3339331.0500000012"/>
    <s v="PD Chq"/>
    <m/>
    <m/>
  </r>
  <r>
    <x v="398"/>
    <x v="2"/>
    <x v="4"/>
    <x v="572"/>
    <s v="C00000021"/>
    <x v="21"/>
    <x v="171"/>
    <n v="1"/>
    <s v="Cash"/>
    <x v="0"/>
    <d v="2023-07-17T00:00:00"/>
    <x v="4"/>
    <x v="5"/>
    <n v="95"/>
    <m/>
    <n v="95"/>
    <n v="3339426.0500000012"/>
    <s v="PD Chq"/>
    <m/>
    <m/>
  </r>
  <r>
    <x v="398"/>
    <x v="2"/>
    <x v="4"/>
    <x v="572"/>
    <s v="C00000021"/>
    <x v="21"/>
    <x v="132"/>
    <n v="5"/>
    <s v="Cash"/>
    <x v="0"/>
    <d v="2023-07-17T00:00:00"/>
    <x v="4"/>
    <x v="5"/>
    <n v="312.5"/>
    <m/>
    <n v="312.5"/>
    <n v="3339738.5500000012"/>
    <s v="PD Chq"/>
    <m/>
    <m/>
  </r>
  <r>
    <x v="399"/>
    <x v="2"/>
    <x v="4"/>
    <x v="573"/>
    <s v="C00000019"/>
    <x v="18"/>
    <x v="120"/>
    <n v="2"/>
    <s v="Cash"/>
    <x v="0"/>
    <d v="2023-07-18T00:00:00"/>
    <x v="4"/>
    <x v="5"/>
    <n v="3564"/>
    <m/>
    <n v="3564"/>
    <n v="3343302.5500000012"/>
    <s v="Trsf"/>
    <m/>
    <m/>
  </r>
  <r>
    <x v="399"/>
    <x v="2"/>
    <x v="4"/>
    <x v="573"/>
    <s v="C00000019"/>
    <x v="18"/>
    <x v="226"/>
    <n v="2"/>
    <s v="Cash"/>
    <x v="0"/>
    <d v="2023-07-18T00:00:00"/>
    <x v="4"/>
    <x v="5"/>
    <n v="842.4"/>
    <m/>
    <n v="842.4"/>
    <n v="3344144.9500000011"/>
    <s v="Trsf"/>
    <m/>
    <m/>
  </r>
  <r>
    <x v="399"/>
    <x v="2"/>
    <x v="4"/>
    <x v="573"/>
    <s v="C00000019"/>
    <x v="18"/>
    <x v="132"/>
    <n v="3"/>
    <s v="Cash"/>
    <x v="0"/>
    <d v="2023-07-18T00:00:00"/>
    <x v="4"/>
    <x v="5"/>
    <n v="187.5"/>
    <m/>
    <n v="187.5"/>
    <n v="3344332.4500000011"/>
    <s v="Trsf"/>
    <m/>
    <m/>
  </r>
  <r>
    <x v="399"/>
    <x v="2"/>
    <x v="4"/>
    <x v="573"/>
    <s v="C00000019"/>
    <x v="18"/>
    <x v="244"/>
    <n v="1"/>
    <s v="Cash"/>
    <x v="0"/>
    <d v="2023-07-18T00:00:00"/>
    <x v="4"/>
    <x v="5"/>
    <n v="390"/>
    <m/>
    <n v="390"/>
    <n v="3344722.4500000011"/>
    <s v="Trsf"/>
    <m/>
    <m/>
  </r>
  <r>
    <x v="399"/>
    <x v="2"/>
    <x v="4"/>
    <x v="573"/>
    <s v="C00000019"/>
    <x v="18"/>
    <x v="4"/>
    <n v="1"/>
    <s v="Cash"/>
    <x v="0"/>
    <d v="2023-07-18T00:00:00"/>
    <x v="4"/>
    <x v="5"/>
    <n v="105"/>
    <m/>
    <n v="105"/>
    <n v="3344827.4500000011"/>
    <s v="Trsf"/>
    <m/>
    <m/>
  </r>
  <r>
    <x v="399"/>
    <x v="2"/>
    <x v="4"/>
    <x v="573"/>
    <s v="C00000019"/>
    <x v="18"/>
    <x v="153"/>
    <n v="3"/>
    <s v="Cash"/>
    <x v="0"/>
    <d v="2023-07-18T00:00:00"/>
    <x v="4"/>
    <x v="5"/>
    <n v="150"/>
    <m/>
    <n v="150"/>
    <n v="3344977.4500000011"/>
    <s v="Trsf"/>
    <m/>
    <m/>
  </r>
  <r>
    <x v="400"/>
    <x v="2"/>
    <x v="4"/>
    <x v="574"/>
    <s v="C00000020"/>
    <x v="19"/>
    <x v="132"/>
    <n v="1"/>
    <s v="Cash"/>
    <x v="0"/>
    <d v="2023-07-26T00:00:00"/>
    <x v="4"/>
    <x v="5"/>
    <n v="62.5"/>
    <m/>
    <n v="62.5"/>
    <n v="3345039.9500000011"/>
    <s v="Trsf"/>
    <m/>
    <m/>
  </r>
  <r>
    <x v="401"/>
    <x v="2"/>
    <x v="4"/>
    <x v="575"/>
    <s v="C00000019"/>
    <x v="18"/>
    <x v="131"/>
    <n v="1"/>
    <s v="Cash"/>
    <x v="0"/>
    <d v="2023-07-20T00:00:00"/>
    <x v="4"/>
    <x v="5"/>
    <n v="420"/>
    <m/>
    <n v="420"/>
    <n v="3345459.9500000011"/>
    <s v="Trsf"/>
    <m/>
    <m/>
  </r>
  <r>
    <x v="402"/>
    <x v="2"/>
    <x v="4"/>
    <x v="576"/>
    <s v="C00000010"/>
    <x v="9"/>
    <x v="223"/>
    <n v="6"/>
    <n v="120"/>
    <x v="2"/>
    <d v="2023-11-18T00:00:00"/>
    <x v="5"/>
    <x v="5"/>
    <n v="9636"/>
    <m/>
    <n v="9636"/>
    <n v="3355095.9500000011"/>
    <s v="Trsf"/>
    <m/>
    <m/>
  </r>
  <r>
    <x v="402"/>
    <x v="2"/>
    <x v="4"/>
    <x v="576"/>
    <s v="C00000010"/>
    <x v="9"/>
    <x v="247"/>
    <n v="5"/>
    <n v="120"/>
    <x v="2"/>
    <d v="2023-11-18T00:00:00"/>
    <x v="5"/>
    <x v="5"/>
    <n v="900"/>
    <m/>
    <n v="900"/>
    <n v="3355995.9500000011"/>
    <s v="Trsf"/>
    <m/>
    <m/>
  </r>
  <r>
    <x v="402"/>
    <x v="2"/>
    <x v="4"/>
    <x v="576"/>
    <s v="C00000010"/>
    <x v="9"/>
    <x v="132"/>
    <n v="15"/>
    <n v="120"/>
    <x v="2"/>
    <d v="2023-11-18T00:00:00"/>
    <x v="5"/>
    <x v="5"/>
    <n v="862.5"/>
    <m/>
    <n v="862.5"/>
    <n v="3356858.4500000011"/>
    <s v="Trsf"/>
    <m/>
    <m/>
  </r>
  <r>
    <x v="402"/>
    <x v="2"/>
    <x v="4"/>
    <x v="577"/>
    <s v="C00000037"/>
    <x v="38"/>
    <x v="120"/>
    <n v="4"/>
    <n v="30"/>
    <x v="5"/>
    <d v="2023-08-20T00:00:00"/>
    <x v="2"/>
    <x v="5"/>
    <n v="7304"/>
    <n v="-7304"/>
    <n v="0"/>
    <n v="3364162.4500000011"/>
    <s v="Chq"/>
    <s v="MBB 015063 cleared 21/8/23 RM11,342.50"/>
    <m/>
  </r>
  <r>
    <x v="402"/>
    <x v="2"/>
    <x v="4"/>
    <x v="577"/>
    <s v="C00000037"/>
    <x v="38"/>
    <x v="112"/>
    <n v="5"/>
    <n v="30"/>
    <x v="5"/>
    <d v="2023-08-20T00:00:00"/>
    <x v="2"/>
    <x v="5"/>
    <n v="2106"/>
    <n v="-2106"/>
    <n v="0"/>
    <n v="3366268.4500000011"/>
    <s v="Chq"/>
    <s v="MBB 015063 cleared 21/8/23 RM11,342.50"/>
    <m/>
  </r>
  <r>
    <x v="402"/>
    <x v="2"/>
    <x v="4"/>
    <x v="577"/>
    <s v="C00000037"/>
    <x v="38"/>
    <x v="224"/>
    <n v="5"/>
    <n v="30"/>
    <x v="5"/>
    <d v="2023-08-20T00:00:00"/>
    <x v="2"/>
    <x v="5"/>
    <n v="240"/>
    <n v="-240"/>
    <n v="0"/>
    <n v="3366508.4500000011"/>
    <s v="Chq"/>
    <s v="MBB 015063 cleared 21/8/23 RM11,342.50"/>
    <m/>
  </r>
  <r>
    <x v="402"/>
    <x v="2"/>
    <x v="4"/>
    <x v="577"/>
    <s v="C00000037"/>
    <x v="38"/>
    <x v="171"/>
    <n v="2"/>
    <n v="30"/>
    <x v="5"/>
    <d v="2023-08-20T00:00:00"/>
    <x v="2"/>
    <x v="5"/>
    <n v="190"/>
    <n v="-190"/>
    <n v="0"/>
    <n v="3366698.4500000011"/>
    <s v="Chq"/>
    <s v="MBB 015063 cleared 21/8/23 RM11,342.50"/>
    <m/>
  </r>
  <r>
    <x v="402"/>
    <x v="2"/>
    <x v="4"/>
    <x v="577"/>
    <s v="C00000037"/>
    <x v="38"/>
    <x v="132"/>
    <n v="5"/>
    <n v="30"/>
    <x v="5"/>
    <d v="2023-08-20T00:00:00"/>
    <x v="2"/>
    <x v="5"/>
    <n v="312.5"/>
    <n v="-312.5"/>
    <n v="0"/>
    <n v="3367010.9500000011"/>
    <s v="Chq"/>
    <s v="MBB 015063 cleared 21/8/23 RM11,342.50"/>
    <m/>
  </r>
  <r>
    <x v="402"/>
    <x v="2"/>
    <x v="4"/>
    <x v="577"/>
    <s v="C00000037"/>
    <x v="38"/>
    <x v="125"/>
    <n v="1"/>
    <n v="30"/>
    <x v="5"/>
    <d v="2023-08-20T00:00:00"/>
    <x v="2"/>
    <x v="5"/>
    <n v="260"/>
    <n v="-260"/>
    <n v="0"/>
    <n v="3367270.9500000011"/>
    <s v="Chq"/>
    <s v="MBB 015063 cleared 21/8/23 RM11,342.50"/>
    <m/>
  </r>
  <r>
    <x v="402"/>
    <x v="2"/>
    <x v="4"/>
    <x v="577"/>
    <s v="C00000037"/>
    <x v="38"/>
    <x v="249"/>
    <n v="1"/>
    <n v="30"/>
    <x v="5"/>
    <d v="2023-08-20T00:00:00"/>
    <x v="2"/>
    <x v="5"/>
    <n v="930"/>
    <n v="-930"/>
    <n v="0"/>
    <n v="3368200.9500000011"/>
    <s v="Chq"/>
    <s v="MBB 015063 cleared 21/8/23 RM11,342.50"/>
    <m/>
  </r>
  <r>
    <x v="403"/>
    <x v="2"/>
    <x v="4"/>
    <x v="578"/>
    <s v="C00000034"/>
    <x v="35"/>
    <x v="217"/>
    <n v="2"/>
    <s v="Cash"/>
    <x v="0"/>
    <d v="2023-07-24T00:00:00"/>
    <x v="4"/>
    <x v="5"/>
    <n v="3652"/>
    <n v="-3652"/>
    <n v="0"/>
    <n v="3371852.9500000011"/>
    <s v="Trsf"/>
    <s v="Trsf 24/7/23 RM4,940.00(RM3,652.00)"/>
    <m/>
  </r>
  <r>
    <x v="403"/>
    <x v="2"/>
    <x v="4"/>
    <x v="578"/>
    <s v="C00000034"/>
    <x v="35"/>
    <x v="220"/>
    <n v="3"/>
    <s v="Cash"/>
    <x v="0"/>
    <d v="2023-07-24T00:00:00"/>
    <x v="4"/>
    <x v="5"/>
    <n v="675"/>
    <n v="-675"/>
    <n v="0"/>
    <n v="3372527.9500000011"/>
    <s v="Trsf"/>
    <s v="Trsf 24/7/23 RM4,940.00(RM675.00)"/>
    <m/>
  </r>
  <r>
    <x v="403"/>
    <x v="2"/>
    <x v="4"/>
    <x v="578"/>
    <s v="C00000034"/>
    <x v="35"/>
    <x v="258"/>
    <n v="1"/>
    <s v="Cash"/>
    <x v="0"/>
    <d v="2023-07-24T00:00:00"/>
    <x v="4"/>
    <x v="5"/>
    <n v="236"/>
    <n v="-236"/>
    <n v="0"/>
    <n v="3372763.9500000011"/>
    <s v="Trsf"/>
    <s v="Trsf 24/7/23 RM4,940.00(236.00)"/>
    <m/>
  </r>
  <r>
    <x v="403"/>
    <x v="2"/>
    <x v="4"/>
    <x v="578"/>
    <s v="C00000034"/>
    <x v="35"/>
    <x v="171"/>
    <n v="2"/>
    <s v="Cash"/>
    <x v="0"/>
    <d v="2023-07-24T00:00:00"/>
    <x v="4"/>
    <x v="5"/>
    <n v="190"/>
    <n v="-190"/>
    <n v="0"/>
    <n v="3372953.9500000011"/>
    <s v="Trsf"/>
    <s v="Trsf 24/7/23 RM4,940.00(RM190.00)"/>
    <m/>
  </r>
  <r>
    <x v="403"/>
    <x v="2"/>
    <x v="4"/>
    <x v="578"/>
    <s v="C00000034"/>
    <x v="35"/>
    <x v="132"/>
    <n v="3"/>
    <s v="Cash"/>
    <x v="0"/>
    <d v="2023-07-24T00:00:00"/>
    <x v="4"/>
    <x v="5"/>
    <n v="187.5"/>
    <n v="-187.5"/>
    <n v="0"/>
    <n v="3373141.4500000011"/>
    <s v="Trsf"/>
    <s v="Trsf 24/7/23 RM4,940.00(RM187.00), Trsf 11/8/23 RM1,000.00 (RM0.50)"/>
    <m/>
  </r>
  <r>
    <x v="404"/>
    <x v="2"/>
    <x v="4"/>
    <x v="579"/>
    <s v="C00000038"/>
    <x v="39"/>
    <x v="260"/>
    <n v="1"/>
    <s v="Cash"/>
    <x v="0"/>
    <d v="2023-07-25T00:00:00"/>
    <x v="4"/>
    <x v="5"/>
    <n v="350"/>
    <n v="-350"/>
    <n v="0"/>
    <n v="3373491.4500000011"/>
    <s v="Trsf"/>
    <s v="Trsf 25/7/23 RM405.00"/>
    <m/>
  </r>
  <r>
    <x v="404"/>
    <x v="2"/>
    <x v="4"/>
    <x v="579"/>
    <s v="C00000038"/>
    <x v="39"/>
    <x v="228"/>
    <n v="1"/>
    <s v="Cash"/>
    <x v="0"/>
    <d v="2023-07-25T00:00:00"/>
    <x v="4"/>
    <x v="5"/>
    <n v="55"/>
    <n v="-55"/>
    <n v="0"/>
    <n v="3373546.4500000011"/>
    <s v="Trsf"/>
    <s v="Trsf 25/7/23 RM405.00"/>
    <m/>
  </r>
  <r>
    <x v="405"/>
    <x v="2"/>
    <x v="4"/>
    <x v="580"/>
    <s v="C00000020"/>
    <x v="19"/>
    <x v="279"/>
    <n v="2"/>
    <s v="Cash"/>
    <x v="0"/>
    <d v="2023-07-26T00:00:00"/>
    <x v="4"/>
    <x v="5"/>
    <n v="3080"/>
    <m/>
    <n v="3080"/>
    <n v="3376626.4500000011"/>
    <s v="Trsf"/>
    <m/>
    <m/>
  </r>
  <r>
    <x v="405"/>
    <x v="2"/>
    <x v="4"/>
    <x v="580"/>
    <s v="C00000020"/>
    <x v="19"/>
    <x v="148"/>
    <n v="6"/>
    <s v="Cash"/>
    <x v="0"/>
    <d v="2023-07-26T00:00:00"/>
    <x v="4"/>
    <x v="5"/>
    <n v="1134"/>
    <m/>
    <n v="1134"/>
    <n v="3377760.4500000011"/>
    <s v="Trsf"/>
    <m/>
    <m/>
  </r>
  <r>
    <x v="405"/>
    <x v="2"/>
    <x v="4"/>
    <x v="580"/>
    <s v="C00000020"/>
    <x v="19"/>
    <x v="128"/>
    <n v="3"/>
    <s v="Cash"/>
    <x v="0"/>
    <d v="2023-07-26T00:00:00"/>
    <x v="4"/>
    <x v="5"/>
    <n v="600"/>
    <m/>
    <n v="600"/>
    <n v="3378360.4500000011"/>
    <s v="Trsf"/>
    <m/>
    <m/>
  </r>
  <r>
    <x v="405"/>
    <x v="2"/>
    <x v="4"/>
    <x v="580"/>
    <s v="C00000020"/>
    <x v="19"/>
    <x v="171"/>
    <n v="4"/>
    <s v="Cash"/>
    <x v="0"/>
    <d v="2023-07-26T00:00:00"/>
    <x v="4"/>
    <x v="5"/>
    <n v="380"/>
    <m/>
    <n v="380"/>
    <n v="3378740.4500000011"/>
    <s v="Trsf"/>
    <m/>
    <m/>
  </r>
  <r>
    <x v="405"/>
    <x v="2"/>
    <x v="4"/>
    <x v="580"/>
    <s v="C00000020"/>
    <x v="19"/>
    <x v="159"/>
    <n v="1"/>
    <s v="Cash"/>
    <x v="0"/>
    <d v="2023-07-26T00:00:00"/>
    <x v="4"/>
    <x v="5"/>
    <n v="1000"/>
    <m/>
    <n v="1000"/>
    <n v="3379740.4500000011"/>
    <s v="Trsf"/>
    <m/>
    <m/>
  </r>
  <r>
    <x v="406"/>
    <x v="2"/>
    <x v="4"/>
    <x v="581"/>
    <s v="C00000021"/>
    <x v="21"/>
    <x v="118"/>
    <n v="1"/>
    <s v="Cash"/>
    <x v="0"/>
    <d v="2023-07-27T00:00:00"/>
    <x v="4"/>
    <x v="5"/>
    <n v="1826"/>
    <m/>
    <n v="1826"/>
    <n v="3381566.4500000011"/>
    <s v="PD Chq"/>
    <m/>
    <m/>
  </r>
  <r>
    <x v="406"/>
    <x v="2"/>
    <x v="4"/>
    <x v="581"/>
    <s v="C00000021"/>
    <x v="21"/>
    <x v="100"/>
    <n v="2"/>
    <s v="Cash"/>
    <x v="0"/>
    <d v="2023-07-27T00:00:00"/>
    <x v="4"/>
    <x v="5"/>
    <n v="498"/>
    <m/>
    <n v="498"/>
    <n v="3382064.4500000011"/>
    <s v="PD Chq"/>
    <m/>
    <m/>
  </r>
  <r>
    <x v="406"/>
    <x v="2"/>
    <x v="4"/>
    <x v="581"/>
    <s v="C00000021"/>
    <x v="21"/>
    <x v="171"/>
    <n v="1"/>
    <s v="Cash"/>
    <x v="0"/>
    <d v="2023-07-27T00:00:00"/>
    <x v="4"/>
    <x v="5"/>
    <n v="95"/>
    <m/>
    <n v="95"/>
    <n v="3382159.4500000011"/>
    <s v="PD Chq"/>
    <m/>
    <m/>
  </r>
  <r>
    <x v="406"/>
    <x v="2"/>
    <x v="4"/>
    <x v="581"/>
    <s v="C00000021"/>
    <x v="21"/>
    <x v="134"/>
    <n v="1"/>
    <s v="Cash"/>
    <x v="0"/>
    <d v="2023-07-27T00:00:00"/>
    <x v="4"/>
    <x v="5"/>
    <n v="225"/>
    <m/>
    <n v="225"/>
    <n v="3382384.4500000011"/>
    <s v="PD Chq"/>
    <m/>
    <m/>
  </r>
  <r>
    <x v="406"/>
    <x v="2"/>
    <x v="4"/>
    <x v="582"/>
    <s v="C00000020"/>
    <x v="19"/>
    <x v="132"/>
    <n v="3"/>
    <s v="Cash"/>
    <x v="0"/>
    <d v="2023-07-27T00:00:00"/>
    <x v="4"/>
    <x v="5"/>
    <n v="187.5"/>
    <m/>
    <n v="187.5"/>
    <n v="3382571.9500000011"/>
    <s v="Trsf"/>
    <m/>
    <m/>
  </r>
  <r>
    <x v="406"/>
    <x v="2"/>
    <x v="4"/>
    <x v="583"/>
    <s v="C00000020"/>
    <x v="19"/>
    <x v="279"/>
    <n v="3"/>
    <s v="Cash"/>
    <x v="0"/>
    <d v="2023-07-27T00:00:00"/>
    <x v="4"/>
    <x v="5"/>
    <n v="4620"/>
    <m/>
    <n v="4620"/>
    <n v="3387191.9500000011"/>
    <s v="Trsf"/>
    <m/>
    <m/>
  </r>
  <r>
    <x v="406"/>
    <x v="2"/>
    <x v="4"/>
    <x v="583"/>
    <s v="C00000020"/>
    <x v="19"/>
    <x v="148"/>
    <n v="9"/>
    <s v="Cash"/>
    <x v="0"/>
    <d v="2023-07-27T00:00:00"/>
    <x v="4"/>
    <x v="5"/>
    <n v="1701"/>
    <m/>
    <n v="1701"/>
    <n v="3388892.9500000011"/>
    <s v="Trsf"/>
    <m/>
    <m/>
  </r>
  <r>
    <x v="406"/>
    <x v="2"/>
    <x v="4"/>
    <x v="583"/>
    <s v="C00000020"/>
    <x v="19"/>
    <x v="128"/>
    <n v="4"/>
    <s v="Cash"/>
    <x v="0"/>
    <d v="2023-07-27T00:00:00"/>
    <x v="4"/>
    <x v="5"/>
    <n v="800"/>
    <m/>
    <n v="800"/>
    <n v="3389692.9500000011"/>
    <s v="Trsf"/>
    <m/>
    <m/>
  </r>
  <r>
    <x v="406"/>
    <x v="2"/>
    <x v="4"/>
    <x v="584"/>
    <s v="C00000003"/>
    <x v="2"/>
    <x v="15"/>
    <n v="2"/>
    <n v="45"/>
    <x v="1"/>
    <d v="2023-09-10T00:00:00"/>
    <x v="6"/>
    <x v="5"/>
    <n v="3740"/>
    <n v="-3740"/>
    <n v="0"/>
    <n v="3393432.9500000011"/>
    <s v="PD Chq"/>
    <s v="RHB 000720 5/9/23 cleared RM1,000.00, RHB 000717 12/9/23 cleared RM1,000.00, RHB 000718 19/9/23 cleared RM1,000.00, RHB 000719 25/9/23 cleared RM960.00"/>
    <m/>
  </r>
  <r>
    <x v="407"/>
    <x v="2"/>
    <x v="4"/>
    <x v="584"/>
    <s v="C00000003"/>
    <x v="2"/>
    <x v="4"/>
    <n v="2"/>
    <n v="45"/>
    <x v="1"/>
    <d v="2023-09-11T00:00:00"/>
    <x v="6"/>
    <x v="5"/>
    <n v="220"/>
    <n v="-220"/>
    <n v="0"/>
    <n v="3393652.9500000011"/>
    <s v="PD Chq"/>
    <s v="RHB 000720 5/9/23 cleared RM1,000.00, RHB 000717 12/9/23 cleared RM1,000.00, RHB 000718 19/9/23 cleared RM1,000.00, RHB 000719 25/9/23 cleared RM960.00"/>
    <m/>
  </r>
  <r>
    <x v="408"/>
    <x v="2"/>
    <x v="4"/>
    <x v="585"/>
    <s v="C00000013"/>
    <x v="12"/>
    <x v="15"/>
    <n v="4"/>
    <s v="Cash"/>
    <x v="0"/>
    <d v="2023-07-31T00:00:00"/>
    <x v="4"/>
    <x v="5"/>
    <n v="7304"/>
    <n v="-7304"/>
    <n v="0"/>
    <n v="3400956.9500000011"/>
    <s v="Chq"/>
    <s v="Cheque MBB 852007, cleared 31/7/23 RM20,583.40"/>
    <m/>
  </r>
  <r>
    <x v="408"/>
    <x v="2"/>
    <x v="4"/>
    <x v="585"/>
    <s v="C00000013"/>
    <x v="12"/>
    <x v="280"/>
    <n v="5"/>
    <s v="Cash"/>
    <x v="0"/>
    <d v="2023-07-31T00:00:00"/>
    <x v="4"/>
    <x v="5"/>
    <n v="2133"/>
    <n v="-2133"/>
    <n v="0"/>
    <n v="3403089.9500000011"/>
    <s v="Chq"/>
    <s v="Cheque MBB 852007, cleared 31/7/23 RM20,583.40"/>
    <m/>
  </r>
  <r>
    <x v="408"/>
    <x v="2"/>
    <x v="4"/>
    <x v="585"/>
    <s v="C00000013"/>
    <x v="12"/>
    <x v="281"/>
    <n v="3"/>
    <s v="Cash"/>
    <x v="0"/>
    <d v="2023-07-31T00:00:00"/>
    <x v="4"/>
    <x v="5"/>
    <n v="1279.8000000000002"/>
    <n v="-1279.8000000000002"/>
    <n v="0"/>
    <n v="3404369.7500000009"/>
    <s v="Chq"/>
    <s v="Cheque MBB 852007, cleared 31/7/23 RM20,583.40"/>
    <m/>
  </r>
  <r>
    <x v="408"/>
    <x v="2"/>
    <x v="4"/>
    <x v="585"/>
    <s v="C00000013"/>
    <x v="12"/>
    <x v="268"/>
    <n v="16"/>
    <s v="Cash"/>
    <x v="0"/>
    <d v="2023-07-31T00:00:00"/>
    <x v="4"/>
    <x v="5"/>
    <n v="4128"/>
    <n v="-4128"/>
    <n v="0"/>
    <n v="3408497.7500000009"/>
    <s v="Chq"/>
    <s v="Cheque MBB 852007, cleared 31/7/23 RM20,583.40"/>
    <m/>
  </r>
  <r>
    <x v="408"/>
    <x v="2"/>
    <x v="4"/>
    <x v="585"/>
    <s v="C00000013"/>
    <x v="12"/>
    <x v="282"/>
    <n v="3"/>
    <s v="Cash"/>
    <x v="0"/>
    <d v="2023-07-31T00:00:00"/>
    <x v="4"/>
    <x v="5"/>
    <n v="2625"/>
    <n v="-2625"/>
    <n v="0"/>
    <n v="3411122.7500000009"/>
    <s v="Chq"/>
    <s v="Cheque MBB 852007, cleared 31/7/23 RM20,583.40"/>
    <m/>
  </r>
  <r>
    <x v="408"/>
    <x v="2"/>
    <x v="4"/>
    <x v="585"/>
    <s v="C00000013"/>
    <x v="12"/>
    <x v="244"/>
    <n v="3"/>
    <s v="Cash"/>
    <x v="0"/>
    <d v="2023-07-31T00:00:00"/>
    <x v="4"/>
    <x v="5"/>
    <n v="1290"/>
    <n v="-1290"/>
    <n v="0"/>
    <n v="3412412.7500000009"/>
    <s v="Chq"/>
    <s v="Cheque MBB 852007, cleared 31/7/23 RM20,583.40"/>
    <m/>
  </r>
  <r>
    <x v="408"/>
    <x v="2"/>
    <x v="4"/>
    <x v="585"/>
    <s v="C00000013"/>
    <x v="12"/>
    <x v="283"/>
    <n v="2"/>
    <s v="Cash"/>
    <x v="0"/>
    <d v="2023-07-31T00:00:00"/>
    <x v="4"/>
    <x v="5"/>
    <n v="120"/>
    <n v="-120"/>
    <n v="0"/>
    <n v="3412532.7500000009"/>
    <s v="Chq"/>
    <s v="Cheque MBB 852007, cleared 31/7/23 RM20,583.40"/>
    <m/>
  </r>
  <r>
    <x v="408"/>
    <x v="2"/>
    <x v="4"/>
    <x v="585"/>
    <s v="C00000013"/>
    <x v="12"/>
    <x v="284"/>
    <n v="1"/>
    <s v="Cash"/>
    <x v="0"/>
    <d v="2023-07-31T00:00:00"/>
    <x v="4"/>
    <x v="5"/>
    <n v="55.2"/>
    <n v="-55.2"/>
    <n v="0"/>
    <n v="3412587.9500000011"/>
    <s v="Chq"/>
    <s v="Cheque MBB 852007, cleared 31/7/23 RM20,583.40"/>
    <m/>
  </r>
  <r>
    <x v="408"/>
    <x v="2"/>
    <x v="4"/>
    <x v="585"/>
    <s v="C00000013"/>
    <x v="12"/>
    <x v="104"/>
    <n v="1"/>
    <s v="Cash"/>
    <x v="0"/>
    <d v="2023-07-31T00:00:00"/>
    <x v="4"/>
    <x v="5"/>
    <n v="1108.4000000000001"/>
    <n v="-1108.4000000000001"/>
    <n v="0"/>
    <n v="3413696.350000001"/>
    <s v="Chq"/>
    <s v="Cheque MBB 852007, cleared 31/7/23 RM20,583.40"/>
    <m/>
  </r>
  <r>
    <x v="408"/>
    <x v="2"/>
    <x v="4"/>
    <x v="585"/>
    <s v="C00000013"/>
    <x v="12"/>
    <x v="285"/>
    <n v="1"/>
    <s v="Cash"/>
    <x v="0"/>
    <d v="2023-07-31T00:00:00"/>
    <x v="4"/>
    <x v="5"/>
    <n v="280"/>
    <n v="-280"/>
    <n v="0"/>
    <n v="3413976.350000001"/>
    <s v="Chq"/>
    <s v="Cheque MBB 852007, cleared 31/7/23 RM20,583.40"/>
    <m/>
  </r>
  <r>
    <x v="408"/>
    <x v="2"/>
    <x v="4"/>
    <x v="585"/>
    <s v="C00000013"/>
    <x v="12"/>
    <x v="286"/>
    <n v="1"/>
    <s v="Cash"/>
    <x v="0"/>
    <d v="2023-07-31T00:00:00"/>
    <x v="4"/>
    <x v="5"/>
    <n v="260"/>
    <n v="-260"/>
    <n v="0"/>
    <n v="3414236.350000001"/>
    <s v="Chq"/>
    <s v="Cheque MBB 852007, cleared 31/7/23 RM20,583.40"/>
    <m/>
  </r>
  <r>
    <x v="409"/>
    <x v="3"/>
    <x v="4"/>
    <x v="586"/>
    <s v="C00000034"/>
    <x v="35"/>
    <x v="131"/>
    <n v="1"/>
    <s v="Cash"/>
    <x v="0"/>
    <d v="2023-08-01T00:00:00"/>
    <x v="2"/>
    <x v="5"/>
    <n v="420"/>
    <n v="-420"/>
    <n v="0"/>
    <n v="3414656.350000001"/>
    <s v="Trsf"/>
    <s v="Trsf 9/6/23 Inv542 overpayment RM0.20, Trsf 13/7/23 Inv570 overpayment RM10.00,  Trsf 18/7/23 Inv573 overpayment RM100.00, Trsf 11/8/23 RM1,000.00 (RM309.80)"/>
    <m/>
  </r>
  <r>
    <x v="409"/>
    <x v="3"/>
    <x v="4"/>
    <x v="586"/>
    <s v="C00000034"/>
    <x v="35"/>
    <x v="220"/>
    <n v="1"/>
    <s v="Cash"/>
    <x v="0"/>
    <d v="2023-08-01T00:00:00"/>
    <x v="2"/>
    <x v="5"/>
    <n v="225"/>
    <n v="-225"/>
    <n v="0"/>
    <n v="3414881.350000001"/>
    <s v="Trsf"/>
    <s v="Trsf 11/8/23 RM1,000.00 (RM225.00)"/>
    <m/>
  </r>
  <r>
    <x v="409"/>
    <x v="3"/>
    <x v="4"/>
    <x v="586"/>
    <s v="C00000034"/>
    <x v="35"/>
    <x v="287"/>
    <n v="1"/>
    <s v="Cash"/>
    <x v="0"/>
    <d v="2023-08-01T00:00:00"/>
    <x v="2"/>
    <x v="5"/>
    <n v="160"/>
    <n v="-160"/>
    <n v="0"/>
    <n v="3415041.350000001"/>
    <s v="Trsf"/>
    <s v="Trsf 11/8/23 RM1,000.00 (RM160.00)"/>
    <m/>
  </r>
  <r>
    <x v="409"/>
    <x v="3"/>
    <x v="4"/>
    <x v="587"/>
    <s v="C00000009"/>
    <x v="8"/>
    <x v="223"/>
    <n v="2"/>
    <n v="60"/>
    <x v="3"/>
    <d v="2023-09-30T00:00:00"/>
    <x v="6"/>
    <x v="5"/>
    <n v="3124"/>
    <m/>
    <n v="3124"/>
    <n v="3418165.350000001"/>
    <s v="Chq"/>
    <m/>
    <m/>
  </r>
  <r>
    <x v="409"/>
    <x v="3"/>
    <x v="4"/>
    <x v="588"/>
    <s v="C00000014"/>
    <x v="13"/>
    <x v="45"/>
    <n v="2"/>
    <s v="Cash"/>
    <x v="0"/>
    <d v="2023-08-01T00:00:00"/>
    <x v="2"/>
    <x v="5"/>
    <n v="3388"/>
    <n v="-3388"/>
    <n v="0"/>
    <n v="3421553.350000001"/>
    <s v="Cash"/>
    <s v="Cash 4/8/23 RM4,386.50"/>
    <m/>
  </r>
  <r>
    <x v="409"/>
    <x v="3"/>
    <x v="4"/>
    <x v="588"/>
    <s v="C00000014"/>
    <x v="13"/>
    <x v="157"/>
    <n v="4"/>
    <s v="Cash"/>
    <x v="0"/>
    <d v="2023-08-01T00:00:00"/>
    <x v="2"/>
    <x v="5"/>
    <n v="936"/>
    <n v="-936"/>
    <n v="0"/>
    <n v="3422489.350000001"/>
    <s v="Cash"/>
    <s v="Cash 4/8/23 RM4,386.50"/>
    <m/>
  </r>
  <r>
    <x v="409"/>
    <x v="3"/>
    <x v="4"/>
    <x v="588"/>
    <s v="C00000014"/>
    <x v="13"/>
    <x v="132"/>
    <n v="1"/>
    <s v="Cash"/>
    <x v="0"/>
    <d v="2023-08-01T00:00:00"/>
    <x v="2"/>
    <x v="5"/>
    <n v="62.5"/>
    <n v="-62.5"/>
    <n v="0"/>
    <n v="3422551.850000001"/>
    <s v="Cash"/>
    <s v="Cash 4/8/23 RM4,386.50"/>
    <m/>
  </r>
  <r>
    <x v="410"/>
    <x v="3"/>
    <x v="4"/>
    <x v="589"/>
    <s v="C00000010"/>
    <x v="9"/>
    <x v="188"/>
    <n v="6"/>
    <n v="120"/>
    <x v="2"/>
    <d v="2023-11-30T00:00:00"/>
    <x v="5"/>
    <x v="5"/>
    <n v="9636"/>
    <m/>
    <n v="9636"/>
    <n v="3432187.850000001"/>
    <s v="Trsf"/>
    <m/>
    <m/>
  </r>
  <r>
    <x v="410"/>
    <x v="3"/>
    <x v="4"/>
    <x v="589"/>
    <s v="C00000010"/>
    <x v="9"/>
    <x v="247"/>
    <n v="10"/>
    <n v="120"/>
    <x v="2"/>
    <d v="2023-11-30T00:00:00"/>
    <x v="5"/>
    <x v="5"/>
    <n v="1800"/>
    <m/>
    <n v="1800"/>
    <n v="3433987.850000001"/>
    <s v="Trsf"/>
    <m/>
    <m/>
  </r>
  <r>
    <x v="410"/>
    <x v="3"/>
    <x v="4"/>
    <x v="589"/>
    <s v="C00000010"/>
    <x v="9"/>
    <x v="132"/>
    <n v="15"/>
    <n v="120"/>
    <x v="2"/>
    <d v="2023-11-30T00:00:00"/>
    <x v="5"/>
    <x v="5"/>
    <n v="862.5"/>
    <m/>
    <n v="862.5"/>
    <n v="3434850.350000001"/>
    <s v="Trsf"/>
    <m/>
    <m/>
  </r>
  <r>
    <x v="410"/>
    <x v="3"/>
    <x v="4"/>
    <x v="589"/>
    <s v="C00000010"/>
    <x v="9"/>
    <x v="4"/>
    <n v="4"/>
    <n v="120"/>
    <x v="2"/>
    <d v="2023-11-30T00:00:00"/>
    <x v="5"/>
    <x v="5"/>
    <n v="420"/>
    <m/>
    <n v="420"/>
    <n v="3435270.350000001"/>
    <s v="Trsf"/>
    <m/>
    <m/>
  </r>
  <r>
    <x v="410"/>
    <x v="3"/>
    <x v="4"/>
    <x v="589"/>
    <s v="C00000010"/>
    <x v="9"/>
    <x v="131"/>
    <n v="1"/>
    <n v="120"/>
    <x v="2"/>
    <d v="2023-11-30T00:00:00"/>
    <x v="5"/>
    <x v="5"/>
    <n v="420"/>
    <m/>
    <n v="420"/>
    <n v="3435690.350000001"/>
    <s v="Trsf"/>
    <m/>
    <m/>
  </r>
  <r>
    <x v="410"/>
    <x v="3"/>
    <x v="4"/>
    <x v="589"/>
    <s v="C00000010"/>
    <x v="9"/>
    <x v="48"/>
    <n v="1"/>
    <n v="120"/>
    <x v="2"/>
    <d v="2023-11-30T00:00:00"/>
    <x v="5"/>
    <x v="5"/>
    <n v="395"/>
    <m/>
    <n v="395"/>
    <n v="3436085.350000001"/>
    <s v="Trsf"/>
    <m/>
    <m/>
  </r>
  <r>
    <x v="411"/>
    <x v="3"/>
    <x v="4"/>
    <x v="590"/>
    <s v="C00000006"/>
    <x v="5"/>
    <x v="7"/>
    <n v="1"/>
    <s v="Cash"/>
    <x v="0"/>
    <d v="2023-08-03T00:00:00"/>
    <x v="2"/>
    <x v="5"/>
    <n v="1738"/>
    <n v="-1738"/>
    <n v="0"/>
    <n v="3437823.350000001"/>
    <s v="Chq"/>
    <s v="Cash deposit 19/10/23 RM4,821.00"/>
    <m/>
  </r>
  <r>
    <x v="411"/>
    <x v="3"/>
    <x v="4"/>
    <x v="590"/>
    <s v="C00000006"/>
    <x v="5"/>
    <x v="247"/>
    <n v="2"/>
    <s v="Cash"/>
    <x v="0"/>
    <d v="2023-08-03T00:00:00"/>
    <x v="2"/>
    <x v="5"/>
    <n v="468"/>
    <n v="-468"/>
    <n v="0"/>
    <n v="3438291.350000001"/>
    <s v="Chq"/>
    <s v="Cash deposit 19/10/23 RM4,821.00"/>
    <m/>
  </r>
  <r>
    <x v="411"/>
    <x v="3"/>
    <x v="4"/>
    <x v="590"/>
    <s v="C00000006"/>
    <x v="5"/>
    <x v="287"/>
    <n v="1"/>
    <s v="Cash"/>
    <x v="0"/>
    <d v="2023-08-03T00:00:00"/>
    <x v="2"/>
    <x v="5"/>
    <n v="175"/>
    <n v="-175"/>
    <n v="0"/>
    <n v="3438466.350000001"/>
    <s v="Chq"/>
    <s v="Cash deposit 19/10/23 RM4,821.00"/>
    <m/>
  </r>
  <r>
    <x v="412"/>
    <x v="3"/>
    <x v="4"/>
    <x v="591"/>
    <s v="C00000019"/>
    <x v="18"/>
    <x v="7"/>
    <n v="1"/>
    <s v="Cash"/>
    <x v="0"/>
    <d v="2023-08-04T00:00:00"/>
    <x v="2"/>
    <x v="5"/>
    <n v="1738"/>
    <m/>
    <n v="1738"/>
    <n v="3440204.350000001"/>
    <s v="Trsf"/>
    <m/>
    <m/>
  </r>
  <r>
    <x v="412"/>
    <x v="3"/>
    <x v="4"/>
    <x v="591"/>
    <s v="C00000019"/>
    <x v="18"/>
    <x v="132"/>
    <n v="2"/>
    <s v="Cash"/>
    <x v="0"/>
    <d v="2023-08-04T00:00:00"/>
    <x v="2"/>
    <x v="5"/>
    <n v="125"/>
    <m/>
    <n v="125"/>
    <n v="3440329.350000001"/>
    <s v="Trsf"/>
    <m/>
    <m/>
  </r>
  <r>
    <x v="412"/>
    <x v="3"/>
    <x v="4"/>
    <x v="591"/>
    <s v="C00000019"/>
    <x v="18"/>
    <x v="244"/>
    <n v="1"/>
    <s v="Cash"/>
    <x v="0"/>
    <d v="2023-08-04T00:00:00"/>
    <x v="2"/>
    <x v="5"/>
    <n v="390"/>
    <m/>
    <n v="390"/>
    <n v="3440719.350000001"/>
    <s v="Trsf"/>
    <m/>
    <m/>
  </r>
  <r>
    <x v="412"/>
    <x v="3"/>
    <x v="4"/>
    <x v="591"/>
    <s v="C00000019"/>
    <x v="18"/>
    <x v="131"/>
    <n v="1"/>
    <s v="Cash"/>
    <x v="0"/>
    <d v="2023-08-04T00:00:00"/>
    <x v="2"/>
    <x v="5"/>
    <n v="420"/>
    <m/>
    <n v="420"/>
    <n v="3441139.350000001"/>
    <s v="Trsf"/>
    <m/>
    <m/>
  </r>
  <r>
    <x v="412"/>
    <x v="3"/>
    <x v="4"/>
    <x v="591"/>
    <s v="C00000019"/>
    <x v="18"/>
    <x v="242"/>
    <n v="1"/>
    <s v="Cash"/>
    <x v="0"/>
    <d v="2023-08-04T00:00:00"/>
    <x v="2"/>
    <x v="5"/>
    <n v="160"/>
    <m/>
    <n v="160"/>
    <n v="3441299.350000001"/>
    <s v="Trsf"/>
    <m/>
    <m/>
  </r>
  <r>
    <x v="412"/>
    <x v="3"/>
    <x v="4"/>
    <x v="591"/>
    <s v="C00000019"/>
    <x v="18"/>
    <x v="141"/>
    <n v="1"/>
    <s v="Cash"/>
    <x v="0"/>
    <d v="2023-08-04T00:00:00"/>
    <x v="2"/>
    <x v="5"/>
    <n v="150"/>
    <m/>
    <n v="150"/>
    <n v="3441449.350000001"/>
    <s v="Trsf"/>
    <m/>
    <m/>
  </r>
  <r>
    <x v="412"/>
    <x v="3"/>
    <x v="4"/>
    <x v="591"/>
    <s v="C00000019"/>
    <x v="18"/>
    <x v="259"/>
    <n v="1"/>
    <s v="Cash"/>
    <x v="0"/>
    <d v="2023-08-04T00:00:00"/>
    <x v="2"/>
    <x v="5"/>
    <n v="260"/>
    <m/>
    <n v="260"/>
    <n v="3441709.350000001"/>
    <s v="Trsf"/>
    <m/>
    <m/>
  </r>
  <r>
    <x v="412"/>
    <x v="3"/>
    <x v="4"/>
    <x v="591"/>
    <s v="C00000019"/>
    <x v="18"/>
    <x v="243"/>
    <n v="1"/>
    <s v="Cash"/>
    <x v="0"/>
    <d v="2023-08-04T00:00:00"/>
    <x v="2"/>
    <x v="5"/>
    <n v="322.5"/>
    <m/>
    <n v="322.5"/>
    <n v="3442031.850000001"/>
    <s v="Trsf"/>
    <m/>
    <m/>
  </r>
  <r>
    <x v="412"/>
    <x v="3"/>
    <x v="4"/>
    <x v="592"/>
    <s v="C00000020"/>
    <x v="19"/>
    <x v="279"/>
    <n v="2"/>
    <s v="Cash"/>
    <x v="0"/>
    <d v="2023-08-04T00:00:00"/>
    <x v="2"/>
    <x v="5"/>
    <n v="3124"/>
    <m/>
    <n v="3124"/>
    <n v="3445155.850000001"/>
    <s v="Trsf"/>
    <m/>
    <m/>
  </r>
  <r>
    <x v="412"/>
    <x v="3"/>
    <x v="4"/>
    <x v="592"/>
    <s v="C00000020"/>
    <x v="19"/>
    <x v="148"/>
    <n v="6"/>
    <s v="Cash"/>
    <x v="0"/>
    <d v="2023-08-04T00:00:00"/>
    <x v="2"/>
    <x v="5"/>
    <n v="1134"/>
    <m/>
    <n v="1134"/>
    <n v="3446289.850000001"/>
    <s v="Trsf"/>
    <m/>
    <m/>
  </r>
  <r>
    <x v="412"/>
    <x v="3"/>
    <x v="4"/>
    <x v="592"/>
    <s v="C00000020"/>
    <x v="19"/>
    <x v="128"/>
    <n v="3"/>
    <s v="Cash"/>
    <x v="0"/>
    <d v="2023-08-04T00:00:00"/>
    <x v="2"/>
    <x v="5"/>
    <n v="600"/>
    <m/>
    <n v="600"/>
    <n v="3446889.850000001"/>
    <s v="Trsf"/>
    <m/>
    <m/>
  </r>
  <r>
    <x v="412"/>
    <x v="3"/>
    <x v="4"/>
    <x v="592"/>
    <s v="C00000020"/>
    <x v="19"/>
    <x v="159"/>
    <n v="1"/>
    <s v="Cash"/>
    <x v="0"/>
    <d v="2023-08-04T00:00:00"/>
    <x v="2"/>
    <x v="5"/>
    <n v="1000"/>
    <m/>
    <n v="1000"/>
    <n v="3447889.850000001"/>
    <s v="Trsf"/>
    <m/>
    <m/>
  </r>
  <r>
    <x v="413"/>
    <x v="3"/>
    <x v="4"/>
    <x v="593"/>
    <s v="C00000014"/>
    <x v="13"/>
    <x v="98"/>
    <n v="2"/>
    <s v="Cash"/>
    <x v="0"/>
    <d v="2023-08-07T00:00:00"/>
    <x v="2"/>
    <x v="5"/>
    <n v="645"/>
    <n v="-645"/>
    <n v="0"/>
    <n v="3448534.850000001"/>
    <s v="Cash"/>
    <s v="Cash 10/8/23 RM1,088.00"/>
    <m/>
  </r>
  <r>
    <x v="413"/>
    <x v="3"/>
    <x v="4"/>
    <x v="593"/>
    <s v="C00000014"/>
    <x v="13"/>
    <x v="288"/>
    <n v="1"/>
    <s v="Cash"/>
    <x v="0"/>
    <d v="2023-08-07T00:00:00"/>
    <x v="2"/>
    <x v="5"/>
    <n v="283.8"/>
    <n v="-283.8"/>
    <n v="0"/>
    <n v="3448818.6500000008"/>
    <s v="Cash"/>
    <s v="Cash 10/8/23 RM1,088.00"/>
    <m/>
  </r>
  <r>
    <x v="413"/>
    <x v="3"/>
    <x v="4"/>
    <x v="593"/>
    <s v="C00000014"/>
    <x v="13"/>
    <x v="289"/>
    <n v="1"/>
    <s v="Cash"/>
    <x v="0"/>
    <d v="2023-08-07T00:00:00"/>
    <x v="2"/>
    <x v="5"/>
    <n v="160"/>
    <n v="-160"/>
    <n v="0"/>
    <n v="3448978.6500000008"/>
    <s v="Cash"/>
    <s v="Cash 10/8/23 RM1,088.00"/>
    <m/>
  </r>
  <r>
    <x v="413"/>
    <x v="3"/>
    <x v="4"/>
    <x v="593"/>
    <s v="C00000014"/>
    <x v="13"/>
    <x v="290"/>
    <n v="1"/>
    <s v="Cash"/>
    <x v="0"/>
    <d v="2023-08-07T00:00:00"/>
    <x v="2"/>
    <x v="5"/>
    <n v="0"/>
    <n v="0"/>
    <n v="0"/>
    <n v="3448978.6500000008"/>
    <s v="Cash"/>
    <s v="Cash 10/8/23 RM1,088.00"/>
    <m/>
  </r>
  <r>
    <x v="413"/>
    <x v="3"/>
    <x v="4"/>
    <x v="593"/>
    <s v="C00000020"/>
    <x v="19"/>
    <x v="132"/>
    <n v="4"/>
    <s v="Cash"/>
    <x v="0"/>
    <d v="2023-08-07T00:00:00"/>
    <x v="2"/>
    <x v="5"/>
    <n v="250"/>
    <m/>
    <n v="250"/>
    <n v="3449228.6500000008"/>
    <s v="Trsf"/>
    <m/>
    <m/>
  </r>
  <r>
    <x v="413"/>
    <x v="3"/>
    <x v="4"/>
    <x v="594"/>
    <s v="C00000020"/>
    <x v="19"/>
    <x v="279"/>
    <n v="2"/>
    <s v="Cash"/>
    <x v="0"/>
    <d v="2023-08-07T00:00:00"/>
    <x v="2"/>
    <x v="5"/>
    <n v="3124"/>
    <m/>
    <n v="3124"/>
    <n v="3452352.6500000008"/>
    <s v="Trsf"/>
    <m/>
    <m/>
  </r>
  <r>
    <x v="413"/>
    <x v="3"/>
    <x v="4"/>
    <x v="595"/>
    <s v="C00000020"/>
    <x v="19"/>
    <x v="148"/>
    <n v="6"/>
    <s v="Cash"/>
    <x v="0"/>
    <d v="2023-08-07T00:00:00"/>
    <x v="2"/>
    <x v="5"/>
    <n v="1134"/>
    <m/>
    <n v="1134"/>
    <n v="3453486.6500000008"/>
    <s v="Trsf"/>
    <m/>
    <m/>
  </r>
  <r>
    <x v="413"/>
    <x v="3"/>
    <x v="4"/>
    <x v="595"/>
    <s v="C00000020"/>
    <x v="19"/>
    <x v="128"/>
    <n v="3"/>
    <s v="Cash"/>
    <x v="0"/>
    <d v="2023-08-07T00:00:00"/>
    <x v="2"/>
    <x v="5"/>
    <n v="600"/>
    <m/>
    <n v="600"/>
    <n v="3454086.6500000008"/>
    <s v="Trsf"/>
    <m/>
    <m/>
  </r>
  <r>
    <x v="413"/>
    <x v="3"/>
    <x v="4"/>
    <x v="595"/>
    <s v="C00000020"/>
    <x v="19"/>
    <x v="159"/>
    <n v="1"/>
    <s v="Cash"/>
    <x v="0"/>
    <d v="2023-08-07T00:00:00"/>
    <x v="2"/>
    <x v="5"/>
    <n v="1000"/>
    <m/>
    <n v="1000"/>
    <n v="3455086.6500000008"/>
    <s v="Trsf"/>
    <m/>
    <m/>
  </r>
  <r>
    <x v="413"/>
    <x v="3"/>
    <x v="4"/>
    <x v="596"/>
    <s v="C00000034"/>
    <x v="35"/>
    <x v="220"/>
    <n v="1"/>
    <s v="Cash"/>
    <x v="0"/>
    <d v="2023-08-07T00:00:00"/>
    <x v="2"/>
    <x v="5"/>
    <n v="225"/>
    <n v="-225"/>
    <n v="0"/>
    <n v="3455311.6500000008"/>
    <s v="Trsf"/>
    <s v="Trsf 11/8/23 RM1,000.00 (RM225.00)"/>
    <m/>
  </r>
  <r>
    <x v="413"/>
    <x v="3"/>
    <x v="4"/>
    <x v="596"/>
    <s v="C00000034"/>
    <x v="35"/>
    <x v="215"/>
    <n v="5"/>
    <s v="Cash"/>
    <x v="0"/>
    <d v="2023-08-07T00:00:00"/>
    <x v="2"/>
    <x v="5"/>
    <n v="695"/>
    <n v="-695"/>
    <n v="0"/>
    <n v="3456006.6500000008"/>
    <s v="Trsf"/>
    <s v="Trsf 11/8/23 RM1,000.00 (RM79.70), Trsf 23/8/23 RM4,000.00 (RM615.30)"/>
    <m/>
  </r>
  <r>
    <x v="414"/>
    <x v="3"/>
    <x v="4"/>
    <x v="597"/>
    <s v="C00000037"/>
    <x v="38"/>
    <x v="112"/>
    <n v="1"/>
    <n v="30"/>
    <x v="5"/>
    <d v="2023-09-07T00:00:00"/>
    <x v="6"/>
    <x v="5"/>
    <n v="421.2"/>
    <n v="-421.2"/>
    <n v="0"/>
    <n v="3456427.850000001"/>
    <s v="Chq"/>
    <s v="MBB 015124 cleared 21/8/23 RM565.20"/>
    <m/>
  </r>
  <r>
    <x v="414"/>
    <x v="3"/>
    <x v="4"/>
    <x v="597"/>
    <s v="C00000037"/>
    <x v="38"/>
    <x v="224"/>
    <n v="3"/>
    <n v="30"/>
    <x v="5"/>
    <d v="2023-09-07T00:00:00"/>
    <x v="6"/>
    <x v="5"/>
    <n v="144"/>
    <n v="-144"/>
    <n v="0"/>
    <n v="3456571.850000001"/>
    <s v="Chq"/>
    <s v="MBB 015124 cleared 21/8/23 RM565.20"/>
    <m/>
  </r>
  <r>
    <x v="415"/>
    <x v="3"/>
    <x v="4"/>
    <x v="598"/>
    <s v="C00000009"/>
    <x v="8"/>
    <x v="4"/>
    <n v="2"/>
    <n v="60"/>
    <x v="3"/>
    <d v="2023-10-08T00:00:00"/>
    <x v="3"/>
    <x v="5"/>
    <n v="220"/>
    <m/>
    <n v="220"/>
    <n v="3456791.850000001"/>
    <s v="Chq"/>
    <m/>
    <m/>
  </r>
  <r>
    <x v="416"/>
    <x v="3"/>
    <x v="4"/>
    <x v="599"/>
    <s v="C00000034"/>
    <x v="35"/>
    <x v="224"/>
    <n v="3"/>
    <s v="Cash"/>
    <x v="0"/>
    <d v="2023-08-14T00:00:00"/>
    <x v="2"/>
    <x v="5"/>
    <n v="150"/>
    <n v="-150"/>
    <n v="0"/>
    <n v="3456941.850000001"/>
    <s v="Trsf"/>
    <s v="Trsf 23/8/23 RM4,000.00 (RM150.00)"/>
    <m/>
  </r>
  <r>
    <x v="416"/>
    <x v="3"/>
    <x v="4"/>
    <x v="599"/>
    <s v="C00000034"/>
    <x v="35"/>
    <x v="215"/>
    <n v="6"/>
    <s v="Cash"/>
    <x v="0"/>
    <d v="2023-08-14T00:00:00"/>
    <x v="2"/>
    <x v="5"/>
    <n v="834"/>
    <n v="-834"/>
    <n v="0"/>
    <n v="3457775.850000001"/>
    <s v="Trsf"/>
    <s v="Trsf 23/8/23 RM4,000.00 (RM834.00)"/>
    <m/>
  </r>
  <r>
    <x v="417"/>
    <x v="3"/>
    <x v="4"/>
    <x v="600"/>
    <s v="C00000039"/>
    <x v="40"/>
    <x v="113"/>
    <n v="1"/>
    <s v="Cash"/>
    <x v="0"/>
    <d v="2023-08-15T00:00:00"/>
    <x v="2"/>
    <x v="5"/>
    <n v="1562"/>
    <n v="-1562"/>
    <n v="0"/>
    <n v="3459337.850000001"/>
    <s v="Trsf"/>
    <s v="Trsf 14/8/23 RM2,382.50"/>
    <m/>
  </r>
  <r>
    <x v="417"/>
    <x v="3"/>
    <x v="4"/>
    <x v="600"/>
    <s v="C00000039"/>
    <x v="40"/>
    <x v="148"/>
    <n v="2"/>
    <s v="Cash"/>
    <x v="0"/>
    <d v="2023-08-15T00:00:00"/>
    <x v="2"/>
    <x v="5"/>
    <n v="378"/>
    <n v="-378"/>
    <n v="0"/>
    <n v="3459715.850000001"/>
    <s v="Trsf"/>
    <s v="Trsf 14/8/23 RM2,382.50"/>
    <m/>
  </r>
  <r>
    <x v="417"/>
    <x v="3"/>
    <x v="4"/>
    <x v="600"/>
    <s v="C00000039"/>
    <x v="40"/>
    <x v="132"/>
    <n v="1"/>
    <s v="Cash"/>
    <x v="0"/>
    <d v="2023-08-15T00:00:00"/>
    <x v="2"/>
    <x v="5"/>
    <n v="62.5"/>
    <n v="-62.5"/>
    <n v="0"/>
    <n v="3459778.350000001"/>
    <s v="Trsf"/>
    <s v="Trsf 14/8/23 RM2,382.50"/>
    <m/>
  </r>
  <r>
    <x v="417"/>
    <x v="3"/>
    <x v="4"/>
    <x v="600"/>
    <s v="C00000039"/>
    <x v="40"/>
    <x v="171"/>
    <n v="4"/>
    <s v="Cash"/>
    <x v="0"/>
    <d v="2023-08-15T00:00:00"/>
    <x v="2"/>
    <x v="5"/>
    <n v="380"/>
    <n v="-380"/>
    <n v="0"/>
    <n v="3460158.350000001"/>
    <s v="Trsf"/>
    <s v="Trsf 14/8/23 RM2,382.50"/>
    <m/>
  </r>
  <r>
    <x v="417"/>
    <x v="3"/>
    <x v="4"/>
    <x v="601"/>
    <s v="C00000019"/>
    <x v="18"/>
    <x v="7"/>
    <n v="1"/>
    <s v="Cash"/>
    <x v="0"/>
    <d v="2023-08-15T00:00:00"/>
    <x v="2"/>
    <x v="5"/>
    <n v="1738"/>
    <m/>
    <n v="1738"/>
    <n v="3461896.350000001"/>
    <s v="Trsf"/>
    <m/>
    <m/>
  </r>
  <r>
    <x v="418"/>
    <x v="3"/>
    <x v="4"/>
    <x v="602"/>
    <s v="C00000020"/>
    <x v="19"/>
    <x v="132"/>
    <n v="2"/>
    <s v="Cash"/>
    <x v="0"/>
    <d v="2023-08-15T00:00:00"/>
    <x v="2"/>
    <x v="5"/>
    <n v="125"/>
    <m/>
    <n v="125"/>
    <n v="3462021.350000001"/>
    <s v="Trsf"/>
    <m/>
    <m/>
  </r>
  <r>
    <x v="418"/>
    <x v="3"/>
    <x v="4"/>
    <x v="603"/>
    <s v="C00000020"/>
    <x v="19"/>
    <x v="279"/>
    <n v="2"/>
    <s v="Cash"/>
    <x v="0"/>
    <d v="2023-08-15T00:00:00"/>
    <x v="2"/>
    <x v="5"/>
    <n v="3124"/>
    <m/>
    <n v="3124"/>
    <n v="3465145.350000001"/>
    <s v="Trsf"/>
    <m/>
    <m/>
  </r>
  <r>
    <x v="418"/>
    <x v="3"/>
    <x v="4"/>
    <x v="603"/>
    <s v="C00000020"/>
    <x v="19"/>
    <x v="148"/>
    <n v="7"/>
    <s v="Cash"/>
    <x v="0"/>
    <d v="2023-08-15T00:00:00"/>
    <x v="2"/>
    <x v="5"/>
    <n v="1323"/>
    <m/>
    <n v="1323"/>
    <n v="3466468.350000001"/>
    <s v="Trsf"/>
    <m/>
    <m/>
  </r>
  <r>
    <x v="418"/>
    <x v="3"/>
    <x v="4"/>
    <x v="603"/>
    <s v="C00000020"/>
    <x v="19"/>
    <x v="128"/>
    <n v="3"/>
    <s v="Cash"/>
    <x v="0"/>
    <d v="2023-08-15T00:00:00"/>
    <x v="2"/>
    <x v="5"/>
    <n v="600"/>
    <m/>
    <n v="600"/>
    <n v="3467068.350000001"/>
    <s v="Trsf"/>
    <m/>
    <m/>
  </r>
  <r>
    <x v="418"/>
    <x v="3"/>
    <x v="4"/>
    <x v="603"/>
    <s v="C00000020"/>
    <x v="19"/>
    <x v="171"/>
    <n v="4"/>
    <s v="Cash"/>
    <x v="0"/>
    <d v="2023-08-15T00:00:00"/>
    <x v="2"/>
    <x v="5"/>
    <n v="380"/>
    <m/>
    <n v="380"/>
    <n v="3467448.350000001"/>
    <s v="Trsf"/>
    <m/>
    <m/>
  </r>
  <r>
    <x v="419"/>
    <x v="3"/>
    <x v="4"/>
    <x v="604"/>
    <s v="C00000034"/>
    <x v="35"/>
    <x v="217"/>
    <n v="2"/>
    <s v="Cash"/>
    <x v="0"/>
    <d v="2023-08-16T00:00:00"/>
    <x v="2"/>
    <x v="5"/>
    <n v="3476"/>
    <n v="-3476"/>
    <n v="0"/>
    <n v="3470924.350000001"/>
    <s v="Trsf"/>
    <s v="Trsf 23/8/23 RM4,000.00 (RM2,400.70), Trsf 27/8/23 RM4,000.00 (RM1,075.30)"/>
    <m/>
  </r>
  <r>
    <x v="419"/>
    <x v="3"/>
    <x v="4"/>
    <x v="604"/>
    <s v="C00000034"/>
    <x v="35"/>
    <x v="220"/>
    <n v="4"/>
    <s v="Cash"/>
    <x v="0"/>
    <d v="2023-08-16T00:00:00"/>
    <x v="2"/>
    <x v="5"/>
    <n v="876"/>
    <n v="-876"/>
    <n v="0"/>
    <n v="3471800.350000001"/>
    <s v="Trsf"/>
    <s v="Trsf 27/8/23 RM4,000.00 (RM876.00)"/>
    <m/>
  </r>
  <r>
    <x v="419"/>
    <x v="3"/>
    <x v="4"/>
    <x v="604"/>
    <s v="C00000034"/>
    <x v="35"/>
    <x v="216"/>
    <n v="5"/>
    <s v="Cash"/>
    <x v="0"/>
    <d v="2023-08-16T00:00:00"/>
    <x v="2"/>
    <x v="5"/>
    <n v="1095"/>
    <n v="-1095"/>
    <n v="0"/>
    <n v="3472895.350000001"/>
    <s v="Trsf"/>
    <s v="Trsf 27/8/23 RM4,000.00 (RM1,095.00)"/>
    <m/>
  </r>
  <r>
    <x v="419"/>
    <x v="3"/>
    <x v="4"/>
    <x v="604"/>
    <s v="C00000034"/>
    <x v="35"/>
    <x v="291"/>
    <n v="3"/>
    <s v="Cash"/>
    <x v="0"/>
    <d v="2023-08-16T00:00:00"/>
    <x v="2"/>
    <x v="5"/>
    <n v="708"/>
    <n v="-708"/>
    <n v="0"/>
    <n v="3473603.350000001"/>
    <s v="Trsf"/>
    <s v="Trsf 27/8/23 RM4,000.00 (RM708.00)"/>
    <m/>
  </r>
  <r>
    <x v="419"/>
    <x v="3"/>
    <x v="4"/>
    <x v="604"/>
    <s v="C00000034"/>
    <x v="35"/>
    <x v="171"/>
    <n v="3"/>
    <s v="Cash"/>
    <x v="0"/>
    <d v="2023-08-16T00:00:00"/>
    <x v="2"/>
    <x v="5"/>
    <n v="285"/>
    <n v="-285"/>
    <n v="0"/>
    <n v="3473888.350000001"/>
    <s v="Trsf"/>
    <s v="Trsf 27/8/23 RM4,000.00 (RM245.70), Trsf 1/9/23 RM4,000.00(39.30)"/>
    <m/>
  </r>
  <r>
    <x v="419"/>
    <x v="3"/>
    <x v="4"/>
    <x v="604"/>
    <s v="C00000034"/>
    <x v="35"/>
    <x v="132"/>
    <n v="3"/>
    <s v="Cash"/>
    <x v="0"/>
    <d v="2023-08-16T00:00:00"/>
    <x v="2"/>
    <x v="5"/>
    <n v="187.5"/>
    <n v="-187.5"/>
    <n v="0"/>
    <n v="3474075.850000001"/>
    <s v="Trsf"/>
    <s v="Trsf 1/9/23 RM4,000.00(RM187.50)"/>
    <m/>
  </r>
  <r>
    <x v="419"/>
    <x v="3"/>
    <x v="4"/>
    <x v="604"/>
    <s v="C00000034"/>
    <x v="35"/>
    <x v="224"/>
    <n v="2"/>
    <s v="Cash"/>
    <x v="0"/>
    <d v="2023-08-16T00:00:00"/>
    <x v="2"/>
    <x v="5"/>
    <n v="100"/>
    <n v="-100"/>
    <n v="0"/>
    <n v="3474175.850000001"/>
    <s v="Trsf"/>
    <s v="Trsf 1/9/23 RM4,000.00(RM100.00)"/>
    <m/>
  </r>
  <r>
    <x v="419"/>
    <x v="3"/>
    <x v="4"/>
    <x v="604"/>
    <s v="C00000034"/>
    <x v="35"/>
    <x v="292"/>
    <n v="1"/>
    <s v="Cash"/>
    <x v="0"/>
    <d v="2023-08-16T00:00:00"/>
    <x v="2"/>
    <x v="5"/>
    <n v="160"/>
    <n v="-160"/>
    <n v="0"/>
    <n v="3474335.850000001"/>
    <s v="Trsf"/>
    <s v="Trsf 1/9/23 RM4,000.00(RM160.00)"/>
    <m/>
  </r>
  <r>
    <x v="419"/>
    <x v="3"/>
    <x v="4"/>
    <x v="604"/>
    <s v="C00000034"/>
    <x v="35"/>
    <x v="274"/>
    <n v="1"/>
    <s v="Cash"/>
    <x v="0"/>
    <d v="2023-08-16T00:00:00"/>
    <x v="2"/>
    <x v="5"/>
    <n v="165"/>
    <n v="-165"/>
    <n v="0"/>
    <n v="3474500.850000001"/>
    <s v="Trsf"/>
    <s v="Trsf 1/9/23 RM4,000.00(RM165.00)"/>
    <m/>
  </r>
  <r>
    <x v="419"/>
    <x v="3"/>
    <x v="4"/>
    <x v="605"/>
    <s v="C00000003"/>
    <x v="2"/>
    <x v="220"/>
    <n v="1"/>
    <n v="45"/>
    <x v="1"/>
    <d v="2023-09-30T00:00:00"/>
    <x v="6"/>
    <x v="5"/>
    <n v="255"/>
    <n v="-255"/>
    <n v="0"/>
    <n v="3474755.850000001"/>
    <s v="PD Chq"/>
    <s v="RHB 000743 20/10/23 Cleared RM1,300.00 (RM255.00)"/>
    <m/>
  </r>
  <r>
    <x v="419"/>
    <x v="3"/>
    <x v="4"/>
    <x v="605"/>
    <s v="C00000003"/>
    <x v="2"/>
    <x v="132"/>
    <n v="5"/>
    <n v="45"/>
    <x v="1"/>
    <d v="2023-09-30T00:00:00"/>
    <x v="6"/>
    <x v="5"/>
    <n v="325"/>
    <n v="-325"/>
    <n v="0"/>
    <n v="3475080.850000001"/>
    <s v="PD Chq"/>
    <s v="RHB 000743 20/10/23 Cleared RM1,300.00 (RM325.00)"/>
    <m/>
  </r>
  <r>
    <x v="419"/>
    <x v="3"/>
    <x v="4"/>
    <x v="605"/>
    <s v="C00000003"/>
    <x v="2"/>
    <x v="224"/>
    <n v="1"/>
    <n v="45"/>
    <x v="1"/>
    <d v="2023-09-30T00:00:00"/>
    <x v="6"/>
    <x v="5"/>
    <n v="50"/>
    <n v="-50"/>
    <n v="0"/>
    <n v="3475130.850000001"/>
    <s v="PD Chq"/>
    <s v="RHB 000743 20/10/23 Cleared RM1,300.00 (RM50.00)"/>
    <m/>
  </r>
  <r>
    <x v="420"/>
    <x v="3"/>
    <x v="4"/>
    <x v="606"/>
    <s v="C00000014"/>
    <x v="13"/>
    <x v="45"/>
    <n v="1"/>
    <s v="Cash"/>
    <x v="0"/>
    <d v="2023-08-17T00:00:00"/>
    <x v="2"/>
    <x v="5"/>
    <n v="1694"/>
    <n v="-1694"/>
    <n v="0"/>
    <n v="3476824.850000001"/>
    <s v="Cash"/>
    <s v="Cash 19/8/23 RM2,878.50"/>
    <m/>
  </r>
  <r>
    <x v="420"/>
    <x v="3"/>
    <x v="4"/>
    <x v="606"/>
    <s v="C00000014"/>
    <x v="13"/>
    <x v="157"/>
    <n v="3"/>
    <s v="Cash"/>
    <x v="0"/>
    <d v="2023-08-17T00:00:00"/>
    <x v="2"/>
    <x v="5"/>
    <n v="702"/>
    <n v="-702"/>
    <n v="0"/>
    <n v="3477526.850000001"/>
    <s v="Cash"/>
    <s v="Cash 19/8/23 RM2,878.50"/>
    <m/>
  </r>
  <r>
    <x v="420"/>
    <x v="3"/>
    <x v="4"/>
    <x v="606"/>
    <s v="C00000014"/>
    <x v="13"/>
    <x v="243"/>
    <n v="1"/>
    <s v="Cash"/>
    <x v="0"/>
    <d v="2023-08-17T00:00:00"/>
    <x v="2"/>
    <x v="5"/>
    <n v="322.5"/>
    <n v="-322.5"/>
    <n v="0"/>
    <n v="3477849.350000001"/>
    <s v="Cash"/>
    <s v="Cash 19/8/23 RM2,878.50"/>
    <m/>
  </r>
  <r>
    <x v="420"/>
    <x v="3"/>
    <x v="4"/>
    <x v="606"/>
    <s v="C00000014"/>
    <x v="13"/>
    <x v="141"/>
    <n v="1"/>
    <s v="Cash"/>
    <x v="0"/>
    <d v="2023-08-17T00:00:00"/>
    <x v="2"/>
    <x v="5"/>
    <n v="160"/>
    <n v="-160"/>
    <n v="0"/>
    <n v="3478009.350000001"/>
    <s v="Cash"/>
    <s v="Cash 19/8/23 RM2,878.50"/>
    <m/>
  </r>
  <r>
    <x v="420"/>
    <x v="3"/>
    <x v="4"/>
    <x v="607"/>
    <s v="C00000019"/>
    <x v="18"/>
    <x v="132"/>
    <n v="4"/>
    <s v="Cash"/>
    <x v="0"/>
    <d v="2023-08-17T00:00:00"/>
    <x v="2"/>
    <x v="5"/>
    <n v="250"/>
    <m/>
    <n v="250"/>
    <n v="3478259.350000001"/>
    <s v="Trsf"/>
    <m/>
    <m/>
  </r>
  <r>
    <x v="421"/>
    <x v="3"/>
    <x v="4"/>
    <x v="608"/>
    <s v="C00000006"/>
    <x v="5"/>
    <x v="7"/>
    <n v="1"/>
    <s v="Cash"/>
    <x v="0"/>
    <d v="2023-08-21T00:00:00"/>
    <x v="2"/>
    <x v="5"/>
    <n v="1738"/>
    <n v="-1738"/>
    <n v="0"/>
    <n v="3479997.350000001"/>
    <s v="Chq"/>
    <s v="Cash deposit 19/10/23 RM4,821.00"/>
    <m/>
  </r>
  <r>
    <x v="421"/>
    <x v="3"/>
    <x v="4"/>
    <x v="608"/>
    <s v="C00000006"/>
    <x v="5"/>
    <x v="247"/>
    <n v="3"/>
    <s v="Cash"/>
    <x v="0"/>
    <d v="2023-08-21T00:00:00"/>
    <x v="2"/>
    <x v="5"/>
    <n v="702"/>
    <n v="-702"/>
    <n v="0"/>
    <n v="3480699.350000001"/>
    <s v="Chq"/>
    <s v="Cash deposit 19/10/23 RM4,821.00"/>
    <m/>
  </r>
  <r>
    <x v="422"/>
    <x v="3"/>
    <x v="4"/>
    <x v="609"/>
    <s v="C00000037"/>
    <x v="38"/>
    <x v="120"/>
    <n v="4"/>
    <n v="30"/>
    <x v="5"/>
    <d v="2023-09-21T00:00:00"/>
    <x v="6"/>
    <x v="5"/>
    <n v="6952"/>
    <n v="-6952"/>
    <n v="0"/>
    <n v="3487651.350000001"/>
    <s v="Chq"/>
    <s v="MBB 015164 cleared 25/9/23 RM10,969.50"/>
    <m/>
  </r>
  <r>
    <x v="422"/>
    <x v="3"/>
    <x v="4"/>
    <x v="609"/>
    <s v="C00000037"/>
    <x v="38"/>
    <x v="112"/>
    <n v="5"/>
    <n v="30"/>
    <x v="5"/>
    <d v="2023-09-21T00:00:00"/>
    <x v="6"/>
    <x v="5"/>
    <n v="2106"/>
    <n v="-2106"/>
    <n v="0"/>
    <n v="3489757.350000001"/>
    <s v="Chq"/>
    <s v="MBB 015164 cleared 25/9/23 RM10,969.50"/>
    <m/>
  </r>
  <r>
    <x v="422"/>
    <x v="3"/>
    <x v="4"/>
    <x v="609"/>
    <s v="C00000037"/>
    <x v="38"/>
    <x v="224"/>
    <n v="3"/>
    <n v="30"/>
    <x v="5"/>
    <d v="2023-09-21T00:00:00"/>
    <x v="6"/>
    <x v="5"/>
    <n v="144"/>
    <n v="-144"/>
    <n v="0"/>
    <n v="3489901.350000001"/>
    <s v="Chq"/>
    <s v="MBB 015164 cleared 25/9/23 RM10,969.50"/>
    <m/>
  </r>
  <r>
    <x v="422"/>
    <x v="3"/>
    <x v="4"/>
    <x v="609"/>
    <s v="C00000037"/>
    <x v="38"/>
    <x v="132"/>
    <n v="3"/>
    <n v="30"/>
    <x v="5"/>
    <d v="2023-09-21T00:00:00"/>
    <x v="6"/>
    <x v="5"/>
    <n v="187.5"/>
    <n v="-187.5"/>
    <n v="0"/>
    <n v="3490088.850000001"/>
    <s v="Chq"/>
    <s v="MBB 015164 cleared 25/9/23 RM10,969.50"/>
    <m/>
  </r>
  <r>
    <x v="422"/>
    <x v="3"/>
    <x v="4"/>
    <x v="609"/>
    <s v="C00000037"/>
    <x v="38"/>
    <x v="243"/>
    <n v="2"/>
    <n v="30"/>
    <x v="5"/>
    <d v="2023-09-21T00:00:00"/>
    <x v="6"/>
    <x v="5"/>
    <n v="650"/>
    <n v="-650"/>
    <n v="0"/>
    <n v="3490738.850000001"/>
    <s v="Chq"/>
    <s v="MBB 015164 cleared 25/9/23 RM10,969.50"/>
    <m/>
  </r>
  <r>
    <x v="422"/>
    <x v="3"/>
    <x v="4"/>
    <x v="609"/>
    <s v="C00000037"/>
    <x v="38"/>
    <x v="249"/>
    <n v="1"/>
    <n v="30"/>
    <x v="5"/>
    <d v="2023-09-21T00:00:00"/>
    <x v="6"/>
    <x v="5"/>
    <n v="930"/>
    <n v="-930"/>
    <n v="0"/>
    <n v="3491668.850000001"/>
    <s v="Chq"/>
    <s v="MBB 015164 cleared 25/9/23 RM10,969.50"/>
    <m/>
  </r>
  <r>
    <x v="422"/>
    <x v="3"/>
    <x v="4"/>
    <x v="610"/>
    <s v="C00000020"/>
    <x v="19"/>
    <x v="132"/>
    <n v="3"/>
    <s v="Cash"/>
    <x v="0"/>
    <d v="2023-08-22T00:00:00"/>
    <x v="2"/>
    <x v="5"/>
    <n v="187.5"/>
    <m/>
    <n v="187.5"/>
    <n v="3491856.350000001"/>
    <s v="Trsf"/>
    <m/>
    <m/>
  </r>
  <r>
    <x v="422"/>
    <x v="3"/>
    <x v="4"/>
    <x v="611"/>
    <s v="C00000020"/>
    <x v="19"/>
    <x v="279"/>
    <n v="3"/>
    <s v="Cash"/>
    <x v="0"/>
    <d v="2023-08-22T00:00:00"/>
    <x v="2"/>
    <x v="5"/>
    <n v="4686"/>
    <m/>
    <n v="4686"/>
    <n v="3496542.350000001"/>
    <s v="Trsf"/>
    <m/>
    <m/>
  </r>
  <r>
    <x v="422"/>
    <x v="3"/>
    <x v="4"/>
    <x v="611"/>
    <s v="C00000020"/>
    <x v="19"/>
    <x v="148"/>
    <n v="9"/>
    <s v="Cash"/>
    <x v="0"/>
    <d v="2023-08-22T00:00:00"/>
    <x v="2"/>
    <x v="5"/>
    <n v="1701"/>
    <m/>
    <n v="1701"/>
    <n v="3498243.350000001"/>
    <s v="Trsf"/>
    <m/>
    <m/>
  </r>
  <r>
    <x v="422"/>
    <x v="3"/>
    <x v="4"/>
    <x v="611"/>
    <s v="C00000020"/>
    <x v="19"/>
    <x v="128"/>
    <n v="1"/>
    <s v="Cash"/>
    <x v="0"/>
    <d v="2023-08-22T00:00:00"/>
    <x v="2"/>
    <x v="5"/>
    <n v="200"/>
    <m/>
    <n v="200"/>
    <n v="3498443.350000001"/>
    <s v="Trsf"/>
    <m/>
    <m/>
  </r>
  <r>
    <x v="422"/>
    <x v="3"/>
    <x v="4"/>
    <x v="612"/>
    <s v="C00000019"/>
    <x v="18"/>
    <x v="7"/>
    <n v="1"/>
    <s v="Cash"/>
    <x v="0"/>
    <d v="2023-08-22T00:00:00"/>
    <x v="2"/>
    <x v="5"/>
    <n v="1738"/>
    <m/>
    <n v="1738"/>
    <n v="3500181.350000001"/>
    <s v="Trsf"/>
    <m/>
    <m/>
  </r>
  <r>
    <x v="423"/>
    <x v="3"/>
    <x v="4"/>
    <x v="613"/>
    <s v="C00000034"/>
    <x v="35"/>
    <x v="217"/>
    <n v="1"/>
    <s v="Cash"/>
    <x v="0"/>
    <d v="2023-08-23T00:00:00"/>
    <x v="2"/>
    <x v="5"/>
    <n v="1738"/>
    <n v="-1738"/>
    <n v="0"/>
    <n v="3501919.350000001"/>
    <s v="Trsf"/>
    <s v="Trsf 1/9/23 RM4,000.00(RM1,738.00)"/>
    <m/>
  </r>
  <r>
    <x v="424"/>
    <x v="3"/>
    <x v="4"/>
    <x v="614"/>
    <s v="C00000034"/>
    <x v="35"/>
    <x v="217"/>
    <n v="1"/>
    <s v="Cash"/>
    <x v="0"/>
    <d v="2023-08-24T00:00:00"/>
    <x v="2"/>
    <x v="5"/>
    <n v="1738"/>
    <n v="-1738"/>
    <n v="0"/>
    <n v="3503657.350000001"/>
    <s v="Trsf"/>
    <s v="Trsf 1/9/23 RM4,000.00(RM1,610.20), Trsf 7/9/23 RM1,100.00(RM127.80)"/>
    <m/>
  </r>
  <r>
    <x v="424"/>
    <x v="3"/>
    <x v="4"/>
    <x v="614"/>
    <s v="C00000034"/>
    <x v="35"/>
    <x v="291"/>
    <n v="2"/>
    <s v="Cash"/>
    <x v="0"/>
    <d v="2023-08-24T00:00:00"/>
    <x v="2"/>
    <x v="5"/>
    <n v="472"/>
    <n v="-472"/>
    <n v="0"/>
    <n v="3504129.350000001"/>
    <s v="Trsf"/>
    <s v="Trsf 7/9/23 RM1,100.00(RM472.00)"/>
    <m/>
  </r>
  <r>
    <x v="425"/>
    <x v="3"/>
    <x v="4"/>
    <x v="615"/>
    <s v="C00000021"/>
    <x v="21"/>
    <x v="118"/>
    <n v="1"/>
    <s v="Cash"/>
    <x v="0"/>
    <d v="2023-08-25T00:00:00"/>
    <x v="2"/>
    <x v="5"/>
    <n v="1738"/>
    <n v="-1738"/>
    <n v="0"/>
    <n v="3505867.350000001"/>
    <s v="PD Chq"/>
    <s v="Chq PBB 003004, cleared07/09/23 RM2,847.50"/>
    <m/>
  </r>
  <r>
    <x v="425"/>
    <x v="3"/>
    <x v="4"/>
    <x v="615"/>
    <s v="C00000021"/>
    <x v="21"/>
    <x v="100"/>
    <n v="3"/>
    <s v="Cash"/>
    <x v="0"/>
    <d v="2023-08-25T00:00:00"/>
    <x v="2"/>
    <x v="5"/>
    <n v="702"/>
    <n v="-702"/>
    <n v="0"/>
    <n v="3506569.350000001"/>
    <s v="PD Chq"/>
    <s v="Chq PBB 003004, cleared07/09/23 RM2,847.50"/>
    <m/>
  </r>
  <r>
    <x v="425"/>
    <x v="3"/>
    <x v="4"/>
    <x v="615"/>
    <s v="C00000021"/>
    <x v="21"/>
    <x v="171"/>
    <n v="1"/>
    <s v="Cash"/>
    <x v="0"/>
    <d v="2023-08-25T00:00:00"/>
    <x v="2"/>
    <x v="5"/>
    <n v="95"/>
    <n v="-95"/>
    <n v="0"/>
    <n v="3506664.350000001"/>
    <s v="PD Chq"/>
    <s v="Chq PBB 003004, cleared07/09/23 RM2,847.50"/>
    <m/>
  </r>
  <r>
    <x v="425"/>
    <x v="3"/>
    <x v="4"/>
    <x v="615"/>
    <s v="C00000021"/>
    <x v="21"/>
    <x v="132"/>
    <n v="5"/>
    <s v="Cash"/>
    <x v="0"/>
    <d v="2023-08-25T00:00:00"/>
    <x v="2"/>
    <x v="5"/>
    <n v="312.5"/>
    <n v="-312.5"/>
    <n v="0"/>
    <n v="3506976.850000001"/>
    <s v="PD Chq"/>
    <s v="Chq PBB 003004, cleared07/09/23 RM2,847.50"/>
    <m/>
  </r>
  <r>
    <x v="426"/>
    <x v="3"/>
    <x v="4"/>
    <x v="616"/>
    <s v="C00000019"/>
    <x v="18"/>
    <x v="226"/>
    <n v="1"/>
    <s v="Cash"/>
    <x v="0"/>
    <d v="2023-08-26T00:00:00"/>
    <x v="2"/>
    <x v="5"/>
    <n v="421.2"/>
    <m/>
    <n v="421.2"/>
    <n v="3507398.0500000012"/>
    <s v="Trsf"/>
    <m/>
    <m/>
  </r>
  <r>
    <x v="426"/>
    <x v="3"/>
    <x v="4"/>
    <x v="616"/>
    <s v="C00000019"/>
    <x v="18"/>
    <x v="244"/>
    <n v="1"/>
    <s v="Cash"/>
    <x v="0"/>
    <d v="2023-08-26T00:00:00"/>
    <x v="2"/>
    <x v="5"/>
    <n v="390"/>
    <m/>
    <n v="390"/>
    <n v="3507788.0500000012"/>
    <s v="Trsf"/>
    <m/>
    <m/>
  </r>
  <r>
    <x v="427"/>
    <x v="3"/>
    <x v="4"/>
    <x v="617"/>
    <s v="C00000034"/>
    <x v="35"/>
    <x v="189"/>
    <n v="2"/>
    <s v="Cash"/>
    <x v="0"/>
    <d v="2023-08-28T00:00:00"/>
    <x v="2"/>
    <x v="5"/>
    <n v="3476"/>
    <n v="-3476"/>
    <n v="0"/>
    <n v="3511264.0500000012"/>
    <s v="Trsf"/>
    <s v="Trsf 7/9/23 RM1,100.00(RM599.80), Trsf 13/9/23 RM8,000.00(RM2,876.20)"/>
    <m/>
  </r>
  <r>
    <x v="427"/>
    <x v="3"/>
    <x v="4"/>
    <x v="617"/>
    <s v="C00000034"/>
    <x v="35"/>
    <x v="293"/>
    <n v="2"/>
    <s v="Cash"/>
    <x v="0"/>
    <d v="2023-08-28T00:00:00"/>
    <x v="2"/>
    <x v="5"/>
    <n v="438"/>
    <n v="-438"/>
    <n v="0"/>
    <n v="3511702.0500000012"/>
    <s v="Trsf"/>
    <s v="Trsf 13/9/23 RM8,000.00(RM438.00)"/>
    <m/>
  </r>
  <r>
    <x v="427"/>
    <x v="3"/>
    <x v="4"/>
    <x v="617"/>
    <s v="C00000034"/>
    <x v="35"/>
    <x v="291"/>
    <n v="2"/>
    <s v="Cash"/>
    <x v="0"/>
    <d v="2023-08-28T00:00:00"/>
    <x v="2"/>
    <x v="5"/>
    <n v="472"/>
    <n v="-472"/>
    <n v="0"/>
    <n v="3512174.0500000012"/>
    <s v="Trsf"/>
    <s v="Trsf 13/9/23 RM8,000.00(RM472.00)"/>
    <m/>
  </r>
  <r>
    <x v="427"/>
    <x v="3"/>
    <x v="4"/>
    <x v="617"/>
    <s v="C00000034"/>
    <x v="35"/>
    <x v="171"/>
    <n v="2"/>
    <s v="Cash"/>
    <x v="0"/>
    <d v="2023-08-28T00:00:00"/>
    <x v="2"/>
    <x v="5"/>
    <n v="190"/>
    <n v="-190"/>
    <n v="0"/>
    <n v="3512364.0500000012"/>
    <s v="Trsf"/>
    <s v="Trsf 13/9/23 RM8,000.00(RM190.00)"/>
    <m/>
  </r>
  <r>
    <x v="427"/>
    <x v="3"/>
    <x v="4"/>
    <x v="617"/>
    <s v="C00000034"/>
    <x v="35"/>
    <x v="132"/>
    <n v="2"/>
    <s v="Cash"/>
    <x v="0"/>
    <d v="2023-08-28T00:00:00"/>
    <x v="2"/>
    <x v="5"/>
    <n v="125"/>
    <n v="-125"/>
    <n v="0"/>
    <n v="3512489.0500000012"/>
    <s v="Trsf"/>
    <s v="Trsf 13/9/23 RM8,000.00(RM125.00)"/>
    <m/>
  </r>
  <r>
    <x v="427"/>
    <x v="3"/>
    <x v="4"/>
    <x v="617"/>
    <s v="C00000034"/>
    <x v="35"/>
    <x v="131"/>
    <n v="1"/>
    <s v="Cash"/>
    <x v="0"/>
    <d v="2023-08-28T00:00:00"/>
    <x v="2"/>
    <x v="5"/>
    <n v="420"/>
    <n v="-420"/>
    <n v="0"/>
    <n v="3512909.0500000012"/>
    <s v="Trsf"/>
    <s v="Trsf 13/9/23 RM8,000.00(RM420.00)"/>
    <m/>
  </r>
  <r>
    <x v="427"/>
    <x v="3"/>
    <x v="4"/>
    <x v="617"/>
    <s v="C00000034"/>
    <x v="35"/>
    <x v="292"/>
    <n v="1"/>
    <s v="Cash"/>
    <x v="0"/>
    <d v="2023-08-28T00:00:00"/>
    <x v="2"/>
    <x v="5"/>
    <n v="160"/>
    <n v="-160"/>
    <n v="0"/>
    <n v="3513069.0500000012"/>
    <s v="Trsf"/>
    <s v="Trsf 13/9/23 RM8,000.00(RM160.00)"/>
    <m/>
  </r>
  <r>
    <x v="427"/>
    <x v="3"/>
    <x v="4"/>
    <x v="617"/>
    <s v="C00000034"/>
    <x v="35"/>
    <x v="224"/>
    <n v="2"/>
    <s v="Cash"/>
    <x v="0"/>
    <d v="2023-08-28T00:00:00"/>
    <x v="2"/>
    <x v="5"/>
    <n v="100"/>
    <n v="-100"/>
    <n v="0"/>
    <n v="3513169.0500000012"/>
    <s v="Trsf"/>
    <s v="Trsf 13/9/23 RM8,000.00(RM100.00)"/>
    <m/>
  </r>
  <r>
    <x v="427"/>
    <x v="3"/>
    <x v="4"/>
    <x v="617"/>
    <s v="C00000034"/>
    <x v="35"/>
    <x v="197"/>
    <n v="16"/>
    <s v="Cash"/>
    <x v="0"/>
    <d v="2023-08-28T00:00:00"/>
    <x v="2"/>
    <x v="5"/>
    <n v="2224"/>
    <n v="-2224"/>
    <n v="0"/>
    <n v="3515393.0500000012"/>
    <s v="Trsf"/>
    <s v="Trsf 13/9/23 RM8,000.00(RM2,224.00)"/>
    <m/>
  </r>
  <r>
    <x v="427"/>
    <x v="3"/>
    <x v="4"/>
    <x v="618"/>
    <s v="C00000020"/>
    <x v="19"/>
    <x v="132"/>
    <n v="2"/>
    <s v="Cash"/>
    <x v="0"/>
    <d v="2023-08-28T00:00:00"/>
    <x v="2"/>
    <x v="5"/>
    <n v="125"/>
    <m/>
    <n v="125"/>
    <n v="3515518.0500000012"/>
    <s v="Trsf"/>
    <m/>
    <m/>
  </r>
  <r>
    <x v="427"/>
    <x v="3"/>
    <x v="4"/>
    <x v="619"/>
    <s v="C00000020"/>
    <x v="19"/>
    <x v="279"/>
    <n v="2"/>
    <s v="Cash"/>
    <x v="0"/>
    <d v="2023-08-28T00:00:00"/>
    <x v="2"/>
    <x v="5"/>
    <n v="3124"/>
    <m/>
    <n v="3124"/>
    <n v="3518642.0500000012"/>
    <s v="Trsf"/>
    <m/>
    <m/>
  </r>
  <r>
    <x v="427"/>
    <x v="3"/>
    <x v="4"/>
    <x v="619"/>
    <s v="C00000020"/>
    <x v="19"/>
    <x v="148"/>
    <n v="6"/>
    <s v="Cash"/>
    <x v="0"/>
    <d v="2023-08-28T00:00:00"/>
    <x v="2"/>
    <x v="5"/>
    <n v="1134"/>
    <m/>
    <n v="1134"/>
    <n v="3519776.0500000012"/>
    <s v="Trsf"/>
    <m/>
    <m/>
  </r>
  <r>
    <x v="427"/>
    <x v="3"/>
    <x v="4"/>
    <x v="619"/>
    <s v="C00000020"/>
    <x v="19"/>
    <x v="128"/>
    <n v="3"/>
    <s v="Cash"/>
    <x v="0"/>
    <d v="2023-08-28T00:00:00"/>
    <x v="2"/>
    <x v="5"/>
    <n v="600"/>
    <m/>
    <n v="600"/>
    <n v="3520376.0500000012"/>
    <s v="Trsf"/>
    <m/>
    <m/>
  </r>
  <r>
    <x v="427"/>
    <x v="3"/>
    <x v="4"/>
    <x v="619"/>
    <s v="C00000020"/>
    <x v="19"/>
    <x v="159"/>
    <n v="1"/>
    <s v="Cash"/>
    <x v="0"/>
    <d v="2023-08-28T00:00:00"/>
    <x v="2"/>
    <x v="5"/>
    <n v="1000"/>
    <m/>
    <n v="1000"/>
    <n v="3521376.0500000012"/>
    <s v="Trsf"/>
    <m/>
    <m/>
  </r>
  <r>
    <x v="428"/>
    <x v="3"/>
    <x v="4"/>
    <x v="620"/>
    <s v="C00000019"/>
    <x v="18"/>
    <x v="7"/>
    <n v="1"/>
    <s v="Cash"/>
    <x v="0"/>
    <d v="2023-08-30T00:00:00"/>
    <x v="2"/>
    <x v="5"/>
    <n v="1738"/>
    <m/>
    <n v="1738"/>
    <n v="3523114.0500000012"/>
    <s v="Trsf"/>
    <m/>
    <m/>
  </r>
  <r>
    <x v="429"/>
    <x v="4"/>
    <x v="4"/>
    <x v="621"/>
    <s v="C00000020"/>
    <x v="19"/>
    <x v="132"/>
    <n v="2"/>
    <s v="Cash"/>
    <x v="0"/>
    <d v="2023-09-01T00:00:00"/>
    <x v="6"/>
    <x v="5"/>
    <n v="125"/>
    <m/>
    <n v="125"/>
    <n v="3523239.0500000012"/>
    <s v="Trsf"/>
    <m/>
    <m/>
  </r>
  <r>
    <x v="429"/>
    <x v="4"/>
    <x v="4"/>
    <x v="622"/>
    <s v="C00000020"/>
    <x v="19"/>
    <x v="279"/>
    <n v="2"/>
    <s v="Cash"/>
    <x v="0"/>
    <d v="2023-09-01T00:00:00"/>
    <x v="6"/>
    <x v="5"/>
    <n v="3124"/>
    <m/>
    <n v="3124"/>
    <n v="3526363.0500000012"/>
    <s v="Trsf"/>
    <m/>
    <m/>
  </r>
  <r>
    <x v="429"/>
    <x v="4"/>
    <x v="4"/>
    <x v="622"/>
    <s v="C00000020"/>
    <x v="19"/>
    <x v="148"/>
    <n v="6"/>
    <s v="Cash"/>
    <x v="0"/>
    <d v="2023-09-01T00:00:00"/>
    <x v="6"/>
    <x v="5"/>
    <n v="1134"/>
    <m/>
    <n v="1134"/>
    <n v="3527497.0500000012"/>
    <s v="Trsf"/>
    <m/>
    <m/>
  </r>
  <r>
    <x v="429"/>
    <x v="4"/>
    <x v="4"/>
    <x v="622"/>
    <s v="C00000020"/>
    <x v="19"/>
    <x v="128"/>
    <n v="3"/>
    <s v="Cash"/>
    <x v="0"/>
    <d v="2023-09-01T00:00:00"/>
    <x v="6"/>
    <x v="5"/>
    <n v="600"/>
    <m/>
    <n v="600"/>
    <n v="3528097.0500000012"/>
    <s v="Trsf"/>
    <m/>
    <m/>
  </r>
  <r>
    <x v="429"/>
    <x v="4"/>
    <x v="4"/>
    <x v="623"/>
    <s v="C00000034"/>
    <x v="35"/>
    <x v="189"/>
    <n v="1"/>
    <s v="Cash"/>
    <x v="0"/>
    <d v="2023-09-01T00:00:00"/>
    <x v="6"/>
    <x v="5"/>
    <n v="1738"/>
    <n v="-1738"/>
    <n v="0"/>
    <n v="3529835.0500000012"/>
    <s v="Trsf"/>
    <s v="Trsf 13/9/23 RM8,000.00(RM994.80), Trsf 25/9/23 RM2,650.00(RM743.20)"/>
    <m/>
  </r>
  <r>
    <x v="429"/>
    <x v="4"/>
    <x v="4"/>
    <x v="623"/>
    <s v="C00000034"/>
    <x v="35"/>
    <x v="132"/>
    <n v="1"/>
    <s v="Cash"/>
    <x v="0"/>
    <d v="2023-09-01T00:00:00"/>
    <x v="6"/>
    <x v="5"/>
    <n v="62.5"/>
    <n v="-62.5"/>
    <n v="0"/>
    <n v="3529897.5500000012"/>
    <s v="Trsf"/>
    <s v="Trsf 25/9/23 RM2,650.00(RM62.50)"/>
    <m/>
  </r>
  <r>
    <x v="429"/>
    <x v="4"/>
    <x v="4"/>
    <x v="624"/>
    <s v="C00000013"/>
    <x v="12"/>
    <x v="15"/>
    <n v="5"/>
    <s v="Cash"/>
    <x v="0"/>
    <d v="2023-09-01T00:00:00"/>
    <x v="6"/>
    <x v="5"/>
    <n v="9130"/>
    <n v="-9130"/>
    <n v="0"/>
    <n v="3539027.5500000012"/>
    <s v="Chq"/>
    <s v="Cheque MBB 852051, cleared 7/9/23 RM15,781.40"/>
    <m/>
  </r>
  <r>
    <x v="429"/>
    <x v="4"/>
    <x v="4"/>
    <x v="624"/>
    <s v="C00000013"/>
    <x v="12"/>
    <x v="280"/>
    <n v="7"/>
    <s v="Cash"/>
    <x v="0"/>
    <d v="2023-09-01T00:00:00"/>
    <x v="6"/>
    <x v="5"/>
    <n v="2986.2000000000003"/>
    <n v="-2986.2000000000003"/>
    <n v="0"/>
    <n v="3542013.7500000014"/>
    <s v="Chq"/>
    <s v="Cheque MBB 852051, cleared 7/9/23 RM15,781.40"/>
    <m/>
  </r>
  <r>
    <x v="429"/>
    <x v="4"/>
    <x v="4"/>
    <x v="624"/>
    <s v="C00000013"/>
    <x v="12"/>
    <x v="5"/>
    <n v="10"/>
    <s v="Cash"/>
    <x v="0"/>
    <d v="2023-09-01T00:00:00"/>
    <x v="6"/>
    <x v="5"/>
    <n v="2580"/>
    <n v="-2580"/>
    <n v="0"/>
    <n v="3544593.7500000014"/>
    <s v="Chq"/>
    <s v="Cheque MBB 852051, cleared 7/9/23 RM15,781.40"/>
    <m/>
  </r>
  <r>
    <x v="429"/>
    <x v="4"/>
    <x v="4"/>
    <x v="624"/>
    <s v="C00000013"/>
    <x v="12"/>
    <x v="4"/>
    <n v="4"/>
    <s v="Cash"/>
    <x v="0"/>
    <d v="2023-09-01T00:00:00"/>
    <x v="6"/>
    <x v="5"/>
    <n v="440"/>
    <n v="-440"/>
    <n v="0"/>
    <n v="3545033.7500000014"/>
    <s v="Chq"/>
    <s v="Cheque MBB 852051, cleared 7/9/23 RM15,781.40"/>
    <m/>
  </r>
  <r>
    <x v="429"/>
    <x v="4"/>
    <x v="4"/>
    <x v="624"/>
    <s v="C00000013"/>
    <x v="12"/>
    <x v="283"/>
    <n v="1"/>
    <s v="Cash"/>
    <x v="0"/>
    <d v="2023-09-01T00:00:00"/>
    <x v="6"/>
    <x v="5"/>
    <n v="60"/>
    <n v="-60"/>
    <n v="0"/>
    <n v="3545093.7500000014"/>
    <s v="Chq"/>
    <s v="Cheque MBB 852051, cleared 7/9/23 RM15,781.40"/>
    <m/>
  </r>
  <r>
    <x v="429"/>
    <x v="4"/>
    <x v="4"/>
    <x v="624"/>
    <s v="C00000013"/>
    <x v="12"/>
    <x v="284"/>
    <n v="1"/>
    <s v="Cash"/>
    <x v="0"/>
    <d v="2023-09-01T00:00:00"/>
    <x v="6"/>
    <x v="5"/>
    <n v="55.2"/>
    <n v="-55.2"/>
    <n v="0"/>
    <n v="3545148.9500000016"/>
    <s v="Chq"/>
    <s v="Cheque MBB 852051, cleared 7/9/23 RM15,781.40"/>
    <m/>
  </r>
  <r>
    <x v="429"/>
    <x v="4"/>
    <x v="4"/>
    <x v="624"/>
    <s v="C00000013"/>
    <x v="12"/>
    <x v="178"/>
    <n v="2"/>
    <s v="Cash"/>
    <x v="0"/>
    <d v="2023-09-01T00:00:00"/>
    <x v="6"/>
    <x v="5"/>
    <n v="100"/>
    <n v="-100"/>
    <n v="0"/>
    <n v="3545248.9500000016"/>
    <s v="Chq"/>
    <s v="Cheque MBB 852051, cleared 7/9/23 RM15,781.40"/>
    <m/>
  </r>
  <r>
    <x v="429"/>
    <x v="4"/>
    <x v="4"/>
    <x v="624"/>
    <s v="C00000013"/>
    <x v="12"/>
    <x v="48"/>
    <n v="1"/>
    <s v="Cash"/>
    <x v="0"/>
    <d v="2023-09-01T00:00:00"/>
    <x v="6"/>
    <x v="5"/>
    <n v="430"/>
    <n v="-430"/>
    <n v="0"/>
    <n v="3545678.9500000016"/>
    <s v="Chq"/>
    <s v="Cheque MBB 852051, cleared 7/9/23 RM15,781.40"/>
    <m/>
  </r>
  <r>
    <x v="429"/>
    <x v="4"/>
    <x v="4"/>
    <x v="625"/>
    <s v="C00000020"/>
    <x v="19"/>
    <x v="132"/>
    <n v="2"/>
    <s v="Cash"/>
    <x v="0"/>
    <d v="2023-09-01T00:00:00"/>
    <x v="6"/>
    <x v="5"/>
    <n v="125"/>
    <m/>
    <n v="125"/>
    <n v="3545803.9500000016"/>
    <s v="Trsf"/>
    <m/>
    <m/>
  </r>
  <r>
    <x v="429"/>
    <x v="4"/>
    <x v="4"/>
    <x v="626"/>
    <s v="C00000020"/>
    <x v="19"/>
    <x v="279"/>
    <n v="2"/>
    <s v="Cash"/>
    <x v="0"/>
    <d v="2023-09-01T00:00:00"/>
    <x v="6"/>
    <x v="5"/>
    <n v="3212"/>
    <m/>
    <n v="3212"/>
    <n v="3549015.9500000016"/>
    <s v="Trsf"/>
    <m/>
    <m/>
  </r>
  <r>
    <x v="429"/>
    <x v="4"/>
    <x v="4"/>
    <x v="626"/>
    <s v="C00000020"/>
    <x v="19"/>
    <x v="148"/>
    <n v="6"/>
    <s v="Cash"/>
    <x v="0"/>
    <d v="2023-09-01T00:00:00"/>
    <x v="6"/>
    <x v="5"/>
    <n v="1134"/>
    <m/>
    <n v="1134"/>
    <n v="3550149.9500000016"/>
    <s v="Trsf"/>
    <m/>
    <m/>
  </r>
  <r>
    <x v="429"/>
    <x v="4"/>
    <x v="4"/>
    <x v="626"/>
    <s v="C00000020"/>
    <x v="19"/>
    <x v="128"/>
    <n v="3"/>
    <s v="Cash"/>
    <x v="0"/>
    <d v="2023-09-01T00:00:00"/>
    <x v="6"/>
    <x v="5"/>
    <n v="600"/>
    <m/>
    <n v="600"/>
    <n v="3550749.9500000016"/>
    <s v="Trsf"/>
    <m/>
    <m/>
  </r>
  <r>
    <x v="429"/>
    <x v="4"/>
    <x v="4"/>
    <x v="626"/>
    <s v="C00000020"/>
    <x v="19"/>
    <x v="159"/>
    <n v="1"/>
    <s v="Cash"/>
    <x v="0"/>
    <d v="2023-09-01T00:00:00"/>
    <x v="6"/>
    <x v="5"/>
    <n v="1000"/>
    <m/>
    <n v="1000"/>
    <n v="3551749.9500000016"/>
    <s v="Trsf"/>
    <m/>
    <m/>
  </r>
  <r>
    <x v="430"/>
    <x v="4"/>
    <x v="4"/>
    <x v="627"/>
    <s v="C00000010"/>
    <x v="9"/>
    <x v="188"/>
    <n v="6"/>
    <n v="120"/>
    <x v="2"/>
    <d v="2024-01-03T00:00:00"/>
    <x v="7"/>
    <x v="6"/>
    <n v="9372"/>
    <m/>
    <n v="9372"/>
    <n v="3561121.9500000016"/>
    <s v="Trsf"/>
    <m/>
    <m/>
  </r>
  <r>
    <x v="430"/>
    <x v="4"/>
    <x v="4"/>
    <x v="627"/>
    <s v="C00000010"/>
    <x v="9"/>
    <x v="247"/>
    <n v="10"/>
    <n v="120"/>
    <x v="2"/>
    <d v="2024-01-03T00:00:00"/>
    <x v="7"/>
    <x v="6"/>
    <n v="1800"/>
    <m/>
    <n v="1800"/>
    <n v="3562921.9500000016"/>
    <s v="Trsf"/>
    <m/>
    <m/>
  </r>
  <r>
    <x v="430"/>
    <x v="4"/>
    <x v="4"/>
    <x v="627"/>
    <s v="C00000010"/>
    <x v="9"/>
    <x v="132"/>
    <n v="10"/>
    <n v="120"/>
    <x v="2"/>
    <d v="2024-01-03T00:00:00"/>
    <x v="7"/>
    <x v="6"/>
    <n v="575"/>
    <m/>
    <n v="575"/>
    <n v="3563496.9500000016"/>
    <s v="Trsf"/>
    <m/>
    <m/>
  </r>
  <r>
    <x v="430"/>
    <x v="4"/>
    <x v="4"/>
    <x v="627"/>
    <s v="C00000010"/>
    <x v="9"/>
    <x v="4"/>
    <n v="4"/>
    <n v="120"/>
    <x v="2"/>
    <d v="2024-01-03T00:00:00"/>
    <x v="7"/>
    <x v="6"/>
    <n v="420"/>
    <m/>
    <n v="420"/>
    <n v="3563916.9500000016"/>
    <s v="Trsf"/>
    <m/>
    <m/>
  </r>
  <r>
    <x v="430"/>
    <x v="4"/>
    <x v="4"/>
    <x v="628"/>
    <s v="C00000034"/>
    <x v="35"/>
    <x v="189"/>
    <n v="1"/>
    <s v="Cash"/>
    <x v="0"/>
    <d v="2023-09-05T00:00:00"/>
    <x v="6"/>
    <x v="5"/>
    <n v="1738"/>
    <n v="-1738"/>
    <n v="0"/>
    <n v="3565654.9500000016"/>
    <s v="Trsf"/>
    <s v="Trsf 25/9/23 RM2,650.00(RM1,738.00)"/>
    <m/>
  </r>
  <r>
    <x v="431"/>
    <x v="4"/>
    <x v="4"/>
    <x v="629"/>
    <s v="C00000014"/>
    <x v="13"/>
    <x v="45"/>
    <n v="2"/>
    <s v="Cash"/>
    <x v="0"/>
    <d v="2023-09-06T00:00:00"/>
    <x v="6"/>
    <x v="5"/>
    <n v="3388"/>
    <n v="-3388"/>
    <n v="0"/>
    <n v="3569042.9500000016"/>
    <s v="Cash"/>
    <s v="Cash 6/9/23 RM6,079.50"/>
    <m/>
  </r>
  <r>
    <x v="431"/>
    <x v="4"/>
    <x v="4"/>
    <x v="629"/>
    <s v="C00000014"/>
    <x v="13"/>
    <x v="157"/>
    <n v="6"/>
    <s v="Cash"/>
    <x v="0"/>
    <d v="2023-09-06T00:00:00"/>
    <x v="6"/>
    <x v="5"/>
    <n v="1404"/>
    <n v="-1404"/>
    <n v="0"/>
    <n v="3570446.9500000016"/>
    <s v="Cash"/>
    <s v="Cash 6/9/23 RM6,079.50"/>
    <m/>
  </r>
  <r>
    <x v="431"/>
    <x v="4"/>
    <x v="4"/>
    <x v="629"/>
    <s v="C00000014"/>
    <x v="13"/>
    <x v="243"/>
    <n v="2"/>
    <s v="Cash"/>
    <x v="0"/>
    <d v="2023-09-06T00:00:00"/>
    <x v="6"/>
    <x v="5"/>
    <n v="645"/>
    <n v="-645"/>
    <n v="0"/>
    <n v="3571091.9500000016"/>
    <s v="Cash"/>
    <s v="Cash 6/9/23 RM6,079.50"/>
    <m/>
  </r>
  <r>
    <x v="431"/>
    <x v="4"/>
    <x v="4"/>
    <x v="629"/>
    <s v="C00000014"/>
    <x v="13"/>
    <x v="294"/>
    <n v="2"/>
    <s v="Cash"/>
    <x v="0"/>
    <d v="2023-09-06T00:00:00"/>
    <x v="6"/>
    <x v="5"/>
    <n v="320"/>
    <n v="-320"/>
    <n v="0"/>
    <n v="3571411.9500000016"/>
    <s v="Cash"/>
    <s v="Cash 6/9/23 RM6,079.50"/>
    <m/>
  </r>
  <r>
    <x v="431"/>
    <x v="4"/>
    <x v="4"/>
    <x v="629"/>
    <s v="C00000014"/>
    <x v="13"/>
    <x v="278"/>
    <n v="1"/>
    <s v="Cash"/>
    <x v="0"/>
    <d v="2023-09-06T00:00:00"/>
    <x v="6"/>
    <x v="5"/>
    <n v="165"/>
    <n v="-165"/>
    <n v="0"/>
    <n v="3571576.9500000016"/>
    <s v="Cash"/>
    <s v="Cash 6/9/23 RM6,079.50"/>
    <m/>
  </r>
  <r>
    <x v="431"/>
    <x v="4"/>
    <x v="4"/>
    <x v="629"/>
    <s v="C00000014"/>
    <x v="13"/>
    <x v="171"/>
    <n v="1"/>
    <s v="Cash"/>
    <x v="0"/>
    <d v="2023-09-06T00:00:00"/>
    <x v="6"/>
    <x v="5"/>
    <n v="95"/>
    <n v="-95"/>
    <n v="0"/>
    <n v="3571671.9500000016"/>
    <s v="Cash"/>
    <s v="Cash 6/9/23 RM6,079.50"/>
    <m/>
  </r>
  <r>
    <x v="431"/>
    <x v="4"/>
    <x v="4"/>
    <x v="630"/>
    <s v="C00000014"/>
    <x v="13"/>
    <x v="132"/>
    <n v="1"/>
    <s v="Cash"/>
    <x v="0"/>
    <d v="2023-09-06T00:00:00"/>
    <x v="6"/>
    <x v="5"/>
    <n v="62.5"/>
    <n v="-62.5"/>
    <n v="0"/>
    <n v="3571734.4500000016"/>
    <s v="Cash"/>
    <s v="Cash 6/9/23 RM6,079.50"/>
    <m/>
  </r>
  <r>
    <x v="432"/>
    <x v="4"/>
    <x v="4"/>
    <x v="631"/>
    <s v="C00000021"/>
    <x v="21"/>
    <x v="118"/>
    <n v="1"/>
    <s v="Cash"/>
    <x v="0"/>
    <d v="2023-09-07T00:00:00"/>
    <x v="6"/>
    <x v="5"/>
    <n v="1738"/>
    <m/>
    <n v="1738"/>
    <n v="3573472.4500000016"/>
    <s v="PD Chq"/>
    <m/>
    <m/>
  </r>
  <r>
    <x v="432"/>
    <x v="4"/>
    <x v="4"/>
    <x v="631"/>
    <s v="C00000021"/>
    <x v="21"/>
    <x v="100"/>
    <n v="2"/>
    <s v="Cash"/>
    <x v="0"/>
    <d v="2023-09-07T00:00:00"/>
    <x v="6"/>
    <x v="5"/>
    <n v="468"/>
    <m/>
    <n v="468"/>
    <n v="3573940.4500000016"/>
    <s v="PD Chq"/>
    <m/>
    <m/>
  </r>
  <r>
    <x v="432"/>
    <x v="4"/>
    <x v="4"/>
    <x v="631"/>
    <s v="C00000021"/>
    <x v="21"/>
    <x v="171"/>
    <n v="1"/>
    <s v="Cash"/>
    <x v="0"/>
    <d v="2023-09-07T00:00:00"/>
    <x v="6"/>
    <x v="5"/>
    <n v="95"/>
    <m/>
    <n v="95"/>
    <n v="3574035.4500000016"/>
    <s v="PD Chq"/>
    <m/>
    <m/>
  </r>
  <r>
    <x v="432"/>
    <x v="4"/>
    <x v="4"/>
    <x v="631"/>
    <s v="C00000021"/>
    <x v="21"/>
    <x v="132"/>
    <n v="5"/>
    <s v="Cash"/>
    <x v="0"/>
    <d v="2023-09-07T00:00:00"/>
    <x v="6"/>
    <x v="5"/>
    <n v="312.5"/>
    <m/>
    <n v="312.5"/>
    <n v="3574347.9500000016"/>
    <s v="PD Chq"/>
    <m/>
    <m/>
  </r>
  <r>
    <x v="433"/>
    <x v="4"/>
    <x v="4"/>
    <x v="632"/>
    <s v="C00000019"/>
    <x v="18"/>
    <x v="7"/>
    <n v="1"/>
    <s v="Cash"/>
    <x v="0"/>
    <d v="2023-09-08T00:00:00"/>
    <x v="6"/>
    <x v="5"/>
    <n v="1738"/>
    <m/>
    <n v="1738"/>
    <n v="3576085.9500000016"/>
    <s v="Trsf"/>
    <m/>
    <m/>
  </r>
  <r>
    <x v="433"/>
    <x v="4"/>
    <x v="4"/>
    <x v="632"/>
    <s v="C00000019"/>
    <x v="18"/>
    <x v="254"/>
    <n v="1"/>
    <s v="Cash"/>
    <x v="0"/>
    <d v="2023-09-08T00:00:00"/>
    <x v="6"/>
    <x v="5"/>
    <n v="522.6"/>
    <m/>
    <n v="522.6"/>
    <n v="3576608.5500000017"/>
    <s v="Trsf"/>
    <m/>
    <m/>
  </r>
  <r>
    <x v="433"/>
    <x v="4"/>
    <x v="4"/>
    <x v="632"/>
    <s v="C00000019"/>
    <x v="18"/>
    <x v="132"/>
    <n v="4"/>
    <s v="Cash"/>
    <x v="0"/>
    <d v="2023-09-08T00:00:00"/>
    <x v="6"/>
    <x v="5"/>
    <n v="250"/>
    <m/>
    <n v="250"/>
    <n v="3576858.5500000017"/>
    <s v="Trsf"/>
    <m/>
    <m/>
  </r>
  <r>
    <x v="433"/>
    <x v="4"/>
    <x v="4"/>
    <x v="632"/>
    <s v="C00000019"/>
    <x v="18"/>
    <x v="4"/>
    <n v="1"/>
    <s v="Cash"/>
    <x v="0"/>
    <d v="2023-09-08T00:00:00"/>
    <x v="6"/>
    <x v="5"/>
    <n v="105"/>
    <m/>
    <n v="105"/>
    <n v="3576963.5500000017"/>
    <s v="Trsf"/>
    <m/>
    <m/>
  </r>
  <r>
    <x v="433"/>
    <x v="4"/>
    <x v="4"/>
    <x v="632"/>
    <s v="C00000019"/>
    <x v="18"/>
    <x v="244"/>
    <n v="1"/>
    <s v="Cash"/>
    <x v="0"/>
    <d v="2023-09-08T00:00:00"/>
    <x v="6"/>
    <x v="5"/>
    <n v="390"/>
    <m/>
    <n v="390"/>
    <n v="3577353.5500000017"/>
    <s v="Trsf"/>
    <m/>
    <m/>
  </r>
  <r>
    <x v="433"/>
    <x v="4"/>
    <x v="4"/>
    <x v="633"/>
    <s v="C00000009"/>
    <x v="8"/>
    <x v="153"/>
    <n v="12"/>
    <n v="60"/>
    <x v="3"/>
    <d v="2023-11-07T00:00:00"/>
    <x v="5"/>
    <x v="5"/>
    <n v="540"/>
    <m/>
    <n v="540"/>
    <n v="3577893.5500000017"/>
    <s v="Chq"/>
    <m/>
    <m/>
  </r>
  <r>
    <x v="434"/>
    <x v="4"/>
    <x v="4"/>
    <x v="634"/>
    <s v="C00000020"/>
    <x v="19"/>
    <x v="132"/>
    <n v="2"/>
    <s v="Cash"/>
    <x v="0"/>
    <d v="2023-09-09T00:00:00"/>
    <x v="6"/>
    <x v="5"/>
    <n v="125"/>
    <m/>
    <n v="125"/>
    <n v="3578018.5500000017"/>
    <s v="Trsf"/>
    <m/>
    <m/>
  </r>
  <r>
    <x v="434"/>
    <x v="4"/>
    <x v="4"/>
    <x v="635"/>
    <s v="C00000020"/>
    <x v="19"/>
    <x v="279"/>
    <n v="2"/>
    <s v="Cash"/>
    <x v="0"/>
    <d v="2023-09-09T00:00:00"/>
    <x v="6"/>
    <x v="5"/>
    <n v="3212"/>
    <m/>
    <n v="3212"/>
    <n v="3581230.5500000017"/>
    <s v="Trsf"/>
    <m/>
    <m/>
  </r>
  <r>
    <x v="434"/>
    <x v="4"/>
    <x v="4"/>
    <x v="635"/>
    <s v="C00000020"/>
    <x v="19"/>
    <x v="148"/>
    <n v="6"/>
    <s v="Cash"/>
    <x v="0"/>
    <d v="2023-09-09T00:00:00"/>
    <x v="6"/>
    <x v="5"/>
    <n v="1134"/>
    <m/>
    <n v="1134"/>
    <n v="3582364.5500000017"/>
    <s v="Trsf"/>
    <m/>
    <m/>
  </r>
  <r>
    <x v="434"/>
    <x v="4"/>
    <x v="4"/>
    <x v="635"/>
    <s v="C00000020"/>
    <x v="19"/>
    <x v="128"/>
    <n v="2"/>
    <s v="Cash"/>
    <x v="0"/>
    <d v="2023-09-09T00:00:00"/>
    <x v="6"/>
    <x v="5"/>
    <n v="400"/>
    <m/>
    <n v="400"/>
    <n v="3582764.5500000017"/>
    <s v="Trsf"/>
    <m/>
    <m/>
  </r>
  <r>
    <x v="434"/>
    <x v="4"/>
    <x v="4"/>
    <x v="635"/>
    <s v="C00000020"/>
    <x v="19"/>
    <x v="159"/>
    <n v="1"/>
    <s v="Cash"/>
    <x v="0"/>
    <d v="2023-09-09T00:00:00"/>
    <x v="6"/>
    <x v="5"/>
    <n v="1000"/>
    <m/>
    <n v="1000"/>
    <n v="3583764.5500000017"/>
    <s v="Trsf"/>
    <m/>
    <m/>
  </r>
  <r>
    <x v="434"/>
    <x v="4"/>
    <x v="4"/>
    <x v="636"/>
    <s v="C00000040"/>
    <x v="41"/>
    <x v="178"/>
    <n v="1"/>
    <s v="Cash"/>
    <x v="0"/>
    <d v="2023-09-09T00:00:00"/>
    <x v="6"/>
    <x v="5"/>
    <n v="48"/>
    <n v="-48"/>
    <n v="0"/>
    <n v="3583812.5500000017"/>
    <s v="Cash"/>
    <s v="Cash 13/9/23 RM48.00"/>
    <m/>
  </r>
  <r>
    <x v="435"/>
    <x v="4"/>
    <x v="4"/>
    <x v="637"/>
    <s v="C00000041"/>
    <x v="42"/>
    <x v="188"/>
    <n v="1"/>
    <s v="Cash"/>
    <x v="0"/>
    <d v="2023-09-11T00:00:00"/>
    <x v="6"/>
    <x v="5"/>
    <n v="1738"/>
    <n v="-1738"/>
    <n v="0"/>
    <n v="3585550.5500000017"/>
    <s v="Trsf"/>
    <s v="Trsf 11/9/23 RM2,126.00"/>
    <m/>
  </r>
  <r>
    <x v="435"/>
    <x v="4"/>
    <x v="4"/>
    <x v="637"/>
    <s v="C00000041"/>
    <x v="42"/>
    <x v="295"/>
    <n v="1"/>
    <s v="Cash"/>
    <x v="0"/>
    <d v="2023-09-11T00:00:00"/>
    <x v="6"/>
    <x v="5"/>
    <n v="48"/>
    <n v="-48"/>
    <n v="0"/>
    <n v="3585598.5500000017"/>
    <s v="Trsf"/>
    <s v="Trsf 11/9/23 RM2,126.00"/>
    <m/>
  </r>
  <r>
    <x v="435"/>
    <x v="4"/>
    <x v="4"/>
    <x v="637"/>
    <s v="C00000041"/>
    <x v="42"/>
    <x v="138"/>
    <n v="2"/>
    <s v="Cash"/>
    <x v="0"/>
    <d v="2023-09-11T00:00:00"/>
    <x v="6"/>
    <x v="5"/>
    <n v="340"/>
    <n v="-340"/>
    <n v="0"/>
    <n v="3585938.5500000017"/>
    <s v="Trsf"/>
    <s v="Trsf 11/9/23 RM2,126.00"/>
    <m/>
  </r>
  <r>
    <x v="436"/>
    <x v="4"/>
    <x v="4"/>
    <x v="638"/>
    <s v="C00000034"/>
    <x v="35"/>
    <x v="189"/>
    <n v="1"/>
    <s v="Cash"/>
    <x v="0"/>
    <d v="2023-09-12T00:00:00"/>
    <x v="6"/>
    <x v="5"/>
    <n v="1738"/>
    <n v="-6.7"/>
    <n v="1731.3"/>
    <n v="3587676.5500000017"/>
    <s v="Trsf"/>
    <s v="Trsf 25/9/23 RM2,650.00(RM6.70)"/>
    <m/>
  </r>
  <r>
    <x v="436"/>
    <x v="4"/>
    <x v="4"/>
    <x v="638"/>
    <s v="C00000034"/>
    <x v="35"/>
    <x v="220"/>
    <n v="1"/>
    <s v="Cash"/>
    <x v="0"/>
    <d v="2023-09-12T00:00:00"/>
    <x v="6"/>
    <x v="5"/>
    <n v="219"/>
    <m/>
    <n v="219"/>
    <n v="3587895.5500000017"/>
    <s v="Trsf"/>
    <m/>
    <m/>
  </r>
  <r>
    <x v="436"/>
    <x v="4"/>
    <x v="4"/>
    <x v="638"/>
    <s v="C00000034"/>
    <x v="35"/>
    <x v="247"/>
    <n v="2"/>
    <s v="Cash"/>
    <x v="0"/>
    <d v="2023-09-12T00:00:00"/>
    <x v="6"/>
    <x v="5"/>
    <n v="438"/>
    <m/>
    <n v="438"/>
    <n v="3588333.5500000017"/>
    <s v="Trsf"/>
    <m/>
    <m/>
  </r>
  <r>
    <x v="436"/>
    <x v="4"/>
    <x v="4"/>
    <x v="638"/>
    <s v="C00000034"/>
    <x v="35"/>
    <x v="291"/>
    <n v="1"/>
    <s v="Cash"/>
    <x v="0"/>
    <d v="2023-09-12T00:00:00"/>
    <x v="6"/>
    <x v="5"/>
    <n v="236"/>
    <m/>
    <n v="236"/>
    <n v="3588569.5500000017"/>
    <s v="Trsf"/>
    <m/>
    <m/>
  </r>
  <r>
    <x v="436"/>
    <x v="4"/>
    <x v="4"/>
    <x v="638"/>
    <s v="C00000034"/>
    <x v="35"/>
    <x v="171"/>
    <n v="2"/>
    <s v="Cash"/>
    <x v="0"/>
    <d v="2023-09-12T00:00:00"/>
    <x v="6"/>
    <x v="5"/>
    <n v="190"/>
    <m/>
    <n v="190"/>
    <n v="3588759.5500000017"/>
    <s v="Trsf"/>
    <m/>
    <m/>
  </r>
  <r>
    <x v="436"/>
    <x v="4"/>
    <x v="4"/>
    <x v="638"/>
    <s v="C00000034"/>
    <x v="35"/>
    <x v="132"/>
    <n v="2"/>
    <s v="Cash"/>
    <x v="0"/>
    <d v="2023-09-12T00:00:00"/>
    <x v="6"/>
    <x v="5"/>
    <n v="125"/>
    <m/>
    <n v="125"/>
    <n v="3588884.5500000017"/>
    <s v="Trsf"/>
    <m/>
    <m/>
  </r>
  <r>
    <x v="436"/>
    <x v="4"/>
    <x v="4"/>
    <x v="638"/>
    <s v="C00000034"/>
    <x v="35"/>
    <x v="197"/>
    <n v="6"/>
    <s v="Cash"/>
    <x v="0"/>
    <d v="2023-09-12T00:00:00"/>
    <x v="6"/>
    <x v="5"/>
    <n v="834"/>
    <m/>
    <n v="834"/>
    <n v="3589718.5500000017"/>
    <s v="Trsf"/>
    <m/>
    <m/>
  </r>
  <r>
    <x v="435"/>
    <x v="4"/>
    <x v="4"/>
    <x v="639"/>
    <s v="C00000003"/>
    <x v="2"/>
    <x v="15"/>
    <n v="1"/>
    <n v="45"/>
    <x v="1"/>
    <d v="2023-10-26T00:00:00"/>
    <x v="3"/>
    <x v="5"/>
    <n v="1870"/>
    <n v="-1870"/>
    <n v="0"/>
    <n v="3591588.5500000017"/>
    <s v="PD Chq"/>
    <s v="RHB 000743 20/10/23 Cleared RM1,300.00(RM670.00), RHB 000744 31/10/23 Cleared RM1,420.00(RM1,200.00)"/>
    <m/>
  </r>
  <r>
    <x v="435"/>
    <x v="4"/>
    <x v="4"/>
    <x v="639"/>
    <s v="C00000003"/>
    <x v="2"/>
    <x v="4"/>
    <n v="2"/>
    <n v="45"/>
    <x v="1"/>
    <d v="2023-10-26T00:00:00"/>
    <x v="3"/>
    <x v="5"/>
    <n v="220"/>
    <n v="-220"/>
    <n v="0"/>
    <n v="3591808.5500000017"/>
    <s v="PD Chq"/>
    <s v="RHB 000744 31/10/23 Cleared RM1,420.00(RM220.00)"/>
    <m/>
  </r>
  <r>
    <x v="437"/>
    <x v="4"/>
    <x v="4"/>
    <x v="640"/>
    <s v="C00000014"/>
    <x v="13"/>
    <x v="45"/>
    <n v="3"/>
    <s v="Cash"/>
    <x v="0"/>
    <d v="2023-09-14T00:00:00"/>
    <x v="6"/>
    <x v="5"/>
    <n v="5082"/>
    <n v="-5082"/>
    <n v="0"/>
    <n v="3596890.5500000017"/>
    <s v="Cash"/>
    <s v="Cash 15/9/23 RM8,087.00"/>
    <m/>
  </r>
  <r>
    <x v="437"/>
    <x v="4"/>
    <x v="4"/>
    <x v="640"/>
    <s v="C00000014"/>
    <x v="13"/>
    <x v="157"/>
    <n v="5"/>
    <s v="Cash"/>
    <x v="0"/>
    <d v="2023-09-14T00:00:00"/>
    <x v="6"/>
    <x v="5"/>
    <n v="1170"/>
    <n v="-1170"/>
    <n v="0"/>
    <n v="3598060.5500000017"/>
    <s v="Cash"/>
    <s v="Cash 15/9/23 RM8,087.00"/>
    <m/>
  </r>
  <r>
    <x v="437"/>
    <x v="4"/>
    <x v="4"/>
    <x v="640"/>
    <s v="C00000014"/>
    <x v="13"/>
    <x v="243"/>
    <n v="2"/>
    <s v="Cash"/>
    <x v="0"/>
    <d v="2023-09-14T00:00:00"/>
    <x v="6"/>
    <x v="5"/>
    <n v="645"/>
    <n v="-645"/>
    <n v="0"/>
    <n v="3598705.5500000017"/>
    <s v="Cash"/>
    <s v="Cash 15/9/23 RM8,087.00"/>
    <m/>
  </r>
  <r>
    <x v="437"/>
    <x v="4"/>
    <x v="4"/>
    <x v="640"/>
    <s v="C00000014"/>
    <x v="13"/>
    <x v="294"/>
    <n v="4"/>
    <s v="Cash"/>
    <x v="0"/>
    <d v="2023-09-14T00:00:00"/>
    <x v="6"/>
    <x v="5"/>
    <n v="640"/>
    <n v="-640"/>
    <n v="0"/>
    <n v="3599345.5500000017"/>
    <s v="Cash"/>
    <s v="Cash 15/9/23 RM8,087.00"/>
    <m/>
  </r>
  <r>
    <x v="437"/>
    <x v="4"/>
    <x v="4"/>
    <x v="640"/>
    <s v="C00000014"/>
    <x v="13"/>
    <x v="278"/>
    <n v="2"/>
    <s v="Cash"/>
    <x v="0"/>
    <d v="2023-09-14T00:00:00"/>
    <x v="6"/>
    <x v="5"/>
    <n v="330"/>
    <n v="-330"/>
    <n v="0"/>
    <n v="3599675.5500000017"/>
    <s v="Cash"/>
    <s v="Cash 15/9/23 RM8,087.00"/>
    <m/>
  </r>
  <r>
    <x v="437"/>
    <x v="4"/>
    <x v="4"/>
    <x v="640"/>
    <s v="C00000014"/>
    <x v="13"/>
    <x v="171"/>
    <n v="1"/>
    <s v="Cash"/>
    <x v="0"/>
    <d v="2023-09-14T00:00:00"/>
    <x v="6"/>
    <x v="5"/>
    <n v="95"/>
    <n v="-95"/>
    <n v="0"/>
    <n v="3599770.5500000017"/>
    <s v="Cash"/>
    <s v="Cash 15/9/23 RM8,087.00"/>
    <m/>
  </r>
  <r>
    <x v="437"/>
    <x v="4"/>
    <x v="4"/>
    <x v="640"/>
    <s v="C00000014"/>
    <x v="13"/>
    <x v="132"/>
    <n v="2"/>
    <s v="Cash"/>
    <x v="0"/>
    <d v="2023-09-14T00:00:00"/>
    <x v="6"/>
    <x v="5"/>
    <n v="125"/>
    <n v="-125"/>
    <n v="0"/>
    <n v="3599895.5500000017"/>
    <s v="Cash"/>
    <s v="Cash 15/9/23 RM8,087.00"/>
    <m/>
  </r>
  <r>
    <x v="438"/>
    <x v="4"/>
    <x v="4"/>
    <x v="641"/>
    <s v="C00000020"/>
    <x v="19"/>
    <x v="132"/>
    <n v="2"/>
    <s v="Cash"/>
    <x v="0"/>
    <d v="2023-09-13T00:00:00"/>
    <x v="6"/>
    <x v="5"/>
    <n v="125"/>
    <m/>
    <n v="125"/>
    <n v="3600020.5500000017"/>
    <s v="Trsf"/>
    <m/>
    <m/>
  </r>
  <r>
    <x v="438"/>
    <x v="4"/>
    <x v="4"/>
    <x v="642"/>
    <s v="C00000020"/>
    <x v="19"/>
    <x v="279"/>
    <n v="2"/>
    <s v="Cash"/>
    <x v="0"/>
    <d v="2023-09-13T00:00:00"/>
    <x v="6"/>
    <x v="5"/>
    <n v="3212"/>
    <m/>
    <n v="3212"/>
    <n v="3603232.5500000017"/>
    <s v="Trsf"/>
    <m/>
    <m/>
  </r>
  <r>
    <x v="438"/>
    <x v="4"/>
    <x v="4"/>
    <x v="642"/>
    <s v="C00000020"/>
    <x v="19"/>
    <x v="148"/>
    <n v="6"/>
    <s v="Cash"/>
    <x v="0"/>
    <d v="2023-09-13T00:00:00"/>
    <x v="6"/>
    <x v="5"/>
    <n v="1134"/>
    <m/>
    <n v="1134"/>
    <n v="3604366.5500000017"/>
    <s v="Trsf"/>
    <m/>
    <m/>
  </r>
  <r>
    <x v="438"/>
    <x v="4"/>
    <x v="4"/>
    <x v="642"/>
    <s v="C00000020"/>
    <x v="19"/>
    <x v="128"/>
    <n v="3"/>
    <s v="Cash"/>
    <x v="0"/>
    <d v="2023-09-13T00:00:00"/>
    <x v="6"/>
    <x v="5"/>
    <n v="600"/>
    <m/>
    <n v="600"/>
    <n v="3604966.5500000017"/>
    <s v="Trsf"/>
    <m/>
    <m/>
  </r>
  <r>
    <x v="438"/>
    <x v="4"/>
    <x v="4"/>
    <x v="642"/>
    <s v="C00000020"/>
    <x v="19"/>
    <x v="171"/>
    <n v="4"/>
    <s v="Cash"/>
    <x v="0"/>
    <d v="2023-09-13T00:00:00"/>
    <x v="6"/>
    <x v="5"/>
    <n v="380"/>
    <m/>
    <n v="380"/>
    <n v="3605346.5500000017"/>
    <s v="Trsf"/>
    <m/>
    <m/>
  </r>
  <r>
    <x v="438"/>
    <x v="4"/>
    <x v="4"/>
    <x v="643"/>
    <s v="C00000019"/>
    <x v="18"/>
    <x v="243"/>
    <n v="1"/>
    <s v="Cash"/>
    <x v="0"/>
    <d v="2023-09-13T00:00:00"/>
    <x v="6"/>
    <x v="5"/>
    <n v="322.5"/>
    <m/>
    <n v="322.5"/>
    <n v="3605669.0500000017"/>
    <s v="Trsf"/>
    <m/>
    <m/>
  </r>
  <r>
    <x v="439"/>
    <x v="4"/>
    <x v="4"/>
    <x v="644"/>
    <s v="C00000020"/>
    <x v="19"/>
    <x v="132"/>
    <n v="2"/>
    <s v="Cash"/>
    <x v="0"/>
    <d v="2023-09-15T00:00:00"/>
    <x v="6"/>
    <x v="5"/>
    <n v="125"/>
    <m/>
    <n v="125"/>
    <n v="3605794.0500000017"/>
    <s v="Trsf"/>
    <m/>
    <m/>
  </r>
  <r>
    <x v="439"/>
    <x v="4"/>
    <x v="4"/>
    <x v="645"/>
    <s v="C00000020"/>
    <x v="19"/>
    <x v="279"/>
    <n v="2"/>
    <s v="Cash"/>
    <x v="0"/>
    <d v="2023-09-15T00:00:00"/>
    <x v="6"/>
    <x v="5"/>
    <n v="3212"/>
    <m/>
    <n v="3212"/>
    <n v="3609006.0500000017"/>
    <s v="Trsf"/>
    <m/>
    <m/>
  </r>
  <r>
    <x v="439"/>
    <x v="4"/>
    <x v="4"/>
    <x v="645"/>
    <s v="C00000020"/>
    <x v="19"/>
    <x v="148"/>
    <n v="10"/>
    <s v="Cash"/>
    <x v="0"/>
    <d v="2023-09-15T00:00:00"/>
    <x v="6"/>
    <x v="5"/>
    <n v="1890"/>
    <m/>
    <n v="1890"/>
    <n v="3610896.0500000017"/>
    <s v="Trsf"/>
    <m/>
    <m/>
  </r>
  <r>
    <x v="439"/>
    <x v="4"/>
    <x v="4"/>
    <x v="645"/>
    <s v="C00000020"/>
    <x v="19"/>
    <x v="128"/>
    <n v="2"/>
    <s v="Cash"/>
    <x v="0"/>
    <d v="2023-09-15T00:00:00"/>
    <x v="6"/>
    <x v="5"/>
    <n v="400"/>
    <m/>
    <n v="400"/>
    <n v="3611296.0500000017"/>
    <s v="Trsf"/>
    <m/>
    <m/>
  </r>
  <r>
    <x v="440"/>
    <x v="4"/>
    <x v="4"/>
    <x v="646"/>
    <s v="C00000022"/>
    <x v="23"/>
    <x v="7"/>
    <n v="1"/>
    <s v="Cash"/>
    <x v="0"/>
    <d v="2023-09-18T00:00:00"/>
    <x v="6"/>
    <x v="5"/>
    <n v="1738"/>
    <m/>
    <n v="1738"/>
    <n v="3613034.0500000017"/>
    <s v="Trsf"/>
    <m/>
    <m/>
  </r>
  <r>
    <x v="440"/>
    <x v="4"/>
    <x v="4"/>
    <x v="646"/>
    <s v="C00000022"/>
    <x v="23"/>
    <x v="296"/>
    <n v="1"/>
    <s v="Cash"/>
    <x v="0"/>
    <d v="2023-09-18T00:00:00"/>
    <x v="6"/>
    <x v="5"/>
    <n v="3600"/>
    <m/>
    <n v="3600"/>
    <n v="3616634.0500000017"/>
    <s v="Trsf"/>
    <m/>
    <m/>
  </r>
  <r>
    <x v="440"/>
    <x v="4"/>
    <x v="4"/>
    <x v="646"/>
    <s v="C00000022"/>
    <x v="23"/>
    <x v="148"/>
    <n v="3"/>
    <s v="Cash"/>
    <x v="0"/>
    <d v="2023-09-18T00:00:00"/>
    <x v="6"/>
    <x v="5"/>
    <n v="702"/>
    <m/>
    <n v="702"/>
    <n v="3617336.0500000017"/>
    <s v="Trsf"/>
    <m/>
    <m/>
  </r>
  <r>
    <x v="440"/>
    <x v="4"/>
    <x v="4"/>
    <x v="646"/>
    <s v="C00000022"/>
    <x v="23"/>
    <x v="190"/>
    <n v="1"/>
    <s v="Cash"/>
    <x v="0"/>
    <d v="2023-09-18T00:00:00"/>
    <x v="6"/>
    <x v="5"/>
    <n v="234"/>
    <m/>
    <n v="234"/>
    <n v="3617570.0500000017"/>
    <s v="Trsf"/>
    <m/>
    <m/>
  </r>
  <r>
    <x v="440"/>
    <x v="4"/>
    <x v="4"/>
    <x v="646"/>
    <s v="C00000022"/>
    <x v="23"/>
    <x v="297"/>
    <n v="1"/>
    <s v="Cash"/>
    <x v="0"/>
    <d v="2023-09-18T00:00:00"/>
    <x v="6"/>
    <x v="5"/>
    <n v="250"/>
    <m/>
    <n v="250"/>
    <n v="3617820.0500000017"/>
    <s v="Trsf"/>
    <m/>
    <m/>
  </r>
  <r>
    <x v="440"/>
    <x v="4"/>
    <x v="4"/>
    <x v="646"/>
    <s v="C00000022"/>
    <x v="23"/>
    <x v="298"/>
    <n v="1"/>
    <s v="Cash"/>
    <x v="0"/>
    <d v="2023-09-18T00:00:00"/>
    <x v="6"/>
    <x v="5"/>
    <n v="175"/>
    <m/>
    <n v="175"/>
    <n v="3617995.0500000017"/>
    <s v="Trsf"/>
    <m/>
    <m/>
  </r>
  <r>
    <x v="441"/>
    <x v="4"/>
    <x v="4"/>
    <x v="647"/>
    <s v="C00000013"/>
    <x v="12"/>
    <x v="285"/>
    <n v="2"/>
    <s v="Cash"/>
    <x v="0"/>
    <d v="2023-09-19T00:00:00"/>
    <x v="6"/>
    <x v="5"/>
    <n v="560"/>
    <n v="-560"/>
    <n v="0"/>
    <n v="3618555.0500000017"/>
    <s v="Chq"/>
    <s v="Cheque MBB 852073, cleared 21/9/23 RM560.00"/>
    <m/>
  </r>
  <r>
    <x v="442"/>
    <x v="4"/>
    <x v="4"/>
    <x v="648"/>
    <s v="C00000020"/>
    <x v="19"/>
    <x v="132"/>
    <n v="2"/>
    <s v="Cash"/>
    <x v="0"/>
    <d v="2023-09-20T00:00:00"/>
    <x v="6"/>
    <x v="5"/>
    <n v="125"/>
    <m/>
    <n v="125"/>
    <n v="3618680.0500000017"/>
    <s v="Trsf"/>
    <m/>
    <m/>
  </r>
  <r>
    <x v="442"/>
    <x v="4"/>
    <x v="4"/>
    <x v="649"/>
    <s v="C00000020"/>
    <x v="19"/>
    <x v="279"/>
    <n v="2"/>
    <s v="Cash"/>
    <x v="0"/>
    <d v="2023-09-20T00:00:00"/>
    <x v="6"/>
    <x v="5"/>
    <n v="3212"/>
    <m/>
    <n v="3212"/>
    <n v="3621892.0500000017"/>
    <s v="Trsf"/>
    <m/>
    <m/>
  </r>
  <r>
    <x v="442"/>
    <x v="4"/>
    <x v="4"/>
    <x v="649"/>
    <s v="C00000020"/>
    <x v="19"/>
    <x v="148"/>
    <n v="6"/>
    <s v="Cash"/>
    <x v="0"/>
    <d v="2023-09-20T00:00:00"/>
    <x v="6"/>
    <x v="5"/>
    <n v="1134"/>
    <m/>
    <n v="1134"/>
    <n v="3623026.0500000017"/>
    <s v="Trsf"/>
    <m/>
    <m/>
  </r>
  <r>
    <x v="442"/>
    <x v="4"/>
    <x v="4"/>
    <x v="649"/>
    <s v="C00000020"/>
    <x v="19"/>
    <x v="128"/>
    <n v="3"/>
    <s v="Cash"/>
    <x v="0"/>
    <d v="2023-09-20T00:00:00"/>
    <x v="6"/>
    <x v="5"/>
    <n v="600"/>
    <m/>
    <n v="600"/>
    <n v="3623626.0500000017"/>
    <s v="Trsf"/>
    <m/>
    <m/>
  </r>
  <r>
    <x v="442"/>
    <x v="4"/>
    <x v="4"/>
    <x v="649"/>
    <s v="C00000020"/>
    <x v="19"/>
    <x v="159"/>
    <n v="1"/>
    <s v="Cash"/>
    <x v="0"/>
    <d v="2023-09-20T00:00:00"/>
    <x v="6"/>
    <x v="5"/>
    <n v="1000"/>
    <m/>
    <n v="1000"/>
    <n v="3624626.0500000017"/>
    <s v="Trsf"/>
    <m/>
    <m/>
  </r>
  <r>
    <x v="442"/>
    <x v="4"/>
    <x v="4"/>
    <x v="649"/>
    <s v="C00000020"/>
    <x v="19"/>
    <x v="171"/>
    <n v="4"/>
    <s v="Cash"/>
    <x v="0"/>
    <d v="2023-09-20T00:00:00"/>
    <x v="6"/>
    <x v="5"/>
    <n v="380"/>
    <m/>
    <n v="380"/>
    <n v="3625006.0500000017"/>
    <s v="Trsf"/>
    <m/>
    <m/>
  </r>
  <r>
    <x v="443"/>
    <x v="4"/>
    <x v="4"/>
    <x v="650"/>
    <s v="C00000037"/>
    <x v="38"/>
    <x v="188"/>
    <n v="6"/>
    <n v="30"/>
    <x v="5"/>
    <d v="2023-10-22T00:00:00"/>
    <x v="3"/>
    <x v="5"/>
    <n v="10428"/>
    <n v="-10428"/>
    <n v="0"/>
    <n v="3635434.0500000017"/>
    <s v="Chq"/>
    <s v="MBB 015277 cleared 27/10/23 RM15,616.90(RM10,428.00)"/>
    <m/>
  </r>
  <r>
    <x v="443"/>
    <x v="4"/>
    <x v="4"/>
    <x v="650"/>
    <s v="C00000037"/>
    <x v="38"/>
    <x v="299"/>
    <n v="7"/>
    <n v="30"/>
    <x v="5"/>
    <d v="2023-10-22T00:00:00"/>
    <x v="3"/>
    <x v="5"/>
    <n v="2948.4"/>
    <n v="-2948.4"/>
    <n v="0"/>
    <n v="3638382.4500000016"/>
    <s v="Chq"/>
    <s v="MBB 015277 cleared 27/10/23 RM15,616.90(RM2,948.40)"/>
    <m/>
  </r>
  <r>
    <x v="443"/>
    <x v="4"/>
    <x v="4"/>
    <x v="650"/>
    <s v="C00000037"/>
    <x v="38"/>
    <x v="224"/>
    <n v="6"/>
    <n v="30"/>
    <x v="5"/>
    <d v="2023-10-22T00:00:00"/>
    <x v="3"/>
    <x v="5"/>
    <n v="288"/>
    <n v="-288"/>
    <n v="0"/>
    <n v="3638670.4500000016"/>
    <s v="Chq"/>
    <s v="MBB 015277 cleared 27/10/23 RM15,616.90(RM288.00)"/>
    <m/>
  </r>
  <r>
    <x v="443"/>
    <x v="4"/>
    <x v="4"/>
    <x v="650"/>
    <s v="C00000037"/>
    <x v="38"/>
    <x v="132"/>
    <n v="5"/>
    <n v="30"/>
    <x v="5"/>
    <d v="2023-10-22T00:00:00"/>
    <x v="3"/>
    <x v="5"/>
    <n v="312.5"/>
    <n v="-312.5"/>
    <n v="0"/>
    <n v="3638982.9500000016"/>
    <s v="Chq"/>
    <s v="MBB 015277 cleared 27/10/23 RM15,616.90(RM312.50)"/>
    <m/>
  </r>
  <r>
    <x v="443"/>
    <x v="4"/>
    <x v="4"/>
    <x v="650"/>
    <s v="C00000037"/>
    <x v="38"/>
    <x v="5"/>
    <n v="2"/>
    <n v="30"/>
    <x v="5"/>
    <d v="2023-10-22T00:00:00"/>
    <x v="3"/>
    <x v="5"/>
    <n v="520"/>
    <n v="-520"/>
    <n v="0"/>
    <n v="3639502.9500000016"/>
    <s v="Chq"/>
    <s v="MBB 015277 cleared 27/10/23 RM15,616.90(RM520.00)"/>
    <m/>
  </r>
  <r>
    <x v="443"/>
    <x v="4"/>
    <x v="4"/>
    <x v="650"/>
    <s v="C00000037"/>
    <x v="38"/>
    <x v="249"/>
    <n v="1"/>
    <n v="30"/>
    <x v="5"/>
    <d v="2023-10-22T00:00:00"/>
    <x v="3"/>
    <x v="5"/>
    <n v="930"/>
    <n v="-930"/>
    <n v="0"/>
    <n v="3640432.9500000016"/>
    <s v="Chq"/>
    <s v="MBB 015277 cleared 27/10/23 RM15,616.90(RM930.00)"/>
    <m/>
  </r>
  <r>
    <x v="443"/>
    <x v="4"/>
    <x v="4"/>
    <x v="650"/>
    <s v="C00000037"/>
    <x v="38"/>
    <x v="171"/>
    <n v="2"/>
    <n v="30"/>
    <x v="5"/>
    <d v="2023-10-22T00:00:00"/>
    <x v="3"/>
    <x v="5"/>
    <n v="190"/>
    <n v="-190"/>
    <n v="0"/>
    <n v="3640622.9500000016"/>
    <s v="Chq"/>
    <s v="MBB 015277 cleared 27/10/23 RM15,616.90(RM190.00)"/>
    <m/>
  </r>
  <r>
    <x v="444"/>
    <x v="4"/>
    <x v="4"/>
    <x v="651"/>
    <s v="C00000014"/>
    <x v="13"/>
    <x v="45"/>
    <n v="2"/>
    <s v="Cash"/>
    <x v="0"/>
    <d v="2023-09-22T00:00:00"/>
    <x v="6"/>
    <x v="5"/>
    <n v="3388"/>
    <n v="-3388"/>
    <n v="0"/>
    <n v="3644010.9500000016"/>
    <s v="Cash"/>
    <s v="Cash 25/9/23 RM5,264.00"/>
    <m/>
  </r>
  <r>
    <x v="444"/>
    <x v="4"/>
    <x v="4"/>
    <x v="651"/>
    <s v="C00000014"/>
    <x v="13"/>
    <x v="157"/>
    <n v="4"/>
    <s v="Cash"/>
    <x v="0"/>
    <d v="2023-09-22T00:00:00"/>
    <x v="6"/>
    <x v="5"/>
    <n v="936"/>
    <n v="-936"/>
    <n v="0"/>
    <n v="3644946.9500000016"/>
    <s v="Cash"/>
    <s v="Cash 25/9/23 RM5,264.00"/>
    <m/>
  </r>
  <r>
    <x v="444"/>
    <x v="4"/>
    <x v="4"/>
    <x v="651"/>
    <s v="C00000014"/>
    <x v="13"/>
    <x v="243"/>
    <n v="1"/>
    <s v="Cash"/>
    <x v="0"/>
    <d v="2023-09-22T00:00:00"/>
    <x v="6"/>
    <x v="5"/>
    <n v="322.5"/>
    <n v="-322.5"/>
    <n v="0"/>
    <n v="3645269.4500000016"/>
    <s v="Cash"/>
    <s v="Cash 25/9/23 RM5,264.00"/>
    <m/>
  </r>
  <r>
    <x v="444"/>
    <x v="4"/>
    <x v="4"/>
    <x v="651"/>
    <s v="C00000014"/>
    <x v="13"/>
    <x v="294"/>
    <n v="1"/>
    <s v="Cash"/>
    <x v="0"/>
    <d v="2023-09-22T00:00:00"/>
    <x v="6"/>
    <x v="5"/>
    <n v="160"/>
    <n v="-160"/>
    <n v="0"/>
    <n v="3645429.4500000016"/>
    <s v="Cash"/>
    <s v="Cash 25/9/23 RM5,264.00"/>
    <m/>
  </r>
  <r>
    <x v="444"/>
    <x v="4"/>
    <x v="4"/>
    <x v="651"/>
    <s v="C00000014"/>
    <x v="13"/>
    <x v="278"/>
    <n v="1"/>
    <s v="Cash"/>
    <x v="0"/>
    <d v="2023-09-22T00:00:00"/>
    <x v="6"/>
    <x v="5"/>
    <n v="165"/>
    <n v="-165"/>
    <n v="0"/>
    <n v="3645594.4500000016"/>
    <s v="Cash"/>
    <s v="Cash 25/9/23 RM5,264.00"/>
    <m/>
  </r>
  <r>
    <x v="444"/>
    <x v="4"/>
    <x v="4"/>
    <x v="651"/>
    <s v="C00000014"/>
    <x v="13"/>
    <x v="4"/>
    <n v="1"/>
    <s v="Cash"/>
    <x v="0"/>
    <d v="2023-09-22T00:00:00"/>
    <x v="6"/>
    <x v="5"/>
    <n v="105"/>
    <n v="-105"/>
    <n v="0"/>
    <n v="3645699.4500000016"/>
    <s v="Cash"/>
    <s v="Cash 25/9/23 RM5,264.00"/>
    <m/>
  </r>
  <r>
    <x v="444"/>
    <x v="4"/>
    <x v="4"/>
    <x v="651"/>
    <s v="C00000014"/>
    <x v="13"/>
    <x v="132"/>
    <n v="3"/>
    <s v="Cash"/>
    <x v="0"/>
    <d v="2023-09-22T00:00:00"/>
    <x v="6"/>
    <x v="5"/>
    <n v="187.5"/>
    <n v="-187.5"/>
    <n v="0"/>
    <n v="3645886.9500000016"/>
    <s v="Cash"/>
    <s v="Cash 25/9/23 RM5,264.00"/>
    <m/>
  </r>
  <r>
    <x v="445"/>
    <x v="4"/>
    <x v="4"/>
    <x v="652"/>
    <s v="C00000019"/>
    <x v="18"/>
    <x v="7"/>
    <n v="1"/>
    <s v="Cash"/>
    <x v="0"/>
    <d v="2023-09-23T00:00:00"/>
    <x v="6"/>
    <x v="5"/>
    <n v="1738"/>
    <m/>
    <n v="1738"/>
    <n v="3647624.9500000016"/>
    <s v="Trsf"/>
    <m/>
    <m/>
  </r>
  <r>
    <x v="445"/>
    <x v="4"/>
    <x v="4"/>
    <x v="652"/>
    <s v="C00000019"/>
    <x v="18"/>
    <x v="244"/>
    <n v="1"/>
    <s v="Cash"/>
    <x v="0"/>
    <d v="2023-09-23T00:00:00"/>
    <x v="6"/>
    <x v="5"/>
    <n v="390"/>
    <m/>
    <n v="390"/>
    <n v="3648014.9500000016"/>
    <s v="Trsf"/>
    <m/>
    <m/>
  </r>
  <r>
    <x v="446"/>
    <x v="4"/>
    <x v="4"/>
    <x v="653"/>
    <s v="C00000034"/>
    <x v="35"/>
    <x v="300"/>
    <n v="1"/>
    <s v="Cash"/>
    <x v="0"/>
    <d v="2023-09-26T00:00:00"/>
    <x v="6"/>
    <x v="5"/>
    <n v="390"/>
    <m/>
    <n v="390"/>
    <n v="3648404.9500000016"/>
    <s v="Trsf"/>
    <m/>
    <m/>
  </r>
  <r>
    <x v="446"/>
    <x v="4"/>
    <x v="4"/>
    <x v="653"/>
    <s v="C00000034"/>
    <x v="35"/>
    <x v="247"/>
    <n v="1"/>
    <s v="Cash"/>
    <x v="0"/>
    <d v="2023-09-26T00:00:00"/>
    <x v="6"/>
    <x v="5"/>
    <n v="219"/>
    <m/>
    <n v="219"/>
    <n v="3648623.9500000016"/>
    <s v="Trsf"/>
    <m/>
    <m/>
  </r>
  <r>
    <x v="446"/>
    <x v="4"/>
    <x v="4"/>
    <x v="653"/>
    <s v="C00000034"/>
    <x v="35"/>
    <x v="301"/>
    <n v="2"/>
    <s v="Cash"/>
    <x v="0"/>
    <d v="2023-09-26T00:00:00"/>
    <x v="6"/>
    <x v="5"/>
    <n v="531"/>
    <m/>
    <n v="531"/>
    <n v="3649154.9500000016"/>
    <s v="Trsf"/>
    <m/>
    <m/>
  </r>
  <r>
    <x v="446"/>
    <x v="4"/>
    <x v="4"/>
    <x v="653"/>
    <s v="C00000034"/>
    <x v="35"/>
    <x v="171"/>
    <n v="1"/>
    <s v="Cash"/>
    <x v="0"/>
    <d v="2023-09-26T00:00:00"/>
    <x v="6"/>
    <x v="5"/>
    <n v="95"/>
    <m/>
    <n v="95"/>
    <n v="3649249.9500000016"/>
    <s v="Trsf"/>
    <m/>
    <m/>
  </r>
  <r>
    <x v="446"/>
    <x v="4"/>
    <x v="4"/>
    <x v="654"/>
    <s v="C00000019"/>
    <x v="18"/>
    <x v="131"/>
    <n v="1"/>
    <s v="Cash"/>
    <x v="0"/>
    <d v="2023-09-26T00:00:00"/>
    <x v="6"/>
    <x v="5"/>
    <n v="420"/>
    <m/>
    <n v="420"/>
    <n v="3649669.9500000016"/>
    <s v="Trsf"/>
    <m/>
    <m/>
  </r>
  <r>
    <x v="446"/>
    <x v="4"/>
    <x v="4"/>
    <x v="654"/>
    <s v="C00000019"/>
    <x v="18"/>
    <x v="226"/>
    <n v="1"/>
    <s v="Cash"/>
    <x v="0"/>
    <d v="2023-09-26T00:00:00"/>
    <x v="6"/>
    <x v="5"/>
    <n v="421.2"/>
    <m/>
    <n v="421.2"/>
    <n v="3650091.1500000018"/>
    <s v="Trsf"/>
    <m/>
    <m/>
  </r>
  <r>
    <x v="446"/>
    <x v="4"/>
    <x v="4"/>
    <x v="654"/>
    <s v="C00000019"/>
    <x v="18"/>
    <x v="132"/>
    <n v="4"/>
    <s v="Cash"/>
    <x v="0"/>
    <d v="2023-09-26T00:00:00"/>
    <x v="6"/>
    <x v="5"/>
    <n v="250"/>
    <m/>
    <n v="250"/>
    <n v="3650341.1500000018"/>
    <s v="Trsf"/>
    <m/>
    <m/>
  </r>
  <r>
    <x v="446"/>
    <x v="4"/>
    <x v="4"/>
    <x v="654"/>
    <s v="C00000019"/>
    <x v="18"/>
    <x v="4"/>
    <n v="1"/>
    <s v="Cash"/>
    <x v="0"/>
    <d v="2023-09-26T00:00:00"/>
    <x v="6"/>
    <x v="5"/>
    <n v="105"/>
    <m/>
    <n v="105"/>
    <n v="3650446.1500000018"/>
    <s v="Trsf"/>
    <m/>
    <m/>
  </r>
  <r>
    <x v="447"/>
    <x v="4"/>
    <x v="4"/>
    <x v="655"/>
    <s v="C00000020"/>
    <x v="19"/>
    <x v="132"/>
    <n v="8"/>
    <s v="Cash"/>
    <x v="0"/>
    <d v="2023-09-27T00:00:00"/>
    <x v="6"/>
    <x v="5"/>
    <n v="500"/>
    <m/>
    <n v="500"/>
    <n v="3650946.1500000018"/>
    <s v="Trsf"/>
    <m/>
    <m/>
  </r>
  <r>
    <x v="447"/>
    <x v="4"/>
    <x v="4"/>
    <x v="656"/>
    <s v="C00000020"/>
    <x v="19"/>
    <x v="279"/>
    <n v="8"/>
    <s v="Cash"/>
    <x v="0"/>
    <d v="2023-09-27T00:00:00"/>
    <x v="6"/>
    <x v="5"/>
    <n v="12848"/>
    <m/>
    <n v="12848"/>
    <n v="3663794.1500000018"/>
    <s v="Trsf"/>
    <m/>
    <m/>
  </r>
  <r>
    <x v="447"/>
    <x v="4"/>
    <x v="4"/>
    <x v="656"/>
    <s v="C00000020"/>
    <x v="19"/>
    <x v="148"/>
    <n v="24"/>
    <s v="Cash"/>
    <x v="0"/>
    <d v="2023-09-27T00:00:00"/>
    <x v="6"/>
    <x v="5"/>
    <n v="4536"/>
    <m/>
    <n v="4536"/>
    <n v="3668330.1500000018"/>
    <s v="Trsf"/>
    <m/>
    <m/>
  </r>
  <r>
    <x v="447"/>
    <x v="4"/>
    <x v="4"/>
    <x v="656"/>
    <s v="C00000020"/>
    <x v="19"/>
    <x v="302"/>
    <n v="12"/>
    <s v="Cash"/>
    <x v="0"/>
    <d v="2023-09-27T00:00:00"/>
    <x v="6"/>
    <x v="5"/>
    <n v="2808"/>
    <m/>
    <n v="2808"/>
    <n v="3671138.1500000018"/>
    <s v="Trsf"/>
    <m/>
    <m/>
  </r>
  <r>
    <x v="447"/>
    <x v="4"/>
    <x v="4"/>
    <x v="656"/>
    <s v="C00000020"/>
    <x v="19"/>
    <x v="159"/>
    <n v="1"/>
    <s v="Cash"/>
    <x v="0"/>
    <d v="2023-09-27T00:00:00"/>
    <x v="6"/>
    <x v="5"/>
    <n v="1000"/>
    <m/>
    <n v="1000"/>
    <n v="3672138.1500000018"/>
    <s v="Trsf"/>
    <m/>
    <m/>
  </r>
  <r>
    <x v="447"/>
    <x v="4"/>
    <x v="4"/>
    <x v="656"/>
    <s v="C00000020"/>
    <x v="19"/>
    <x v="171"/>
    <n v="4"/>
    <s v="Cash"/>
    <x v="0"/>
    <d v="2023-09-27T00:00:00"/>
    <x v="6"/>
    <x v="5"/>
    <n v="380"/>
    <m/>
    <n v="380"/>
    <n v="3672518.1500000018"/>
    <s v="Trsf"/>
    <m/>
    <m/>
  </r>
  <r>
    <x v="448"/>
    <x v="4"/>
    <x v="4"/>
    <x v="657"/>
    <s v="C00000034"/>
    <x v="35"/>
    <x v="132"/>
    <n v="4"/>
    <s v="Cash"/>
    <x v="0"/>
    <d v="2023-09-29T00:00:00"/>
    <x v="6"/>
    <x v="5"/>
    <n v="250"/>
    <m/>
    <n v="250"/>
    <n v="3672768.1500000018"/>
    <s v="Trsf"/>
    <m/>
    <m/>
  </r>
  <r>
    <x v="449"/>
    <x v="4"/>
    <x v="4"/>
    <x v="658"/>
    <s v="C00000020"/>
    <x v="19"/>
    <x v="132"/>
    <n v="5"/>
    <s v="Cash"/>
    <x v="0"/>
    <d v="2023-09-30T00:00:00"/>
    <x v="6"/>
    <x v="5"/>
    <n v="312.5"/>
    <m/>
    <n v="312.5"/>
    <n v="3673080.6500000018"/>
    <s v="Trsf"/>
    <m/>
    <m/>
  </r>
  <r>
    <x v="449"/>
    <x v="4"/>
    <x v="4"/>
    <x v="659"/>
    <s v="C00000020"/>
    <x v="19"/>
    <x v="188"/>
    <n v="5"/>
    <s v="Cash"/>
    <x v="0"/>
    <d v="2023-09-30T00:00:00"/>
    <x v="6"/>
    <x v="5"/>
    <n v="8030"/>
    <m/>
    <n v="8030"/>
    <n v="3681110.6500000018"/>
    <s v="Trsf"/>
    <m/>
    <m/>
  </r>
  <r>
    <x v="449"/>
    <x v="4"/>
    <x v="4"/>
    <x v="659"/>
    <s v="C00000020"/>
    <x v="19"/>
    <x v="148"/>
    <n v="15"/>
    <s v="Cash"/>
    <x v="0"/>
    <d v="2023-09-30T00:00:00"/>
    <x v="6"/>
    <x v="5"/>
    <n v="2835"/>
    <m/>
    <n v="2835"/>
    <n v="3683945.6500000018"/>
    <s v="Trsf"/>
    <m/>
    <m/>
  </r>
  <r>
    <x v="449"/>
    <x v="4"/>
    <x v="4"/>
    <x v="659"/>
    <s v="C00000020"/>
    <x v="19"/>
    <x v="302"/>
    <n v="8"/>
    <s v="Cash"/>
    <x v="0"/>
    <d v="2023-09-30T00:00:00"/>
    <x v="6"/>
    <x v="5"/>
    <n v="1872"/>
    <m/>
    <n v="1872"/>
    <n v="3685817.6500000018"/>
    <s v="Trsf"/>
    <m/>
    <m/>
  </r>
  <r>
    <x v="449"/>
    <x v="4"/>
    <x v="4"/>
    <x v="659"/>
    <s v="C00000020"/>
    <x v="19"/>
    <x v="159"/>
    <n v="1"/>
    <s v="Cash"/>
    <x v="0"/>
    <d v="2023-09-30T00:00:00"/>
    <x v="6"/>
    <x v="5"/>
    <n v="1000"/>
    <m/>
    <n v="1000"/>
    <n v="3686817.6500000018"/>
    <s v="Trsf"/>
    <m/>
    <m/>
  </r>
  <r>
    <x v="449"/>
    <x v="4"/>
    <x v="4"/>
    <x v="659"/>
    <s v="C00000020"/>
    <x v="19"/>
    <x v="171"/>
    <n v="4"/>
    <s v="Cash"/>
    <x v="0"/>
    <d v="2023-09-30T00:00:00"/>
    <x v="6"/>
    <x v="5"/>
    <n v="380"/>
    <m/>
    <n v="380"/>
    <n v="3687197.6500000018"/>
    <s v="Trsf"/>
    <m/>
    <m/>
  </r>
  <r>
    <x v="450"/>
    <x v="5"/>
    <x v="4"/>
    <x v="660"/>
    <s v="C00000014"/>
    <x v="13"/>
    <x v="45"/>
    <n v="2"/>
    <s v="Cash"/>
    <x v="0"/>
    <d v="2023-10-02T00:00:00"/>
    <x v="3"/>
    <x v="5"/>
    <n v="3388"/>
    <n v="-3388"/>
    <n v="0"/>
    <n v="3690585.6500000018"/>
    <s v="Cash"/>
    <s v="Cash  3/10/23 RM5,258.50"/>
    <m/>
  </r>
  <r>
    <x v="450"/>
    <x v="5"/>
    <x v="4"/>
    <x v="660"/>
    <s v="C00000014"/>
    <x v="13"/>
    <x v="157"/>
    <n v="3"/>
    <s v="Cash"/>
    <x v="0"/>
    <d v="2023-10-02T00:00:00"/>
    <x v="3"/>
    <x v="5"/>
    <n v="702"/>
    <n v="-702"/>
    <n v="0"/>
    <n v="3691287.6500000018"/>
    <s v="Cash"/>
    <s v="Cash  3/10/23 RM5,258.50"/>
    <m/>
  </r>
  <r>
    <x v="450"/>
    <x v="5"/>
    <x v="4"/>
    <x v="660"/>
    <s v="C00000014"/>
    <x v="13"/>
    <x v="5"/>
    <n v="2"/>
    <s v="Cash"/>
    <x v="0"/>
    <d v="2023-10-02T00:00:00"/>
    <x v="3"/>
    <x v="5"/>
    <n v="516"/>
    <n v="-516"/>
    <n v="0"/>
    <n v="3691803.6500000018"/>
    <s v="Cash"/>
    <s v="Cash  3/10/23 RM5,258.50"/>
    <m/>
  </r>
  <r>
    <x v="450"/>
    <x v="5"/>
    <x v="4"/>
    <x v="660"/>
    <s v="C00000014"/>
    <x v="13"/>
    <x v="294"/>
    <n v="2"/>
    <s v="Cash"/>
    <x v="0"/>
    <d v="2023-10-02T00:00:00"/>
    <x v="3"/>
    <x v="5"/>
    <n v="320"/>
    <n v="-320"/>
    <n v="0"/>
    <n v="3692123.6500000018"/>
    <s v="Cash"/>
    <s v="Cash  3/10/23 RM5,258.50"/>
    <m/>
  </r>
  <r>
    <x v="450"/>
    <x v="5"/>
    <x v="4"/>
    <x v="660"/>
    <s v="C00000014"/>
    <x v="13"/>
    <x v="278"/>
    <n v="1"/>
    <s v="Cash"/>
    <x v="0"/>
    <d v="2023-10-02T00:00:00"/>
    <x v="3"/>
    <x v="5"/>
    <n v="165"/>
    <n v="-165"/>
    <n v="0"/>
    <n v="3692288.6500000018"/>
    <s v="Cash"/>
    <s v="Cash  3/10/23 RM5,258.50"/>
    <m/>
  </r>
  <r>
    <x v="450"/>
    <x v="5"/>
    <x v="4"/>
    <x v="660"/>
    <s v="C00000014"/>
    <x v="13"/>
    <x v="4"/>
    <n v="1"/>
    <s v="Cash"/>
    <x v="0"/>
    <d v="2023-10-02T00:00:00"/>
    <x v="3"/>
    <x v="5"/>
    <n v="105"/>
    <n v="-105"/>
    <n v="0"/>
    <n v="3692393.6500000018"/>
    <s v="Cash"/>
    <s v="Cash  3/10/23 RM5,258.50"/>
    <m/>
  </r>
  <r>
    <x v="450"/>
    <x v="5"/>
    <x v="4"/>
    <x v="660"/>
    <s v="C00000014"/>
    <x v="13"/>
    <x v="132"/>
    <n v="1"/>
    <s v="Cash"/>
    <x v="0"/>
    <d v="2023-10-02T00:00:00"/>
    <x v="3"/>
    <x v="5"/>
    <n v="62.5"/>
    <n v="-62.5"/>
    <n v="0"/>
    <n v="3692456.1500000018"/>
    <s v="Cash"/>
    <s v="Cash  3/10/23 RM5,258.50"/>
    <m/>
  </r>
  <r>
    <x v="451"/>
    <x v="5"/>
    <x v="4"/>
    <x v="661"/>
    <s v="C00000013"/>
    <x v="12"/>
    <x v="162"/>
    <n v="2"/>
    <s v="Cash"/>
    <x v="0"/>
    <d v="2023-10-03T00:00:00"/>
    <x v="3"/>
    <x v="5"/>
    <n v="580"/>
    <n v="-580"/>
    <n v="0"/>
    <n v="3693036.1500000018"/>
    <s v="Chq"/>
    <s v="Cheque MBB 852089, cleared 9/10/23 RM1,612.00"/>
    <m/>
  </r>
  <r>
    <x v="451"/>
    <x v="5"/>
    <x v="4"/>
    <x v="661"/>
    <s v="C00000013"/>
    <x v="12"/>
    <x v="5"/>
    <n v="4"/>
    <s v="Cash"/>
    <x v="0"/>
    <d v="2023-10-03T00:00:00"/>
    <x v="3"/>
    <x v="5"/>
    <n v="1032"/>
    <n v="-1032"/>
    <n v="0"/>
    <n v="3694068.1500000018"/>
    <s v="Chq"/>
    <s v="Cheque MBB 852089, cleared 9/10/23 RM1,612.00"/>
    <m/>
  </r>
  <r>
    <x v="451"/>
    <x v="5"/>
    <x v="4"/>
    <x v="662"/>
    <s v="C00000019"/>
    <x v="18"/>
    <x v="7"/>
    <n v="1"/>
    <s v="Cash"/>
    <x v="0"/>
    <d v="2023-10-03T00:00:00"/>
    <x v="3"/>
    <x v="5"/>
    <n v="1804"/>
    <m/>
    <n v="1804"/>
    <n v="3695872.1500000018"/>
    <s v="Trsf"/>
    <m/>
    <m/>
  </r>
  <r>
    <x v="451"/>
    <x v="5"/>
    <x v="4"/>
    <x v="662"/>
    <s v="C00000019"/>
    <x v="18"/>
    <x v="244"/>
    <n v="1"/>
    <s v="Cash"/>
    <x v="0"/>
    <d v="2023-10-03T00:00:00"/>
    <x v="3"/>
    <x v="5"/>
    <n v="390"/>
    <m/>
    <n v="390"/>
    <n v="3696262.1500000018"/>
    <s v="Trsf"/>
    <m/>
    <m/>
  </r>
  <r>
    <x v="451"/>
    <x v="5"/>
    <x v="4"/>
    <x v="662"/>
    <s v="C00000019"/>
    <x v="18"/>
    <x v="226"/>
    <n v="1"/>
    <s v="Cash"/>
    <x v="0"/>
    <d v="2023-10-03T00:00:00"/>
    <x v="3"/>
    <x v="5"/>
    <n v="421.2"/>
    <m/>
    <n v="421.2"/>
    <n v="3696683.350000002"/>
    <s v="Trsf"/>
    <m/>
    <m/>
  </r>
  <r>
    <x v="452"/>
    <x v="5"/>
    <x v="4"/>
    <x v="663"/>
    <s v="C00000021"/>
    <x v="21"/>
    <x v="118"/>
    <n v="1"/>
    <s v="Cash"/>
    <x v="0"/>
    <d v="2023-10-04T00:00:00"/>
    <x v="3"/>
    <x v="5"/>
    <n v="1738"/>
    <m/>
    <n v="1738"/>
    <n v="3698421.350000002"/>
    <s v="PD Chq"/>
    <m/>
    <m/>
  </r>
  <r>
    <x v="452"/>
    <x v="5"/>
    <x v="4"/>
    <x v="663"/>
    <s v="C00000021"/>
    <x v="21"/>
    <x v="100"/>
    <n v="3"/>
    <s v="Cash"/>
    <x v="0"/>
    <d v="2023-10-04T00:00:00"/>
    <x v="3"/>
    <x v="5"/>
    <n v="702"/>
    <m/>
    <n v="702"/>
    <n v="3699123.350000002"/>
    <s v="PD Chq"/>
    <m/>
    <m/>
  </r>
  <r>
    <x v="452"/>
    <x v="5"/>
    <x v="4"/>
    <x v="663"/>
    <s v="C00000021"/>
    <x v="21"/>
    <x v="171"/>
    <n v="1"/>
    <s v="Cash"/>
    <x v="0"/>
    <d v="2023-10-04T00:00:00"/>
    <x v="3"/>
    <x v="5"/>
    <n v="95"/>
    <m/>
    <n v="95"/>
    <n v="3699218.350000002"/>
    <s v="PD Chq"/>
    <m/>
    <m/>
  </r>
  <r>
    <x v="453"/>
    <x v="5"/>
    <x v="4"/>
    <x v="664"/>
    <s v="C00000020"/>
    <x v="19"/>
    <x v="132"/>
    <n v="2"/>
    <s v="Cash"/>
    <x v="0"/>
    <d v="2023-10-05T00:00:00"/>
    <x v="3"/>
    <x v="5"/>
    <n v="125"/>
    <m/>
    <n v="125"/>
    <n v="3699343.350000002"/>
    <s v="Trsf"/>
    <m/>
    <m/>
  </r>
  <r>
    <x v="453"/>
    <x v="5"/>
    <x v="4"/>
    <x v="665"/>
    <s v="C00000020"/>
    <x v="19"/>
    <x v="279"/>
    <n v="2"/>
    <s v="Cash"/>
    <x v="0"/>
    <d v="2023-10-05T00:00:00"/>
    <x v="3"/>
    <x v="5"/>
    <n v="3256"/>
    <m/>
    <n v="3256"/>
    <n v="3702599.350000002"/>
    <s v="Trsf"/>
    <m/>
    <m/>
  </r>
  <r>
    <x v="453"/>
    <x v="5"/>
    <x v="4"/>
    <x v="665"/>
    <s v="C00000020"/>
    <x v="19"/>
    <x v="148"/>
    <n v="6"/>
    <s v="Cash"/>
    <x v="0"/>
    <d v="2023-10-05T00:00:00"/>
    <x v="3"/>
    <x v="5"/>
    <n v="1080"/>
    <m/>
    <n v="1080"/>
    <n v="3703679.350000002"/>
    <s v="Trsf"/>
    <m/>
    <m/>
  </r>
  <r>
    <x v="453"/>
    <x v="5"/>
    <x v="4"/>
    <x v="665"/>
    <s v="C00000020"/>
    <x v="19"/>
    <x v="302"/>
    <n v="3"/>
    <s v="Cash"/>
    <x v="0"/>
    <d v="2023-10-05T00:00:00"/>
    <x v="3"/>
    <x v="5"/>
    <n v="702"/>
    <m/>
    <n v="702"/>
    <n v="3704381.350000002"/>
    <s v="Trsf"/>
    <m/>
    <m/>
  </r>
  <r>
    <x v="453"/>
    <x v="5"/>
    <x v="4"/>
    <x v="665"/>
    <s v="C00000020"/>
    <x v="19"/>
    <x v="159"/>
    <n v="1"/>
    <s v="Cash"/>
    <x v="0"/>
    <d v="2023-10-05T00:00:00"/>
    <x v="3"/>
    <x v="5"/>
    <n v="1000"/>
    <m/>
    <n v="1000"/>
    <n v="3705381.350000002"/>
    <s v="Trsf"/>
    <m/>
    <m/>
  </r>
  <r>
    <x v="454"/>
    <x v="5"/>
    <x v="4"/>
    <x v="666"/>
    <s v="C00000022"/>
    <x v="23"/>
    <x v="303"/>
    <n v="1"/>
    <s v="Cash"/>
    <x v="0"/>
    <d v="2023-10-06T00:00:00"/>
    <x v="3"/>
    <x v="5"/>
    <n v="3600"/>
    <m/>
    <n v="3600"/>
    <n v="3708981.350000002"/>
    <s v="Trsf"/>
    <m/>
    <m/>
  </r>
  <r>
    <x v="454"/>
    <x v="5"/>
    <x v="4"/>
    <x v="666"/>
    <s v="C00000022"/>
    <x v="23"/>
    <x v="148"/>
    <n v="2"/>
    <s v="Cash"/>
    <x v="0"/>
    <d v="2023-10-06T00:00:00"/>
    <x v="3"/>
    <x v="5"/>
    <n v="468"/>
    <m/>
    <n v="468"/>
    <n v="3709449.350000002"/>
    <s v="Trsf"/>
    <m/>
    <m/>
  </r>
  <r>
    <x v="454"/>
    <x v="5"/>
    <x v="4"/>
    <x v="667"/>
    <s v="C00000010"/>
    <x v="9"/>
    <x v="188"/>
    <n v="6"/>
    <n v="120"/>
    <x v="2"/>
    <d v="2024-02-03T00:00:00"/>
    <x v="8"/>
    <x v="6"/>
    <n v="9636"/>
    <m/>
    <n v="9636"/>
    <n v="3719085.350000002"/>
    <s v="Trsf"/>
    <m/>
    <m/>
  </r>
  <r>
    <x v="454"/>
    <x v="5"/>
    <x v="4"/>
    <x v="667"/>
    <s v="C00000010"/>
    <x v="9"/>
    <x v="247"/>
    <n v="5"/>
    <n v="120"/>
    <x v="2"/>
    <d v="2024-02-03T00:00:00"/>
    <x v="8"/>
    <x v="6"/>
    <n v="900"/>
    <m/>
    <n v="900"/>
    <n v="3719985.350000002"/>
    <s v="Trsf"/>
    <m/>
    <m/>
  </r>
  <r>
    <x v="454"/>
    <x v="5"/>
    <x v="4"/>
    <x v="667"/>
    <s v="C00000010"/>
    <x v="9"/>
    <x v="132"/>
    <n v="10"/>
    <n v="120"/>
    <x v="2"/>
    <d v="2024-02-03T00:00:00"/>
    <x v="8"/>
    <x v="6"/>
    <n v="575"/>
    <m/>
    <n v="575"/>
    <n v="3720560.350000002"/>
    <s v="Trsf"/>
    <m/>
    <m/>
  </r>
  <r>
    <x v="454"/>
    <x v="5"/>
    <x v="4"/>
    <x v="667"/>
    <s v="C00000010"/>
    <x v="9"/>
    <x v="4"/>
    <n v="4"/>
    <n v="120"/>
    <x v="2"/>
    <d v="2024-02-03T00:00:00"/>
    <x v="8"/>
    <x v="6"/>
    <n v="420"/>
    <m/>
    <n v="420"/>
    <n v="3720980.350000002"/>
    <s v="Trsf"/>
    <m/>
    <m/>
  </r>
  <r>
    <x v="454"/>
    <x v="5"/>
    <x v="4"/>
    <x v="667"/>
    <s v="C00000010"/>
    <x v="9"/>
    <x v="5"/>
    <n v="1"/>
    <n v="120"/>
    <x v="2"/>
    <d v="2024-02-03T00:00:00"/>
    <x v="8"/>
    <x v="6"/>
    <n v="238"/>
    <m/>
    <n v="238"/>
    <n v="3721218.350000002"/>
    <s v="Trsf"/>
    <m/>
    <m/>
  </r>
  <r>
    <x v="454"/>
    <x v="5"/>
    <x v="4"/>
    <x v="668"/>
    <s v="C00000020"/>
    <x v="19"/>
    <x v="132"/>
    <n v="4"/>
    <s v="Cash"/>
    <x v="0"/>
    <d v="2023-10-06T00:00:00"/>
    <x v="3"/>
    <x v="5"/>
    <n v="250"/>
    <m/>
    <n v="250"/>
    <n v="3721468.350000002"/>
    <s v="Trsf"/>
    <m/>
    <m/>
  </r>
  <r>
    <x v="454"/>
    <x v="5"/>
    <x v="4"/>
    <x v="668"/>
    <s v="C00000020"/>
    <x v="19"/>
    <x v="148"/>
    <n v="2"/>
    <s v="Cash"/>
    <x v="0"/>
    <d v="2023-10-06T00:00:00"/>
    <x v="3"/>
    <x v="5"/>
    <n v="360"/>
    <m/>
    <n v="360"/>
    <n v="3721828.350000002"/>
    <s v="Trsf"/>
    <m/>
    <m/>
  </r>
  <r>
    <x v="455"/>
    <x v="5"/>
    <x v="4"/>
    <x v="669"/>
    <s v="C00000006"/>
    <x v="5"/>
    <x v="7"/>
    <n v="2"/>
    <s v="Cash"/>
    <x v="0"/>
    <d v="2023-10-07T00:00:00"/>
    <x v="3"/>
    <x v="5"/>
    <n v="3476"/>
    <m/>
    <n v="3476"/>
    <n v="3725304.350000002"/>
    <s v="Chq"/>
    <m/>
    <m/>
  </r>
  <r>
    <x v="455"/>
    <x v="5"/>
    <x v="4"/>
    <x v="669"/>
    <s v="C00000006"/>
    <x v="5"/>
    <x v="247"/>
    <n v="3"/>
    <s v="Cash"/>
    <x v="0"/>
    <d v="2023-10-07T00:00:00"/>
    <x v="3"/>
    <x v="5"/>
    <n v="702"/>
    <m/>
    <n v="702"/>
    <n v="3726006.350000002"/>
    <s v="Chq"/>
    <m/>
    <m/>
  </r>
  <r>
    <x v="455"/>
    <x v="5"/>
    <x v="4"/>
    <x v="669"/>
    <s v="C00000006"/>
    <x v="5"/>
    <x v="299"/>
    <n v="1"/>
    <s v="Cash"/>
    <x v="0"/>
    <d v="2023-10-07T00:00:00"/>
    <x v="3"/>
    <x v="5"/>
    <n v="421.2"/>
    <m/>
    <n v="421.2"/>
    <n v="3726427.5500000021"/>
    <s v="Chq"/>
    <m/>
    <m/>
  </r>
  <r>
    <x v="455"/>
    <x v="5"/>
    <x v="4"/>
    <x v="669"/>
    <s v="C00000006"/>
    <x v="5"/>
    <x v="4"/>
    <n v="2"/>
    <s v="Cash"/>
    <x v="0"/>
    <d v="2023-10-07T00:00:00"/>
    <x v="3"/>
    <x v="5"/>
    <n v="210"/>
    <m/>
    <n v="210"/>
    <n v="3726637.5500000021"/>
    <s v="Chq"/>
    <m/>
    <m/>
  </r>
  <r>
    <x v="455"/>
    <x v="5"/>
    <x v="4"/>
    <x v="669"/>
    <s v="C00000006"/>
    <x v="5"/>
    <x v="5"/>
    <n v="1"/>
    <s v="Cash"/>
    <x v="0"/>
    <d v="2023-10-07T00:00:00"/>
    <x v="3"/>
    <x v="5"/>
    <n v="258"/>
    <m/>
    <n v="258"/>
    <n v="3726895.5500000021"/>
    <s v="Chq"/>
    <m/>
    <m/>
  </r>
  <r>
    <x v="456"/>
    <x v="5"/>
    <x v="4"/>
    <x v="670"/>
    <s v="C00000020"/>
    <x v="19"/>
    <x v="132"/>
    <n v="2"/>
    <s v="Cash"/>
    <x v="0"/>
    <d v="2023-10-12T00:00:00"/>
    <x v="3"/>
    <x v="5"/>
    <n v="125"/>
    <m/>
    <n v="125"/>
    <n v="3727020.5500000021"/>
    <s v="Trsf"/>
    <m/>
    <m/>
  </r>
  <r>
    <x v="456"/>
    <x v="5"/>
    <x v="4"/>
    <x v="670"/>
    <s v="C00000020"/>
    <x v="19"/>
    <x v="304"/>
    <n v="1"/>
    <s v="Cash"/>
    <x v="0"/>
    <d v="2023-10-12T00:00:00"/>
    <x v="3"/>
    <x v="5"/>
    <n v="900"/>
    <m/>
    <n v="900"/>
    <n v="3727920.5500000021"/>
    <s v="Trsf"/>
    <m/>
    <m/>
  </r>
  <r>
    <x v="457"/>
    <x v="5"/>
    <x v="4"/>
    <x v="671"/>
    <s v="C00000022"/>
    <x v="23"/>
    <x v="190"/>
    <n v="1"/>
    <s v="Cash"/>
    <x v="0"/>
    <d v="2023-10-10T00:00:00"/>
    <x v="3"/>
    <x v="5"/>
    <n v="234"/>
    <m/>
    <n v="234"/>
    <n v="3728154.5500000021"/>
    <s v="Trsf"/>
    <m/>
    <m/>
  </r>
  <r>
    <x v="457"/>
    <x v="5"/>
    <x v="4"/>
    <x v="671"/>
    <s v="C00000022"/>
    <x v="23"/>
    <x v="93"/>
    <n v="1"/>
    <s v="Cash"/>
    <x v="0"/>
    <d v="2023-10-10T00:00:00"/>
    <x v="3"/>
    <x v="5"/>
    <n v="110"/>
    <m/>
    <n v="110"/>
    <n v="3728264.5500000021"/>
    <s v="Trsf"/>
    <m/>
    <m/>
  </r>
  <r>
    <x v="458"/>
    <x v="5"/>
    <x v="4"/>
    <x v="672"/>
    <s v="C00000014"/>
    <x v="13"/>
    <x v="45"/>
    <n v="1"/>
    <s v="Cash"/>
    <x v="0"/>
    <d v="2023-10-11T00:00:00"/>
    <x v="3"/>
    <x v="5"/>
    <n v="1694"/>
    <n v="-1694"/>
    <n v="0"/>
    <n v="3729958.5500000021"/>
    <s v="Cash"/>
    <s v="Cash  17/10/23 RM2,909.00"/>
    <m/>
  </r>
  <r>
    <x v="458"/>
    <x v="5"/>
    <x v="4"/>
    <x v="672"/>
    <s v="C00000014"/>
    <x v="13"/>
    <x v="157"/>
    <n v="3"/>
    <s v="Cash"/>
    <x v="0"/>
    <d v="2023-10-11T00:00:00"/>
    <x v="3"/>
    <x v="5"/>
    <n v="702"/>
    <n v="-702"/>
    <n v="0"/>
    <n v="3730660.5500000021"/>
    <s v="Cash"/>
    <s v="Cash  17/10/23 RM2,909.00"/>
    <m/>
  </r>
  <r>
    <x v="458"/>
    <x v="5"/>
    <x v="4"/>
    <x v="672"/>
    <s v="C00000014"/>
    <x v="13"/>
    <x v="5"/>
    <n v="1"/>
    <s v="Cash"/>
    <x v="0"/>
    <d v="2023-10-11T00:00:00"/>
    <x v="3"/>
    <x v="5"/>
    <n v="258"/>
    <n v="-258"/>
    <n v="0"/>
    <n v="3730918.5500000021"/>
    <s v="Cash"/>
    <s v="Cash  17/10/23 RM2,909.00"/>
    <m/>
  </r>
  <r>
    <x v="458"/>
    <x v="5"/>
    <x v="4"/>
    <x v="672"/>
    <s v="C00000014"/>
    <x v="13"/>
    <x v="4"/>
    <n v="1"/>
    <s v="Cash"/>
    <x v="0"/>
    <d v="2023-10-11T00:00:00"/>
    <x v="3"/>
    <x v="5"/>
    <n v="105"/>
    <n v="-105"/>
    <n v="0"/>
    <n v="3731023.5500000021"/>
    <s v="Cash"/>
    <s v="Cash  17/10/23 RM2,909.00"/>
    <m/>
  </r>
  <r>
    <x v="458"/>
    <x v="5"/>
    <x v="4"/>
    <x v="672"/>
    <s v="C00000014"/>
    <x v="13"/>
    <x v="153"/>
    <n v="3"/>
    <s v="Cash"/>
    <x v="0"/>
    <d v="2023-10-11T00:00:00"/>
    <x v="3"/>
    <x v="5"/>
    <n v="150"/>
    <n v="-150"/>
    <n v="0"/>
    <n v="3731173.5500000021"/>
    <s v="Cash"/>
    <s v="Cash  17/10/23 RM2,909.00"/>
    <m/>
  </r>
  <r>
    <x v="458"/>
    <x v="5"/>
    <x v="4"/>
    <x v="673"/>
    <s v="C00000034"/>
    <x v="35"/>
    <x v="305"/>
    <n v="1"/>
    <s v="Cash"/>
    <x v="0"/>
    <d v="2023-10-11T00:00:00"/>
    <x v="3"/>
    <x v="5"/>
    <n v="1732.5"/>
    <m/>
    <n v="1732.5"/>
    <n v="3732906.0500000021"/>
    <s v="Trsf"/>
    <m/>
    <m/>
  </r>
  <r>
    <x v="458"/>
    <x v="5"/>
    <x v="4"/>
    <x v="673"/>
    <s v="C00000034"/>
    <x v="35"/>
    <x v="132"/>
    <n v="5"/>
    <s v="Cash"/>
    <x v="0"/>
    <d v="2023-10-11T00:00:00"/>
    <x v="3"/>
    <x v="5"/>
    <n v="312.5"/>
    <m/>
    <n v="312.5"/>
    <n v="3733218.5500000021"/>
    <s v="Trsf"/>
    <m/>
    <m/>
  </r>
  <r>
    <x v="459"/>
    <x v="5"/>
    <x v="4"/>
    <x v="674"/>
    <s v="C00000009"/>
    <x v="8"/>
    <x v="112"/>
    <n v="2"/>
    <n v="60"/>
    <x v="3"/>
    <d v="2023-12-13T00:00:00"/>
    <x v="0"/>
    <x v="5"/>
    <n v="594"/>
    <m/>
    <n v="594"/>
    <n v="3733812.5500000021"/>
    <s v="Chq"/>
    <m/>
    <m/>
  </r>
  <r>
    <x v="459"/>
    <x v="5"/>
    <x v="4"/>
    <x v="674"/>
    <s v="C00000009"/>
    <x v="8"/>
    <x v="163"/>
    <n v="2"/>
    <n v="60"/>
    <x v="3"/>
    <d v="2023-12-13T00:00:00"/>
    <x v="0"/>
    <x v="5"/>
    <n v="594"/>
    <m/>
    <n v="594"/>
    <n v="3734406.5500000021"/>
    <s v="Chq"/>
    <m/>
    <m/>
  </r>
  <r>
    <x v="459"/>
    <x v="5"/>
    <x v="4"/>
    <x v="674"/>
    <s v="C00000009"/>
    <x v="8"/>
    <x v="4"/>
    <n v="4"/>
    <n v="60"/>
    <x v="3"/>
    <d v="2023-12-13T00:00:00"/>
    <x v="0"/>
    <x v="5"/>
    <n v="440"/>
    <m/>
    <n v="440"/>
    <n v="3734846.5500000021"/>
    <s v="Chq"/>
    <m/>
    <m/>
  </r>
  <r>
    <x v="459"/>
    <x v="5"/>
    <x v="4"/>
    <x v="675"/>
    <s v="C00000019"/>
    <x v="18"/>
    <x v="7"/>
    <n v="1"/>
    <s v="Cash"/>
    <x v="0"/>
    <d v="2023-10-14T00:00:00"/>
    <x v="3"/>
    <x v="5"/>
    <n v="1738"/>
    <m/>
    <n v="1738"/>
    <n v="3736584.5500000021"/>
    <s v="Trsf"/>
    <m/>
    <m/>
  </r>
  <r>
    <x v="459"/>
    <x v="5"/>
    <x v="4"/>
    <x v="676"/>
    <s v="C00000022"/>
    <x v="23"/>
    <x v="7"/>
    <n v="1"/>
    <s v="Cash"/>
    <x v="0"/>
    <d v="2023-10-14T00:00:00"/>
    <x v="3"/>
    <x v="5"/>
    <n v="1738"/>
    <m/>
    <n v="1738"/>
    <n v="3738322.5500000021"/>
    <s v="Trsf"/>
    <m/>
    <m/>
  </r>
  <r>
    <x v="460"/>
    <x v="5"/>
    <x v="4"/>
    <x v="677"/>
    <s v="C00000042"/>
    <x v="43"/>
    <x v="132"/>
    <n v="5"/>
    <s v="Cash"/>
    <x v="0"/>
    <d v="2023-10-17T00:00:00"/>
    <x v="3"/>
    <x v="5"/>
    <n v="312.5"/>
    <m/>
    <n v="312.5"/>
    <n v="3738635.0500000021"/>
    <s v="Trsf"/>
    <m/>
    <m/>
  </r>
  <r>
    <x v="460"/>
    <x v="5"/>
    <x v="4"/>
    <x v="678"/>
    <s v="C00000042"/>
    <x v="43"/>
    <x v="279"/>
    <n v="5"/>
    <s v="Cash"/>
    <x v="0"/>
    <d v="2023-10-17T00:00:00"/>
    <x v="3"/>
    <x v="5"/>
    <n v="8140"/>
    <m/>
    <n v="8140"/>
    <n v="3746775.0500000021"/>
    <s v="Trsf"/>
    <m/>
    <m/>
  </r>
  <r>
    <x v="460"/>
    <x v="5"/>
    <x v="4"/>
    <x v="678"/>
    <s v="C00000042"/>
    <x v="43"/>
    <x v="148"/>
    <n v="15"/>
    <s v="Cash"/>
    <x v="0"/>
    <d v="2023-10-17T00:00:00"/>
    <x v="3"/>
    <x v="5"/>
    <n v="2700"/>
    <m/>
    <n v="2700"/>
    <n v="3749475.0500000021"/>
    <s v="Trsf"/>
    <m/>
    <m/>
  </r>
  <r>
    <x v="460"/>
    <x v="5"/>
    <x v="4"/>
    <x v="678"/>
    <s v="C00000042"/>
    <x v="43"/>
    <x v="302"/>
    <n v="7"/>
    <s v="Cash"/>
    <x v="0"/>
    <d v="2023-10-17T00:00:00"/>
    <x v="3"/>
    <x v="5"/>
    <n v="1638"/>
    <m/>
    <n v="1638"/>
    <n v="3751113.0500000021"/>
    <s v="Trsf"/>
    <m/>
    <m/>
  </r>
  <r>
    <x v="460"/>
    <x v="5"/>
    <x v="4"/>
    <x v="678"/>
    <s v="C00000042"/>
    <x v="43"/>
    <x v="304"/>
    <n v="2"/>
    <s v="Cash"/>
    <x v="0"/>
    <d v="2023-10-17T00:00:00"/>
    <x v="3"/>
    <x v="5"/>
    <n v="1800"/>
    <m/>
    <n v="1800"/>
    <n v="3752913.0500000021"/>
    <s v="Trsf"/>
    <m/>
    <m/>
  </r>
  <r>
    <x v="460"/>
    <x v="5"/>
    <x v="4"/>
    <x v="678"/>
    <s v="C00000042"/>
    <x v="43"/>
    <x v="171"/>
    <n v="4"/>
    <s v="Cash"/>
    <x v="0"/>
    <d v="2023-10-17T00:00:00"/>
    <x v="3"/>
    <x v="5"/>
    <n v="380"/>
    <m/>
    <n v="380"/>
    <n v="3753293.0500000021"/>
    <s v="Trsf"/>
    <m/>
    <m/>
  </r>
  <r>
    <x v="461"/>
    <x v="5"/>
    <x v="4"/>
    <x v="679"/>
    <s v="C00000009"/>
    <x v="8"/>
    <x v="306"/>
    <n v="2"/>
    <n v="60"/>
    <x v="3"/>
    <d v="2023-12-18T00:00:00"/>
    <x v="0"/>
    <x v="5"/>
    <n v="3212"/>
    <m/>
    <n v="3212"/>
    <n v="3756505.0500000021"/>
    <s v="Chq"/>
    <m/>
    <m/>
  </r>
  <r>
    <x v="461"/>
    <x v="5"/>
    <x v="4"/>
    <x v="679"/>
    <s v="C00000009"/>
    <x v="8"/>
    <x v="306"/>
    <n v="1"/>
    <n v="60"/>
    <x v="3"/>
    <d v="2023-12-18T00:00:00"/>
    <x v="0"/>
    <x v="5"/>
    <n v="1606"/>
    <m/>
    <n v="1606"/>
    <n v="3758111.0500000021"/>
    <s v="Chq"/>
    <m/>
    <m/>
  </r>
  <r>
    <x v="462"/>
    <x v="5"/>
    <x v="4"/>
    <x v="680"/>
    <s v="C00000042"/>
    <x v="43"/>
    <x v="148"/>
    <n v="15"/>
    <s v="Cash"/>
    <x v="0"/>
    <d v="2023-10-20T00:00:00"/>
    <x v="3"/>
    <x v="5"/>
    <n v="2700"/>
    <m/>
    <n v="2700"/>
    <n v="3760811.0500000021"/>
    <s v="Trsf"/>
    <m/>
    <m/>
  </r>
  <r>
    <x v="463"/>
    <x v="5"/>
    <x v="4"/>
    <x v="681"/>
    <e v="#N/A"/>
    <x v="29"/>
    <x v="15"/>
    <n v="2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280"/>
    <n v="4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281"/>
    <n v="2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5"/>
    <n v="4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4"/>
    <n v="3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104"/>
    <n v="1"/>
    <e v="#N/A"/>
    <x v="4"/>
    <e v="#N/A"/>
    <x v="10"/>
    <x v="3"/>
    <n v="0"/>
    <m/>
    <n v="0"/>
    <n v="3760811.0500000021"/>
    <e v="#N/A"/>
    <m/>
    <m/>
  </r>
  <r>
    <x v="464"/>
    <x v="5"/>
    <x v="4"/>
    <x v="682"/>
    <s v="C00000042"/>
    <x v="43"/>
    <x v="132"/>
    <n v="4"/>
    <s v="Cash"/>
    <x v="0"/>
    <d v="2023-10-25T00:00:00"/>
    <x v="3"/>
    <x v="5"/>
    <n v="250"/>
    <m/>
    <n v="250"/>
    <n v="3761061.0500000021"/>
    <s v="Trsf"/>
    <m/>
    <m/>
  </r>
  <r>
    <x v="464"/>
    <x v="5"/>
    <x v="4"/>
    <x v="683"/>
    <s v="C00000042"/>
    <x v="43"/>
    <x v="279"/>
    <n v="4"/>
    <s v="Cash"/>
    <x v="0"/>
    <d v="2023-10-25T00:00:00"/>
    <x v="3"/>
    <x v="5"/>
    <n v="6512"/>
    <m/>
    <n v="6512"/>
    <n v="3767573.0500000021"/>
    <s v="Trsf"/>
    <m/>
    <m/>
  </r>
  <r>
    <x v="464"/>
    <x v="5"/>
    <x v="4"/>
    <x v="683"/>
    <s v="C00000042"/>
    <x v="43"/>
    <x v="302"/>
    <n v="6"/>
    <s v="Cash"/>
    <x v="0"/>
    <d v="2023-10-25T00:00:00"/>
    <x v="3"/>
    <x v="5"/>
    <n v="1404"/>
    <m/>
    <n v="1404"/>
    <n v="3768977.0500000021"/>
    <s v="Trsf"/>
    <m/>
    <m/>
  </r>
  <r>
    <x v="464"/>
    <x v="5"/>
    <x v="4"/>
    <x v="684"/>
    <s v="C00000012"/>
    <x v="44"/>
    <x v="307"/>
    <n v="11"/>
    <s v="Cash"/>
    <x v="0"/>
    <d v="2023-10-25T00:00:00"/>
    <x v="3"/>
    <x v="5"/>
    <n v="2530"/>
    <n v="-2530"/>
    <n v="0"/>
    <n v="3771507.0500000021"/>
    <s v="Cash"/>
    <s v="Trsf 25/10/23 RM3,535.20"/>
    <m/>
  </r>
  <r>
    <x v="464"/>
    <x v="5"/>
    <x v="4"/>
    <x v="684"/>
    <s v="C00000012"/>
    <x v="44"/>
    <x v="308"/>
    <n v="1"/>
    <s v="Cash"/>
    <x v="0"/>
    <d v="2023-10-25T00:00:00"/>
    <x v="3"/>
    <x v="5"/>
    <n v="475.2"/>
    <n v="-475.2"/>
    <n v="0"/>
    <n v="3771982.2500000023"/>
    <s v="Cash"/>
    <s v="Trsf 25/10/23 RM3,535.20"/>
    <m/>
  </r>
  <r>
    <x v="464"/>
    <x v="5"/>
    <x v="4"/>
    <x v="684"/>
    <s v="C00000012"/>
    <x v="44"/>
    <x v="237"/>
    <n v="1"/>
    <s v="Cash"/>
    <x v="0"/>
    <d v="2023-10-25T00:00:00"/>
    <x v="3"/>
    <x v="5"/>
    <n v="120"/>
    <n v="-120"/>
    <n v="0"/>
    <n v="3772102.2500000023"/>
    <s v="Cash"/>
    <s v="Trsf 25/10/23 RM3,535.20"/>
    <m/>
  </r>
  <r>
    <x v="464"/>
    <x v="5"/>
    <x v="4"/>
    <x v="684"/>
    <s v="C00000012"/>
    <x v="44"/>
    <x v="309"/>
    <n v="1"/>
    <s v="Cash"/>
    <x v="0"/>
    <d v="2023-10-25T00:00:00"/>
    <x v="3"/>
    <x v="5"/>
    <n v="310"/>
    <n v="-310"/>
    <n v="0"/>
    <n v="3772412.2500000023"/>
    <s v="Cash"/>
    <s v="Trsf 25/10/23 RM3,535.20"/>
    <m/>
  </r>
  <r>
    <x v="464"/>
    <x v="5"/>
    <x v="4"/>
    <x v="684"/>
    <s v="C00000012"/>
    <x v="44"/>
    <x v="310"/>
    <n v="1"/>
    <s v="Cash"/>
    <x v="0"/>
    <d v="2023-10-25T00:00:00"/>
    <x v="3"/>
    <x v="5"/>
    <n v="100"/>
    <n v="-100"/>
    <n v="0"/>
    <n v="3772512.2500000023"/>
    <s v="Cash"/>
    <s v="Trsf 25/10/23 RM3,535.20"/>
    <m/>
  </r>
  <r>
    <x v="464"/>
    <x v="5"/>
    <x v="4"/>
    <x v="685"/>
    <s v="C00000021"/>
    <x v="21"/>
    <x v="15"/>
    <n v="1"/>
    <s v="Cash"/>
    <x v="0"/>
    <d v="2023-10-25T00:00:00"/>
    <x v="3"/>
    <x v="5"/>
    <n v="1738"/>
    <m/>
    <n v="1738"/>
    <n v="3774250.2500000023"/>
    <s v="PD Chq"/>
    <m/>
    <m/>
  </r>
  <r>
    <x v="464"/>
    <x v="5"/>
    <x v="4"/>
    <x v="685"/>
    <s v="C00000021"/>
    <x v="21"/>
    <x v="148"/>
    <n v="2"/>
    <s v="Cash"/>
    <x v="0"/>
    <d v="2023-10-25T00:00:00"/>
    <x v="3"/>
    <x v="5"/>
    <n v="468"/>
    <m/>
    <n v="468"/>
    <n v="3774718.2500000023"/>
    <s v="PD Chq"/>
    <m/>
    <m/>
  </r>
  <r>
    <x v="464"/>
    <x v="5"/>
    <x v="4"/>
    <x v="685"/>
    <s v="C00000021"/>
    <x v="21"/>
    <x v="171"/>
    <n v="1"/>
    <s v="Cash"/>
    <x v="0"/>
    <d v="2023-10-25T00:00:00"/>
    <x v="3"/>
    <x v="5"/>
    <n v="95"/>
    <m/>
    <n v="95"/>
    <n v="3774813.2500000023"/>
    <s v="PD Chq"/>
    <m/>
    <m/>
  </r>
  <r>
    <x v="464"/>
    <x v="5"/>
    <x v="4"/>
    <x v="685"/>
    <s v="C00000021"/>
    <x v="21"/>
    <x v="311"/>
    <n v="1"/>
    <s v="Cash"/>
    <x v="0"/>
    <d v="2023-10-25T00:00:00"/>
    <x v="3"/>
    <x v="5"/>
    <n v="260"/>
    <m/>
    <n v="260"/>
    <n v="3775073.2500000023"/>
    <s v="PD Chq"/>
    <m/>
    <m/>
  </r>
  <r>
    <x v="465"/>
    <x v="5"/>
    <x v="4"/>
    <x v="686"/>
    <s v="C00000019"/>
    <x v="18"/>
    <x v="7"/>
    <n v="1"/>
    <s v="Cash"/>
    <x v="0"/>
    <d v="2023-10-26T00:00:00"/>
    <x v="3"/>
    <x v="5"/>
    <n v="1738"/>
    <m/>
    <n v="1738"/>
    <n v="3776811.2500000023"/>
    <s v="Trsf"/>
    <m/>
    <m/>
  </r>
  <r>
    <x v="465"/>
    <x v="5"/>
    <x v="4"/>
    <x v="686"/>
    <s v="C00000019"/>
    <x v="18"/>
    <x v="226"/>
    <n v="1"/>
    <s v="Cash"/>
    <x v="0"/>
    <d v="2023-10-26T00:00:00"/>
    <x v="3"/>
    <x v="5"/>
    <n v="405"/>
    <m/>
    <n v="405"/>
    <n v="3777216.2500000023"/>
    <s v="Trsf"/>
    <m/>
    <m/>
  </r>
  <r>
    <x v="465"/>
    <x v="5"/>
    <x v="4"/>
    <x v="686"/>
    <s v="C00000019"/>
    <x v="18"/>
    <x v="132"/>
    <n v="3"/>
    <s v="Cash"/>
    <x v="0"/>
    <d v="2023-10-26T00:00:00"/>
    <x v="3"/>
    <x v="5"/>
    <n v="187.5"/>
    <m/>
    <n v="187.5"/>
    <n v="3777403.7500000023"/>
    <s v="Trsf"/>
    <m/>
    <m/>
  </r>
  <r>
    <x v="465"/>
    <x v="5"/>
    <x v="4"/>
    <x v="686"/>
    <s v="C00000019"/>
    <x v="18"/>
    <x v="4"/>
    <n v="1"/>
    <s v="Cash"/>
    <x v="0"/>
    <d v="2023-10-26T00:00:00"/>
    <x v="3"/>
    <x v="5"/>
    <n v="105"/>
    <m/>
    <n v="105"/>
    <n v="3777508.7500000023"/>
    <s v="Trsf"/>
    <m/>
    <m/>
  </r>
  <r>
    <x v="465"/>
    <x v="5"/>
    <x v="4"/>
    <x v="686"/>
    <s v="C00000019"/>
    <x v="18"/>
    <x v="153"/>
    <n v="2"/>
    <s v="Cash"/>
    <x v="0"/>
    <d v="2023-10-26T00:00:00"/>
    <x v="3"/>
    <x v="5"/>
    <n v="100"/>
    <m/>
    <n v="100"/>
    <n v="3777608.7500000023"/>
    <s v="Trsf"/>
    <m/>
    <m/>
  </r>
  <r>
    <x v="465"/>
    <x v="5"/>
    <x v="4"/>
    <x v="687"/>
    <s v="C00000042"/>
    <x v="43"/>
    <x v="159"/>
    <n v="1"/>
    <s v="Cash"/>
    <x v="0"/>
    <d v="2023-10-26T00:00:00"/>
    <x v="3"/>
    <x v="5"/>
    <n v="1000"/>
    <m/>
    <n v="1000"/>
    <n v="3778608.7500000023"/>
    <s v="Trsf"/>
    <m/>
    <m/>
  </r>
  <r>
    <x v="466"/>
    <x v="5"/>
    <x v="4"/>
    <x v="688"/>
    <s v="C00000019"/>
    <x v="18"/>
    <x v="5"/>
    <n v="1"/>
    <s v="Cash"/>
    <x v="0"/>
    <d v="2023-10-27T00:00:00"/>
    <x v="3"/>
    <x v="5"/>
    <n v="258"/>
    <m/>
    <n v="258"/>
    <n v="3778866.7500000023"/>
    <s v="Trsf"/>
    <m/>
    <m/>
  </r>
  <r>
    <x v="466"/>
    <x v="5"/>
    <x v="4"/>
    <x v="688"/>
    <s v="C00000019"/>
    <x v="18"/>
    <x v="244"/>
    <n v="1"/>
    <s v="Cash"/>
    <x v="0"/>
    <d v="2023-10-27T00:00:00"/>
    <x v="3"/>
    <x v="5"/>
    <n v="390"/>
    <m/>
    <n v="390"/>
    <n v="3779256.7500000023"/>
    <s v="Trsf"/>
    <m/>
    <m/>
  </r>
  <r>
    <x v="466"/>
    <x v="5"/>
    <x v="4"/>
    <x v="689"/>
    <s v="C00000034"/>
    <x v="35"/>
    <x v="215"/>
    <n v="5"/>
    <s v="Cash"/>
    <x v="0"/>
    <d v="2023-10-27T00:00:00"/>
    <x v="3"/>
    <x v="5"/>
    <n v="695"/>
    <m/>
    <n v="695"/>
    <n v="3779951.7500000023"/>
    <s v="Trsf"/>
    <m/>
    <m/>
  </r>
  <r>
    <x v="467"/>
    <x v="5"/>
    <x v="4"/>
    <x v="690"/>
    <s v="C00000042"/>
    <x v="43"/>
    <x v="132"/>
    <n v="3"/>
    <s v="Cash"/>
    <x v="0"/>
    <d v="2023-10-28T00:00:00"/>
    <x v="3"/>
    <x v="5"/>
    <n v="187.5"/>
    <m/>
    <n v="187.5"/>
    <n v="3780139.2500000023"/>
    <s v="Trsf"/>
    <m/>
    <m/>
  </r>
  <r>
    <x v="467"/>
    <x v="5"/>
    <x v="4"/>
    <x v="691"/>
    <s v="C00000042"/>
    <x v="43"/>
    <x v="279"/>
    <n v="3"/>
    <s v="Cash"/>
    <x v="0"/>
    <d v="2023-10-28T00:00:00"/>
    <x v="3"/>
    <x v="5"/>
    <n v="4884"/>
    <m/>
    <n v="4884"/>
    <n v="3785023.2500000023"/>
    <s v="Trsf"/>
    <m/>
    <m/>
  </r>
  <r>
    <x v="467"/>
    <x v="5"/>
    <x v="4"/>
    <x v="691"/>
    <s v="C00000042"/>
    <x v="43"/>
    <x v="148"/>
    <n v="9"/>
    <s v="Cash"/>
    <x v="0"/>
    <d v="2023-10-28T00:00:00"/>
    <x v="3"/>
    <x v="5"/>
    <n v="1620"/>
    <m/>
    <n v="1620"/>
    <n v="3786643.2500000023"/>
    <s v="Trsf"/>
    <m/>
    <m/>
  </r>
  <r>
    <x v="467"/>
    <x v="5"/>
    <x v="4"/>
    <x v="691"/>
    <s v="C00000042"/>
    <x v="43"/>
    <x v="302"/>
    <n v="4"/>
    <s v="Cash"/>
    <x v="0"/>
    <d v="2023-10-28T00:00:00"/>
    <x v="3"/>
    <x v="5"/>
    <n v="936"/>
    <m/>
    <n v="936"/>
    <n v="3787579.2500000023"/>
    <s v="Trsf"/>
    <m/>
    <m/>
  </r>
  <r>
    <x v="468"/>
    <x v="5"/>
    <x v="4"/>
    <x v="692"/>
    <s v="C00000037"/>
    <x v="38"/>
    <x v="188"/>
    <n v="5"/>
    <n v="30"/>
    <x v="5"/>
    <d v="2023-11-29T00:00:00"/>
    <x v="5"/>
    <x v="5"/>
    <n v="8690"/>
    <n v="-8690"/>
    <n v="0"/>
    <n v="3796269.2500000023"/>
    <s v="Chq"/>
    <s v="MBB 015403 cleared 30/11/23 RM15,463.40(RM8,690.00)"/>
    <m/>
  </r>
  <r>
    <x v="468"/>
    <x v="5"/>
    <x v="4"/>
    <x v="692"/>
    <s v="C00000037"/>
    <x v="38"/>
    <x v="248"/>
    <n v="5"/>
    <n v="30"/>
    <x v="5"/>
    <d v="2023-11-29T00:00:00"/>
    <x v="5"/>
    <x v="5"/>
    <n v="2613"/>
    <n v="-2613"/>
    <n v="0"/>
    <n v="3798882.2500000023"/>
    <s v="Chq"/>
    <s v="MBB 015403 cleared 30/11/23 RM15,463.40(RM2,613.00)"/>
    <m/>
  </r>
  <r>
    <x v="468"/>
    <x v="5"/>
    <x v="4"/>
    <x v="692"/>
    <s v="C00000037"/>
    <x v="38"/>
    <x v="112"/>
    <n v="2"/>
    <n v="30"/>
    <x v="5"/>
    <d v="2023-11-29T00:00:00"/>
    <x v="5"/>
    <x v="5"/>
    <n v="842.4"/>
    <n v="-842.4"/>
    <n v="0"/>
    <n v="3799724.6500000022"/>
    <s v="Chq"/>
    <s v="MBB 015403 cleared 30/11/23 RM15,463.40(RM842.40)"/>
    <m/>
  </r>
  <r>
    <x v="468"/>
    <x v="5"/>
    <x v="4"/>
    <x v="692"/>
    <s v="C00000037"/>
    <x v="38"/>
    <x v="224"/>
    <n v="6"/>
    <n v="30"/>
    <x v="5"/>
    <d v="2023-11-29T00:00:00"/>
    <x v="5"/>
    <x v="5"/>
    <n v="288"/>
    <n v="-288"/>
    <n v="0"/>
    <n v="3800012.6500000022"/>
    <s v="Chq"/>
    <s v="MBB 015403 cleared 30/11/23 RM15,463.40(RM288.00)"/>
    <m/>
  </r>
  <r>
    <x v="468"/>
    <x v="5"/>
    <x v="4"/>
    <x v="692"/>
    <s v="C00000037"/>
    <x v="38"/>
    <x v="132"/>
    <n v="10"/>
    <n v="30"/>
    <x v="5"/>
    <d v="2023-11-29T00:00:00"/>
    <x v="5"/>
    <x v="5"/>
    <n v="625"/>
    <n v="-625"/>
    <n v="0"/>
    <n v="3800637.6500000022"/>
    <s v="Chq"/>
    <s v="MBB 015403 cleared 30/11/23 RM15,463.40(RM625.00)"/>
    <m/>
  </r>
  <r>
    <x v="468"/>
    <x v="5"/>
    <x v="4"/>
    <x v="692"/>
    <s v="C00000037"/>
    <x v="38"/>
    <x v="5"/>
    <n v="1"/>
    <n v="30"/>
    <x v="5"/>
    <d v="2023-11-29T00:00:00"/>
    <x v="5"/>
    <x v="5"/>
    <n v="260"/>
    <n v="-260"/>
    <n v="0"/>
    <n v="3800897.6500000022"/>
    <s v="Chq"/>
    <s v="MBB 015403 cleared 30/11/23 RM15,463.40(RM260.00)"/>
    <m/>
  </r>
  <r>
    <x v="468"/>
    <x v="5"/>
    <x v="4"/>
    <x v="692"/>
    <s v="C00000037"/>
    <x v="38"/>
    <x v="171"/>
    <n v="3"/>
    <n v="30"/>
    <x v="5"/>
    <d v="2023-11-29T00:00:00"/>
    <x v="5"/>
    <x v="5"/>
    <n v="285"/>
    <n v="-285"/>
    <n v="0"/>
    <n v="3801182.6500000022"/>
    <s v="Chq"/>
    <s v="MBB 015403 cleared 30/11/23 RM15,463.40(RM285.00)"/>
    <m/>
  </r>
  <r>
    <x v="468"/>
    <x v="5"/>
    <x v="4"/>
    <x v="692"/>
    <s v="C00000037"/>
    <x v="38"/>
    <x v="249"/>
    <n v="1"/>
    <n v="30"/>
    <x v="5"/>
    <d v="2023-11-29T00:00:00"/>
    <x v="5"/>
    <x v="5"/>
    <n v="930"/>
    <n v="-930"/>
    <n v="0"/>
    <n v="3802112.6500000022"/>
    <s v="Chq"/>
    <s v="MBB 015403 cleared 30/11/23 RM15,463.40(RM930.00)"/>
    <m/>
  </r>
  <r>
    <x v="468"/>
    <x v="5"/>
    <x v="4"/>
    <x v="692"/>
    <s v="C00000037"/>
    <x v="38"/>
    <x v="141"/>
    <n v="6"/>
    <n v="30"/>
    <x v="5"/>
    <d v="2023-11-29T00:00:00"/>
    <x v="5"/>
    <x v="5"/>
    <n v="930"/>
    <n v="-930"/>
    <n v="0"/>
    <n v="3803042.6500000022"/>
    <s v="Chq"/>
    <s v="MBB 015403 cleared 30/11/23 RM15,463.40(RM930.00)"/>
    <m/>
  </r>
  <r>
    <x v="468"/>
    <x v="5"/>
    <x v="4"/>
    <x v="693"/>
    <s v="C00000042"/>
    <x v="43"/>
    <x v="159"/>
    <n v="1"/>
    <s v="Cash"/>
    <x v="0"/>
    <d v="2023-10-30T00:00:00"/>
    <x v="3"/>
    <x v="5"/>
    <n v="1000"/>
    <m/>
    <n v="1000"/>
    <n v="3804042.6500000022"/>
    <s v="Trsf"/>
    <m/>
    <m/>
  </r>
  <r>
    <x v="469"/>
    <x v="6"/>
    <x v="4"/>
    <x v="694"/>
    <s v="C00000013"/>
    <x v="12"/>
    <x v="15"/>
    <n v="1"/>
    <s v="Cash"/>
    <x v="0"/>
    <d v="2023-11-01T00:00:00"/>
    <x v="5"/>
    <x v="5"/>
    <n v="1826"/>
    <n v="-1826"/>
    <n v="0"/>
    <n v="3805868.6500000022"/>
    <s v="Chq"/>
    <s v="Cheque MBB 852121, cleared 2/11/23 RM3,731.80"/>
    <m/>
  </r>
  <r>
    <x v="469"/>
    <x v="6"/>
    <x v="4"/>
    <x v="694"/>
    <s v="C00000013"/>
    <x v="12"/>
    <x v="280"/>
    <n v="2"/>
    <s v="Cash"/>
    <x v="0"/>
    <d v="2023-11-01T00:00:00"/>
    <x v="5"/>
    <x v="5"/>
    <n v="853.2"/>
    <n v="-853.2"/>
    <n v="0"/>
    <n v="3806721.8500000024"/>
    <s v="Chq"/>
    <s v="Cheque MBB 852121, cleared 2/11/23 RM3,731.80"/>
    <m/>
  </r>
  <r>
    <x v="469"/>
    <x v="6"/>
    <x v="4"/>
    <x v="694"/>
    <s v="C00000013"/>
    <x v="12"/>
    <x v="281"/>
    <n v="1"/>
    <s v="Cash"/>
    <x v="0"/>
    <d v="2023-11-01T00:00:00"/>
    <x v="5"/>
    <x v="5"/>
    <n v="426.6"/>
    <n v="-426.6"/>
    <n v="0"/>
    <n v="3807148.4500000025"/>
    <s v="Chq"/>
    <s v="Cheque MBB 852121, cleared 2/11/23 RM3,731.80"/>
    <m/>
  </r>
  <r>
    <x v="469"/>
    <x v="6"/>
    <x v="4"/>
    <x v="694"/>
    <s v="C00000013"/>
    <x v="12"/>
    <x v="5"/>
    <n v="2"/>
    <s v="Cash"/>
    <x v="0"/>
    <d v="2023-11-01T00:00:00"/>
    <x v="5"/>
    <x v="5"/>
    <n v="516"/>
    <n v="-516"/>
    <n v="0"/>
    <n v="3807664.4500000025"/>
    <s v="Chq"/>
    <s v="Cheque MBB 852121, cleared 2/11/23 RM3,731.80"/>
    <m/>
  </r>
  <r>
    <x v="469"/>
    <x v="6"/>
    <x v="4"/>
    <x v="694"/>
    <s v="C00000013"/>
    <x v="12"/>
    <x v="4"/>
    <n v="1"/>
    <s v="Cash"/>
    <x v="0"/>
    <d v="2023-11-01T00:00:00"/>
    <x v="5"/>
    <x v="5"/>
    <n v="110"/>
    <n v="-110"/>
    <n v="0"/>
    <n v="3807774.4500000025"/>
    <s v="Chq"/>
    <s v="Cheque MBB 852121, cleared 2/11/23 RM3,731.80"/>
    <m/>
  </r>
  <r>
    <x v="470"/>
    <x v="6"/>
    <x v="4"/>
    <x v="695"/>
    <s v="C00000012"/>
    <x v="44"/>
    <x v="201"/>
    <n v="3"/>
    <s v="Cash"/>
    <x v="0"/>
    <d v="2023-11-03T00:00:00"/>
    <x v="5"/>
    <x v="5"/>
    <n v="810"/>
    <n v="-810"/>
    <n v="0"/>
    <n v="3808584.4500000025"/>
    <s v="Cash"/>
    <s v="Trsf 3/11/23 RM1,174.00"/>
    <m/>
  </r>
  <r>
    <x v="470"/>
    <x v="6"/>
    <x v="4"/>
    <x v="695"/>
    <s v="C00000012"/>
    <x v="44"/>
    <x v="148"/>
    <n v="1"/>
    <s v="Cash"/>
    <x v="0"/>
    <d v="2023-11-03T00:00:00"/>
    <x v="5"/>
    <x v="5"/>
    <n v="264"/>
    <n v="-264"/>
    <n v="0"/>
    <n v="3808848.4500000025"/>
    <s v="Cash"/>
    <s v="Trsf 3/11/23 RM1,174.00"/>
    <m/>
  </r>
  <r>
    <x v="470"/>
    <x v="6"/>
    <x v="4"/>
    <x v="695"/>
    <s v="C00000012"/>
    <x v="44"/>
    <x v="310"/>
    <n v="1"/>
    <s v="Cash"/>
    <x v="0"/>
    <d v="2023-11-03T00:00:00"/>
    <x v="5"/>
    <x v="5"/>
    <n v="100"/>
    <n v="-100"/>
    <n v="0"/>
    <n v="3808948.4500000025"/>
    <s v="Cash"/>
    <s v="Trsf 3/11/23 RM1,174.00"/>
    <m/>
  </r>
  <r>
    <x v="470"/>
    <x v="6"/>
    <x v="4"/>
    <x v="696"/>
    <s v="C00000019"/>
    <x v="18"/>
    <x v="7"/>
    <n v="1"/>
    <s v="Cash"/>
    <x v="0"/>
    <d v="2023-11-03T00:00:00"/>
    <x v="5"/>
    <x v="5"/>
    <n v="1738"/>
    <m/>
    <n v="1738"/>
    <n v="3810686.4500000025"/>
    <s v="Trsf"/>
    <m/>
    <m/>
  </r>
  <r>
    <x v="470"/>
    <x v="6"/>
    <x v="4"/>
    <x v="696"/>
    <s v="C00000019"/>
    <x v="18"/>
    <x v="226"/>
    <n v="1"/>
    <s v="Cash"/>
    <x v="0"/>
    <d v="2023-11-03T00:00:00"/>
    <x v="5"/>
    <x v="5"/>
    <n v="405"/>
    <m/>
    <n v="405"/>
    <n v="3811091.4500000025"/>
    <s v="Trsf"/>
    <m/>
    <m/>
  </r>
  <r>
    <x v="470"/>
    <x v="6"/>
    <x v="4"/>
    <x v="696"/>
    <s v="C00000019"/>
    <x v="18"/>
    <x v="132"/>
    <n v="2"/>
    <s v="Cash"/>
    <x v="0"/>
    <d v="2023-11-03T00:00:00"/>
    <x v="5"/>
    <x v="5"/>
    <n v="125"/>
    <m/>
    <n v="125"/>
    <n v="3811216.4500000025"/>
    <s v="Trsf"/>
    <m/>
    <m/>
  </r>
  <r>
    <x v="470"/>
    <x v="6"/>
    <x v="4"/>
    <x v="696"/>
    <s v="C00000019"/>
    <x v="18"/>
    <x v="294"/>
    <n v="1"/>
    <s v="Cash"/>
    <x v="0"/>
    <d v="2023-11-03T00:00:00"/>
    <x v="5"/>
    <x v="5"/>
    <n v="150"/>
    <m/>
    <n v="150"/>
    <n v="3811366.4500000025"/>
    <s v="Trsf"/>
    <m/>
    <m/>
  </r>
  <r>
    <x v="471"/>
    <x v="6"/>
    <x v="4"/>
    <x v="697"/>
    <s v="C00000034"/>
    <x v="35"/>
    <x v="305"/>
    <n v="1"/>
    <s v="Cash"/>
    <x v="0"/>
    <d v="2023-11-04T00:00:00"/>
    <x v="5"/>
    <x v="5"/>
    <n v="1777.5"/>
    <m/>
    <n v="1777.5"/>
    <n v="3813143.9500000025"/>
    <s v="Trsf"/>
    <m/>
    <m/>
  </r>
  <r>
    <x v="471"/>
    <x v="6"/>
    <x v="4"/>
    <x v="697"/>
    <s v="C00000034"/>
    <x v="35"/>
    <x v="220"/>
    <n v="1"/>
    <s v="Cash"/>
    <x v="0"/>
    <d v="2023-11-04T00:00:00"/>
    <x v="5"/>
    <x v="5"/>
    <n v="219"/>
    <m/>
    <n v="219"/>
    <n v="3813362.9500000025"/>
    <s v="Trsf"/>
    <m/>
    <m/>
  </r>
  <r>
    <x v="471"/>
    <x v="6"/>
    <x v="4"/>
    <x v="697"/>
    <s v="C00000034"/>
    <x v="35"/>
    <x v="247"/>
    <n v="2"/>
    <s v="Cash"/>
    <x v="0"/>
    <d v="2023-11-04T00:00:00"/>
    <x v="5"/>
    <x v="5"/>
    <n v="438"/>
    <m/>
    <n v="438"/>
    <n v="3813800.9500000025"/>
    <s v="Trsf"/>
    <m/>
    <m/>
  </r>
  <r>
    <x v="471"/>
    <x v="6"/>
    <x v="4"/>
    <x v="697"/>
    <s v="C00000034"/>
    <x v="35"/>
    <x v="291"/>
    <n v="1"/>
    <s v="Cash"/>
    <x v="0"/>
    <d v="2023-11-04T00:00:00"/>
    <x v="5"/>
    <x v="5"/>
    <n v="236"/>
    <m/>
    <n v="236"/>
    <n v="3814036.9500000025"/>
    <s v="Trsf"/>
    <m/>
    <m/>
  </r>
  <r>
    <x v="471"/>
    <x v="6"/>
    <x v="4"/>
    <x v="697"/>
    <s v="C00000034"/>
    <x v="35"/>
    <x v="171"/>
    <n v="1"/>
    <s v="Cash"/>
    <x v="0"/>
    <d v="2023-11-04T00:00:00"/>
    <x v="5"/>
    <x v="5"/>
    <n v="95"/>
    <m/>
    <n v="95"/>
    <n v="3814131.9500000025"/>
    <s v="Trsf"/>
    <m/>
    <m/>
  </r>
  <r>
    <x v="471"/>
    <x v="6"/>
    <x v="4"/>
    <x v="697"/>
    <s v="C00000034"/>
    <x v="35"/>
    <x v="132"/>
    <n v="5"/>
    <s v="Cash"/>
    <x v="0"/>
    <d v="2023-11-04T00:00:00"/>
    <x v="5"/>
    <x v="5"/>
    <n v="312.5"/>
    <m/>
    <n v="312.5"/>
    <n v="3814444.4500000025"/>
    <s v="Trsf"/>
    <m/>
    <m/>
  </r>
  <r>
    <x v="472"/>
    <x v="6"/>
    <x v="4"/>
    <x v="698"/>
    <s v="C00000042"/>
    <x v="43"/>
    <x v="132"/>
    <n v="7"/>
    <s v="Cash"/>
    <x v="0"/>
    <d v="2023-11-06T00:00:00"/>
    <x v="5"/>
    <x v="5"/>
    <n v="437.5"/>
    <m/>
    <n v="437.5"/>
    <n v="3814881.9500000025"/>
    <s v="Trsf"/>
    <m/>
    <m/>
  </r>
  <r>
    <x v="472"/>
    <x v="6"/>
    <x v="4"/>
    <x v="699"/>
    <s v="C00000042"/>
    <x v="43"/>
    <x v="279"/>
    <n v="7"/>
    <s v="Cash"/>
    <x v="0"/>
    <d v="2023-11-06T00:00:00"/>
    <x v="5"/>
    <x v="5"/>
    <n v="11242"/>
    <m/>
    <n v="11242"/>
    <n v="3826123.9500000025"/>
    <s v="Trsf"/>
    <m/>
    <m/>
  </r>
  <r>
    <x v="472"/>
    <x v="6"/>
    <x v="4"/>
    <x v="699"/>
    <s v="C00000042"/>
    <x v="43"/>
    <x v="148"/>
    <n v="22"/>
    <s v="Cash"/>
    <x v="0"/>
    <d v="2023-11-06T00:00:00"/>
    <x v="5"/>
    <x v="5"/>
    <n v="3828"/>
    <m/>
    <n v="3828"/>
    <n v="3829951.9500000025"/>
    <s v="Trsf"/>
    <m/>
    <m/>
  </r>
  <r>
    <x v="472"/>
    <x v="6"/>
    <x v="4"/>
    <x v="699"/>
    <s v="C00000042"/>
    <x v="43"/>
    <x v="302"/>
    <n v="11"/>
    <s v="Cash"/>
    <x v="0"/>
    <d v="2023-11-06T00:00:00"/>
    <x v="5"/>
    <x v="5"/>
    <n v="2574"/>
    <m/>
    <n v="2574"/>
    <n v="3832525.9500000025"/>
    <s v="Trsf"/>
    <m/>
    <m/>
  </r>
  <r>
    <x v="472"/>
    <x v="6"/>
    <x v="4"/>
    <x v="699"/>
    <s v="C00000042"/>
    <x v="43"/>
    <x v="159"/>
    <n v="1"/>
    <s v="Cash"/>
    <x v="0"/>
    <d v="2023-11-06T00:00:00"/>
    <x v="5"/>
    <x v="5"/>
    <n v="1000"/>
    <m/>
    <n v="1000"/>
    <n v="3833525.9500000025"/>
    <s v="Trsf"/>
    <m/>
    <m/>
  </r>
  <r>
    <x v="472"/>
    <x v="6"/>
    <x v="4"/>
    <x v="699"/>
    <s v="C00000042"/>
    <x v="43"/>
    <x v="171"/>
    <n v="4"/>
    <s v="Cash"/>
    <x v="0"/>
    <d v="2023-11-06T00:00:00"/>
    <x v="5"/>
    <x v="5"/>
    <n v="380"/>
    <m/>
    <n v="380"/>
    <n v="3833905.9500000025"/>
    <s v="Trsf"/>
    <m/>
    <m/>
  </r>
  <r>
    <x v="473"/>
    <x v="6"/>
    <x v="4"/>
    <x v="700"/>
    <s v="C00000021"/>
    <x v="21"/>
    <x v="15"/>
    <n v="1"/>
    <s v="Cash"/>
    <x v="0"/>
    <d v="2023-11-07T00:00:00"/>
    <x v="5"/>
    <x v="5"/>
    <n v="1738"/>
    <m/>
    <n v="1738"/>
    <n v="3835643.9500000025"/>
    <s v="PD Chq"/>
    <m/>
    <m/>
  </r>
  <r>
    <x v="473"/>
    <x v="6"/>
    <x v="4"/>
    <x v="700"/>
    <s v="C00000021"/>
    <x v="21"/>
    <x v="148"/>
    <n v="2"/>
    <s v="Cash"/>
    <x v="0"/>
    <d v="2023-11-07T00:00:00"/>
    <x v="5"/>
    <x v="5"/>
    <n v="450"/>
    <m/>
    <n v="450"/>
    <n v="3836093.9500000025"/>
    <s v="PD Chq"/>
    <m/>
    <m/>
  </r>
  <r>
    <x v="473"/>
    <x v="6"/>
    <x v="4"/>
    <x v="700"/>
    <s v="C00000021"/>
    <x v="21"/>
    <x v="312"/>
    <n v="1"/>
    <s v="Cash"/>
    <x v="0"/>
    <d v="2023-11-07T00:00:00"/>
    <x v="5"/>
    <x v="5"/>
    <n v="277.5"/>
    <m/>
    <n v="277.5"/>
    <n v="3836371.4500000025"/>
    <s v="PD Chq"/>
    <m/>
    <m/>
  </r>
  <r>
    <x v="473"/>
    <x v="6"/>
    <x v="4"/>
    <x v="700"/>
    <s v="C00000021"/>
    <x v="21"/>
    <x v="171"/>
    <n v="1"/>
    <s v="Cash"/>
    <x v="0"/>
    <d v="2023-11-07T00:00:00"/>
    <x v="5"/>
    <x v="5"/>
    <n v="95"/>
    <m/>
    <n v="95"/>
    <n v="3836466.4500000025"/>
    <s v="PD Chq"/>
    <m/>
    <m/>
  </r>
  <r>
    <x v="473"/>
    <x v="6"/>
    <x v="4"/>
    <x v="700"/>
    <s v="C00000021"/>
    <x v="21"/>
    <x v="5"/>
    <n v="1"/>
    <s v="Cash"/>
    <x v="0"/>
    <d v="2023-11-07T00:00:00"/>
    <x v="5"/>
    <x v="5"/>
    <n v="258"/>
    <m/>
    <n v="258"/>
    <n v="3836724.4500000025"/>
    <s v="PD Chq"/>
    <m/>
    <m/>
  </r>
  <r>
    <x v="474"/>
    <x v="6"/>
    <x v="4"/>
    <x v="701"/>
    <s v="C00000014"/>
    <x v="13"/>
    <x v="45"/>
    <n v="2"/>
    <s v="Cash"/>
    <x v="0"/>
    <d v="2023-11-09T00:00:00"/>
    <x v="5"/>
    <x v="5"/>
    <n v="3212"/>
    <n v="-3212"/>
    <n v="0"/>
    <n v="3839936.4500000025"/>
    <s v="Cash"/>
    <s v="Cash 15/11/23 RM5,805.00"/>
    <m/>
  </r>
  <r>
    <x v="474"/>
    <x v="6"/>
    <x v="4"/>
    <x v="701"/>
    <s v="C00000014"/>
    <x v="13"/>
    <x v="313"/>
    <n v="5"/>
    <s v="Cash"/>
    <x v="0"/>
    <d v="2023-11-09T00:00:00"/>
    <x v="5"/>
    <x v="5"/>
    <n v="1295"/>
    <n v="-1295"/>
    <n v="0"/>
    <n v="3841231.4500000025"/>
    <s v="Cash"/>
    <s v="Cash 15/11/23 RM5,805.00"/>
    <m/>
  </r>
  <r>
    <x v="474"/>
    <x v="6"/>
    <x v="4"/>
    <x v="701"/>
    <s v="C00000014"/>
    <x v="13"/>
    <x v="5"/>
    <n v="2"/>
    <s v="Cash"/>
    <x v="0"/>
    <d v="2023-11-09T00:00:00"/>
    <x v="5"/>
    <x v="5"/>
    <n v="516"/>
    <n v="-516"/>
    <n v="0"/>
    <n v="3841747.4500000025"/>
    <s v="Cash"/>
    <s v="Cash 15/11/23 RM5,805.00"/>
    <m/>
  </r>
  <r>
    <x v="474"/>
    <x v="6"/>
    <x v="4"/>
    <x v="701"/>
    <s v="C00000014"/>
    <x v="13"/>
    <x v="4"/>
    <n v="1"/>
    <s v="Cash"/>
    <x v="0"/>
    <d v="2023-11-09T00:00:00"/>
    <x v="5"/>
    <x v="5"/>
    <n v="105"/>
    <n v="-105"/>
    <n v="0"/>
    <n v="3841852.4500000025"/>
    <s v="Cash"/>
    <s v="Cash 15/11/23 RM5,805.00"/>
    <m/>
  </r>
  <r>
    <x v="474"/>
    <x v="6"/>
    <x v="4"/>
    <x v="701"/>
    <s v="C00000014"/>
    <x v="13"/>
    <x v="294"/>
    <n v="2"/>
    <s v="Cash"/>
    <x v="0"/>
    <d v="2023-11-09T00:00:00"/>
    <x v="5"/>
    <x v="5"/>
    <n v="320"/>
    <n v="-320"/>
    <n v="0"/>
    <n v="3842172.4500000025"/>
    <s v="Cash"/>
    <s v="Cash 15/11/23 RM5,805.00"/>
    <m/>
  </r>
  <r>
    <x v="474"/>
    <x v="6"/>
    <x v="4"/>
    <x v="701"/>
    <s v="C00000014"/>
    <x v="13"/>
    <x v="278"/>
    <n v="1"/>
    <s v="Cash"/>
    <x v="0"/>
    <d v="2023-11-09T00:00:00"/>
    <x v="5"/>
    <x v="5"/>
    <n v="165"/>
    <n v="-165"/>
    <n v="0"/>
    <n v="3842337.4500000025"/>
    <s v="Cash"/>
    <s v="Cash 15/11/23 RM5,805.00"/>
    <m/>
  </r>
  <r>
    <x v="474"/>
    <x v="6"/>
    <x v="4"/>
    <x v="701"/>
    <s v="C00000014"/>
    <x v="13"/>
    <x v="224"/>
    <n v="4"/>
    <s v="Cash"/>
    <x v="0"/>
    <d v="2023-11-09T00:00:00"/>
    <x v="5"/>
    <x v="5"/>
    <n v="192"/>
    <n v="-192"/>
    <n v="0"/>
    <n v="3842529.4500000025"/>
    <s v="Cash"/>
    <s v="Cash 15/11/23 RM5,805.00"/>
    <m/>
  </r>
  <r>
    <x v="475"/>
    <x v="6"/>
    <x v="4"/>
    <x v="702"/>
    <s v="C00000042"/>
    <x v="43"/>
    <x v="159"/>
    <n v="1"/>
    <s v="Cash"/>
    <x v="0"/>
    <d v="2023-11-10T00:00:00"/>
    <x v="5"/>
    <x v="5"/>
    <n v="1000"/>
    <m/>
    <n v="1000"/>
    <n v="3843529.4500000025"/>
    <s v="Trsf"/>
    <m/>
    <m/>
  </r>
  <r>
    <x v="475"/>
    <x v="6"/>
    <x v="4"/>
    <x v="703"/>
    <s v="C00000042"/>
    <x v="43"/>
    <x v="132"/>
    <n v="2"/>
    <s v="Cash"/>
    <x v="0"/>
    <d v="2023-11-10T00:00:00"/>
    <x v="5"/>
    <x v="5"/>
    <n v="125"/>
    <m/>
    <n v="125"/>
    <n v="3843654.4500000025"/>
    <s v="Trsf"/>
    <m/>
    <m/>
  </r>
  <r>
    <x v="476"/>
    <x v="6"/>
    <x v="4"/>
    <x v="704"/>
    <s v="C00000042"/>
    <x v="43"/>
    <x v="279"/>
    <n v="2"/>
    <s v="Cash"/>
    <x v="0"/>
    <d v="2023-11-15T00:00:00"/>
    <x v="5"/>
    <x v="5"/>
    <n v="3212"/>
    <m/>
    <n v="3212"/>
    <n v="3846866.4500000025"/>
    <s v="Trsf"/>
    <m/>
    <m/>
  </r>
  <r>
    <x v="476"/>
    <x v="6"/>
    <x v="4"/>
    <x v="704"/>
    <s v="C00000042"/>
    <x v="43"/>
    <x v="314"/>
    <n v="6"/>
    <s v="Cash"/>
    <x v="0"/>
    <d v="2023-11-15T00:00:00"/>
    <x v="5"/>
    <x v="5"/>
    <n v="1287.5999999999999"/>
    <m/>
    <n v="1287.5999999999999"/>
    <n v="3848154.0500000026"/>
    <s v="Trsf"/>
    <m/>
    <m/>
  </r>
  <r>
    <x v="476"/>
    <x v="6"/>
    <x v="4"/>
    <x v="704"/>
    <s v="C00000042"/>
    <x v="43"/>
    <x v="302"/>
    <n v="3"/>
    <s v="Cash"/>
    <x v="0"/>
    <d v="2023-11-15T00:00:00"/>
    <x v="5"/>
    <x v="5"/>
    <n v="702"/>
    <m/>
    <n v="702"/>
    <n v="3848856.0500000026"/>
    <s v="Trsf"/>
    <m/>
    <m/>
  </r>
  <r>
    <x v="476"/>
    <x v="6"/>
    <x v="4"/>
    <x v="704"/>
    <s v="C00000042"/>
    <x v="43"/>
    <x v="159"/>
    <n v="1"/>
    <s v="Cash"/>
    <x v="0"/>
    <d v="2023-11-15T00:00:00"/>
    <x v="5"/>
    <x v="5"/>
    <n v="1000"/>
    <m/>
    <n v="1000"/>
    <n v="3849856.0500000026"/>
    <s v="Trsf"/>
    <m/>
    <m/>
  </r>
  <r>
    <x v="476"/>
    <x v="6"/>
    <x v="4"/>
    <x v="705"/>
    <s v="C00000014"/>
    <x v="13"/>
    <x v="315"/>
    <n v="2"/>
    <s v="Cash"/>
    <x v="0"/>
    <d v="2023-11-15T00:00:00"/>
    <x v="5"/>
    <x v="5"/>
    <n v="567.6"/>
    <n v="-567.6"/>
    <n v="0"/>
    <n v="3850423.6500000027"/>
    <s v="Cash"/>
    <s v="Cash 22/11/23 RM567.60"/>
    <m/>
  </r>
  <r>
    <x v="476"/>
    <x v="6"/>
    <x v="4"/>
    <x v="706"/>
    <s v="C00000010"/>
    <x v="9"/>
    <x v="188"/>
    <n v="5"/>
    <n v="120"/>
    <x v="2"/>
    <d v="2024-03-14T00:00:00"/>
    <x v="9"/>
    <x v="6"/>
    <n v="8030"/>
    <m/>
    <n v="8030"/>
    <n v="3858453.6500000027"/>
    <s v="Trsf"/>
    <m/>
    <m/>
  </r>
  <r>
    <x v="476"/>
    <x v="6"/>
    <x v="4"/>
    <x v="706"/>
    <s v="C00000010"/>
    <x v="9"/>
    <x v="314"/>
    <n v="10"/>
    <n v="120"/>
    <x v="2"/>
    <d v="2024-03-14T00:00:00"/>
    <x v="9"/>
    <x v="6"/>
    <n v="2146"/>
    <m/>
    <n v="2146"/>
    <n v="3860599.6500000027"/>
    <s v="Trsf"/>
    <m/>
    <m/>
  </r>
  <r>
    <x v="476"/>
    <x v="6"/>
    <x v="4"/>
    <x v="706"/>
    <s v="C00000010"/>
    <x v="9"/>
    <x v="132"/>
    <n v="10"/>
    <n v="120"/>
    <x v="2"/>
    <d v="2024-03-14T00:00:00"/>
    <x v="9"/>
    <x v="6"/>
    <n v="575"/>
    <m/>
    <n v="575"/>
    <n v="3861174.6500000027"/>
    <s v="Trsf"/>
    <m/>
    <m/>
  </r>
  <r>
    <x v="476"/>
    <x v="6"/>
    <x v="4"/>
    <x v="706"/>
    <s v="C00000010"/>
    <x v="9"/>
    <x v="4"/>
    <n v="8"/>
    <n v="120"/>
    <x v="2"/>
    <d v="2024-03-14T00:00:00"/>
    <x v="9"/>
    <x v="6"/>
    <n v="840"/>
    <m/>
    <n v="840"/>
    <n v="3862014.6500000027"/>
    <s v="Trsf"/>
    <m/>
    <m/>
  </r>
  <r>
    <x v="476"/>
    <x v="6"/>
    <x v="4"/>
    <x v="706"/>
    <s v="C00000010"/>
    <x v="9"/>
    <x v="131"/>
    <n v="1"/>
    <n v="120"/>
    <x v="2"/>
    <d v="2024-03-14T00:00:00"/>
    <x v="9"/>
    <x v="6"/>
    <n v="420"/>
    <m/>
    <n v="420"/>
    <n v="3862434.6500000027"/>
    <s v="Trsf"/>
    <m/>
    <m/>
  </r>
  <r>
    <x v="476"/>
    <x v="6"/>
    <x v="4"/>
    <x v="706"/>
    <s v="C00000010"/>
    <x v="9"/>
    <x v="48"/>
    <n v="1"/>
    <n v="120"/>
    <x v="2"/>
    <d v="2024-03-14T00:00:00"/>
    <x v="9"/>
    <x v="6"/>
    <n v="395"/>
    <m/>
    <n v="395"/>
    <n v="3862829.6500000027"/>
    <s v="Trsf"/>
    <m/>
    <m/>
  </r>
  <r>
    <x v="476"/>
    <x v="6"/>
    <x v="4"/>
    <x v="707"/>
    <s v="C00000010"/>
    <x v="9"/>
    <x v="316"/>
    <n v="1"/>
    <n v="120"/>
    <x v="2"/>
    <d v="2024-03-14T00:00:00"/>
    <x v="9"/>
    <x v="6"/>
    <n v="1597.5"/>
    <m/>
    <n v="1597.5"/>
    <n v="3864427.1500000027"/>
    <s v="Trsf"/>
    <m/>
    <m/>
  </r>
  <r>
    <x v="476"/>
    <x v="6"/>
    <x v="4"/>
    <x v="708"/>
    <s v="C00000019"/>
    <x v="18"/>
    <x v="7"/>
    <n v="1"/>
    <s v="Cash"/>
    <x v="0"/>
    <d v="2023-11-15T00:00:00"/>
    <x v="5"/>
    <x v="5"/>
    <n v="1738"/>
    <m/>
    <n v="1738"/>
    <n v="3866165.1500000027"/>
    <s v="Trsf"/>
    <m/>
    <m/>
  </r>
  <r>
    <x v="476"/>
    <x v="6"/>
    <x v="4"/>
    <x v="708"/>
    <s v="C00000019"/>
    <x v="18"/>
    <x v="226"/>
    <n v="1"/>
    <s v="Cash"/>
    <x v="0"/>
    <d v="2023-11-15T00:00:00"/>
    <x v="5"/>
    <x v="5"/>
    <n v="405"/>
    <m/>
    <n v="405"/>
    <n v="3866570.1500000027"/>
    <s v="Trsf"/>
    <m/>
    <m/>
  </r>
  <r>
    <x v="476"/>
    <x v="6"/>
    <x v="4"/>
    <x v="708"/>
    <s v="C00000019"/>
    <x v="18"/>
    <x v="132"/>
    <n v="3"/>
    <s v="Cash"/>
    <x v="0"/>
    <d v="2023-11-15T00:00:00"/>
    <x v="5"/>
    <x v="5"/>
    <n v="187.5"/>
    <m/>
    <n v="187.5"/>
    <n v="3866757.6500000027"/>
    <s v="Trsf"/>
    <m/>
    <m/>
  </r>
  <r>
    <x v="476"/>
    <x v="6"/>
    <x v="4"/>
    <x v="708"/>
    <s v="C00000019"/>
    <x v="18"/>
    <x v="4"/>
    <n v="1"/>
    <s v="Cash"/>
    <x v="0"/>
    <d v="2023-11-15T00:00:00"/>
    <x v="5"/>
    <x v="5"/>
    <n v="105"/>
    <m/>
    <n v="105"/>
    <n v="3866862.6500000027"/>
    <s v="Trsf"/>
    <m/>
    <m/>
  </r>
  <r>
    <x v="476"/>
    <x v="6"/>
    <x v="4"/>
    <x v="708"/>
    <s v="C00000019"/>
    <x v="18"/>
    <x v="244"/>
    <n v="1"/>
    <s v="Cash"/>
    <x v="0"/>
    <d v="2023-11-15T00:00:00"/>
    <x v="5"/>
    <x v="5"/>
    <n v="390"/>
    <m/>
    <n v="390"/>
    <n v="3867252.6500000027"/>
    <s v="Trsf"/>
    <m/>
    <m/>
  </r>
  <r>
    <x v="476"/>
    <x v="6"/>
    <x v="4"/>
    <x v="708"/>
    <s v="C00000019"/>
    <x v="18"/>
    <x v="259"/>
    <n v="1"/>
    <s v="Cash"/>
    <x v="0"/>
    <d v="2023-11-15T00:00:00"/>
    <x v="5"/>
    <x v="5"/>
    <n v="260"/>
    <m/>
    <n v="260"/>
    <n v="3867512.6500000027"/>
    <s v="Trsf"/>
    <m/>
    <m/>
  </r>
  <r>
    <x v="477"/>
    <x v="6"/>
    <x v="4"/>
    <x v="709"/>
    <s v="C00000042"/>
    <x v="43"/>
    <x v="132"/>
    <n v="1"/>
    <s v="Cash"/>
    <x v="0"/>
    <d v="2023-11-17T00:00:00"/>
    <x v="5"/>
    <x v="5"/>
    <n v="62.5"/>
    <m/>
    <n v="62.5"/>
    <n v="3867575.1500000027"/>
    <s v="Trsf"/>
    <m/>
    <m/>
  </r>
  <r>
    <x v="477"/>
    <x v="6"/>
    <x v="4"/>
    <x v="710"/>
    <s v="C00000042"/>
    <x v="43"/>
    <x v="279"/>
    <n v="1"/>
    <s v="Cash"/>
    <x v="0"/>
    <d v="2023-11-17T00:00:00"/>
    <x v="5"/>
    <x v="5"/>
    <n v="1606"/>
    <m/>
    <n v="1606"/>
    <n v="3869181.1500000027"/>
    <s v="Trsf"/>
    <m/>
    <m/>
  </r>
  <r>
    <x v="477"/>
    <x v="6"/>
    <x v="4"/>
    <x v="710"/>
    <s v="C00000042"/>
    <x v="43"/>
    <x v="314"/>
    <n v="3"/>
    <s v="Cash"/>
    <x v="0"/>
    <d v="2023-11-17T00:00:00"/>
    <x v="5"/>
    <x v="5"/>
    <n v="643.79999999999995"/>
    <m/>
    <n v="643.79999999999995"/>
    <n v="3869824.9500000025"/>
    <s v="Trsf"/>
    <m/>
    <m/>
  </r>
  <r>
    <x v="477"/>
    <x v="6"/>
    <x v="4"/>
    <x v="710"/>
    <s v="C00000042"/>
    <x v="43"/>
    <x v="302"/>
    <n v="2"/>
    <s v="Cash"/>
    <x v="0"/>
    <d v="2023-11-17T00:00:00"/>
    <x v="5"/>
    <x v="5"/>
    <n v="468"/>
    <m/>
    <n v="468"/>
    <n v="3870292.9500000025"/>
    <s v="Trsf"/>
    <m/>
    <m/>
  </r>
  <r>
    <x v="478"/>
    <x v="6"/>
    <x v="4"/>
    <x v="711"/>
    <s v="C00000014"/>
    <x v="13"/>
    <x v="45"/>
    <n v="2"/>
    <s v="Cash"/>
    <x v="0"/>
    <d v="2023-11-21T00:00:00"/>
    <x v="5"/>
    <x v="5"/>
    <n v="3212"/>
    <n v="-3212"/>
    <n v="0"/>
    <n v="3873504.9500000025"/>
    <s v="Cash"/>
    <s v="Cash 22/11/23 RM5,844.40"/>
    <m/>
  </r>
  <r>
    <x v="478"/>
    <x v="6"/>
    <x v="4"/>
    <x v="711"/>
    <s v="C00000014"/>
    <x v="13"/>
    <x v="313"/>
    <n v="4"/>
    <s v="Cash"/>
    <x v="0"/>
    <d v="2023-11-21T00:00:00"/>
    <x v="5"/>
    <x v="5"/>
    <n v="1036"/>
    <n v="-1036"/>
    <n v="0"/>
    <n v="3874540.9500000025"/>
    <s v="Cash"/>
    <s v="Cash 22/11/23 RM5,844.40"/>
    <m/>
  </r>
  <r>
    <x v="478"/>
    <x v="6"/>
    <x v="4"/>
    <x v="711"/>
    <s v="C00000014"/>
    <x v="13"/>
    <x v="315"/>
    <n v="3"/>
    <s v="Cash"/>
    <x v="0"/>
    <d v="2023-11-21T00:00:00"/>
    <x v="5"/>
    <x v="5"/>
    <n v="851.4"/>
    <n v="-851.4"/>
    <n v="0"/>
    <n v="3875392.3500000024"/>
    <s v="Cash"/>
    <s v="Cash 22/11/23 RM5,844.40"/>
    <m/>
  </r>
  <r>
    <x v="478"/>
    <x v="6"/>
    <x v="4"/>
    <x v="711"/>
    <s v="C00000014"/>
    <x v="13"/>
    <x v="4"/>
    <n v="1"/>
    <s v="Cash"/>
    <x v="0"/>
    <d v="2023-11-21T00:00:00"/>
    <x v="5"/>
    <x v="5"/>
    <n v="105"/>
    <n v="-105"/>
    <n v="0"/>
    <n v="3875497.3500000024"/>
    <s v="Cash"/>
    <s v="Cash 22/11/23 RM5,844.40"/>
    <m/>
  </r>
  <r>
    <x v="478"/>
    <x v="6"/>
    <x v="4"/>
    <x v="711"/>
    <s v="C00000014"/>
    <x v="13"/>
    <x v="294"/>
    <n v="4"/>
    <s v="Cash"/>
    <x v="0"/>
    <d v="2023-11-21T00:00:00"/>
    <x v="5"/>
    <x v="5"/>
    <n v="640"/>
    <n v="-640"/>
    <n v="0"/>
    <n v="3876137.3500000024"/>
    <s v="Cash"/>
    <s v="Cash 22/11/23 RM5,844.40"/>
    <m/>
  </r>
  <r>
    <x v="478"/>
    <x v="6"/>
    <x v="4"/>
    <x v="712"/>
    <s v="C00000042"/>
    <x v="43"/>
    <x v="132"/>
    <n v="2"/>
    <s v="Cash"/>
    <x v="0"/>
    <d v="2023-11-21T00:00:00"/>
    <x v="5"/>
    <x v="5"/>
    <n v="125"/>
    <m/>
    <n v="125"/>
    <n v="3876262.3500000024"/>
    <s v="Trsf"/>
    <m/>
    <m/>
  </r>
  <r>
    <x v="478"/>
    <x v="6"/>
    <x v="4"/>
    <x v="713"/>
    <s v="C00000042"/>
    <x v="43"/>
    <x v="279"/>
    <n v="2"/>
    <s v="Cash"/>
    <x v="0"/>
    <d v="2023-11-21T00:00:00"/>
    <x v="5"/>
    <x v="5"/>
    <n v="3212"/>
    <m/>
    <n v="3212"/>
    <n v="3879474.3500000024"/>
    <s v="Trsf"/>
    <m/>
    <m/>
  </r>
  <r>
    <x v="479"/>
    <x v="6"/>
    <x v="4"/>
    <x v="714"/>
    <s v="C00000006"/>
    <x v="5"/>
    <x v="7"/>
    <n v="1"/>
    <s v="Cash"/>
    <x v="0"/>
    <d v="2023-11-22T00:00:00"/>
    <x v="5"/>
    <x v="5"/>
    <n v="1738"/>
    <m/>
    <n v="1738"/>
    <n v="3881212.3500000024"/>
    <s v="Chq"/>
    <m/>
    <m/>
  </r>
  <r>
    <x v="479"/>
    <x v="6"/>
    <x v="4"/>
    <x v="714"/>
    <s v="C00000006"/>
    <x v="5"/>
    <x v="247"/>
    <n v="3"/>
    <s v="Cash"/>
    <x v="0"/>
    <d v="2023-11-22T00:00:00"/>
    <x v="5"/>
    <x v="5"/>
    <n v="675"/>
    <m/>
    <n v="675"/>
    <n v="3881887.3500000024"/>
    <s v="Chq"/>
    <m/>
    <m/>
  </r>
  <r>
    <x v="480"/>
    <x v="6"/>
    <x v="4"/>
    <x v="715"/>
    <s v="C00000042"/>
    <x v="43"/>
    <x v="132"/>
    <n v="3"/>
    <s v="Cash"/>
    <x v="0"/>
    <d v="2023-11-24T00:00:00"/>
    <x v="5"/>
    <x v="5"/>
    <n v="187.5"/>
    <m/>
    <n v="187.5"/>
    <n v="3882074.8500000024"/>
    <s v="Trsf"/>
    <m/>
    <m/>
  </r>
  <r>
    <x v="480"/>
    <x v="6"/>
    <x v="4"/>
    <x v="716"/>
    <s v="C00000042"/>
    <x v="43"/>
    <x v="279"/>
    <n v="3"/>
    <s v="Cash"/>
    <x v="0"/>
    <d v="2023-11-24T00:00:00"/>
    <x v="5"/>
    <x v="5"/>
    <n v="4818"/>
    <m/>
    <n v="4818"/>
    <n v="3886892.8500000024"/>
    <s v="Trsf"/>
    <m/>
    <m/>
  </r>
  <r>
    <x v="480"/>
    <x v="6"/>
    <x v="4"/>
    <x v="716"/>
    <s v="C00000042"/>
    <x v="43"/>
    <x v="314"/>
    <n v="9"/>
    <s v="Cash"/>
    <x v="0"/>
    <d v="2023-11-24T00:00:00"/>
    <x v="5"/>
    <x v="5"/>
    <n v="1931.4"/>
    <m/>
    <n v="1931.4"/>
    <n v="3888824.2500000023"/>
    <s v="Trsf"/>
    <m/>
    <m/>
  </r>
  <r>
    <x v="480"/>
    <x v="6"/>
    <x v="4"/>
    <x v="716"/>
    <s v="C00000042"/>
    <x v="43"/>
    <x v="302"/>
    <n v="4"/>
    <s v="Cash"/>
    <x v="0"/>
    <d v="2023-11-24T00:00:00"/>
    <x v="5"/>
    <x v="5"/>
    <n v="936"/>
    <m/>
    <n v="936"/>
    <n v="3889760.2500000023"/>
    <s v="Trsf"/>
    <m/>
    <m/>
  </r>
  <r>
    <x v="480"/>
    <x v="6"/>
    <x v="4"/>
    <x v="716"/>
    <s v="C00000042"/>
    <x v="43"/>
    <x v="159"/>
    <n v="1"/>
    <s v="Cash"/>
    <x v="0"/>
    <d v="2023-11-24T00:00:00"/>
    <x v="5"/>
    <x v="5"/>
    <n v="1000"/>
    <m/>
    <n v="1000"/>
    <n v="3890760.2500000023"/>
    <s v="Trsf"/>
    <m/>
    <m/>
  </r>
  <r>
    <x v="481"/>
    <x v="6"/>
    <x v="4"/>
    <x v="717"/>
    <s v="C00000021"/>
    <x v="21"/>
    <x v="15"/>
    <n v="1"/>
    <s v="Cash"/>
    <x v="0"/>
    <d v="2023-11-25T00:00:00"/>
    <x v="5"/>
    <x v="5"/>
    <n v="1738"/>
    <m/>
    <n v="1738"/>
    <n v="3892498.2500000023"/>
    <s v="PD Chq"/>
    <m/>
    <m/>
  </r>
  <r>
    <x v="481"/>
    <x v="6"/>
    <x v="4"/>
    <x v="717"/>
    <s v="C00000021"/>
    <x v="21"/>
    <x v="148"/>
    <n v="2"/>
    <s v="Cash"/>
    <x v="0"/>
    <d v="2023-11-25T00:00:00"/>
    <x v="5"/>
    <x v="5"/>
    <n v="450"/>
    <m/>
    <n v="450"/>
    <n v="3892948.2500000023"/>
    <s v="PD Chq"/>
    <m/>
    <m/>
  </r>
  <r>
    <x v="481"/>
    <x v="6"/>
    <x v="4"/>
    <x v="717"/>
    <s v="C00000021"/>
    <x v="21"/>
    <x v="134"/>
    <n v="1"/>
    <s v="Cash"/>
    <x v="0"/>
    <d v="2023-11-25T00:00:00"/>
    <x v="5"/>
    <x v="5"/>
    <n v="225"/>
    <m/>
    <n v="225"/>
    <n v="3893173.2500000023"/>
    <s v="PD Chq"/>
    <m/>
    <m/>
  </r>
  <r>
    <x v="481"/>
    <x v="6"/>
    <x v="4"/>
    <x v="717"/>
    <s v="C00000021"/>
    <x v="21"/>
    <x v="171"/>
    <n v="1"/>
    <s v="Cash"/>
    <x v="0"/>
    <d v="2023-11-25T00:00:00"/>
    <x v="5"/>
    <x v="5"/>
    <n v="95"/>
    <m/>
    <n v="95"/>
    <n v="3893268.2500000023"/>
    <s v="PD Chq"/>
    <m/>
    <m/>
  </r>
  <r>
    <x v="482"/>
    <x v="6"/>
    <x v="4"/>
    <x v="718"/>
    <s v="C00000027"/>
    <x v="28"/>
    <x v="15"/>
    <n v="2"/>
    <s v="Cash"/>
    <x v="0"/>
    <d v="2023-11-27T00:00:00"/>
    <x v="5"/>
    <x v="5"/>
    <n v="3476"/>
    <m/>
    <n v="3476"/>
    <n v="3896744.2500000023"/>
    <s v="Trsf"/>
    <m/>
    <m/>
  </r>
  <r>
    <x v="482"/>
    <x v="6"/>
    <x v="4"/>
    <x v="718"/>
    <s v="C00000027"/>
    <x v="28"/>
    <x v="315"/>
    <n v="1"/>
    <s v="Cash"/>
    <x v="0"/>
    <d v="2023-11-27T00:00:00"/>
    <x v="5"/>
    <x v="5"/>
    <n v="281.60000000000002"/>
    <m/>
    <n v="281.60000000000002"/>
    <n v="3897025.8500000024"/>
    <s v="Trsf"/>
    <m/>
    <m/>
  </r>
  <r>
    <x v="482"/>
    <x v="6"/>
    <x v="4"/>
    <x v="718"/>
    <s v="C00000027"/>
    <x v="28"/>
    <x v="242"/>
    <n v="1"/>
    <s v="Cash"/>
    <x v="0"/>
    <d v="2023-11-27T00:00:00"/>
    <x v="5"/>
    <x v="5"/>
    <n v="170"/>
    <m/>
    <n v="170"/>
    <n v="3897195.8500000024"/>
    <s v="Trsf"/>
    <m/>
    <m/>
  </r>
  <r>
    <x v="482"/>
    <x v="6"/>
    <x v="4"/>
    <x v="718"/>
    <s v="C00000027"/>
    <x v="28"/>
    <x v="104"/>
    <n v="1"/>
    <s v="Cash"/>
    <x v="0"/>
    <d v="2023-11-27T00:00:00"/>
    <x v="5"/>
    <x v="5"/>
    <n v="1059.5"/>
    <m/>
    <n v="1059.5"/>
    <n v="3898255.3500000024"/>
    <s v="Trsf"/>
    <m/>
    <m/>
  </r>
  <r>
    <x v="483"/>
    <x v="6"/>
    <x v="4"/>
    <x v="719"/>
    <s v="C00000042"/>
    <x v="43"/>
    <x v="132"/>
    <n v="3"/>
    <s v="Cash"/>
    <x v="0"/>
    <d v="2023-11-28T00:00:00"/>
    <x v="5"/>
    <x v="5"/>
    <n v="187.5"/>
    <m/>
    <n v="187.5"/>
    <n v="3898442.8500000024"/>
    <s v="Trsf"/>
    <m/>
    <m/>
  </r>
  <r>
    <x v="483"/>
    <x v="6"/>
    <x v="4"/>
    <x v="720"/>
    <s v="C00000042"/>
    <x v="43"/>
    <x v="279"/>
    <n v="3"/>
    <s v="Cash"/>
    <x v="0"/>
    <d v="2023-11-28T00:00:00"/>
    <x v="5"/>
    <x v="5"/>
    <n v="4818"/>
    <m/>
    <n v="4818"/>
    <n v="3903260.8500000024"/>
    <s v="Trsf"/>
    <m/>
    <m/>
  </r>
  <r>
    <x v="483"/>
    <x v="6"/>
    <x v="4"/>
    <x v="720"/>
    <s v="C00000042"/>
    <x v="43"/>
    <x v="314"/>
    <n v="9"/>
    <s v="Cash"/>
    <x v="0"/>
    <d v="2023-11-28T00:00:00"/>
    <x v="5"/>
    <x v="5"/>
    <n v="1931.4"/>
    <m/>
    <n v="1931.4"/>
    <n v="3905192.2500000023"/>
    <s v="Trsf"/>
    <m/>
    <m/>
  </r>
  <r>
    <x v="483"/>
    <x v="6"/>
    <x v="4"/>
    <x v="720"/>
    <s v="C00000042"/>
    <x v="43"/>
    <x v="302"/>
    <n v="4"/>
    <s v="Cash"/>
    <x v="0"/>
    <d v="2023-11-28T00:00:00"/>
    <x v="5"/>
    <x v="5"/>
    <n v="936"/>
    <m/>
    <n v="936"/>
    <n v="3906128.2500000023"/>
    <s v="Trsf"/>
    <m/>
    <m/>
  </r>
  <r>
    <x v="483"/>
    <x v="6"/>
    <x v="4"/>
    <x v="720"/>
    <s v="C00000042"/>
    <x v="43"/>
    <x v="171"/>
    <n v="4"/>
    <s v="Cash"/>
    <x v="0"/>
    <d v="2023-11-28T00:00:00"/>
    <x v="5"/>
    <x v="5"/>
    <n v="380"/>
    <m/>
    <n v="380"/>
    <n v="3906508.2500000023"/>
    <s v="Trsf"/>
    <m/>
    <m/>
  </r>
  <r>
    <x v="484"/>
    <x v="6"/>
    <x v="4"/>
    <x v="721"/>
    <s v="C00000019"/>
    <x v="18"/>
    <x v="7"/>
    <n v="1"/>
    <s v="Cash"/>
    <x v="0"/>
    <d v="2023-11-29T00:00:00"/>
    <x v="5"/>
    <x v="5"/>
    <n v="1738"/>
    <m/>
    <n v="1738"/>
    <n v="3908246.2500000023"/>
    <s v="Trsf"/>
    <m/>
    <m/>
  </r>
  <r>
    <x v="484"/>
    <x v="6"/>
    <x v="4"/>
    <x v="721"/>
    <s v="C00000019"/>
    <x v="18"/>
    <x v="226"/>
    <n v="1"/>
    <s v="Cash"/>
    <x v="0"/>
    <d v="2023-11-29T00:00:00"/>
    <x v="5"/>
    <x v="5"/>
    <n v="405"/>
    <m/>
    <n v="405"/>
    <n v="3908651.2500000023"/>
    <s v="Trsf"/>
    <m/>
    <m/>
  </r>
  <r>
    <x v="484"/>
    <x v="6"/>
    <x v="4"/>
    <x v="721"/>
    <s v="C00000019"/>
    <x v="18"/>
    <x v="132"/>
    <n v="3"/>
    <s v="Cash"/>
    <x v="0"/>
    <d v="2023-11-29T00:00:00"/>
    <x v="5"/>
    <x v="5"/>
    <n v="187.5"/>
    <m/>
    <n v="187.5"/>
    <n v="3908838.7500000023"/>
    <s v="Trsf"/>
    <m/>
    <m/>
  </r>
  <r>
    <x v="484"/>
    <x v="6"/>
    <x v="4"/>
    <x v="721"/>
    <s v="C00000019"/>
    <x v="18"/>
    <x v="317"/>
    <n v="1"/>
    <s v="Cash"/>
    <x v="0"/>
    <d v="2023-11-29T00:00:00"/>
    <x v="5"/>
    <x v="5"/>
    <n v="283.8"/>
    <m/>
    <n v="283.8"/>
    <n v="3909122.5500000021"/>
    <s v="Trsf"/>
    <m/>
    <m/>
  </r>
  <r>
    <x v="484"/>
    <x v="6"/>
    <x v="4"/>
    <x v="721"/>
    <s v="C00000019"/>
    <x v="18"/>
    <x v="244"/>
    <n v="1"/>
    <s v="Cash"/>
    <x v="0"/>
    <d v="2023-11-29T00:00:00"/>
    <x v="5"/>
    <x v="5"/>
    <n v="390"/>
    <m/>
    <n v="390"/>
    <n v="3909512.5500000021"/>
    <s v="Trsf"/>
    <m/>
    <m/>
  </r>
  <r>
    <x v="484"/>
    <x v="6"/>
    <x v="4"/>
    <x v="721"/>
    <s v="C00000019"/>
    <x v="18"/>
    <x v="131"/>
    <n v="1"/>
    <s v="Cash"/>
    <x v="0"/>
    <d v="2023-11-29T00:00:00"/>
    <x v="5"/>
    <x v="5"/>
    <n v="420"/>
    <m/>
    <n v="420"/>
    <n v="3909932.5500000021"/>
    <s v="Trsf"/>
    <m/>
    <m/>
  </r>
  <r>
    <x v="485"/>
    <x v="0"/>
    <x v="4"/>
    <x v="722"/>
    <s v="C00000010"/>
    <x v="9"/>
    <x v="188"/>
    <n v="1"/>
    <n v="120"/>
    <x v="2"/>
    <d v="2024-03-30T00:00:00"/>
    <x v="9"/>
    <x v="6"/>
    <n v="9636"/>
    <m/>
    <n v="9636"/>
    <n v="3919568.5500000021"/>
    <s v="Trsf"/>
    <m/>
    <m/>
  </r>
  <r>
    <x v="485"/>
    <x v="0"/>
    <x v="4"/>
    <x v="722"/>
    <s v="C00000010"/>
    <x v="9"/>
    <x v="216"/>
    <n v="10"/>
    <n v="120"/>
    <x v="2"/>
    <d v="2024-03-30T00:00:00"/>
    <x v="9"/>
    <x v="6"/>
    <n v="1740"/>
    <m/>
    <n v="1740"/>
    <n v="3921308.5500000021"/>
    <s v="Trsf"/>
    <m/>
    <m/>
  </r>
  <r>
    <x v="485"/>
    <x v="0"/>
    <x v="4"/>
    <x v="722"/>
    <s v="C00000010"/>
    <x v="9"/>
    <x v="132"/>
    <n v="10"/>
    <n v="120"/>
    <x v="2"/>
    <d v="2024-03-30T00:00:00"/>
    <x v="9"/>
    <x v="6"/>
    <n v="575"/>
    <m/>
    <n v="575"/>
    <n v="3921883.5500000021"/>
    <s v="Trsf"/>
    <m/>
    <m/>
  </r>
  <r>
    <x v="485"/>
    <x v="0"/>
    <x v="4"/>
    <x v="722"/>
    <s v="C00000010"/>
    <x v="9"/>
    <x v="4"/>
    <n v="4"/>
    <n v="120"/>
    <x v="2"/>
    <d v="2024-03-30T00:00:00"/>
    <x v="9"/>
    <x v="6"/>
    <n v="420"/>
    <m/>
    <n v="420"/>
    <n v="3922303.5500000021"/>
    <s v="Trsf"/>
    <m/>
    <m/>
  </r>
  <r>
    <x v="485"/>
    <x v="0"/>
    <x v="4"/>
    <x v="722"/>
    <s v="C00000010"/>
    <x v="9"/>
    <x v="174"/>
    <n v="4"/>
    <n v="120"/>
    <x v="2"/>
    <d v="2024-03-30T00:00:00"/>
    <x v="9"/>
    <x v="6"/>
    <n v="230.4"/>
    <m/>
    <n v="230.4"/>
    <n v="3922533.950000002"/>
    <s v="Trsf"/>
    <m/>
    <m/>
  </r>
  <r>
    <x v="485"/>
    <x v="0"/>
    <x v="4"/>
    <x v="722"/>
    <s v="C00000010"/>
    <x v="9"/>
    <x v="48"/>
    <n v="1"/>
    <n v="120"/>
    <x v="2"/>
    <d v="2024-03-30T00:00:00"/>
    <x v="9"/>
    <x v="6"/>
    <n v="395"/>
    <m/>
    <n v="395"/>
    <n v="3922928.950000002"/>
    <s v="Trsf"/>
    <m/>
    <m/>
  </r>
  <r>
    <x v="485"/>
    <x v="0"/>
    <x v="4"/>
    <x v="723"/>
    <s v="C00000042"/>
    <x v="43"/>
    <x v="132"/>
    <n v="2"/>
    <s v="Cash"/>
    <x v="0"/>
    <d v="2023-12-01T00:00:00"/>
    <x v="0"/>
    <x v="5"/>
    <n v="125"/>
    <m/>
    <n v="125"/>
    <n v="3923053.950000002"/>
    <s v="Trsf"/>
    <m/>
    <m/>
  </r>
  <r>
    <x v="485"/>
    <x v="0"/>
    <x v="4"/>
    <x v="724"/>
    <s v="C00000042"/>
    <x v="43"/>
    <x v="279"/>
    <n v="2"/>
    <s v="Cash"/>
    <x v="0"/>
    <d v="2023-12-01T00:00:00"/>
    <x v="0"/>
    <x v="5"/>
    <n v="3212"/>
    <m/>
    <n v="3212"/>
    <n v="3926265.950000002"/>
    <s v="Trsf"/>
    <m/>
    <m/>
  </r>
  <r>
    <x v="485"/>
    <x v="0"/>
    <x v="4"/>
    <x v="724"/>
    <s v="C00000042"/>
    <x v="43"/>
    <x v="216"/>
    <n v="4"/>
    <s v="Cash"/>
    <x v="0"/>
    <d v="2023-12-01T00:00:00"/>
    <x v="0"/>
    <x v="5"/>
    <n v="870"/>
    <m/>
    <n v="870"/>
    <n v="3927135.950000002"/>
    <s v="Trsf"/>
    <m/>
    <m/>
  </r>
  <r>
    <x v="485"/>
    <x v="0"/>
    <x v="4"/>
    <x v="724"/>
    <s v="C00000042"/>
    <x v="43"/>
    <x v="302"/>
    <n v="3"/>
    <s v="Cash"/>
    <x v="0"/>
    <d v="2023-12-01T00:00:00"/>
    <x v="0"/>
    <x v="5"/>
    <n v="702"/>
    <m/>
    <n v="702"/>
    <n v="3927837.950000002"/>
    <s v="Trsf"/>
    <m/>
    <m/>
  </r>
  <r>
    <x v="485"/>
    <x v="0"/>
    <x v="4"/>
    <x v="725"/>
    <s v="C00000041"/>
    <x v="42"/>
    <x v="216"/>
    <n v="1"/>
    <s v="Cash"/>
    <x v="0"/>
    <d v="2023-12-01T00:00:00"/>
    <x v="0"/>
    <x v="5"/>
    <n v="237"/>
    <m/>
    <n v="237"/>
    <n v="3928074.950000002"/>
    <s v="Trsf"/>
    <m/>
    <m/>
  </r>
  <r>
    <x v="486"/>
    <x v="0"/>
    <x v="4"/>
    <x v="726"/>
    <s v="C00000014"/>
    <x v="13"/>
    <x v="45"/>
    <n v="1"/>
    <s v="Cash"/>
    <x v="0"/>
    <d v="2023-12-02T00:00:00"/>
    <x v="0"/>
    <x v="5"/>
    <n v="1606"/>
    <m/>
    <n v="1606"/>
    <n v="3929680.950000002"/>
    <s v="Cash"/>
    <m/>
    <m/>
  </r>
  <r>
    <x v="486"/>
    <x v="0"/>
    <x v="4"/>
    <x v="726"/>
    <s v="C00000014"/>
    <x v="13"/>
    <x v="316"/>
    <n v="1"/>
    <s v="Cash"/>
    <x v="0"/>
    <d v="2023-12-02T00:00:00"/>
    <x v="0"/>
    <x v="5"/>
    <n v="1597.5"/>
    <m/>
    <n v="1597.5"/>
    <n v="3931278.450000002"/>
    <s v="Cash"/>
    <m/>
    <m/>
  </r>
  <r>
    <x v="486"/>
    <x v="0"/>
    <x v="4"/>
    <x v="726"/>
    <s v="C00000014"/>
    <x v="13"/>
    <x v="216"/>
    <n v="4"/>
    <s v="Cash"/>
    <x v="0"/>
    <d v="2023-12-02T00:00:00"/>
    <x v="0"/>
    <x v="5"/>
    <n v="840"/>
    <m/>
    <n v="840"/>
    <n v="3932118.450000002"/>
    <s v="Cash"/>
    <m/>
    <m/>
  </r>
  <r>
    <x v="486"/>
    <x v="0"/>
    <x v="4"/>
    <x v="726"/>
    <s v="C00000014"/>
    <x v="13"/>
    <x v="315"/>
    <n v="3"/>
    <s v="Cash"/>
    <x v="0"/>
    <d v="2023-12-02T00:00:00"/>
    <x v="0"/>
    <x v="5"/>
    <n v="851.4"/>
    <m/>
    <n v="851.4"/>
    <n v="3932969.850000002"/>
    <s v="Cash"/>
    <m/>
    <m/>
  </r>
  <r>
    <x v="486"/>
    <x v="0"/>
    <x v="4"/>
    <x v="726"/>
    <s v="C00000014"/>
    <x v="13"/>
    <x v="4"/>
    <n v="1"/>
    <s v="Cash"/>
    <x v="0"/>
    <d v="2023-12-02T00:00:00"/>
    <x v="0"/>
    <x v="5"/>
    <n v="105"/>
    <m/>
    <n v="105"/>
    <n v="3933074.850000002"/>
    <s v="Cash"/>
    <m/>
    <m/>
  </r>
  <r>
    <x v="486"/>
    <x v="0"/>
    <x v="4"/>
    <x v="726"/>
    <s v="C00000014"/>
    <x v="13"/>
    <x v="294"/>
    <n v="3"/>
    <s v="Cash"/>
    <x v="0"/>
    <d v="2023-12-02T00:00:00"/>
    <x v="0"/>
    <x v="5"/>
    <n v="480"/>
    <m/>
    <n v="480"/>
    <n v="3933554.850000002"/>
    <s v="Cash"/>
    <m/>
    <m/>
  </r>
  <r>
    <x v="486"/>
    <x v="0"/>
    <x v="4"/>
    <x v="727"/>
    <s v="C00000021"/>
    <x v="21"/>
    <x v="15"/>
    <n v="1"/>
    <s v="Cash"/>
    <x v="0"/>
    <d v="2023-12-02T00:00:00"/>
    <x v="0"/>
    <x v="5"/>
    <n v="1738"/>
    <m/>
    <n v="1738"/>
    <n v="3935292.850000002"/>
    <s v="PD Chq"/>
    <m/>
    <m/>
  </r>
  <r>
    <x v="486"/>
    <x v="0"/>
    <x v="4"/>
    <x v="727"/>
    <s v="C00000021"/>
    <x v="21"/>
    <x v="318"/>
    <n v="1"/>
    <s v="Cash"/>
    <x v="0"/>
    <d v="2023-12-02T00:00:00"/>
    <x v="0"/>
    <x v="5"/>
    <n v="277.5"/>
    <m/>
    <n v="277.5"/>
    <n v="3935570.350000002"/>
    <s v="PD Chq"/>
    <m/>
    <m/>
  </r>
  <r>
    <x v="486"/>
    <x v="0"/>
    <x v="4"/>
    <x v="727"/>
    <s v="C00000021"/>
    <x v="21"/>
    <x v="247"/>
    <n v="2"/>
    <s v="Cash"/>
    <x v="0"/>
    <d v="2023-12-02T00:00:00"/>
    <x v="0"/>
    <x v="5"/>
    <n v="450"/>
    <m/>
    <n v="450"/>
    <n v="3936020.350000002"/>
    <s v="PD Chq"/>
    <m/>
    <m/>
  </r>
  <r>
    <x v="486"/>
    <x v="0"/>
    <x v="4"/>
    <x v="727"/>
    <s v="C00000021"/>
    <x v="21"/>
    <x v="171"/>
    <n v="1"/>
    <s v="Cash"/>
    <x v="0"/>
    <d v="2023-12-02T00:00:00"/>
    <x v="0"/>
    <x v="5"/>
    <n v="95"/>
    <m/>
    <n v="95"/>
    <n v="3936115.350000002"/>
    <s v="PD Chq"/>
    <m/>
    <m/>
  </r>
  <r>
    <x v="486"/>
    <x v="0"/>
    <x v="4"/>
    <x v="727"/>
    <s v="C00000021"/>
    <x v="21"/>
    <x v="319"/>
    <n v="5"/>
    <s v="Cash"/>
    <x v="0"/>
    <d v="2023-12-02T00:00:00"/>
    <x v="0"/>
    <x v="5"/>
    <n v="312.5"/>
    <m/>
    <n v="312.5"/>
    <n v="3936427.850000002"/>
    <s v="PD Chq"/>
    <m/>
    <m/>
  </r>
  <r>
    <x v="486"/>
    <x v="0"/>
    <x v="4"/>
    <x v="727"/>
    <s v="C00000021"/>
    <x v="21"/>
    <x v="320"/>
    <n v="10"/>
    <s v="Cash"/>
    <x v="0"/>
    <d v="2023-12-02T00:00:00"/>
    <x v="0"/>
    <x v="5"/>
    <n v="576"/>
    <m/>
    <n v="576"/>
    <n v="3937003.850000002"/>
    <s v="PD Chq"/>
    <m/>
    <m/>
  </r>
  <r>
    <x v="487"/>
    <x v="0"/>
    <x v="4"/>
    <x v="728"/>
    <s v="C00000042"/>
    <x v="43"/>
    <x v="132"/>
    <n v="4"/>
    <s v="Cash"/>
    <x v="0"/>
    <d v="2023-12-04T00:00:00"/>
    <x v="0"/>
    <x v="5"/>
    <n v="250"/>
    <m/>
    <n v="250"/>
    <n v="3937253.850000002"/>
    <s v="Trsf"/>
    <m/>
    <m/>
  </r>
  <r>
    <x v="487"/>
    <x v="0"/>
    <x v="4"/>
    <x v="729"/>
    <s v="C00000042"/>
    <x v="43"/>
    <x v="279"/>
    <n v="4"/>
    <s v="Cash"/>
    <x v="0"/>
    <d v="2023-12-04T00:00:00"/>
    <x v="0"/>
    <x v="5"/>
    <n v="6424"/>
    <m/>
    <n v="6424"/>
    <n v="3943677.850000002"/>
    <s v="Trsf"/>
    <m/>
    <m/>
  </r>
  <r>
    <x v="487"/>
    <x v="0"/>
    <x v="4"/>
    <x v="729"/>
    <s v="C00000042"/>
    <x v="43"/>
    <x v="247"/>
    <n v="12"/>
    <s v="Cash"/>
    <x v="0"/>
    <d v="2023-12-04T00:00:00"/>
    <x v="0"/>
    <x v="5"/>
    <n v="2088"/>
    <m/>
    <n v="2088"/>
    <n v="3945765.850000002"/>
    <s v="Trsf"/>
    <m/>
    <m/>
  </r>
  <r>
    <x v="487"/>
    <x v="0"/>
    <x v="4"/>
    <x v="729"/>
    <s v="C00000042"/>
    <x v="43"/>
    <x v="302"/>
    <n v="5"/>
    <s v="Cash"/>
    <x v="0"/>
    <d v="2023-12-04T00:00:00"/>
    <x v="0"/>
    <x v="5"/>
    <n v="1170"/>
    <m/>
    <n v="1170"/>
    <n v="3946935.850000002"/>
    <s v="Trsf"/>
    <m/>
    <m/>
  </r>
  <r>
    <x v="488"/>
    <x v="0"/>
    <x v="4"/>
    <x v="730"/>
    <s v="C00000021"/>
    <x v="21"/>
    <x v="15"/>
    <n v="1"/>
    <s v="Cash"/>
    <x v="0"/>
    <d v="2023-12-07T00:00:00"/>
    <x v="0"/>
    <x v="5"/>
    <n v="1738"/>
    <m/>
    <n v="1738"/>
    <n v="3948673.850000002"/>
    <s v="PD Chq"/>
    <m/>
    <m/>
  </r>
  <r>
    <x v="488"/>
    <x v="0"/>
    <x v="4"/>
    <x v="730"/>
    <s v="C00000021"/>
    <x v="21"/>
    <x v="318"/>
    <n v="2"/>
    <s v="Cash"/>
    <x v="0"/>
    <d v="2023-12-07T00:00:00"/>
    <x v="0"/>
    <x v="5"/>
    <n v="555"/>
    <m/>
    <n v="555"/>
    <n v="3949228.850000002"/>
    <s v="PD Chq"/>
    <m/>
    <m/>
  </r>
  <r>
    <x v="488"/>
    <x v="0"/>
    <x v="4"/>
    <x v="730"/>
    <s v="C00000021"/>
    <x v="21"/>
    <x v="171"/>
    <n v="1"/>
    <s v="Cash"/>
    <x v="0"/>
    <d v="2023-12-07T00:00:00"/>
    <x v="0"/>
    <x v="5"/>
    <n v="95"/>
    <m/>
    <n v="95"/>
    <n v="3949323.850000002"/>
    <s v="PD Chq"/>
    <m/>
    <m/>
  </r>
  <r>
    <x v="488"/>
    <x v="0"/>
    <x v="4"/>
    <x v="730"/>
    <s v="C00000021"/>
    <x v="21"/>
    <x v="319"/>
    <n v="5"/>
    <s v="Cash"/>
    <x v="0"/>
    <d v="2023-12-07T00:00:00"/>
    <x v="0"/>
    <x v="5"/>
    <n v="312.5"/>
    <m/>
    <n v="312.5"/>
    <n v="3949636.350000002"/>
    <s v="PD Chq"/>
    <m/>
    <m/>
  </r>
  <r>
    <x v="489"/>
    <x v="0"/>
    <x v="4"/>
    <x v="731"/>
    <s v="C00000022"/>
    <x v="23"/>
    <x v="321"/>
    <n v="1"/>
    <s v="Cash"/>
    <x v="0"/>
    <d v="2023-12-08T00:00:00"/>
    <x v="0"/>
    <x v="5"/>
    <n v="250"/>
    <m/>
    <n v="250"/>
    <n v="3949886.350000002"/>
    <s v="Trsf"/>
    <m/>
    <m/>
  </r>
  <r>
    <x v="489"/>
    <x v="0"/>
    <x v="4"/>
    <x v="732"/>
    <s v="C00000022"/>
    <x v="23"/>
    <x v="303"/>
    <n v="1"/>
    <s v="Cash"/>
    <x v="0"/>
    <d v="2023-12-08T00:00:00"/>
    <x v="0"/>
    <x v="5"/>
    <n v="3600"/>
    <m/>
    <n v="3600"/>
    <n v="3953486.350000002"/>
    <s v="Trsf"/>
    <m/>
    <m/>
  </r>
  <r>
    <x v="489"/>
    <x v="0"/>
    <x v="4"/>
    <x v="732"/>
    <s v="C00000022"/>
    <x v="23"/>
    <x v="247"/>
    <n v="2"/>
    <s v="Cash"/>
    <x v="0"/>
    <d v="2023-12-08T00:00:00"/>
    <x v="0"/>
    <x v="5"/>
    <n v="468"/>
    <m/>
    <n v="468"/>
    <n v="3953954.350000002"/>
    <s v="Trsf"/>
    <m/>
    <m/>
  </r>
  <r>
    <x v="489"/>
    <x v="0"/>
    <x v="4"/>
    <x v="733"/>
    <s v="C00000019"/>
    <x v="18"/>
    <x v="7"/>
    <n v="1"/>
    <s v="Cash"/>
    <x v="0"/>
    <d v="2023-12-08T00:00:00"/>
    <x v="0"/>
    <x v="5"/>
    <n v="1738"/>
    <m/>
    <n v="1738"/>
    <n v="3955692.350000002"/>
    <s v="Trsf"/>
    <m/>
    <m/>
  </r>
  <r>
    <x v="489"/>
    <x v="0"/>
    <x v="4"/>
    <x v="733"/>
    <s v="C00000019"/>
    <x v="18"/>
    <x v="226"/>
    <n v="1"/>
    <s v="Cash"/>
    <x v="0"/>
    <d v="2023-12-08T00:00:00"/>
    <x v="0"/>
    <x v="5"/>
    <n v="405"/>
    <m/>
    <n v="405"/>
    <n v="3956097.350000002"/>
    <s v="Trsf"/>
    <m/>
    <m/>
  </r>
  <r>
    <x v="489"/>
    <x v="0"/>
    <x v="4"/>
    <x v="733"/>
    <s v="C00000019"/>
    <x v="18"/>
    <x v="274"/>
    <n v="1"/>
    <s v="Cash"/>
    <x v="0"/>
    <d v="2023-12-08T00:00:00"/>
    <x v="0"/>
    <x v="5"/>
    <n v="160"/>
    <m/>
    <n v="160"/>
    <n v="3956257.350000002"/>
    <s v="Trsf"/>
    <m/>
    <m/>
  </r>
  <r>
    <x v="489"/>
    <x v="0"/>
    <x v="4"/>
    <x v="733"/>
    <s v="C00000019"/>
    <x v="18"/>
    <x v="244"/>
    <n v="1"/>
    <s v="Cash"/>
    <x v="0"/>
    <d v="2023-12-08T00:00:00"/>
    <x v="0"/>
    <x v="5"/>
    <n v="390"/>
    <m/>
    <n v="390"/>
    <n v="3956647.350000002"/>
    <s v="Trsf"/>
    <m/>
    <m/>
  </r>
  <r>
    <x v="490"/>
    <x v="0"/>
    <x v="4"/>
    <x v="734"/>
    <s v="C00000042"/>
    <x v="43"/>
    <x v="132"/>
    <n v="4"/>
    <s v="Cash"/>
    <x v="0"/>
    <d v="2023-12-09T00:00:00"/>
    <x v="0"/>
    <x v="5"/>
    <n v="250"/>
    <m/>
    <n v="250"/>
    <n v="3956897.350000002"/>
    <s v="Trsf"/>
    <m/>
    <m/>
  </r>
  <r>
    <x v="490"/>
    <x v="0"/>
    <x v="4"/>
    <x v="735"/>
    <s v="C00000042"/>
    <x v="43"/>
    <x v="279"/>
    <n v="4"/>
    <s v="Cash"/>
    <x v="0"/>
    <d v="2023-12-09T00:00:00"/>
    <x v="0"/>
    <x v="5"/>
    <n v="6424"/>
    <m/>
    <n v="6424"/>
    <n v="3963321.350000002"/>
    <s v="Trsf"/>
    <m/>
    <m/>
  </r>
  <r>
    <x v="490"/>
    <x v="0"/>
    <x v="4"/>
    <x v="735"/>
    <s v="C00000042"/>
    <x v="43"/>
    <x v="314"/>
    <n v="15"/>
    <s v="Cash"/>
    <x v="0"/>
    <d v="2023-12-09T00:00:00"/>
    <x v="0"/>
    <x v="5"/>
    <n v="3219"/>
    <m/>
    <n v="3219"/>
    <n v="3966540.350000002"/>
    <s v="Trsf"/>
    <m/>
    <m/>
  </r>
  <r>
    <x v="490"/>
    <x v="0"/>
    <x v="4"/>
    <x v="735"/>
    <s v="C00000042"/>
    <x v="43"/>
    <x v="302"/>
    <n v="3"/>
    <s v="Cash"/>
    <x v="0"/>
    <d v="2023-12-09T00:00:00"/>
    <x v="0"/>
    <x v="5"/>
    <n v="702"/>
    <m/>
    <n v="702"/>
    <n v="3967242.350000002"/>
    <s v="Trsf"/>
    <m/>
    <m/>
  </r>
  <r>
    <x v="490"/>
    <x v="0"/>
    <x v="4"/>
    <x v="735"/>
    <s v="C00000042"/>
    <x v="43"/>
    <x v="171"/>
    <n v="4"/>
    <s v="Cash"/>
    <x v="0"/>
    <d v="2023-12-09T00:00:00"/>
    <x v="0"/>
    <x v="5"/>
    <n v="380"/>
    <m/>
    <n v="380"/>
    <n v="3967622.350000002"/>
    <s v="Trsf"/>
    <m/>
    <m/>
  </r>
  <r>
    <x v="491"/>
    <x v="0"/>
    <x v="4"/>
    <x v="736"/>
    <s v="C00000009"/>
    <x v="8"/>
    <x v="7"/>
    <n v="2"/>
    <n v="60"/>
    <x v="3"/>
    <d v="2024-02-11T00:00:00"/>
    <x v="8"/>
    <x v="6"/>
    <n v="3212"/>
    <m/>
    <n v="3212"/>
    <n v="3970834.350000002"/>
    <s v="Chq"/>
    <m/>
    <m/>
  </r>
  <r>
    <x v="491"/>
    <x v="0"/>
    <x v="4"/>
    <x v="736"/>
    <s v="C00000009"/>
    <x v="8"/>
    <x v="43"/>
    <n v="1"/>
    <n v="60"/>
    <x v="3"/>
    <d v="2024-02-11T00:00:00"/>
    <x v="8"/>
    <x v="6"/>
    <n v="1606"/>
    <m/>
    <n v="1606"/>
    <n v="3972440.350000002"/>
    <s v="Chq"/>
    <m/>
    <m/>
  </r>
  <r>
    <x v="491"/>
    <x v="0"/>
    <x v="4"/>
    <x v="736"/>
    <s v="C00000009"/>
    <x v="8"/>
    <x v="226"/>
    <n v="2"/>
    <n v="60"/>
    <x v="3"/>
    <d v="2024-02-11T00:00:00"/>
    <x v="8"/>
    <x v="6"/>
    <n v="626.4"/>
    <m/>
    <n v="626.4"/>
    <n v="3973066.7500000019"/>
    <s v="Chq"/>
    <m/>
    <m/>
  </r>
  <r>
    <x v="491"/>
    <x v="0"/>
    <x v="4"/>
    <x v="736"/>
    <s v="C00000009"/>
    <x v="8"/>
    <x v="219"/>
    <n v="2"/>
    <n v="60"/>
    <x v="3"/>
    <d v="2024-02-11T00:00:00"/>
    <x v="8"/>
    <x v="6"/>
    <n v="626.4"/>
    <m/>
    <n v="626.4"/>
    <n v="3973693.1500000018"/>
    <s v="Chq"/>
    <m/>
    <m/>
  </r>
  <r>
    <x v="492"/>
    <x v="0"/>
    <x v="4"/>
    <x v="737"/>
    <s v="C00000042"/>
    <x v="43"/>
    <x v="132"/>
    <n v="2"/>
    <s v="Cash"/>
    <x v="0"/>
    <d v="2023-12-14T00:00:00"/>
    <x v="0"/>
    <x v="5"/>
    <n v="125"/>
    <m/>
    <n v="125"/>
    <n v="3973818.1500000018"/>
    <s v="Trsf"/>
    <m/>
    <m/>
  </r>
  <r>
    <x v="493"/>
    <x v="0"/>
    <x v="4"/>
    <x v="738"/>
    <s v="C00000042"/>
    <x v="43"/>
    <x v="279"/>
    <n v="2"/>
    <s v="Cash"/>
    <x v="0"/>
    <d v="2023-12-15T00:00:00"/>
    <x v="0"/>
    <x v="5"/>
    <n v="3212"/>
    <m/>
    <n v="3212"/>
    <n v="3977030.1500000018"/>
    <s v="Trsf"/>
    <m/>
    <m/>
  </r>
  <r>
    <x v="493"/>
    <x v="0"/>
    <x v="4"/>
    <x v="738"/>
    <s v="C00000042"/>
    <x v="43"/>
    <x v="314"/>
    <n v="7"/>
    <s v="Cash"/>
    <x v="0"/>
    <d v="2023-12-15T00:00:00"/>
    <x v="0"/>
    <x v="5"/>
    <n v="1502.2"/>
    <m/>
    <n v="1502.2"/>
    <n v="3978532.350000002"/>
    <s v="Trsf"/>
    <m/>
    <m/>
  </r>
  <r>
    <x v="493"/>
    <x v="0"/>
    <x v="4"/>
    <x v="738"/>
    <s v="C00000042"/>
    <x v="43"/>
    <x v="302"/>
    <n v="4"/>
    <s v="Cash"/>
    <x v="0"/>
    <d v="2023-12-15T00:00:00"/>
    <x v="0"/>
    <x v="5"/>
    <n v="936"/>
    <m/>
    <n v="936"/>
    <n v="3979468.350000002"/>
    <s v="Trsf"/>
    <m/>
    <m/>
  </r>
  <r>
    <x v="493"/>
    <x v="0"/>
    <x v="4"/>
    <x v="738"/>
    <s v="C00000042"/>
    <x v="43"/>
    <x v="159"/>
    <n v="1"/>
    <s v="Cash"/>
    <x v="0"/>
    <d v="2023-12-15T00:00:00"/>
    <x v="0"/>
    <x v="5"/>
    <n v="1000"/>
    <m/>
    <n v="1000"/>
    <n v="3980468.350000002"/>
    <s v="Trsf"/>
    <m/>
    <m/>
  </r>
  <r>
    <x v="493"/>
    <x v="0"/>
    <x v="4"/>
    <x v="739"/>
    <s v="C00000021"/>
    <x v="21"/>
    <x v="15"/>
    <n v="1"/>
    <s v="Cash"/>
    <x v="0"/>
    <d v="2023-12-15T00:00:00"/>
    <x v="0"/>
    <x v="5"/>
    <n v="1738"/>
    <m/>
    <n v="1738"/>
    <n v="3982206.350000002"/>
    <s v="PD Chq"/>
    <m/>
    <m/>
  </r>
  <r>
    <x v="493"/>
    <x v="0"/>
    <x v="4"/>
    <x v="739"/>
    <s v="C00000021"/>
    <x v="21"/>
    <x v="318"/>
    <n v="3"/>
    <s v="Cash"/>
    <x v="0"/>
    <d v="2023-12-15T00:00:00"/>
    <x v="0"/>
    <x v="5"/>
    <n v="832.5"/>
    <m/>
    <n v="832.5"/>
    <n v="3983038.850000002"/>
    <s v="PD Chq"/>
    <m/>
    <m/>
  </r>
  <r>
    <x v="493"/>
    <x v="0"/>
    <x v="4"/>
    <x v="739"/>
    <s v="C00000021"/>
    <x v="21"/>
    <x v="171"/>
    <n v="1"/>
    <s v="Cash"/>
    <x v="0"/>
    <d v="2023-12-15T00:00:00"/>
    <x v="0"/>
    <x v="5"/>
    <n v="95"/>
    <m/>
    <n v="95"/>
    <n v="3983133.850000002"/>
    <s v="PD Chq"/>
    <m/>
    <m/>
  </r>
  <r>
    <x v="493"/>
    <x v="0"/>
    <x v="4"/>
    <x v="740"/>
    <s v="C00000043"/>
    <x v="45"/>
    <x v="15"/>
    <n v="1"/>
    <s v="Cash"/>
    <x v="0"/>
    <d v="2023-12-15T00:00:00"/>
    <x v="0"/>
    <x v="5"/>
    <n v="1760"/>
    <m/>
    <n v="1760"/>
    <n v="3984893.850000002"/>
    <s v="Trsf"/>
    <m/>
    <m/>
  </r>
  <r>
    <x v="493"/>
    <x v="0"/>
    <x v="4"/>
    <x v="740"/>
    <s v="C00000043"/>
    <x v="45"/>
    <x v="219"/>
    <n v="1"/>
    <s v="Cash"/>
    <x v="0"/>
    <d v="2023-12-15T00:00:00"/>
    <x v="0"/>
    <x v="5"/>
    <n v="432"/>
    <m/>
    <n v="432"/>
    <n v="3985325.850000002"/>
    <s v="Trsf"/>
    <m/>
    <m/>
  </r>
  <r>
    <x v="493"/>
    <x v="0"/>
    <x v="4"/>
    <x v="740"/>
    <s v="C00000043"/>
    <x v="45"/>
    <x v="244"/>
    <n v="2"/>
    <s v="Cash"/>
    <x v="0"/>
    <d v="2023-12-15T00:00:00"/>
    <x v="0"/>
    <x v="5"/>
    <n v="840"/>
    <m/>
    <n v="840"/>
    <n v="3986165.850000002"/>
    <s v="Trsf"/>
    <m/>
    <m/>
  </r>
  <r>
    <x v="493"/>
    <x v="0"/>
    <x v="4"/>
    <x v="740"/>
    <s v="C00000043"/>
    <x v="45"/>
    <x v="319"/>
    <n v="5"/>
    <s v="Cash"/>
    <x v="0"/>
    <d v="2023-12-15T00:00:00"/>
    <x v="0"/>
    <x v="5"/>
    <n v="325"/>
    <m/>
    <n v="325"/>
    <n v="3986490.850000002"/>
    <s v="Trsf"/>
    <m/>
    <m/>
  </r>
  <r>
    <x v="493"/>
    <x v="0"/>
    <x v="4"/>
    <x v="740"/>
    <s v="C00000043"/>
    <x v="45"/>
    <x v="322"/>
    <n v="1"/>
    <s v="Cash"/>
    <x v="0"/>
    <d v="2023-12-15T00:00:00"/>
    <x v="0"/>
    <x v="5"/>
    <n v="225"/>
    <m/>
    <n v="225"/>
    <n v="3986715.850000002"/>
    <s v="Trsf"/>
    <m/>
    <m/>
  </r>
  <r>
    <x v="493"/>
    <x v="0"/>
    <x v="4"/>
    <x v="740"/>
    <s v="C00000043"/>
    <x v="45"/>
    <x v="138"/>
    <n v="1"/>
    <s v="Cash"/>
    <x v="0"/>
    <d v="2023-12-15T00:00:00"/>
    <x v="0"/>
    <x v="5"/>
    <n v="170"/>
    <m/>
    <n v="170"/>
    <n v="3986885.850000002"/>
    <s v="Trsf"/>
    <m/>
    <m/>
  </r>
  <r>
    <x v="493"/>
    <x v="0"/>
    <x v="4"/>
    <x v="740"/>
    <s v="C00000043"/>
    <x v="45"/>
    <x v="315"/>
    <n v="1"/>
    <s v="Cash"/>
    <x v="0"/>
    <d v="2023-12-15T00:00:00"/>
    <x v="0"/>
    <x v="5"/>
    <n v="283.8"/>
    <m/>
    <n v="283.8"/>
    <n v="3987169.6500000018"/>
    <s v="Trsf"/>
    <m/>
    <m/>
  </r>
  <r>
    <x v="493"/>
    <x v="0"/>
    <x v="4"/>
    <x v="740"/>
    <s v="C00000043"/>
    <x v="45"/>
    <x v="274"/>
    <n v="1"/>
    <s v="Cash"/>
    <x v="0"/>
    <d v="2023-12-15T00:00:00"/>
    <x v="0"/>
    <x v="5"/>
    <n v="175"/>
    <m/>
    <n v="175"/>
    <n v="3987344.6500000018"/>
    <s v="Trsf"/>
    <m/>
    <m/>
  </r>
  <r>
    <x v="493"/>
    <x v="0"/>
    <x v="4"/>
    <x v="740"/>
    <s v="C00000043"/>
    <x v="45"/>
    <x v="323"/>
    <n v="1"/>
    <s v="Cash"/>
    <x v="0"/>
    <d v="2023-12-15T00:00:00"/>
    <x v="0"/>
    <x v="5"/>
    <n v="625"/>
    <m/>
    <n v="625"/>
    <n v="3987969.6500000018"/>
    <s v="Trsf"/>
    <m/>
    <m/>
  </r>
  <r>
    <x v="493"/>
    <x v="0"/>
    <x v="4"/>
    <x v="740"/>
    <s v="C00000043"/>
    <x v="45"/>
    <x v="324"/>
    <n v="20"/>
    <s v="Cash"/>
    <x v="0"/>
    <d v="2023-12-15T00:00:00"/>
    <x v="0"/>
    <x v="5"/>
    <n v="90"/>
    <m/>
    <n v="90"/>
    <n v="3988059.6500000018"/>
    <s v="Trsf"/>
    <m/>
    <m/>
  </r>
  <r>
    <x v="494"/>
    <x v="0"/>
    <x v="4"/>
    <x v="741"/>
    <s v="C00000014"/>
    <x v="13"/>
    <x v="45"/>
    <n v="1"/>
    <s v="Cash"/>
    <x v="0"/>
    <d v="2023-12-16T00:00:00"/>
    <x v="0"/>
    <x v="5"/>
    <n v="1606"/>
    <m/>
    <n v="1606"/>
    <n v="3989665.6500000018"/>
    <s v="Cash"/>
    <m/>
    <m/>
  </r>
  <r>
    <x v="494"/>
    <x v="0"/>
    <x v="4"/>
    <x v="741"/>
    <s v="C00000014"/>
    <x v="13"/>
    <x v="316"/>
    <n v="1"/>
    <s v="Cash"/>
    <x v="0"/>
    <d v="2023-12-16T00:00:00"/>
    <x v="0"/>
    <x v="5"/>
    <n v="1597.5"/>
    <m/>
    <n v="1597.5"/>
    <n v="3991263.1500000018"/>
    <s v="Cash"/>
    <m/>
    <m/>
  </r>
  <r>
    <x v="494"/>
    <x v="0"/>
    <x v="4"/>
    <x v="741"/>
    <s v="C00000014"/>
    <x v="13"/>
    <x v="247"/>
    <n v="5"/>
    <s v="Cash"/>
    <x v="0"/>
    <d v="2023-12-16T00:00:00"/>
    <x v="0"/>
    <x v="5"/>
    <n v="1050"/>
    <m/>
    <n v="1050"/>
    <n v="3992313.1500000018"/>
    <s v="Cash"/>
    <m/>
    <m/>
  </r>
  <r>
    <x v="494"/>
    <x v="0"/>
    <x v="4"/>
    <x v="741"/>
    <s v="C00000014"/>
    <x v="13"/>
    <x v="315"/>
    <n v="3"/>
    <s v="Cash"/>
    <x v="0"/>
    <d v="2023-12-16T00:00:00"/>
    <x v="0"/>
    <x v="5"/>
    <n v="851.4"/>
    <m/>
    <n v="851.4"/>
    <n v="3993164.5500000017"/>
    <s v="Cash"/>
    <m/>
    <m/>
  </r>
  <r>
    <x v="494"/>
    <x v="0"/>
    <x v="4"/>
    <x v="741"/>
    <s v="C00000014"/>
    <x v="13"/>
    <x v="4"/>
    <n v="1"/>
    <s v="Cash"/>
    <x v="0"/>
    <d v="2023-12-16T00:00:00"/>
    <x v="0"/>
    <x v="5"/>
    <n v="105"/>
    <m/>
    <n v="105"/>
    <n v="3993269.5500000017"/>
    <s v="Cash"/>
    <m/>
    <m/>
  </r>
  <r>
    <x v="494"/>
    <x v="0"/>
    <x v="4"/>
    <x v="741"/>
    <s v="C00000014"/>
    <x v="13"/>
    <x v="294"/>
    <n v="3"/>
    <s v="Cash"/>
    <x v="0"/>
    <d v="2023-12-16T00:00:00"/>
    <x v="0"/>
    <x v="5"/>
    <n v="480"/>
    <m/>
    <n v="480"/>
    <n v="3993749.5500000017"/>
    <s v="Cash"/>
    <m/>
    <m/>
  </r>
  <r>
    <x v="494"/>
    <x v="0"/>
    <x v="4"/>
    <x v="741"/>
    <s v="C00000014"/>
    <x v="13"/>
    <x v="274"/>
    <n v="1"/>
    <s v="Cash"/>
    <x v="0"/>
    <d v="2023-12-16T00:00:00"/>
    <x v="0"/>
    <x v="5"/>
    <n v="170"/>
    <m/>
    <n v="170"/>
    <n v="3993919.5500000017"/>
    <s v="Cash"/>
    <m/>
    <m/>
  </r>
  <r>
    <x v="494"/>
    <x v="0"/>
    <x v="4"/>
    <x v="741"/>
    <s v="C00000014"/>
    <x v="13"/>
    <x v="224"/>
    <n v="2"/>
    <s v="Cash"/>
    <x v="0"/>
    <d v="2023-12-16T00:00:00"/>
    <x v="0"/>
    <x v="5"/>
    <n v="96"/>
    <m/>
    <n v="96"/>
    <n v="3994015.5500000017"/>
    <s v="Cash"/>
    <m/>
    <m/>
  </r>
  <r>
    <x v="494"/>
    <x v="0"/>
    <x v="4"/>
    <x v="742"/>
    <s v="C00000044"/>
    <x v="46"/>
    <x v="45"/>
    <n v="1"/>
    <s v="Cash"/>
    <x v="0"/>
    <d v="2023-12-16T00:00:00"/>
    <x v="0"/>
    <x v="5"/>
    <n v="1606"/>
    <m/>
    <n v="1606"/>
    <n v="3995621.5500000017"/>
    <s v="Trsf"/>
    <m/>
    <m/>
  </r>
  <r>
    <x v="494"/>
    <x v="0"/>
    <x v="4"/>
    <x v="742"/>
    <s v="C00000044"/>
    <x v="46"/>
    <x v="247"/>
    <n v="2"/>
    <s v="Cash"/>
    <x v="0"/>
    <d v="2023-12-16T00:00:00"/>
    <x v="0"/>
    <x v="5"/>
    <n v="420"/>
    <m/>
    <n v="420"/>
    <n v="3996041.5500000017"/>
    <s v="Trsf"/>
    <m/>
    <m/>
  </r>
  <r>
    <x v="494"/>
    <x v="0"/>
    <x v="4"/>
    <x v="742"/>
    <s v="C00000044"/>
    <x v="46"/>
    <x v="4"/>
    <n v="1"/>
    <s v="Cash"/>
    <x v="0"/>
    <d v="2023-12-16T00:00:00"/>
    <x v="0"/>
    <x v="5"/>
    <n v="105"/>
    <m/>
    <n v="105"/>
    <n v="3996146.5500000017"/>
    <s v="Trsf"/>
    <m/>
    <m/>
  </r>
  <r>
    <x v="494"/>
    <x v="0"/>
    <x v="4"/>
    <x v="743"/>
    <s v="C00000042"/>
    <x v="43"/>
    <x v="132"/>
    <n v="4"/>
    <s v="Cash"/>
    <x v="0"/>
    <d v="2023-12-16T00:00:00"/>
    <x v="0"/>
    <x v="5"/>
    <n v="250"/>
    <m/>
    <n v="250"/>
    <n v="3996396.5500000017"/>
    <s v="Trsf"/>
    <m/>
    <m/>
  </r>
  <r>
    <x v="494"/>
    <x v="0"/>
    <x v="4"/>
    <x v="744"/>
    <s v="C00000042"/>
    <x v="43"/>
    <x v="188"/>
    <n v="4"/>
    <s v="Cash"/>
    <x v="0"/>
    <d v="2023-12-16T00:00:00"/>
    <x v="0"/>
    <x v="5"/>
    <n v="6424"/>
    <m/>
    <n v="6424"/>
    <n v="4002820.5500000017"/>
    <s v="Trsf"/>
    <m/>
    <m/>
  </r>
  <r>
    <x v="494"/>
    <x v="0"/>
    <x v="4"/>
    <x v="744"/>
    <s v="C00000042"/>
    <x v="43"/>
    <x v="325"/>
    <n v="6"/>
    <s v="Cash"/>
    <x v="0"/>
    <d v="2023-12-16T00:00:00"/>
    <x v="0"/>
    <x v="5"/>
    <n v="2331.6"/>
    <m/>
    <n v="2331.6"/>
    <n v="4005152.1500000018"/>
    <s v="Trsf"/>
    <m/>
    <m/>
  </r>
  <r>
    <x v="494"/>
    <x v="0"/>
    <x v="4"/>
    <x v="744"/>
    <s v="C00000042"/>
    <x v="43"/>
    <x v="302"/>
    <n v="6"/>
    <s v="Cash"/>
    <x v="0"/>
    <d v="2023-12-16T00:00:00"/>
    <x v="0"/>
    <x v="5"/>
    <n v="1404"/>
    <m/>
    <n v="1404"/>
    <n v="4006556.1500000018"/>
    <s v="Trsf"/>
    <m/>
    <m/>
  </r>
  <r>
    <x v="494"/>
    <x v="0"/>
    <x v="4"/>
    <x v="744"/>
    <s v="C00000042"/>
    <x v="43"/>
    <x v="171"/>
    <n v="4"/>
    <s v="Cash"/>
    <x v="0"/>
    <d v="2023-12-16T00:00:00"/>
    <x v="0"/>
    <x v="5"/>
    <n v="380"/>
    <m/>
    <n v="380"/>
    <n v="4006936.1500000018"/>
    <s v="Trsf"/>
    <m/>
    <m/>
  </r>
  <r>
    <x v="495"/>
    <x v="0"/>
    <x v="4"/>
    <x v="745"/>
    <s v="C00000021"/>
    <x v="21"/>
    <x v="15"/>
    <n v="1"/>
    <s v="Cash"/>
    <x v="0"/>
    <d v="2023-12-18T00:00:00"/>
    <x v="0"/>
    <x v="5"/>
    <n v="1738"/>
    <m/>
    <n v="1738"/>
    <n v="4008674.1500000018"/>
    <s v="PD Chq"/>
    <m/>
    <m/>
  </r>
  <r>
    <x v="495"/>
    <x v="0"/>
    <x v="4"/>
    <x v="745"/>
    <s v="C00000021"/>
    <x v="21"/>
    <x v="318"/>
    <n v="3"/>
    <s v="Cash"/>
    <x v="0"/>
    <d v="2023-12-18T00:00:00"/>
    <x v="0"/>
    <x v="5"/>
    <n v="832.5"/>
    <m/>
    <n v="832.5"/>
    <n v="4009506.6500000018"/>
    <s v="PD Chq"/>
    <m/>
    <m/>
  </r>
  <r>
    <x v="495"/>
    <x v="0"/>
    <x v="4"/>
    <x v="745"/>
    <s v="C00000021"/>
    <x v="21"/>
    <x v="171"/>
    <n v="1"/>
    <s v="Cash"/>
    <x v="0"/>
    <d v="2023-12-18T00:00:00"/>
    <x v="0"/>
    <x v="5"/>
    <n v="95"/>
    <m/>
    <n v="95"/>
    <n v="4009601.6500000018"/>
    <s v="PD Chq"/>
    <m/>
    <m/>
  </r>
  <r>
    <x v="495"/>
    <x v="0"/>
    <x v="4"/>
    <x v="745"/>
    <s v="C00000021"/>
    <x v="21"/>
    <x v="319"/>
    <n v="5"/>
    <s v="Cash"/>
    <x v="0"/>
    <d v="2023-12-18T00:00:00"/>
    <x v="0"/>
    <x v="5"/>
    <n v="312.5"/>
    <m/>
    <n v="312.5"/>
    <n v="4009914.1500000018"/>
    <s v="PD Chq"/>
    <m/>
    <m/>
  </r>
  <r>
    <x v="495"/>
    <x v="0"/>
    <x v="4"/>
    <x v="746"/>
    <s v="C00000010"/>
    <x v="9"/>
    <x v="320"/>
    <n v="12"/>
    <n v="120"/>
    <x v="2"/>
    <d v="2024-04-16T00:00:00"/>
    <x v="11"/>
    <x v="6"/>
    <n v="696"/>
    <m/>
    <n v="696"/>
    <n v="4010610.1500000018"/>
    <s v="Trsf"/>
    <m/>
    <m/>
  </r>
  <r>
    <x v="496"/>
    <x v="0"/>
    <x v="4"/>
    <x v="747"/>
    <s v="C00000019"/>
    <x v="18"/>
    <x v="7"/>
    <n v="1"/>
    <s v="Cash"/>
    <x v="0"/>
    <d v="2023-12-19T00:00:00"/>
    <x v="0"/>
    <x v="5"/>
    <n v="1738"/>
    <m/>
    <n v="1738"/>
    <n v="4012348.1500000018"/>
    <s v="Trsf"/>
    <m/>
    <m/>
  </r>
  <r>
    <x v="496"/>
    <x v="0"/>
    <x v="4"/>
    <x v="747"/>
    <s v="C00000019"/>
    <x v="18"/>
    <x v="326"/>
    <n v="1"/>
    <s v="Cash"/>
    <x v="0"/>
    <d v="2023-12-19T00:00:00"/>
    <x v="0"/>
    <x v="5"/>
    <n v="405"/>
    <m/>
    <n v="405"/>
    <n v="4012753.1500000018"/>
    <s v="Trsf"/>
    <m/>
    <m/>
  </r>
  <r>
    <x v="496"/>
    <x v="0"/>
    <x v="4"/>
    <x v="747"/>
    <s v="C00000019"/>
    <x v="18"/>
    <x v="319"/>
    <n v="4"/>
    <s v="Cash"/>
    <x v="0"/>
    <d v="2023-12-19T00:00:00"/>
    <x v="0"/>
    <x v="5"/>
    <n v="250"/>
    <m/>
    <n v="250"/>
    <n v="4013003.1500000018"/>
    <s v="Trsf"/>
    <m/>
    <m/>
  </r>
  <r>
    <x v="496"/>
    <x v="0"/>
    <x v="4"/>
    <x v="747"/>
    <s v="C00000019"/>
    <x v="18"/>
    <x v="4"/>
    <n v="1"/>
    <s v="Cash"/>
    <x v="0"/>
    <d v="2023-12-19T00:00:00"/>
    <x v="0"/>
    <x v="5"/>
    <n v="105"/>
    <m/>
    <n v="105"/>
    <n v="4013108.1500000018"/>
    <s v="Trsf"/>
    <m/>
    <m/>
  </r>
  <r>
    <x v="496"/>
    <x v="0"/>
    <x v="4"/>
    <x v="747"/>
    <s v="C00000019"/>
    <x v="18"/>
    <x v="131"/>
    <n v="1"/>
    <s v="Cash"/>
    <x v="0"/>
    <d v="2023-12-19T00:00:00"/>
    <x v="0"/>
    <x v="5"/>
    <n v="420"/>
    <m/>
    <n v="420"/>
    <n v="4013528.1500000018"/>
    <s v="Trsf"/>
    <m/>
    <m/>
  </r>
  <r>
    <x v="496"/>
    <x v="0"/>
    <x v="4"/>
    <x v="748"/>
    <s v="C00000022"/>
    <x v="23"/>
    <x v="303"/>
    <n v="1"/>
    <s v="Cash"/>
    <x v="0"/>
    <d v="2023-12-19T00:00:00"/>
    <x v="0"/>
    <x v="5"/>
    <n v="4250"/>
    <m/>
    <n v="4250"/>
    <n v="4017778.1500000018"/>
    <s v="Trsf"/>
    <m/>
    <m/>
  </r>
  <r>
    <x v="496"/>
    <x v="0"/>
    <x v="4"/>
    <x v="748"/>
    <s v="C00000022"/>
    <x v="23"/>
    <x v="247"/>
    <n v="1"/>
    <s v="Cash"/>
    <x v="0"/>
    <d v="2023-12-19T00:00:00"/>
    <x v="0"/>
    <x v="5"/>
    <n v="300"/>
    <m/>
    <n v="300"/>
    <n v="4018078.1500000018"/>
    <s v="Trsf"/>
    <m/>
    <m/>
  </r>
  <r>
    <x v="496"/>
    <x v="0"/>
    <x v="4"/>
    <x v="748"/>
    <s v="C00000022"/>
    <x v="23"/>
    <x v="24"/>
    <n v="1"/>
    <s v="Cash"/>
    <x v="0"/>
    <d v="2023-12-19T00:00:00"/>
    <x v="0"/>
    <x v="5"/>
    <n v="150"/>
    <m/>
    <n v="150"/>
    <n v="4018228.1500000018"/>
    <s v="Trsf"/>
    <m/>
    <m/>
  </r>
  <r>
    <x v="497"/>
    <x v="0"/>
    <x v="4"/>
    <x v="749"/>
    <s v="C00000037"/>
    <x v="38"/>
    <x v="188"/>
    <n v="4"/>
    <n v="30"/>
    <x v="5"/>
    <d v="2024-01-19T00:00:00"/>
    <x v="7"/>
    <x v="6"/>
    <n v="6952"/>
    <m/>
    <n v="6952"/>
    <n v="4025180.1500000018"/>
    <s v="Chq"/>
    <m/>
    <m/>
  </r>
  <r>
    <x v="497"/>
    <x v="0"/>
    <x v="4"/>
    <x v="749"/>
    <s v="C00000037"/>
    <x v="38"/>
    <x v="327"/>
    <n v="5"/>
    <n v="30"/>
    <x v="5"/>
    <d v="2024-01-19T00:00:00"/>
    <x v="7"/>
    <x v="6"/>
    <n v="2613"/>
    <m/>
    <n v="2613"/>
    <n v="4027793.1500000018"/>
    <s v="Chq"/>
    <m/>
    <m/>
  </r>
  <r>
    <x v="497"/>
    <x v="0"/>
    <x v="4"/>
    <x v="749"/>
    <s v="C00000037"/>
    <x v="38"/>
    <x v="224"/>
    <n v="5"/>
    <n v="30"/>
    <x v="5"/>
    <d v="2024-01-19T00:00:00"/>
    <x v="7"/>
    <x v="6"/>
    <n v="240"/>
    <m/>
    <n v="240"/>
    <n v="4028033.1500000018"/>
    <s v="Chq"/>
    <m/>
    <m/>
  </r>
  <r>
    <x v="497"/>
    <x v="0"/>
    <x v="4"/>
    <x v="749"/>
    <s v="C00000037"/>
    <x v="38"/>
    <x v="319"/>
    <n v="5"/>
    <n v="30"/>
    <x v="5"/>
    <d v="2024-01-19T00:00:00"/>
    <x v="7"/>
    <x v="6"/>
    <n v="312.5"/>
    <m/>
    <n v="312.5"/>
    <n v="4028345.6500000018"/>
    <s v="Chq"/>
    <m/>
    <m/>
  </r>
  <r>
    <x v="497"/>
    <x v="0"/>
    <x v="4"/>
    <x v="749"/>
    <s v="C00000037"/>
    <x v="38"/>
    <x v="328"/>
    <n v="2"/>
    <n v="30"/>
    <x v="5"/>
    <d v="2024-01-19T00:00:00"/>
    <x v="7"/>
    <x v="6"/>
    <n v="572"/>
    <m/>
    <n v="572"/>
    <n v="4028917.6500000018"/>
    <s v="Chq"/>
    <m/>
    <m/>
  </r>
  <r>
    <x v="497"/>
    <x v="0"/>
    <x v="4"/>
    <x v="749"/>
    <s v="C00000037"/>
    <x v="38"/>
    <x v="171"/>
    <n v="3"/>
    <n v="30"/>
    <x v="5"/>
    <d v="2024-01-19T00:00:00"/>
    <x v="7"/>
    <x v="6"/>
    <n v="285"/>
    <m/>
    <n v="285"/>
    <n v="4029202.6500000018"/>
    <s v="Chq"/>
    <m/>
    <m/>
  </r>
  <r>
    <x v="497"/>
    <x v="0"/>
    <x v="4"/>
    <x v="749"/>
    <s v="C00000037"/>
    <x v="38"/>
    <x v="141"/>
    <n v="6"/>
    <n v="30"/>
    <x v="5"/>
    <d v="2024-01-19T00:00:00"/>
    <x v="7"/>
    <x v="6"/>
    <n v="930"/>
    <m/>
    <n v="930"/>
    <n v="4030132.6500000018"/>
    <s v="Chq"/>
    <m/>
    <m/>
  </r>
  <r>
    <x v="498"/>
    <x v="0"/>
    <x v="4"/>
    <x v="750"/>
    <s v="C00000042"/>
    <x v="43"/>
    <x v="132"/>
    <n v="4"/>
    <s v="Cash"/>
    <x v="0"/>
    <d v="2023-12-21T00:00:00"/>
    <x v="0"/>
    <x v="5"/>
    <n v="250"/>
    <m/>
    <n v="250"/>
    <n v="4030382.6500000018"/>
    <s v="Trsf"/>
    <m/>
    <m/>
  </r>
  <r>
    <x v="498"/>
    <x v="0"/>
    <x v="4"/>
    <x v="751"/>
    <s v="C00000042"/>
    <x v="43"/>
    <x v="188"/>
    <n v="4"/>
    <s v="Cash"/>
    <x v="0"/>
    <d v="2023-12-21T00:00:00"/>
    <x v="0"/>
    <x v="5"/>
    <n v="6424"/>
    <m/>
    <n v="6424"/>
    <n v="4036806.6500000018"/>
    <s v="Trsf"/>
    <m/>
    <m/>
  </r>
  <r>
    <x v="498"/>
    <x v="0"/>
    <x v="4"/>
    <x v="751"/>
    <s v="C00000042"/>
    <x v="43"/>
    <x v="314"/>
    <n v="12"/>
    <s v="Cash"/>
    <x v="0"/>
    <d v="2023-12-21T00:00:00"/>
    <x v="0"/>
    <x v="5"/>
    <n v="2575.1999999999998"/>
    <m/>
    <n v="2575.1999999999998"/>
    <n v="4039381.850000002"/>
    <s v="Trsf"/>
    <m/>
    <m/>
  </r>
  <r>
    <x v="498"/>
    <x v="0"/>
    <x v="4"/>
    <x v="751"/>
    <s v="C00000042"/>
    <x v="43"/>
    <x v="302"/>
    <n v="6"/>
    <s v="Cash"/>
    <x v="0"/>
    <d v="2023-12-21T00:00:00"/>
    <x v="0"/>
    <x v="5"/>
    <n v="1404"/>
    <m/>
    <n v="1404"/>
    <n v="4040785.850000002"/>
    <s v="Trsf"/>
    <m/>
    <m/>
  </r>
  <r>
    <x v="498"/>
    <x v="0"/>
    <x v="4"/>
    <x v="751"/>
    <s v="C00000042"/>
    <x v="43"/>
    <x v="171"/>
    <n v="4"/>
    <s v="Cash"/>
    <x v="0"/>
    <d v="2023-12-21T00:00:00"/>
    <x v="0"/>
    <x v="5"/>
    <n v="380"/>
    <m/>
    <n v="380"/>
    <n v="4041165.850000002"/>
    <s v="Trsf"/>
    <m/>
    <m/>
  </r>
  <r>
    <x v="498"/>
    <x v="0"/>
    <x v="4"/>
    <x v="751"/>
    <s v="C00000042"/>
    <x v="43"/>
    <x v="159"/>
    <n v="1"/>
    <s v="Cash"/>
    <x v="0"/>
    <d v="2023-12-21T00:00:00"/>
    <x v="0"/>
    <x v="5"/>
    <n v="1000"/>
    <m/>
    <n v="1000"/>
    <n v="4042165.850000002"/>
    <s v="Trsf"/>
    <m/>
    <m/>
  </r>
  <r>
    <x v="498"/>
    <x v="0"/>
    <x v="4"/>
    <x v="752"/>
    <s v="C00000026"/>
    <x v="27"/>
    <x v="4"/>
    <n v="1"/>
    <s v="Cash"/>
    <x v="0"/>
    <d v="2023-12-21T00:00:00"/>
    <x v="0"/>
    <x v="5"/>
    <n v="110"/>
    <m/>
    <n v="110"/>
    <n v="4042275.850000002"/>
    <s v="Trsf"/>
    <m/>
    <m/>
  </r>
  <r>
    <x v="498"/>
    <x v="0"/>
    <x v="4"/>
    <x v="752"/>
    <s v="C00000026"/>
    <x v="27"/>
    <x v="319"/>
    <n v="1"/>
    <s v="Cash"/>
    <x v="0"/>
    <d v="2023-12-21T00:00:00"/>
    <x v="0"/>
    <x v="5"/>
    <n v="62.5"/>
    <m/>
    <n v="62.5"/>
    <n v="4042338.350000002"/>
    <s v="Trsf"/>
    <m/>
    <m/>
  </r>
  <r>
    <x v="498"/>
    <x v="0"/>
    <x v="4"/>
    <x v="752"/>
    <s v="C00000026"/>
    <x v="27"/>
    <x v="328"/>
    <n v="1"/>
    <s v="Cash"/>
    <x v="0"/>
    <d v="2023-12-21T00:00:00"/>
    <x v="0"/>
    <x v="5"/>
    <n v="283.8"/>
    <m/>
    <n v="283.8"/>
    <n v="4042622.1500000018"/>
    <s v="Trsf"/>
    <m/>
    <m/>
  </r>
  <r>
    <x v="498"/>
    <x v="0"/>
    <x v="4"/>
    <x v="752"/>
    <s v="C00000026"/>
    <x v="27"/>
    <x v="329"/>
    <n v="1"/>
    <s v="Cash"/>
    <x v="0"/>
    <d v="2023-12-21T00:00:00"/>
    <x v="0"/>
    <x v="5"/>
    <n v="315"/>
    <m/>
    <n v="315"/>
    <n v="4042937.1500000018"/>
    <s v="Trsf"/>
    <m/>
    <m/>
  </r>
  <r>
    <x v="498"/>
    <x v="0"/>
    <x v="4"/>
    <x v="753"/>
    <s v="C00000043"/>
    <x v="45"/>
    <x v="15"/>
    <n v="2"/>
    <s v="Cash"/>
    <x v="0"/>
    <d v="2023-12-21T00:00:00"/>
    <x v="0"/>
    <x v="5"/>
    <n v="3476"/>
    <m/>
    <n v="3476"/>
    <n v="4046413.1500000018"/>
    <s v="Trsf"/>
    <m/>
    <m/>
  </r>
  <r>
    <x v="498"/>
    <x v="0"/>
    <x v="4"/>
    <x v="753"/>
    <s v="C00000043"/>
    <x v="45"/>
    <x v="219"/>
    <n v="1"/>
    <s v="Cash"/>
    <x v="0"/>
    <d v="2023-12-21T00:00:00"/>
    <x v="0"/>
    <x v="5"/>
    <n v="432"/>
    <m/>
    <n v="432"/>
    <n v="4046845.1500000018"/>
    <s v="Trsf"/>
    <m/>
    <m/>
  </r>
  <r>
    <x v="498"/>
    <x v="0"/>
    <x v="4"/>
    <x v="753"/>
    <s v="C00000043"/>
    <x v="45"/>
    <x v="320"/>
    <n v="10"/>
    <s v="Cash"/>
    <x v="0"/>
    <d v="2023-12-21T00:00:00"/>
    <x v="0"/>
    <x v="5"/>
    <n v="600"/>
    <m/>
    <n v="600"/>
    <n v="4047445.1500000018"/>
    <s v="Trsf"/>
    <m/>
    <m/>
  </r>
  <r>
    <x v="498"/>
    <x v="0"/>
    <x v="4"/>
    <x v="753"/>
    <s v="C00000043"/>
    <x v="45"/>
    <x v="4"/>
    <n v="2"/>
    <s v="Cash"/>
    <x v="0"/>
    <d v="2023-12-21T00:00:00"/>
    <x v="0"/>
    <x v="5"/>
    <n v="220"/>
    <m/>
    <n v="220"/>
    <n v="4047665.1500000018"/>
    <s v="Trsf"/>
    <m/>
    <m/>
  </r>
  <r>
    <x v="499"/>
    <x v="0"/>
    <x v="4"/>
    <x v="754"/>
    <s v="C00000026"/>
    <x v="27"/>
    <x v="141"/>
    <n v="1"/>
    <s v="Cash"/>
    <x v="0"/>
    <d v="2023-12-22T00:00:00"/>
    <x v="0"/>
    <x v="5"/>
    <n v="175"/>
    <m/>
    <n v="175"/>
    <n v="4047840.1500000018"/>
    <s v="Trsf"/>
    <m/>
    <m/>
  </r>
  <r>
    <x v="499"/>
    <x v="0"/>
    <x v="4"/>
    <x v="755"/>
    <s v="C00000021"/>
    <x v="21"/>
    <x v="15"/>
    <n v="1"/>
    <s v="Cash"/>
    <x v="0"/>
    <d v="2023-12-22T00:00:00"/>
    <x v="0"/>
    <x v="5"/>
    <n v="1738"/>
    <m/>
    <n v="1738"/>
    <n v="4049578.1500000018"/>
    <s v="PD Chq"/>
    <m/>
    <m/>
  </r>
  <r>
    <x v="499"/>
    <x v="0"/>
    <x v="4"/>
    <x v="755"/>
    <s v="C00000021"/>
    <x v="21"/>
    <x v="171"/>
    <n v="1"/>
    <s v="Cash"/>
    <x v="0"/>
    <d v="2023-12-22T00:00:00"/>
    <x v="0"/>
    <x v="5"/>
    <n v="95"/>
    <m/>
    <n v="95"/>
    <n v="4049673.1500000018"/>
    <s v="PD Chq"/>
    <m/>
    <m/>
  </r>
  <r>
    <x v="499"/>
    <x v="0"/>
    <x v="4"/>
    <x v="755"/>
    <s v="C00000021"/>
    <x v="21"/>
    <x v="319"/>
    <n v="5"/>
    <s v="Cash"/>
    <x v="0"/>
    <d v="2023-12-22T00:00:00"/>
    <x v="0"/>
    <x v="5"/>
    <n v="312.5"/>
    <m/>
    <n v="312.5"/>
    <n v="4049985.6500000018"/>
    <s v="PD Chq"/>
    <m/>
    <m/>
  </r>
  <r>
    <x v="500"/>
    <x v="0"/>
    <x v="4"/>
    <x v="756"/>
    <s v="C00000042"/>
    <x v="43"/>
    <x v="319"/>
    <n v="5"/>
    <s v="Cash"/>
    <x v="0"/>
    <d v="2023-12-27T00:00:00"/>
    <x v="0"/>
    <x v="5"/>
    <n v="312.5"/>
    <m/>
    <n v="312.5"/>
    <n v="4050298.1500000018"/>
    <s v="Trsf"/>
    <m/>
    <m/>
  </r>
  <r>
    <x v="500"/>
    <x v="0"/>
    <x v="4"/>
    <x v="757"/>
    <s v="C00000042"/>
    <x v="43"/>
    <x v="279"/>
    <n v="5"/>
    <s v="Cash"/>
    <x v="0"/>
    <d v="2023-12-27T00:00:00"/>
    <x v="0"/>
    <x v="5"/>
    <n v="8030"/>
    <m/>
    <n v="8030"/>
    <n v="4058328.1500000018"/>
    <s v="Trsf"/>
    <m/>
    <m/>
  </r>
  <r>
    <x v="500"/>
    <x v="0"/>
    <x v="4"/>
    <x v="757"/>
    <s v="C00000042"/>
    <x v="43"/>
    <x v="247"/>
    <n v="11"/>
    <s v="Cash"/>
    <x v="0"/>
    <d v="2023-12-27T00:00:00"/>
    <x v="0"/>
    <x v="5"/>
    <n v="1914"/>
    <m/>
    <n v="1914"/>
    <n v="4060242.1500000018"/>
    <s v="Trsf"/>
    <m/>
    <m/>
  </r>
  <r>
    <x v="500"/>
    <x v="0"/>
    <x v="4"/>
    <x v="757"/>
    <s v="C00000042"/>
    <x v="43"/>
    <x v="302"/>
    <n v="6"/>
    <s v="Cash"/>
    <x v="0"/>
    <d v="2023-12-27T00:00:00"/>
    <x v="0"/>
    <x v="5"/>
    <n v="1404"/>
    <m/>
    <n v="1404"/>
    <n v="4061646.1500000018"/>
    <s v="Trsf"/>
    <m/>
    <m/>
  </r>
  <r>
    <x v="500"/>
    <x v="0"/>
    <x v="4"/>
    <x v="757"/>
    <s v="C00000042"/>
    <x v="43"/>
    <x v="159"/>
    <n v="1"/>
    <s v="Cash"/>
    <x v="0"/>
    <d v="2023-12-27T00:00:00"/>
    <x v="0"/>
    <x v="5"/>
    <n v="1000"/>
    <m/>
    <n v="1000"/>
    <n v="4062646.1500000018"/>
    <s v="Trsf"/>
    <m/>
    <m/>
  </r>
  <r>
    <x v="501"/>
    <x v="0"/>
    <x v="4"/>
    <x v="758"/>
    <s v="C00000042"/>
    <x v="43"/>
    <x v="319"/>
    <n v="10"/>
    <s v="Cash"/>
    <x v="0"/>
    <d v="2023-12-30T00:00:00"/>
    <x v="0"/>
    <x v="5"/>
    <n v="625"/>
    <m/>
    <n v="625"/>
    <n v="4063271.1500000018"/>
    <s v="Trsf"/>
    <m/>
    <m/>
  </r>
  <r>
    <x v="501"/>
    <x v="0"/>
    <x v="4"/>
    <x v="759"/>
    <s v="C00000042"/>
    <x v="43"/>
    <x v="188"/>
    <n v="5"/>
    <s v="Cash"/>
    <x v="0"/>
    <d v="2023-12-30T00:00:00"/>
    <x v="0"/>
    <x v="5"/>
    <n v="8030"/>
    <m/>
    <n v="8030"/>
    <n v="4071301.1500000018"/>
    <s v="Trsf"/>
    <m/>
    <m/>
  </r>
  <r>
    <x v="501"/>
    <x v="0"/>
    <x v="4"/>
    <x v="759"/>
    <s v="C00000042"/>
    <x v="43"/>
    <x v="247"/>
    <n v="15"/>
    <s v="Cash"/>
    <x v="0"/>
    <d v="2023-12-30T00:00:00"/>
    <x v="0"/>
    <x v="5"/>
    <n v="2610"/>
    <m/>
    <n v="2610"/>
    <n v="4073911.1500000018"/>
    <s v="Trsf"/>
    <m/>
    <m/>
  </r>
  <r>
    <x v="501"/>
    <x v="0"/>
    <x v="4"/>
    <x v="759"/>
    <s v="C00000042"/>
    <x v="43"/>
    <x v="302"/>
    <n v="9"/>
    <s v="Cash"/>
    <x v="0"/>
    <d v="2023-12-30T00:00:00"/>
    <x v="0"/>
    <x v="5"/>
    <n v="2106"/>
    <m/>
    <n v="2106"/>
    <n v="4076017.1500000018"/>
    <s v="Trsf"/>
    <m/>
    <m/>
  </r>
  <r>
    <x v="501"/>
    <x v="0"/>
    <x v="4"/>
    <x v="759"/>
    <s v="C00000042"/>
    <x v="43"/>
    <x v="164"/>
    <n v="1"/>
    <s v="Cash"/>
    <x v="0"/>
    <d v="2023-12-30T00:00:00"/>
    <x v="0"/>
    <x v="5"/>
    <n v="208"/>
    <m/>
    <n v="208"/>
    <n v="4076225.1500000018"/>
    <s v="Trsf"/>
    <m/>
    <m/>
  </r>
  <r>
    <x v="501"/>
    <x v="0"/>
    <x v="4"/>
    <x v="759"/>
    <s v="C00000042"/>
    <x v="43"/>
    <x v="171"/>
    <n v="4"/>
    <s v="Cash"/>
    <x v="0"/>
    <d v="2023-12-30T00:00:00"/>
    <x v="0"/>
    <x v="5"/>
    <n v="380"/>
    <m/>
    <n v="380"/>
    <n v="4076605.1500000018"/>
    <s v="Trsf"/>
    <m/>
    <m/>
  </r>
  <r>
    <x v="501"/>
    <x v="0"/>
    <x v="4"/>
    <x v="759"/>
    <s v="C00000042"/>
    <x v="43"/>
    <x v="159"/>
    <n v="1"/>
    <s v="Cash"/>
    <x v="0"/>
    <d v="2023-12-30T00:00:00"/>
    <x v="0"/>
    <x v="5"/>
    <n v="1000"/>
    <m/>
    <n v="1000"/>
    <n v="4077605.1500000018"/>
    <s v="Trsf"/>
    <m/>
    <m/>
  </r>
  <r>
    <x v="501"/>
    <x v="0"/>
    <x v="4"/>
    <x v="760"/>
    <s v="C00000021"/>
    <x v="21"/>
    <x v="15"/>
    <n v="1"/>
    <s v="Cash"/>
    <x v="0"/>
    <d v="2023-12-30T00:00:00"/>
    <x v="0"/>
    <x v="5"/>
    <n v="1738"/>
    <m/>
    <n v="1738"/>
    <n v="4079343.1500000018"/>
    <s v="PD Chq"/>
    <m/>
    <m/>
  </r>
  <r>
    <x v="501"/>
    <x v="0"/>
    <x v="4"/>
    <x v="760"/>
    <s v="C00000021"/>
    <x v="21"/>
    <x v="318"/>
    <n v="1"/>
    <s v="Cash"/>
    <x v="0"/>
    <d v="2023-12-30T00:00:00"/>
    <x v="0"/>
    <x v="5"/>
    <n v="277.5"/>
    <m/>
    <n v="277.5"/>
    <n v="4079620.6500000018"/>
    <s v="PD Chq"/>
    <m/>
    <m/>
  </r>
  <r>
    <x v="501"/>
    <x v="0"/>
    <x v="4"/>
    <x v="760"/>
    <s v="C00000021"/>
    <x v="21"/>
    <x v="171"/>
    <n v="1"/>
    <s v="Cash"/>
    <x v="0"/>
    <d v="2023-12-30T00:00:00"/>
    <x v="0"/>
    <x v="5"/>
    <n v="95"/>
    <m/>
    <n v="95"/>
    <n v="4079715.6500000018"/>
    <s v="PD Chq"/>
    <m/>
    <m/>
  </r>
  <r>
    <x v="501"/>
    <x v="0"/>
    <x v="4"/>
    <x v="760"/>
    <s v="C00000021"/>
    <x v="21"/>
    <x v="319"/>
    <n v="5"/>
    <s v="Cash"/>
    <x v="0"/>
    <d v="2023-12-30T00:00:00"/>
    <x v="0"/>
    <x v="5"/>
    <n v="312.5"/>
    <m/>
    <n v="312.5"/>
    <n v="4080028.1500000018"/>
    <s v="PD Chq"/>
    <m/>
    <m/>
  </r>
  <r>
    <x v="501"/>
    <x v="0"/>
    <x v="4"/>
    <x v="761"/>
    <s v="C00000019"/>
    <x v="18"/>
    <x v="7"/>
    <n v="1"/>
    <s v="Cash"/>
    <x v="0"/>
    <d v="2023-12-30T00:00:00"/>
    <x v="0"/>
    <x v="5"/>
    <n v="1738"/>
    <m/>
    <n v="1738"/>
    <n v="4081766.1500000018"/>
    <s v="Trsf"/>
    <m/>
    <m/>
  </r>
  <r>
    <x v="501"/>
    <x v="0"/>
    <x v="4"/>
    <x v="761"/>
    <s v="C00000019"/>
    <x v="18"/>
    <x v="244"/>
    <n v="1"/>
    <s v="Cash"/>
    <x v="0"/>
    <d v="2023-12-30T00:00:00"/>
    <x v="0"/>
    <x v="5"/>
    <n v="390"/>
    <m/>
    <n v="390"/>
    <n v="4082156.1500000018"/>
    <s v="Trsf"/>
    <m/>
    <m/>
  </r>
  <r>
    <x v="501"/>
    <x v="0"/>
    <x v="4"/>
    <x v="761"/>
    <s v="C00000019"/>
    <x v="18"/>
    <x v="4"/>
    <n v="1"/>
    <s v="Cash"/>
    <x v="0"/>
    <d v="2023-12-30T00:00:00"/>
    <x v="0"/>
    <x v="5"/>
    <n v="105"/>
    <m/>
    <n v="105"/>
    <n v="4082261.1500000018"/>
    <s v="Trsf"/>
    <m/>
    <m/>
  </r>
  <r>
    <x v="501"/>
    <x v="0"/>
    <x v="4"/>
    <x v="761"/>
    <s v="C00000019"/>
    <x v="18"/>
    <x v="153"/>
    <n v="2"/>
    <s v="Cash"/>
    <x v="0"/>
    <d v="2023-12-30T00:00:00"/>
    <x v="0"/>
    <x v="5"/>
    <n v="120"/>
    <m/>
    <n v="120"/>
    <n v="4082381.1500000018"/>
    <s v="Trsf"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60">
  <r>
    <x v="0"/>
    <x v="0"/>
    <x v="0"/>
    <x v="0"/>
    <s v="C00000001"/>
    <x v="0"/>
    <s v="RA Resin SHCP 268W (225kg)"/>
    <n v="1"/>
    <s v="Cash"/>
    <n v="0"/>
    <d v="2019-12-23T00:00:00"/>
    <n v="12"/>
    <n v="2019"/>
    <n v="1530"/>
    <n v="-1530"/>
    <n v="0"/>
    <n v="1530"/>
    <s v="Trsf"/>
    <s v="Trsf 29/5"/>
    <m/>
  </r>
  <r>
    <x v="0"/>
    <x v="0"/>
    <x v="0"/>
    <x v="0"/>
    <s v="C00000001"/>
    <x v="0"/>
    <s v="RA CSM 450 GSM JUSHI 37kg 79m(L) X 1040mm(W)"/>
    <n v="6"/>
    <s v="Cash"/>
    <n v="0"/>
    <d v="2019-12-23T00:00:00"/>
    <n v="12"/>
    <n v="2019"/>
    <n v="1443"/>
    <n v="-1443"/>
    <n v="0"/>
    <n v="2973"/>
    <s v="Trsf"/>
    <s v="Trsf 29/5"/>
    <m/>
  </r>
  <r>
    <x v="1"/>
    <x v="1"/>
    <x v="1"/>
    <x v="1"/>
    <s v="C00000001"/>
    <x v="0"/>
    <s v="RA Gelcoat GS-S ISO (20kg)"/>
    <n v="2"/>
    <s v="Cash"/>
    <n v="0"/>
    <d v="2020-06-02T00:00:00"/>
    <n v="6"/>
    <n v="2020"/>
    <n v="480"/>
    <n v="-480"/>
    <n v="0"/>
    <n v="3453"/>
    <s v="Trsf"/>
    <s v="Trsf 24/6"/>
    <m/>
  </r>
  <r>
    <x v="2"/>
    <x v="1"/>
    <x v="1"/>
    <x v="2"/>
    <s v="C00000002"/>
    <x v="1"/>
    <s v="RA Resin SHCP 268W (225kg)"/>
    <n v="1"/>
    <s v="Cash"/>
    <n v="0"/>
    <d v="2020-06-11T00:00:00"/>
    <n v="6"/>
    <n v="2020"/>
    <n v="1395"/>
    <n v="-1395"/>
    <n v="0"/>
    <n v="4848"/>
    <s v="Chq"/>
    <s v="Chq 13/6"/>
    <m/>
  </r>
  <r>
    <x v="2"/>
    <x v="1"/>
    <x v="1"/>
    <x v="2"/>
    <s v="C00000002"/>
    <x v="1"/>
    <s v="RB Acetone (160Kg)"/>
    <n v="1"/>
    <s v="Cash"/>
    <n v="0"/>
    <d v="2020-06-11T00:00:00"/>
    <n v="6"/>
    <n v="2020"/>
    <n v="672"/>
    <n v="-672"/>
    <n v="0"/>
    <n v="5520"/>
    <s v="Chq"/>
    <s v="Chq 13/6"/>
    <m/>
  </r>
  <r>
    <x v="3"/>
    <x v="1"/>
    <x v="1"/>
    <x v="3"/>
    <s v="C00000001"/>
    <x v="0"/>
    <s v="RA Resin SHCP 268W (225kg)"/>
    <n v="1"/>
    <s v="Cash"/>
    <n v="0"/>
    <d v="2020-06-17T00:00:00"/>
    <n v="6"/>
    <n v="2020"/>
    <n v="1530"/>
    <n v="-1530"/>
    <n v="0"/>
    <n v="7050"/>
    <s v="Trsf"/>
    <s v="Trsf 24/6"/>
    <m/>
  </r>
  <r>
    <x v="3"/>
    <x v="1"/>
    <x v="1"/>
    <x v="3"/>
    <s v="C00000001"/>
    <x v="0"/>
    <s v="RA CSM 450 GSM JUSHI 37kg 79m(L) X 1040mm(W)"/>
    <n v="3"/>
    <s v="Cash"/>
    <n v="0"/>
    <d v="2020-06-17T00:00:00"/>
    <n v="6"/>
    <n v="2020"/>
    <n v="720"/>
    <n v="-720"/>
    <n v="0"/>
    <n v="7770"/>
    <s v="Trsf"/>
    <s v="Trsf 24/6"/>
    <m/>
  </r>
  <r>
    <x v="3"/>
    <x v="1"/>
    <x v="1"/>
    <x v="3"/>
    <s v="C00000001"/>
    <x v="0"/>
    <s v="RA Butanox M50 (5Kg)"/>
    <n v="2"/>
    <s v="Cash"/>
    <n v="0"/>
    <d v="2020-06-17T00:00:00"/>
    <n v="6"/>
    <n v="2020"/>
    <n v="185"/>
    <n v="-185"/>
    <n v="0"/>
    <n v="7955"/>
    <s v="Trsf"/>
    <s v="Trsf 24/6"/>
    <m/>
  </r>
  <r>
    <x v="4"/>
    <x v="1"/>
    <x v="1"/>
    <x v="4"/>
    <s v="C00000003"/>
    <x v="2"/>
    <s v="RA Resin SHCP 268W (225kg)"/>
    <n v="1"/>
    <n v="45"/>
    <n v="45"/>
    <d v="2020-08-06T00:00:00"/>
    <n v="8"/>
    <n v="2020"/>
    <n v="1642.5"/>
    <n v="-1642.5"/>
    <n v="0"/>
    <n v="9597.5"/>
    <s v="PD Chq"/>
    <s v="PD chq 8/8, RM1,827.00 &amp; Cash RM0.50"/>
    <m/>
  </r>
  <r>
    <x v="4"/>
    <x v="1"/>
    <x v="1"/>
    <x v="4"/>
    <s v="C00000003"/>
    <x v="2"/>
    <s v="RA Butanox M50 (5Kg)"/>
    <n v="2"/>
    <n v="45"/>
    <n v="45"/>
    <d v="2020-08-06T00:00:00"/>
    <n v="8"/>
    <n v="2020"/>
    <n v="185"/>
    <n v="-185"/>
    <n v="0"/>
    <n v="9782.5"/>
    <s v="PD Chq"/>
    <s v="PD chq 8/8, RM1,827.00 &amp; Cash RM0.50"/>
    <m/>
  </r>
  <r>
    <x v="5"/>
    <x v="2"/>
    <x v="1"/>
    <x v="5"/>
    <s v="C00000004"/>
    <x v="3"/>
    <s v="RA Gelcoat GP-H (20Kg)"/>
    <n v="9"/>
    <n v="120"/>
    <n v="120"/>
    <d v="2020-10-29T00:00:00"/>
    <n v="10"/>
    <n v="2020"/>
    <n v="1836"/>
    <n v="-1836"/>
    <n v="0"/>
    <n v="11618.5"/>
    <s v="Chq"/>
    <s v="Chq 16/11/2020"/>
    <m/>
  </r>
  <r>
    <x v="6"/>
    <x v="2"/>
    <x v="1"/>
    <x v="6"/>
    <s v="C00000003"/>
    <x v="2"/>
    <s v="RA Silicone Rubber (25Kg)"/>
    <n v="1"/>
    <n v="45"/>
    <n v="45"/>
    <d v="2020-08-28T00:00:00"/>
    <n v="8"/>
    <n v="2020"/>
    <n v="1200"/>
    <n v="-1200"/>
    <n v="0"/>
    <n v="12818.5"/>
    <s v="PD Chq"/>
    <s v="PD chq 16/8"/>
    <m/>
  </r>
  <r>
    <x v="7"/>
    <x v="2"/>
    <x v="1"/>
    <x v="7"/>
    <s v="C00000001"/>
    <x v="0"/>
    <s v="RA Nor 3338W (220Kg)"/>
    <n v="1"/>
    <s v="Cash"/>
    <n v="0"/>
    <d v="2020-07-15T00:00:00"/>
    <n v="7"/>
    <n v="2020"/>
    <n v="1496"/>
    <n v="-1496"/>
    <n v="0"/>
    <n v="14314.5"/>
    <s v="Trsf"/>
    <s v="Trsf 28/7"/>
    <m/>
  </r>
  <r>
    <x v="7"/>
    <x v="2"/>
    <x v="1"/>
    <x v="7"/>
    <s v="C00000001"/>
    <x v="0"/>
    <s v="RA Butanox M50 (5Kg)"/>
    <n v="4"/>
    <s v="Cash"/>
    <n v="0"/>
    <d v="2020-07-15T00:00:00"/>
    <n v="7"/>
    <n v="2020"/>
    <n v="370"/>
    <n v="-370"/>
    <n v="0"/>
    <n v="14684.5"/>
    <s v="Trsf"/>
    <s v="Trsf 28/7"/>
    <m/>
  </r>
  <r>
    <x v="7"/>
    <x v="2"/>
    <x v="1"/>
    <x v="7"/>
    <s v="C00000001"/>
    <x v="0"/>
    <s v="RC Woven Roving E-800 40Kg 1000mm"/>
    <n v="1"/>
    <s v="Cash"/>
    <n v="0"/>
    <d v="2020-07-15T00:00:00"/>
    <n v="7"/>
    <n v="2020"/>
    <n v="232"/>
    <n v="-232"/>
    <n v="0"/>
    <n v="14916.5"/>
    <s v="Trsf"/>
    <s v="Trsf 28/7"/>
    <s v="Delivered 22/7/20"/>
  </r>
  <r>
    <x v="8"/>
    <x v="3"/>
    <x v="1"/>
    <x v="8"/>
    <s v="C00000004"/>
    <x v="3"/>
    <s v="RA Nor 3338W (220Kg)"/>
    <n v="2"/>
    <n v="120"/>
    <n v="120"/>
    <d v="2020-11-29T00:00:00"/>
    <n v="11"/>
    <n v="2020"/>
    <n v="2508"/>
    <n v="-2508"/>
    <n v="0"/>
    <n v="17424.5"/>
    <s v="Chq"/>
    <s v="Chq 1/12/2020"/>
    <m/>
  </r>
  <r>
    <x v="9"/>
    <x v="3"/>
    <x v="1"/>
    <x v="9"/>
    <s v="C00000004"/>
    <x v="3"/>
    <s v="RA Nor 3338W (220Kg)"/>
    <n v="2"/>
    <n v="120"/>
    <n v="120"/>
    <d v="2020-12-06T00:00:00"/>
    <n v="12"/>
    <n v="2020"/>
    <n v="2508"/>
    <n v="-2508"/>
    <n v="0"/>
    <n v="19932.5"/>
    <s v="Chq"/>
    <s v="Chq 1/12/2020"/>
    <m/>
  </r>
  <r>
    <x v="9"/>
    <x v="3"/>
    <x v="1"/>
    <x v="10"/>
    <s v="C00000004"/>
    <x v="3"/>
    <s v="RA CSM 300 GSM TWL 30kg 64m(L) x 1040mm(W)"/>
    <n v="2"/>
    <n v="120"/>
    <n v="120"/>
    <d v="2020-12-06T00:00:00"/>
    <n v="12"/>
    <n v="2020"/>
    <n v="324"/>
    <n v="-324"/>
    <n v="0"/>
    <n v="20256.5"/>
    <s v="Chq"/>
    <s v="Chq 1/12/2020"/>
    <m/>
  </r>
  <r>
    <x v="10"/>
    <x v="3"/>
    <x v="1"/>
    <x v="11"/>
    <s v="C00000005"/>
    <x v="4"/>
    <s v="RA Nor 3338W (220Kg)"/>
    <n v="1"/>
    <s v="Cash"/>
    <n v="0"/>
    <d v="2020-08-10T00:00:00"/>
    <n v="8"/>
    <n v="2020"/>
    <n v="1496"/>
    <n v="-1496"/>
    <n v="0"/>
    <n v="21752.5"/>
    <s v="Chq"/>
    <s v="Chq 10/8"/>
    <m/>
  </r>
  <r>
    <x v="10"/>
    <x v="3"/>
    <x v="1"/>
    <x v="11"/>
    <s v="C00000005"/>
    <x v="4"/>
    <s v="RA Butanox M50 (5Kg)"/>
    <n v="1"/>
    <s v="Cash"/>
    <n v="0"/>
    <d v="2020-08-10T00:00:00"/>
    <n v="8"/>
    <n v="2020"/>
    <n v="90"/>
    <n v="-90"/>
    <n v="0"/>
    <n v="21842.5"/>
    <s v="Chq"/>
    <s v="Chq 10/8"/>
    <m/>
  </r>
  <r>
    <x v="10"/>
    <x v="3"/>
    <x v="1"/>
    <x v="12"/>
    <s v="C00000003"/>
    <x v="2"/>
    <s v="RA Nor 3338W (220Kg)"/>
    <n v="2"/>
    <n v="45"/>
    <n v="45"/>
    <d v="2020-09-24T00:00:00"/>
    <n v="9"/>
    <n v="2020"/>
    <n v="3036"/>
    <n v="-3036"/>
    <n v="0"/>
    <n v="24878.5"/>
    <s v="PD Chq"/>
    <s v="PD chq 13/9, RM1,700/- &amp; 20/9, RM1,706/-"/>
    <m/>
  </r>
  <r>
    <x v="10"/>
    <x v="3"/>
    <x v="1"/>
    <x v="12"/>
    <s v="C00000003"/>
    <x v="2"/>
    <s v="RA Butanox M50 (5Kg)"/>
    <n v="4"/>
    <n v="45"/>
    <n v="45"/>
    <d v="2020-09-24T00:00:00"/>
    <n v="9"/>
    <n v="2020"/>
    <n v="370"/>
    <n v="-370"/>
    <n v="0"/>
    <n v="25248.5"/>
    <s v="PD Chq"/>
    <s v="PD chq 13/9, RM1,700/- &amp; 20/9, RM1,706/-"/>
    <m/>
  </r>
  <r>
    <x v="11"/>
    <x v="3"/>
    <x v="1"/>
    <x v="13"/>
    <s v="C00000001"/>
    <x v="0"/>
    <s v="RA Nor 3338W (220Kg)"/>
    <n v="1"/>
    <s v="Cash"/>
    <n v="0"/>
    <d v="2020-08-12T00:00:00"/>
    <n v="8"/>
    <n v="2020"/>
    <n v="1496"/>
    <n v="-1496"/>
    <n v="0"/>
    <n v="26744.5"/>
    <s v="Trsf"/>
    <s v="Trsf 23/8"/>
    <m/>
  </r>
  <r>
    <x v="11"/>
    <x v="3"/>
    <x v="1"/>
    <x v="13"/>
    <s v="C00000001"/>
    <x v="0"/>
    <s v="RA CSM 450 GSM JUSHI 37kg 79m(L) X 1040mm(W)"/>
    <n v="4"/>
    <s v="Cash"/>
    <n v="0"/>
    <d v="2020-08-12T00:00:00"/>
    <n v="8"/>
    <n v="2020"/>
    <n v="962"/>
    <n v="-962"/>
    <n v="0"/>
    <n v="27706.5"/>
    <s v="Trsf"/>
    <s v="Trsf 23/8"/>
    <m/>
  </r>
  <r>
    <x v="11"/>
    <x v="3"/>
    <x v="1"/>
    <x v="13"/>
    <s v="C00000001"/>
    <x v="0"/>
    <s v="RC Woven Roving E-800 40Kg 1000mm"/>
    <n v="2"/>
    <s v="Cash"/>
    <n v="0"/>
    <d v="2020-08-12T00:00:00"/>
    <n v="8"/>
    <n v="2020"/>
    <n v="464"/>
    <n v="-464"/>
    <n v="0"/>
    <n v="28170.5"/>
    <s v="Trsf"/>
    <s v="Trsf 23/8"/>
    <m/>
  </r>
  <r>
    <x v="12"/>
    <x v="3"/>
    <x v="1"/>
    <x v="14"/>
    <s v="C00000001"/>
    <x v="0"/>
    <s v="RA Gelcoat GS-S ISO (20kg)"/>
    <n v="4"/>
    <s v="Cash"/>
    <n v="0"/>
    <d v="2020-08-13T00:00:00"/>
    <n v="8"/>
    <n v="2020"/>
    <n v="960"/>
    <n v="-960"/>
    <n v="0"/>
    <n v="29130.5"/>
    <s v="Trsf"/>
    <s v="Trsf 23/8"/>
    <m/>
  </r>
  <r>
    <x v="13"/>
    <x v="3"/>
    <x v="1"/>
    <x v="15"/>
    <s v="C00000003"/>
    <x v="2"/>
    <s v="RA CSM 450 GSM 54kg 64m(L) X 1860mm(W)"/>
    <n v="1"/>
    <n v="45"/>
    <n v="45"/>
    <d v="2020-10-03T00:00:00"/>
    <n v="10"/>
    <n v="2020"/>
    <n v="367.2"/>
    <n v="-367.2"/>
    <n v="0"/>
    <n v="29497.7"/>
    <s v="PD Chq"/>
    <s v="PD Chq 27/9, RM1,270.20"/>
    <m/>
  </r>
  <r>
    <x v="13"/>
    <x v="3"/>
    <x v="1"/>
    <x v="16"/>
    <s v="C00000006"/>
    <x v="5"/>
    <s v="RA Nor 3338W (220Kg)"/>
    <n v="1"/>
    <s v="Cash"/>
    <n v="0"/>
    <d v="2020-08-19T00:00:00"/>
    <n v="8"/>
    <n v="2020"/>
    <n v="1496"/>
    <n v="-1496"/>
    <n v="0"/>
    <n v="30993.7"/>
    <s v="Chq"/>
    <s v="Chq 19/8"/>
    <m/>
  </r>
  <r>
    <x v="13"/>
    <x v="3"/>
    <x v="1"/>
    <x v="16"/>
    <s v="C00000006"/>
    <x v="5"/>
    <s v="RA Gelcoat GP-H (20Kg)"/>
    <n v="1"/>
    <s v="Cash"/>
    <n v="0"/>
    <d v="2020-08-19T00:00:00"/>
    <n v="8"/>
    <n v="2020"/>
    <n v="210"/>
    <n v="-210"/>
    <n v="0"/>
    <n v="31203.7"/>
    <s v="Chq"/>
    <s v="Chq 19/8"/>
    <m/>
  </r>
  <r>
    <x v="14"/>
    <x v="3"/>
    <x v="1"/>
    <x v="17"/>
    <s v="C00000007"/>
    <x v="6"/>
    <s v="RA CSM 450 GSM 54kg 64m(L) X 1860mm(W)"/>
    <n v="4"/>
    <s v="Cash"/>
    <n v="0"/>
    <d v="2020-08-22T00:00:00"/>
    <n v="8"/>
    <n v="2020"/>
    <n v="1296"/>
    <n v="-1296"/>
    <n v="0"/>
    <n v="32499.7"/>
    <s v="Trsf"/>
    <s v="Due 30/9/2020, Trsf IBG 1/10/2020"/>
    <m/>
  </r>
  <r>
    <x v="14"/>
    <x v="3"/>
    <x v="1"/>
    <x v="17"/>
    <s v="C00000007"/>
    <x v="6"/>
    <s v="RA Gelcoat GP-H (20Kg)"/>
    <n v="4"/>
    <s v="Cash"/>
    <n v="0"/>
    <d v="2020-08-22T00:00:00"/>
    <n v="8"/>
    <n v="2020"/>
    <n v="840"/>
    <n v="-840"/>
    <n v="0"/>
    <n v="33339.699999999997"/>
    <s v="Trsf"/>
    <s v="Due 30/9/2020, Trsf IBG 1/10/2020"/>
    <m/>
  </r>
  <r>
    <x v="14"/>
    <x v="3"/>
    <x v="1"/>
    <x v="17"/>
    <s v="C00000007"/>
    <x v="6"/>
    <s v="RA Gelcoat GS-H (20kg)"/>
    <n v="2"/>
    <s v="Cash"/>
    <n v="0"/>
    <d v="2020-08-22T00:00:00"/>
    <n v="8"/>
    <n v="2020"/>
    <n v="460"/>
    <n v="-460"/>
    <n v="0"/>
    <n v="33799.699999999997"/>
    <s v="Trsf"/>
    <s v="Due 30/9/2020, Trsf IBG 1/10/2020"/>
    <m/>
  </r>
  <r>
    <x v="14"/>
    <x v="3"/>
    <x v="1"/>
    <x v="17"/>
    <s v="C00000007"/>
    <x v="6"/>
    <s v="RA Butanox M50 (5Kg)"/>
    <n v="4"/>
    <s v="Cash"/>
    <n v="0"/>
    <d v="2020-08-22T00:00:00"/>
    <n v="8"/>
    <n v="2020"/>
    <n v="360"/>
    <n v="-360"/>
    <n v="0"/>
    <n v="34159.699999999997"/>
    <s v="Trsf"/>
    <s v="Due 30/9/2020, Trsf IBG 1/10/2020"/>
    <m/>
  </r>
  <r>
    <x v="14"/>
    <x v="3"/>
    <x v="1"/>
    <x v="18"/>
    <s v="C00000008"/>
    <x v="7"/>
    <s v="RA Nor 3338W (220Kg)"/>
    <n v="1"/>
    <s v="Cash"/>
    <n v="0"/>
    <d v="2020-08-22T00:00:00"/>
    <n v="8"/>
    <n v="2020"/>
    <n v="1452"/>
    <n v="-1452"/>
    <n v="0"/>
    <n v="35611.699999999997"/>
    <s v="Trsf"/>
    <s v="Trsf 24/8"/>
    <m/>
  </r>
  <r>
    <x v="15"/>
    <x v="3"/>
    <x v="1"/>
    <x v="19"/>
    <s v="C00000003"/>
    <x v="2"/>
    <s v="RA Nor 3338W (220Kg)"/>
    <n v="1"/>
    <n v="45"/>
    <n v="45"/>
    <d v="2020-10-08T00:00:00"/>
    <n v="10"/>
    <n v="2020"/>
    <n v="1518"/>
    <n v="-1518"/>
    <n v="0"/>
    <n v="37129.699999999997"/>
    <s v="PD Chq"/>
    <s v="PD Chq 27/9, RM1,270.20 &amp; 11/10, RM1,000.00"/>
    <m/>
  </r>
  <r>
    <x v="15"/>
    <x v="3"/>
    <x v="1"/>
    <x v="19"/>
    <s v="C00000003"/>
    <x v="2"/>
    <s v="RA Talcum Powder (25Kg)"/>
    <n v="4"/>
    <n v="45"/>
    <n v="45"/>
    <d v="2020-10-08T00:00:00"/>
    <n v="10"/>
    <n v="2020"/>
    <n v="200"/>
    <n v="-200"/>
    <n v="0"/>
    <n v="37329.699999999997"/>
    <s v="PD Chq"/>
    <s v="PD Chq 11/10, RM1,000/-"/>
    <m/>
  </r>
  <r>
    <x v="15"/>
    <x v="3"/>
    <x v="1"/>
    <x v="19"/>
    <s v="C00000003"/>
    <x v="2"/>
    <s v="RA Butanox M50 (5Kg)"/>
    <n v="2"/>
    <n v="45"/>
    <n v="45"/>
    <d v="2020-10-08T00:00:00"/>
    <n v="10"/>
    <n v="2020"/>
    <n v="185"/>
    <n v="-185"/>
    <n v="0"/>
    <n v="37514.699999999997"/>
    <s v="PD Chq"/>
    <s v="PD Chq 11/10, RM1,000/-"/>
    <m/>
  </r>
  <r>
    <x v="16"/>
    <x v="3"/>
    <x v="1"/>
    <x v="20"/>
    <s v="C00000009"/>
    <x v="8"/>
    <s v="RA Nor 3338W (220Kg)"/>
    <n v="1"/>
    <n v="60"/>
    <n v="60"/>
    <d v="2020-10-24T00:00:00"/>
    <n v="10"/>
    <n v="2020"/>
    <n v="1276"/>
    <n v="-1276"/>
    <n v="0"/>
    <n v="38790.699999999997"/>
    <s v="Chq"/>
    <s v="HLIB Chq No 008781, 28/11/20"/>
    <m/>
  </r>
  <r>
    <x v="16"/>
    <x v="3"/>
    <x v="1"/>
    <x v="20"/>
    <s v="C00000009"/>
    <x v="8"/>
    <s v="RA Norsodyne 3338NW (220Kg)"/>
    <n v="1"/>
    <n v="60"/>
    <n v="60"/>
    <d v="2020-10-24T00:00:00"/>
    <n v="10"/>
    <n v="2020"/>
    <n v="1276"/>
    <n v="-1276"/>
    <n v="0"/>
    <n v="40066.699999999997"/>
    <s v="Chq"/>
    <s v="HLIB Chq No 008781, 28/11/20"/>
    <m/>
  </r>
  <r>
    <x v="16"/>
    <x v="3"/>
    <x v="1"/>
    <x v="21"/>
    <s v="C00000001"/>
    <x v="0"/>
    <s v="RA Nor 3338W (220Kg)"/>
    <n v="1"/>
    <s v="Cash"/>
    <n v="0"/>
    <d v="2020-08-25T00:00:00"/>
    <n v="8"/>
    <n v="2020"/>
    <n v="1496"/>
    <n v="-1496"/>
    <n v="0"/>
    <n v="41562.699999999997"/>
    <s v="Trsf"/>
    <s v="Trsf 1/9/2020"/>
    <m/>
  </r>
  <r>
    <x v="17"/>
    <x v="3"/>
    <x v="1"/>
    <x v="22"/>
    <s v="C00000010"/>
    <x v="9"/>
    <s v="RA Nor 3338W (220Kg)"/>
    <n v="4"/>
    <n v="120"/>
    <n v="120"/>
    <d v="2020-12-25T00:00:00"/>
    <n v="12"/>
    <n v="2020"/>
    <n v="5280"/>
    <n v="-5280"/>
    <n v="0"/>
    <n v="46842.7"/>
    <s v="Trsf"/>
    <s v="Trsf 23/12/2020"/>
    <m/>
  </r>
  <r>
    <x v="17"/>
    <x v="3"/>
    <x v="1"/>
    <x v="22"/>
    <s v="C00000010"/>
    <x v="9"/>
    <s v="RA CSM 450 GSM JUSHI 37kg 79m(L) X 1040mm(W)"/>
    <n v="2"/>
    <n v="120"/>
    <n v="120"/>
    <d v="2020-12-25T00:00:00"/>
    <n v="12"/>
    <n v="2020"/>
    <n v="444"/>
    <n v="-444"/>
    <n v="0"/>
    <n v="47286.7"/>
    <s v="Trsf"/>
    <s v="Trsf 23/12/2020"/>
    <m/>
  </r>
  <r>
    <x v="17"/>
    <x v="3"/>
    <x v="1"/>
    <x v="22"/>
    <s v="C00000010"/>
    <x v="9"/>
    <s v="RA Talcum Powder (25Kg)"/>
    <n v="5"/>
    <n v="120"/>
    <n v="120"/>
    <d v="2020-12-25T00:00:00"/>
    <n v="12"/>
    <n v="2020"/>
    <n v="275"/>
    <n v="-275"/>
    <n v="0"/>
    <n v="47561.7"/>
    <s v="Trsf"/>
    <s v="Trsf 23/12/2020"/>
    <m/>
  </r>
  <r>
    <x v="17"/>
    <x v="3"/>
    <x v="1"/>
    <x v="22"/>
    <s v="C00000010"/>
    <x v="9"/>
    <s v="RA Butanox M50 (5Kg)"/>
    <n v="4"/>
    <n v="120"/>
    <n v="120"/>
    <d v="2020-12-25T00:00:00"/>
    <n v="12"/>
    <n v="2020"/>
    <n v="360"/>
    <n v="-360"/>
    <n v="0"/>
    <n v="47921.7"/>
    <s v="Trsf"/>
    <s v="Trsf 23/12/2020"/>
    <m/>
  </r>
  <r>
    <x v="17"/>
    <x v="3"/>
    <x v="1"/>
    <x v="22"/>
    <s v="C00000010"/>
    <x v="9"/>
    <s v="RA Bosny Wax (15kg)"/>
    <n v="1"/>
    <n v="120"/>
    <n v="120"/>
    <d v="2020-12-25T00:00:00"/>
    <n v="12"/>
    <n v="2020"/>
    <n v="375"/>
    <n v="-375"/>
    <n v="0"/>
    <n v="48296.7"/>
    <s v="Trsf"/>
    <s v="Trsf 23/12/2020"/>
    <m/>
  </r>
  <r>
    <x v="18"/>
    <x v="4"/>
    <x v="1"/>
    <x v="23"/>
    <s v="C00000008"/>
    <x v="7"/>
    <s v="RA Resin 3317AW (220Kg)"/>
    <n v="2"/>
    <s v="Cash"/>
    <n v="0"/>
    <d v="2020-09-01T00:00:00"/>
    <n v="9"/>
    <n v="2020"/>
    <n v="2948"/>
    <n v="-2948"/>
    <n v="0"/>
    <n v="51244.7"/>
    <s v="Trsf"/>
    <s v="Trsf 7/9/2020"/>
    <m/>
  </r>
  <r>
    <x v="18"/>
    <x v="4"/>
    <x v="1"/>
    <x v="23"/>
    <s v="C00000008"/>
    <x v="7"/>
    <s v="RA Gelcoat GP-H (20Kg)"/>
    <n v="4"/>
    <s v="Cash"/>
    <n v="0"/>
    <d v="2020-09-01T00:00:00"/>
    <n v="9"/>
    <n v="2020"/>
    <n v="840"/>
    <n v="-840"/>
    <n v="0"/>
    <n v="52084.7"/>
    <s v="Trsf"/>
    <s v="Trsf 7/9/2020"/>
    <m/>
  </r>
  <r>
    <x v="18"/>
    <x v="4"/>
    <x v="1"/>
    <x v="23"/>
    <s v="C00000008"/>
    <x v="7"/>
    <s v="RA Butanox M50 (5Kg)"/>
    <n v="2"/>
    <s v="Cash"/>
    <n v="0"/>
    <d v="2020-09-01T00:00:00"/>
    <n v="9"/>
    <n v="2020"/>
    <n v="180"/>
    <n v="-180"/>
    <n v="0"/>
    <n v="52264.7"/>
    <s v="Trsf"/>
    <s v="Trsf 7/9/2020"/>
    <m/>
  </r>
  <r>
    <x v="19"/>
    <x v="4"/>
    <x v="1"/>
    <x v="24"/>
    <s v="C00000001"/>
    <x v="0"/>
    <s v="RA Silicone Rubber (25Kg)"/>
    <n v="1"/>
    <s v="Cash"/>
    <n v="0"/>
    <d v="2020-09-02T00:00:00"/>
    <n v="9"/>
    <n v="2020"/>
    <n v="1250"/>
    <n v="-1250"/>
    <n v="0"/>
    <n v="53514.7"/>
    <s v="Trsf"/>
    <s v="Trsf 5/9/2020"/>
    <s v="Delived on 3/9/2020"/>
  </r>
  <r>
    <x v="20"/>
    <x v="4"/>
    <x v="1"/>
    <x v="25"/>
    <s v="C00000001"/>
    <x v="0"/>
    <s v="RA Resin 3317AW (220Kg)"/>
    <n v="1"/>
    <s v="Cash"/>
    <n v="0"/>
    <d v="2020-09-05T00:00:00"/>
    <n v="9"/>
    <n v="2020"/>
    <n v="1496"/>
    <n v="-1496"/>
    <n v="0"/>
    <n v="55010.7"/>
    <s v="Trsf"/>
    <s v="Trsf 5/9/2020"/>
    <m/>
  </r>
  <r>
    <x v="20"/>
    <x v="4"/>
    <x v="1"/>
    <x v="25"/>
    <s v="C00000001"/>
    <x v="0"/>
    <s v="RA CSM 450 GSM JUSHI 37kg 79m(L) X 1040mm(W)"/>
    <n v="4"/>
    <s v="Cash"/>
    <n v="0"/>
    <d v="2020-09-05T00:00:00"/>
    <n v="9"/>
    <n v="2020"/>
    <n v="962"/>
    <n v="-962"/>
    <n v="0"/>
    <n v="55972.7"/>
    <s v="Trsf"/>
    <s v="Trsf 5/9/2020"/>
    <m/>
  </r>
  <r>
    <x v="21"/>
    <x v="4"/>
    <x v="1"/>
    <x v="26"/>
    <s v="C00000004"/>
    <x v="3"/>
    <s v="RA Nor 3338W (220Kg)"/>
    <n v="5"/>
    <n v="120"/>
    <n v="120"/>
    <d v="2021-01-15T00:00:00"/>
    <n v="1"/>
    <n v="2021"/>
    <n v="6270"/>
    <n v="-6270"/>
    <n v="0"/>
    <n v="62242.7"/>
    <s v="Chq"/>
    <s v="PD HLB 004649, 25/1/2021"/>
    <m/>
  </r>
  <r>
    <x v="21"/>
    <x v="4"/>
    <x v="1"/>
    <x v="26"/>
    <s v="C00000004"/>
    <x v="3"/>
    <s v="RA Norsodyne 3338NW (220Kg)"/>
    <n v="1"/>
    <n v="120"/>
    <n v="120"/>
    <d v="2021-01-15T00:00:00"/>
    <n v="1"/>
    <n v="2021"/>
    <n v="1254"/>
    <n v="-1254"/>
    <n v="0"/>
    <n v="63496.7"/>
    <s v="Chq"/>
    <s v="PD HLB 004649, 25/1/2021"/>
    <m/>
  </r>
  <r>
    <x v="21"/>
    <x v="4"/>
    <x v="1"/>
    <x v="26"/>
    <s v="C00000004"/>
    <x v="3"/>
    <s v="RA CSM 450 GSM 54kg 64m(L) X 1860mm(W)"/>
    <n v="3"/>
    <n v="120"/>
    <n v="120"/>
    <d v="2021-01-15T00:00:00"/>
    <n v="1"/>
    <n v="2021"/>
    <n v="874.80000000000007"/>
    <n v="-874.80000000000007"/>
    <n v="0"/>
    <n v="64371.5"/>
    <s v="Chq"/>
    <s v="PD HLB 004649, 25/1/2021"/>
    <m/>
  </r>
  <r>
    <x v="21"/>
    <x v="4"/>
    <x v="1"/>
    <x v="26"/>
    <s v="C00000004"/>
    <x v="3"/>
    <s v="RA CSM 300 GSM 54Kg 96m(L) X 1860mm(W)"/>
    <n v="3"/>
    <n v="120"/>
    <n v="120"/>
    <d v="2021-01-15T00:00:00"/>
    <n v="1"/>
    <n v="2021"/>
    <n v="874.80000000000007"/>
    <n v="-874.80000000000007"/>
    <n v="0"/>
    <n v="65246.3"/>
    <s v="Chq"/>
    <s v="PD HLB 004649, 25/1/2021"/>
    <m/>
  </r>
  <r>
    <x v="21"/>
    <x v="4"/>
    <x v="1"/>
    <x v="26"/>
    <s v="C00000004"/>
    <x v="3"/>
    <s v="RA Gelcoat GP-H (20Kg)"/>
    <n v="6"/>
    <n v="120"/>
    <n v="120"/>
    <d v="2021-01-15T00:00:00"/>
    <n v="1"/>
    <n v="2021"/>
    <n v="1224"/>
    <n v="-1224"/>
    <n v="0"/>
    <n v="66470.3"/>
    <s v="Chq"/>
    <s v="PD HLB 004649, 25/1/2021"/>
    <m/>
  </r>
  <r>
    <x v="21"/>
    <x v="4"/>
    <x v="1"/>
    <x v="26"/>
    <s v="C00000004"/>
    <x v="3"/>
    <s v="RA Butanox M50 (5Kg)"/>
    <n v="4"/>
    <n v="120"/>
    <n v="120"/>
    <d v="2021-01-15T00:00:00"/>
    <n v="1"/>
    <n v="2021"/>
    <n v="360"/>
    <n v="-360"/>
    <n v="0"/>
    <n v="66830.3"/>
    <s v="Chq"/>
    <s v="PD HLB 004649, 25/1/2021"/>
    <m/>
  </r>
  <r>
    <x v="21"/>
    <x v="4"/>
    <x v="1"/>
    <x v="26"/>
    <s v="C00000004"/>
    <x v="3"/>
    <s v="RA Accelerator (5kg)"/>
    <n v="1"/>
    <n v="120"/>
    <n v="120"/>
    <d v="2021-01-15T00:00:00"/>
    <n v="1"/>
    <n v="2021"/>
    <n v="390"/>
    <n v="-390"/>
    <n v="0"/>
    <n v="67220.3"/>
    <s v="Chq"/>
    <s v="PD HLB 004649, 25/1/2021"/>
    <m/>
  </r>
  <r>
    <x v="21"/>
    <x v="4"/>
    <x v="1"/>
    <x v="27"/>
    <s v="C00000001"/>
    <x v="0"/>
    <s v="RA Resin 3317AW (220Kg)"/>
    <n v="1"/>
    <s v="Cash"/>
    <n v="0"/>
    <d v="2020-09-17T00:00:00"/>
    <n v="9"/>
    <n v="2020"/>
    <n v="1496"/>
    <n v="-1496"/>
    <n v="0"/>
    <n v="68716.3"/>
    <s v="Trsf"/>
    <s v="Trst 22/9/2020"/>
    <m/>
  </r>
  <r>
    <x v="21"/>
    <x v="4"/>
    <x v="1"/>
    <x v="27"/>
    <s v="C00000001"/>
    <x v="0"/>
    <s v="RA CSM 450 GSM JUSHI 37kg 79m(L) X 1040mm(W)"/>
    <n v="2"/>
    <s v="Cash"/>
    <n v="0"/>
    <d v="2020-09-17T00:00:00"/>
    <n v="9"/>
    <n v="2020"/>
    <n v="481"/>
    <n v="-481"/>
    <n v="0"/>
    <n v="69197.3"/>
    <s v="Trsf"/>
    <s v="Trst 22/9/2020"/>
    <m/>
  </r>
  <r>
    <x v="22"/>
    <x v="4"/>
    <x v="1"/>
    <x v="28"/>
    <s v="C00000004"/>
    <x v="3"/>
    <s v="RA Nor 3338W (220Kg)"/>
    <n v="5"/>
    <n v="120"/>
    <n v="120"/>
    <d v="2021-01-20T00:00:00"/>
    <n v="1"/>
    <n v="2021"/>
    <n v="6270"/>
    <n v="-6270"/>
    <n v="0"/>
    <n v="75467.3"/>
    <s v="Chq"/>
    <s v="PD HLB 004649, 25/1/2021"/>
    <m/>
  </r>
  <r>
    <x v="22"/>
    <x v="4"/>
    <x v="1"/>
    <x v="28"/>
    <s v="C00000004"/>
    <x v="3"/>
    <s v="RA Norsodyne 3338NW (220Kg)"/>
    <n v="1"/>
    <n v="120"/>
    <n v="120"/>
    <d v="2021-01-20T00:00:00"/>
    <n v="1"/>
    <n v="2021"/>
    <n v="1254"/>
    <n v="-1254"/>
    <n v="0"/>
    <n v="76721.3"/>
    <s v="Chq"/>
    <s v="PD HLB 004649, 25/1/2021"/>
    <m/>
  </r>
  <r>
    <x v="22"/>
    <x v="4"/>
    <x v="1"/>
    <x v="28"/>
    <s v="C00000004"/>
    <x v="3"/>
    <s v="RA CSM 450 GSM 54kg 64m(L) X 1860mm(W)"/>
    <n v="5"/>
    <n v="120"/>
    <n v="120"/>
    <d v="2021-01-20T00:00:00"/>
    <n v="1"/>
    <n v="2021"/>
    <n v="1458"/>
    <n v="-1458"/>
    <n v="0"/>
    <n v="78179.3"/>
    <s v="Chq"/>
    <s v="PD HLB 004649, 25/1/2021"/>
    <m/>
  </r>
  <r>
    <x v="22"/>
    <x v="4"/>
    <x v="1"/>
    <x v="28"/>
    <s v="C00000004"/>
    <x v="3"/>
    <s v="RA CSM 300 GSM 54Kg 96m(L) X 1860mm(W)"/>
    <n v="2"/>
    <n v="120"/>
    <n v="120"/>
    <d v="2021-01-20T00:00:00"/>
    <n v="1"/>
    <n v="2021"/>
    <n v="583.20000000000005"/>
    <n v="-583.20000000000005"/>
    <n v="0"/>
    <n v="78762.5"/>
    <s v="Chq"/>
    <s v="PD HLB 004649, 25/1/2021"/>
    <m/>
  </r>
  <r>
    <x v="22"/>
    <x v="4"/>
    <x v="1"/>
    <x v="28"/>
    <s v="C00000004"/>
    <x v="3"/>
    <s v="RA Gelcoat GP-H (20Kg)"/>
    <n v="10"/>
    <n v="120"/>
    <n v="120"/>
    <d v="2021-01-20T00:00:00"/>
    <n v="1"/>
    <n v="2021"/>
    <n v="2040"/>
    <n v="-2040"/>
    <n v="0"/>
    <n v="80802.5"/>
    <s v="Chq"/>
    <s v="PD HLB 004649, 25/1/2021"/>
    <m/>
  </r>
  <r>
    <x v="23"/>
    <x v="4"/>
    <x v="1"/>
    <x v="29"/>
    <s v="C00000010"/>
    <x v="9"/>
    <s v="RA Nor 3338W (220Kg)"/>
    <n v="5"/>
    <n v="120"/>
    <n v="120"/>
    <d v="2021-01-21T00:00:00"/>
    <n v="1"/>
    <n v="2021"/>
    <n v="6600"/>
    <n v="-6600"/>
    <n v="0"/>
    <n v="87402.5"/>
    <s v="Trsf"/>
    <s v="Trsf 20/1/2021"/>
    <m/>
  </r>
  <r>
    <x v="23"/>
    <x v="4"/>
    <x v="1"/>
    <x v="29"/>
    <s v="C00000010"/>
    <x v="9"/>
    <s v="RA CSM 450 GSM JUSHI 37kg 79m(L) X 1040mm(W)"/>
    <n v="4"/>
    <n v="120"/>
    <n v="120"/>
    <d v="2021-01-21T00:00:00"/>
    <n v="1"/>
    <n v="2021"/>
    <n v="888"/>
    <n v="-888"/>
    <n v="0"/>
    <n v="88290.5"/>
    <s v="Trsf"/>
    <s v="Trsf 20/1/2021"/>
    <m/>
  </r>
  <r>
    <x v="23"/>
    <x v="4"/>
    <x v="1"/>
    <x v="29"/>
    <s v="C00000010"/>
    <x v="9"/>
    <s v="RA Talcum Powder (25Kg)"/>
    <n v="5"/>
    <n v="120"/>
    <n v="120"/>
    <d v="2021-01-21T00:00:00"/>
    <n v="1"/>
    <n v="2021"/>
    <n v="275"/>
    <n v="-275"/>
    <n v="0"/>
    <n v="88565.5"/>
    <s v="Trsf"/>
    <s v="Trsf 20/1/2021"/>
    <m/>
  </r>
  <r>
    <x v="23"/>
    <x v="4"/>
    <x v="1"/>
    <x v="29"/>
    <s v="C00000010"/>
    <x v="9"/>
    <s v="RA Butanox M50 (5Kg)"/>
    <n v="4"/>
    <n v="120"/>
    <n v="120"/>
    <d v="2021-01-21T00:00:00"/>
    <n v="1"/>
    <n v="2021"/>
    <n v="360"/>
    <n v="-360"/>
    <n v="0"/>
    <n v="88925.5"/>
    <s v="Trsf"/>
    <s v="Trsf 20/1/2021"/>
    <m/>
  </r>
  <r>
    <x v="23"/>
    <x v="4"/>
    <x v="1"/>
    <x v="30"/>
    <s v="C00000001"/>
    <x v="0"/>
    <s v="RC Woven Roving E-800 40Kg 1000mm"/>
    <n v="6"/>
    <s v="Cash"/>
    <n v="0"/>
    <d v="2020-09-23T00:00:00"/>
    <n v="9"/>
    <n v="2020"/>
    <n v="1392"/>
    <n v="-1392"/>
    <n v="0"/>
    <n v="90317.5"/>
    <s v="Trsf"/>
    <s v="Trst 01/10/2020"/>
    <m/>
  </r>
  <r>
    <x v="24"/>
    <x v="4"/>
    <x v="1"/>
    <x v="31"/>
    <s v="C00000001"/>
    <x v="0"/>
    <s v="RA Nor 3338W (220Kg)"/>
    <n v="1"/>
    <s v="Cash"/>
    <n v="0"/>
    <d v="2020-09-26T00:00:00"/>
    <n v="9"/>
    <n v="2020"/>
    <n v="1496"/>
    <n v="-1496"/>
    <n v="0"/>
    <n v="91813.5"/>
    <s v="Trsf"/>
    <s v="Trst 01/10/2020"/>
    <m/>
  </r>
  <r>
    <x v="25"/>
    <x v="5"/>
    <x v="1"/>
    <x v="32"/>
    <s v="C00000005"/>
    <x v="4"/>
    <s v="RA Resin 3317AW (220Kg)"/>
    <n v="1"/>
    <s v="Cash"/>
    <n v="0"/>
    <d v="2020-10-05T00:00:00"/>
    <n v="10"/>
    <n v="2020"/>
    <n v="1496"/>
    <n v="-1496"/>
    <n v="0"/>
    <n v="93309.5"/>
    <s v="Chq"/>
    <s v="Chq 5/10 (Bank in 19/10/2020)"/>
    <m/>
  </r>
  <r>
    <x v="25"/>
    <x v="5"/>
    <x v="1"/>
    <x v="33"/>
    <s v="C00000003"/>
    <x v="2"/>
    <s v="RA Resin 3317AW (220Kg)"/>
    <n v="3"/>
    <n v="45"/>
    <n v="45"/>
    <d v="2020-11-19T00:00:00"/>
    <n v="11"/>
    <n v="2020"/>
    <n v="4554"/>
    <n v="-4554"/>
    <n v="0"/>
    <n v="97863.5"/>
    <s v="PD Chq"/>
    <s v="PD Chq 14/11, RM2,713/-"/>
    <m/>
  </r>
  <r>
    <x v="25"/>
    <x v="5"/>
    <x v="1"/>
    <x v="33"/>
    <s v="C00000003"/>
    <x v="2"/>
    <s v="RA Talcum Powder (25Kg)"/>
    <n v="8"/>
    <n v="45"/>
    <n v="45"/>
    <d v="2020-11-19T00:00:00"/>
    <n v="11"/>
    <n v="2020"/>
    <n v="400"/>
    <n v="-400"/>
    <n v="0"/>
    <n v="98263.5"/>
    <s v="PD Chq"/>
    <s v="PD Chq 21/11, RM1,500/-"/>
    <m/>
  </r>
  <r>
    <x v="25"/>
    <x v="5"/>
    <x v="1"/>
    <x v="33"/>
    <s v="C00000003"/>
    <x v="2"/>
    <s v="RA Butanox M50 (5Kg)"/>
    <n v="6"/>
    <n v="45"/>
    <n v="45"/>
    <d v="2020-11-19T00:00:00"/>
    <n v="11"/>
    <n v="2020"/>
    <n v="555"/>
    <n v="-555"/>
    <n v="0"/>
    <n v="98818.5"/>
    <s v="PD Chq"/>
    <s v="PD Chq 29/11, RM1,500/-"/>
    <m/>
  </r>
  <r>
    <x v="25"/>
    <x v="5"/>
    <x v="1"/>
    <x v="33"/>
    <s v="C00000003"/>
    <x v="2"/>
    <s v="RA CSM 300 GSM TWL 30kg 64m(L) x 1040mm(W)"/>
    <n v="1"/>
    <n v="45"/>
    <n v="45"/>
    <d v="2020-11-19T00:00:00"/>
    <n v="11"/>
    <n v="2020"/>
    <n v="204"/>
    <n v="-204"/>
    <n v="0"/>
    <n v="99022.5"/>
    <s v="PD Chq"/>
    <s v="PD Chq 29/11, RM1,500/-"/>
    <m/>
  </r>
  <r>
    <x v="26"/>
    <x v="5"/>
    <x v="1"/>
    <x v="34"/>
    <s v="C00000004"/>
    <x v="3"/>
    <s v="RA Nor 3338W (220Kg)"/>
    <n v="5"/>
    <n v="120"/>
    <n v="120"/>
    <d v="2021-02-05T00:00:00"/>
    <n v="2"/>
    <n v="2021"/>
    <n v="6270"/>
    <n v="-6270"/>
    <n v="0"/>
    <n v="105292.5"/>
    <s v="Chq"/>
    <s v="PD HLB 5704, 22/2/2021"/>
    <m/>
  </r>
  <r>
    <x v="26"/>
    <x v="5"/>
    <x v="1"/>
    <x v="34"/>
    <s v="C00000004"/>
    <x v="3"/>
    <s v="RA Norsodyne 3338NW (220Kg)"/>
    <n v="1"/>
    <n v="120"/>
    <n v="120"/>
    <d v="2021-02-05T00:00:00"/>
    <n v="2"/>
    <n v="2021"/>
    <n v="1254"/>
    <n v="-1254"/>
    <n v="0"/>
    <n v="106546.5"/>
    <s v="Chq"/>
    <s v="PD HLB 5704, 22/2/2021"/>
    <m/>
  </r>
  <r>
    <x v="26"/>
    <x v="5"/>
    <x v="1"/>
    <x v="34"/>
    <s v="C00000004"/>
    <x v="3"/>
    <s v="RA CSM 300 GSM 54Kg 96m(L) X 1860mm(W)"/>
    <n v="3"/>
    <n v="120"/>
    <n v="120"/>
    <d v="2021-02-05T00:00:00"/>
    <n v="2"/>
    <n v="2021"/>
    <n v="874.80000000000007"/>
    <n v="-874.80000000000007"/>
    <n v="0"/>
    <n v="107421.3"/>
    <s v="Chq"/>
    <s v="PD HLB 5704, 22/2/2021"/>
    <m/>
  </r>
  <r>
    <x v="26"/>
    <x v="5"/>
    <x v="1"/>
    <x v="34"/>
    <s v="C00000004"/>
    <x v="3"/>
    <s v="RA Gelcoat GP-H (20Kg)"/>
    <n v="10"/>
    <n v="120"/>
    <n v="120"/>
    <d v="2021-02-05T00:00:00"/>
    <n v="2"/>
    <n v="2021"/>
    <n v="2040"/>
    <n v="-2040"/>
    <n v="0"/>
    <n v="109461.3"/>
    <s v="Chq"/>
    <s v="PD HLB 5704, 22/2/2021"/>
    <m/>
  </r>
  <r>
    <x v="26"/>
    <x v="5"/>
    <x v="1"/>
    <x v="34"/>
    <s v="C00000004"/>
    <x v="3"/>
    <s v="RA Butanox M50 (5Kg)"/>
    <n v="2"/>
    <n v="120"/>
    <n v="120"/>
    <d v="2021-02-05T00:00:00"/>
    <n v="2"/>
    <n v="2021"/>
    <n v="180"/>
    <n v="-180"/>
    <n v="0"/>
    <n v="109641.3"/>
    <s v="Chq"/>
    <s v="PD HLB 5704, 22/2/2021"/>
    <m/>
  </r>
  <r>
    <x v="27"/>
    <x v="5"/>
    <x v="1"/>
    <x v="35"/>
    <s v="C00000004"/>
    <x v="3"/>
    <s v="RA Nor 3338W (220Kg)"/>
    <n v="6"/>
    <n v="120"/>
    <n v="120"/>
    <d v="2021-02-09T00:00:00"/>
    <n v="2"/>
    <n v="2021"/>
    <n v="7524"/>
    <n v="-7524"/>
    <n v="0"/>
    <n v="117165.3"/>
    <s v="Chq"/>
    <s v="PD HLB 5704, 22/2/2021"/>
    <m/>
  </r>
  <r>
    <x v="27"/>
    <x v="5"/>
    <x v="1"/>
    <x v="35"/>
    <s v="C00000004"/>
    <x v="3"/>
    <s v="RA Norsodyne 3338NW (220Kg)"/>
    <n v="1"/>
    <n v="120"/>
    <n v="120"/>
    <d v="2021-02-09T00:00:00"/>
    <n v="2"/>
    <n v="2021"/>
    <n v="1254"/>
    <n v="-1254"/>
    <n v="0"/>
    <n v="118419.3"/>
    <s v="Chq"/>
    <s v="PD HLB 5704, 22/2/2021"/>
    <m/>
  </r>
  <r>
    <x v="27"/>
    <x v="5"/>
    <x v="1"/>
    <x v="36"/>
    <s v="C00000001"/>
    <x v="0"/>
    <s v="RA Resin 3317AW (220Kg)"/>
    <n v="1"/>
    <s v="Cash"/>
    <n v="0"/>
    <d v="2020-10-12T00:00:00"/>
    <n v="10"/>
    <n v="2020"/>
    <n v="1496"/>
    <n v="-1496"/>
    <n v="0"/>
    <n v="119915.3"/>
    <s v="Trsf"/>
    <s v="Trsf 19/10/2020"/>
    <m/>
  </r>
  <r>
    <x v="27"/>
    <x v="5"/>
    <x v="1"/>
    <x v="36"/>
    <s v="C00000001"/>
    <x v="0"/>
    <s v="RA CSM 450 GSM JUSHI 37kg 79m(L) X 1040mm(W)"/>
    <n v="4"/>
    <s v="Cash"/>
    <n v="0"/>
    <d v="2020-10-12T00:00:00"/>
    <n v="10"/>
    <n v="2020"/>
    <n v="962"/>
    <n v="-962"/>
    <n v="0"/>
    <n v="120877.3"/>
    <s v="Trsf"/>
    <s v="Trsf 19/10/2020"/>
    <m/>
  </r>
  <r>
    <x v="28"/>
    <x v="5"/>
    <x v="1"/>
    <x v="37"/>
    <s v="C00000007"/>
    <x v="6"/>
    <s v="RA Gelcoat GP-H (20Kg)"/>
    <n v="7"/>
    <s v="Cash"/>
    <n v="0"/>
    <d v="2020-10-14T00:00:00"/>
    <n v="10"/>
    <n v="2020"/>
    <n v="1470"/>
    <n v="-1470"/>
    <n v="0"/>
    <n v="122347.3"/>
    <s v="Trsf"/>
    <s v="Due 30/11/2020"/>
    <m/>
  </r>
  <r>
    <x v="28"/>
    <x v="5"/>
    <x v="1"/>
    <x v="37"/>
    <s v="C00000007"/>
    <x v="6"/>
    <s v="RA Butanox M50 (5Kg)"/>
    <n v="8"/>
    <s v="Cash"/>
    <n v="0"/>
    <d v="2020-10-14T00:00:00"/>
    <n v="10"/>
    <n v="2020"/>
    <n v="720"/>
    <n v="-720"/>
    <n v="0"/>
    <n v="123067.3"/>
    <s v="Trsf"/>
    <s v="Due 30/11/2020"/>
    <m/>
  </r>
  <r>
    <x v="29"/>
    <x v="5"/>
    <x v="1"/>
    <x v="37"/>
    <s v="C00000007"/>
    <x v="6"/>
    <s v="RA Gelcoat GS-H (20kg)"/>
    <n v="2"/>
    <s v="Cash"/>
    <n v="0"/>
    <d v="2020-10-19T00:00:00"/>
    <n v="10"/>
    <n v="2020"/>
    <n v="460"/>
    <n v="-460"/>
    <n v="0"/>
    <n v="123527.3"/>
    <s v="Trsf"/>
    <s v="Due 30/11/2020"/>
    <m/>
  </r>
  <r>
    <x v="30"/>
    <x v="5"/>
    <x v="1"/>
    <x v="38"/>
    <s v="C00000003"/>
    <x v="2"/>
    <s v="RA Mirror Glaze"/>
    <n v="4"/>
    <n v="45"/>
    <n v="45"/>
    <d v="2020-12-01T00:00:00"/>
    <n v="12"/>
    <n v="2020"/>
    <n v="180"/>
    <n v="-180"/>
    <n v="0"/>
    <n v="123707.3"/>
    <s v="PD Chq"/>
    <s v="PD Chq 22/10, RM384/-"/>
    <m/>
  </r>
  <r>
    <x v="30"/>
    <x v="5"/>
    <x v="1"/>
    <x v="39"/>
    <s v="C00000003"/>
    <x v="2"/>
    <s v="RA CSM 300 GSM TWL 30kg 64m(L) x 1040mm(W)"/>
    <n v="1"/>
    <n v="45"/>
    <n v="45"/>
    <d v="2020-12-01T00:00:00"/>
    <n v="12"/>
    <n v="2020"/>
    <n v="204"/>
    <n v="-204"/>
    <n v="0"/>
    <n v="123911.3"/>
    <s v="PD Chq"/>
    <s v="PD Chq 22/10, RM384/-"/>
    <m/>
  </r>
  <r>
    <x v="29"/>
    <x v="5"/>
    <x v="1"/>
    <x v="40"/>
    <s v="C00000001"/>
    <x v="0"/>
    <s v="RA Gelcoat GS-S ISO (20kg)"/>
    <n v="4"/>
    <s v="Cash"/>
    <n v="0"/>
    <d v="2020-10-19T00:00:00"/>
    <n v="10"/>
    <n v="2020"/>
    <n v="960"/>
    <n v="-960"/>
    <n v="0"/>
    <n v="124871.3"/>
    <s v="Trsf"/>
    <s v="Trsf 9/11/2020"/>
    <m/>
  </r>
  <r>
    <x v="29"/>
    <x v="5"/>
    <x v="1"/>
    <x v="40"/>
    <s v="C00000001"/>
    <x v="0"/>
    <s v="RA Pigment Super White (25Kg)"/>
    <n v="1"/>
    <s v="Cash"/>
    <n v="0"/>
    <d v="2020-10-19T00:00:00"/>
    <n v="10"/>
    <n v="2020"/>
    <n v="625"/>
    <n v="-625"/>
    <n v="0"/>
    <n v="125496.3"/>
    <s v="Trsf"/>
    <s v="Trsf 9/11/2020"/>
    <m/>
  </r>
  <r>
    <x v="29"/>
    <x v="5"/>
    <x v="1"/>
    <x v="40"/>
    <s v="C00000001"/>
    <x v="0"/>
    <s v="Brush 2 1/2&quot; (12 pc)"/>
    <n v="1"/>
    <s v="Cash"/>
    <n v="0"/>
    <d v="2020-10-19T00:00:00"/>
    <n v="10"/>
    <n v="2020"/>
    <n v="60"/>
    <n v="-60"/>
    <n v="0"/>
    <n v="125556.3"/>
    <s v="Trsf"/>
    <s v="Trsf 9/11/2020"/>
    <m/>
  </r>
  <r>
    <x v="29"/>
    <x v="5"/>
    <x v="1"/>
    <x v="41"/>
    <s v="C00000005"/>
    <x v="4"/>
    <s v="RA Butanox M50 (5Kg)"/>
    <n v="1"/>
    <s v="Cash"/>
    <n v="0"/>
    <d v="2020-10-19T00:00:00"/>
    <n v="10"/>
    <n v="2020"/>
    <n v="90"/>
    <n v="-90"/>
    <n v="0"/>
    <n v="125646.3"/>
    <s v="Chq"/>
    <s v="Chq CIMB 000054 28/10/2019"/>
    <m/>
  </r>
  <r>
    <x v="31"/>
    <x v="5"/>
    <x v="1"/>
    <x v="42"/>
    <s v="C00000005"/>
    <x v="4"/>
    <s v="RA Resin 3317AW (220Kg)"/>
    <n v="1"/>
    <s v="Cash"/>
    <n v="0"/>
    <d v="2020-10-21T00:00:00"/>
    <n v="10"/>
    <n v="2020"/>
    <n v="1496"/>
    <n v="-1496"/>
    <n v="0"/>
    <n v="127142.3"/>
    <s v="Chq"/>
    <s v="Chq CIMB 000050 21/10/2020"/>
    <m/>
  </r>
  <r>
    <x v="31"/>
    <x v="5"/>
    <x v="1"/>
    <x v="43"/>
    <s v="C00000010"/>
    <x v="9"/>
    <s v="RA Nor 3338W (220Kg)"/>
    <n v="5"/>
    <n v="120"/>
    <n v="120"/>
    <d v="2021-02-18T00:00:00"/>
    <n v="2"/>
    <n v="2021"/>
    <n v="6600"/>
    <n v="-6600"/>
    <n v="0"/>
    <n v="133742.29999999999"/>
    <s v="Trsf"/>
    <s v="Trsf 19/3/2021"/>
    <m/>
  </r>
  <r>
    <x v="31"/>
    <x v="5"/>
    <x v="1"/>
    <x v="43"/>
    <s v="C00000010"/>
    <x v="9"/>
    <s v="RA CSM 450 GSM JUSHI 37kg 79m(L) X 1040mm(W)"/>
    <n v="4"/>
    <n v="120"/>
    <n v="120"/>
    <d v="2021-02-18T00:00:00"/>
    <n v="2"/>
    <n v="2021"/>
    <n v="888"/>
    <n v="-888"/>
    <n v="0"/>
    <n v="134630.29999999999"/>
    <s v="Trsf"/>
    <s v="Trsf 19/3/2021"/>
    <m/>
  </r>
  <r>
    <x v="31"/>
    <x v="5"/>
    <x v="1"/>
    <x v="43"/>
    <s v="C00000010"/>
    <x v="9"/>
    <s v="RA Talcum Powder (25Kg)"/>
    <n v="5"/>
    <n v="120"/>
    <n v="120"/>
    <d v="2021-02-18T00:00:00"/>
    <n v="2"/>
    <n v="2021"/>
    <n v="275"/>
    <n v="-275"/>
    <n v="0"/>
    <n v="134905.29999999999"/>
    <s v="Trsf"/>
    <s v="Trsf 19/3/2021"/>
    <m/>
  </r>
  <r>
    <x v="31"/>
    <x v="5"/>
    <x v="1"/>
    <x v="43"/>
    <s v="C00000010"/>
    <x v="9"/>
    <s v="RA Butanox M50 (5Kg)"/>
    <n v="4"/>
    <n v="120"/>
    <n v="120"/>
    <d v="2021-02-18T00:00:00"/>
    <n v="2"/>
    <n v="2021"/>
    <n v="360"/>
    <n v="-360"/>
    <n v="0"/>
    <n v="135265.29999999999"/>
    <s v="Trsf"/>
    <s v="Trsf 19/3/2021"/>
    <m/>
  </r>
  <r>
    <x v="32"/>
    <x v="5"/>
    <x v="1"/>
    <x v="44"/>
    <s v="C00000003"/>
    <x v="2"/>
    <s v="RA Resin 3317AW (220Kg)"/>
    <n v="3"/>
    <n v="45"/>
    <n v="45"/>
    <d v="2020-12-10T00:00:00"/>
    <n v="12"/>
    <n v="2020"/>
    <n v="4554"/>
    <n v="-4554"/>
    <n v="0"/>
    <n v="139819.29999999999"/>
    <s v="PD Chq"/>
    <s v="PD Chq 12/10, 19/10 &amp; 26/10 "/>
    <m/>
  </r>
  <r>
    <x v="32"/>
    <x v="5"/>
    <x v="1"/>
    <x v="44"/>
    <s v="C00000003"/>
    <x v="2"/>
    <s v="RA Butanox M50 (5Kg)"/>
    <n v="6"/>
    <n v="45"/>
    <n v="45"/>
    <d v="2020-12-10T00:00:00"/>
    <n v="12"/>
    <n v="2020"/>
    <n v="555"/>
    <n v="-555"/>
    <n v="0"/>
    <n v="140374.29999999999"/>
    <s v="PD Chq"/>
    <s v="RM1,700/-, RM1,700/- &amp; RM1,709/-"/>
    <m/>
  </r>
  <r>
    <x v="33"/>
    <x v="5"/>
    <x v="1"/>
    <x v="45"/>
    <s v="C00000001"/>
    <x v="0"/>
    <s v="RA Resin 3317AW (220Kg)"/>
    <n v="1"/>
    <s v="Cash"/>
    <n v="0"/>
    <d v="2020-10-31T00:00:00"/>
    <n v="10"/>
    <n v="2020"/>
    <n v="1496"/>
    <n v="-1496"/>
    <n v="0"/>
    <n v="141870.29999999999"/>
    <s v="Trsf"/>
    <s v="Trsf 9/11/2020"/>
    <m/>
  </r>
  <r>
    <x v="33"/>
    <x v="5"/>
    <x v="1"/>
    <x v="45"/>
    <s v="C00000001"/>
    <x v="0"/>
    <s v="RA CSM 450 GSM JUSHI 37kg 79m(L) X 1040mm(W)"/>
    <n v="4"/>
    <s v="Cash"/>
    <n v="0"/>
    <d v="2020-10-31T00:00:00"/>
    <n v="10"/>
    <n v="2020"/>
    <n v="962"/>
    <n v="-962"/>
    <n v="0"/>
    <n v="142832.29999999999"/>
    <s v="Trsf"/>
    <s v="Trsf 9/11/2020"/>
    <m/>
  </r>
  <r>
    <x v="33"/>
    <x v="5"/>
    <x v="1"/>
    <x v="46"/>
    <s v="C00000005"/>
    <x v="4"/>
    <s v="RA Resin 3317AW (220Kg)"/>
    <n v="1"/>
    <s v="Cash"/>
    <n v="0"/>
    <d v="2020-10-31T00:00:00"/>
    <n v="10"/>
    <n v="2020"/>
    <n v="1496"/>
    <n v="-1496"/>
    <n v="0"/>
    <n v="144328.29999999999"/>
    <s v="Chq"/>
    <s v="Chq CIMB 000056, 31/10/2020"/>
    <m/>
  </r>
  <r>
    <x v="34"/>
    <x v="6"/>
    <x v="1"/>
    <x v="47"/>
    <s v="C00000006"/>
    <x v="5"/>
    <s v="RA Nor 3338W (220Kg)"/>
    <n v="1"/>
    <s v="Cash"/>
    <n v="0"/>
    <d v="2020-11-09T00:00:00"/>
    <n v="11"/>
    <n v="2020"/>
    <n v="1584"/>
    <n v="-1584"/>
    <n v="0"/>
    <n v="145912.29999999999"/>
    <s v="Chq"/>
    <s v="Bank in 16/12/2020"/>
    <m/>
  </r>
  <r>
    <x v="34"/>
    <x v="6"/>
    <x v="1"/>
    <x v="47"/>
    <s v="C00000006"/>
    <x v="5"/>
    <s v="RA Gelcoat GP-H (20Kg)"/>
    <n v="1"/>
    <s v="Cash"/>
    <n v="0"/>
    <d v="2020-11-09T00:00:00"/>
    <n v="11"/>
    <n v="2020"/>
    <n v="210"/>
    <n v="-210"/>
    <n v="0"/>
    <n v="146122.29999999999"/>
    <s v="Chq"/>
    <s v="Bank in 16/12/2020"/>
    <m/>
  </r>
  <r>
    <x v="34"/>
    <x v="6"/>
    <x v="1"/>
    <x v="47"/>
    <s v="C00000006"/>
    <x v="5"/>
    <s v="RA CSM 300 GSM 54Kg 96m(L) X 1860mm(W)"/>
    <n v="1"/>
    <s v="Cash"/>
    <n v="0"/>
    <d v="2020-11-09T00:00:00"/>
    <n v="11"/>
    <n v="2020"/>
    <n v="378"/>
    <n v="-378"/>
    <n v="0"/>
    <n v="146500.29999999999"/>
    <s v="Chq"/>
    <s v="Bank in 16/12/2020"/>
    <m/>
  </r>
  <r>
    <x v="34"/>
    <x v="6"/>
    <x v="1"/>
    <x v="47"/>
    <s v="C00000006"/>
    <x v="5"/>
    <s v="RA Pigment Black (5Kg)"/>
    <n v="1"/>
    <s v="Cash"/>
    <n v="0"/>
    <d v="2020-11-09T00:00:00"/>
    <n v="11"/>
    <n v="2020"/>
    <n v="130"/>
    <n v="-130"/>
    <n v="0"/>
    <n v="146630.29999999999"/>
    <s v="Chq"/>
    <s v="Bank in 16/12/2020"/>
    <m/>
  </r>
  <r>
    <x v="35"/>
    <x v="6"/>
    <x v="1"/>
    <x v="48"/>
    <s v="C00000001"/>
    <x v="0"/>
    <s v="RA Resin 3317AW (220Kg)"/>
    <n v="1"/>
    <s v="Cash"/>
    <n v="0"/>
    <d v="2020-11-10T00:00:00"/>
    <n v="11"/>
    <n v="2020"/>
    <n v="1584"/>
    <n v="-1584"/>
    <n v="0"/>
    <n v="148214.29999999999"/>
    <s v="Trsf"/>
    <s v="Trsf 20/11/2020"/>
    <m/>
  </r>
  <r>
    <x v="35"/>
    <x v="6"/>
    <x v="1"/>
    <x v="48"/>
    <s v="C00000001"/>
    <x v="0"/>
    <s v="RA Butanox M50 (5Kg)"/>
    <n v="4"/>
    <s v="Cash"/>
    <n v="0"/>
    <d v="2020-11-10T00:00:00"/>
    <n v="11"/>
    <n v="2020"/>
    <n v="370"/>
    <n v="-370"/>
    <n v="0"/>
    <n v="148584.29999999999"/>
    <s v="Trsf"/>
    <s v="Trsf 20/11/2020"/>
    <m/>
  </r>
  <r>
    <x v="35"/>
    <x v="6"/>
    <x v="1"/>
    <x v="49"/>
    <s v="C00000005"/>
    <x v="4"/>
    <s v="RA Resin 3317AW (220Kg)"/>
    <n v="1"/>
    <s v="Cash"/>
    <n v="0"/>
    <d v="2020-11-10T00:00:00"/>
    <n v="11"/>
    <n v="2020"/>
    <n v="1540"/>
    <n v="-1540"/>
    <n v="0"/>
    <n v="150124.29999999999"/>
    <s v="Chq"/>
    <s v="Chq CIMB 000058 10/11/20, Banked in 22/11/20"/>
    <m/>
  </r>
  <r>
    <x v="35"/>
    <x v="6"/>
    <x v="1"/>
    <x v="49"/>
    <s v="C00000005"/>
    <x v="4"/>
    <s v="RA Butanox M50 (5Kg)"/>
    <n v="1"/>
    <s v="Cash"/>
    <n v="0"/>
    <d v="2020-11-10T00:00:00"/>
    <n v="11"/>
    <n v="2020"/>
    <n v="90"/>
    <n v="-90"/>
    <n v="0"/>
    <n v="150214.29999999999"/>
    <s v="Chq"/>
    <s v="Chq CIMB 000058 10/11/20, Banked in 22/11/20"/>
    <m/>
  </r>
  <r>
    <x v="36"/>
    <x v="6"/>
    <x v="1"/>
    <x v="50"/>
    <s v="C00000009"/>
    <x v="8"/>
    <s v="RA CSM 450 GSM 54kg 64m(L) X 1860mm(W)"/>
    <n v="3"/>
    <n v="60"/>
    <n v="60"/>
    <d v="2021-01-10T00:00:00"/>
    <n v="1"/>
    <n v="2021"/>
    <n v="923.4"/>
    <n v="-923.4"/>
    <n v="0"/>
    <n v="151137.69999999998"/>
    <s v="Chq"/>
    <s v="Chq HL 009828, dd 6/2/21, Banked in 7/2/21"/>
    <m/>
  </r>
  <r>
    <x v="36"/>
    <x v="6"/>
    <x v="1"/>
    <x v="50"/>
    <s v="C00000009"/>
    <x v="8"/>
    <s v="RA CSM 300 GSM 54Kg 96m(L) X 1860mm(W)"/>
    <n v="1"/>
    <n v="60"/>
    <n v="60"/>
    <d v="2021-01-10T00:00:00"/>
    <n v="1"/>
    <n v="2021"/>
    <n v="307.8"/>
    <n v="-307.8"/>
    <n v="0"/>
    <n v="151445.49999999997"/>
    <s v="Chq"/>
    <s v="Chq HL 009828, dd 6/2/21, Banked in 7/2/21"/>
    <m/>
  </r>
  <r>
    <x v="37"/>
    <x v="6"/>
    <x v="1"/>
    <x v="51"/>
    <s v="C00000001"/>
    <x v="0"/>
    <s v="RA Resin 3317AW (220Kg)"/>
    <n v="1"/>
    <s v="Cash"/>
    <n v="0"/>
    <d v="2020-11-18T00:00:00"/>
    <n v="11"/>
    <n v="2020"/>
    <n v="1584"/>
    <n v="-1584"/>
    <n v="0"/>
    <n v="153029.49999999997"/>
    <s v="Trsf"/>
    <s v="Trsf 20/11/2020"/>
    <m/>
  </r>
  <r>
    <x v="38"/>
    <x v="6"/>
    <x v="1"/>
    <x v="52"/>
    <s v="C00000001"/>
    <x v="0"/>
    <s v="RC Woven Roving E-800 40Kg 1000mm"/>
    <n v="2"/>
    <s v="Cash"/>
    <n v="0"/>
    <d v="2020-11-24T00:00:00"/>
    <n v="11"/>
    <n v="2020"/>
    <n v="520"/>
    <n v="-520"/>
    <n v="0"/>
    <n v="153549.49999999997"/>
    <s v="Trsf"/>
    <s v="Trsf 5/12/2020"/>
    <m/>
  </r>
  <r>
    <x v="39"/>
    <x v="6"/>
    <x v="1"/>
    <x v="53"/>
    <s v="C00000010"/>
    <x v="9"/>
    <s v="RA GP Resin (225Kg)"/>
    <n v="3"/>
    <n v="120"/>
    <n v="120"/>
    <d v="2021-03-20T00:00:00"/>
    <n v="3"/>
    <n v="2021"/>
    <n v="4050"/>
    <n v="-4050"/>
    <n v="0"/>
    <n v="157599.49999999997"/>
    <s v="Trsf"/>
    <s v="Due 28/2/2020"/>
    <m/>
  </r>
  <r>
    <x v="39"/>
    <x v="6"/>
    <x v="1"/>
    <x v="53"/>
    <s v="C00000010"/>
    <x v="9"/>
    <s v="RA Nor 3338W (220Kg)"/>
    <n v="2"/>
    <n v="120"/>
    <n v="120"/>
    <d v="2021-03-20T00:00:00"/>
    <n v="3"/>
    <n v="2021"/>
    <n v="2640"/>
    <n v="-2640"/>
    <n v="0"/>
    <n v="160239.49999999997"/>
    <s v="Trsf"/>
    <s v="Due 28/2/2020"/>
    <m/>
  </r>
  <r>
    <x v="39"/>
    <x v="6"/>
    <x v="1"/>
    <x v="53"/>
    <s v="C00000010"/>
    <x v="9"/>
    <s v="RA CSM 450 GSM JUSHI 37kg 79m(L) X 1040mm(W)"/>
    <n v="8"/>
    <n v="120"/>
    <n v="120"/>
    <d v="2021-03-20T00:00:00"/>
    <n v="3"/>
    <n v="2021"/>
    <n v="1776"/>
    <n v="-1776"/>
    <n v="0"/>
    <n v="162015.49999999997"/>
    <s v="Trsf"/>
    <s v="Due 28/2/2020"/>
    <m/>
  </r>
  <r>
    <x v="39"/>
    <x v="6"/>
    <x v="1"/>
    <x v="53"/>
    <s v="C00000010"/>
    <x v="9"/>
    <s v="RA Talcum Powder (25Kg)"/>
    <n v="5"/>
    <n v="120"/>
    <n v="120"/>
    <d v="2021-03-20T00:00:00"/>
    <n v="3"/>
    <n v="2021"/>
    <n v="275"/>
    <n v="-275"/>
    <n v="0"/>
    <n v="162290.49999999997"/>
    <s v="Trsf"/>
    <s v="Due 28/2/2020"/>
    <m/>
  </r>
  <r>
    <x v="39"/>
    <x v="6"/>
    <x v="1"/>
    <x v="53"/>
    <s v="C00000010"/>
    <x v="9"/>
    <s v="RA Butanox M50 (5Kg)"/>
    <n v="2"/>
    <n v="120"/>
    <n v="120"/>
    <d v="2021-03-20T00:00:00"/>
    <n v="3"/>
    <n v="2021"/>
    <n v="180"/>
    <n v="-180"/>
    <n v="0"/>
    <n v="162470.49999999997"/>
    <s v="Trsf"/>
    <s v="Due 28/2/2020"/>
    <m/>
  </r>
  <r>
    <x v="39"/>
    <x v="6"/>
    <x v="1"/>
    <x v="53"/>
    <s v="C00000010"/>
    <x v="9"/>
    <s v="RA Bosny Wax (15kg)"/>
    <n v="1"/>
    <n v="120"/>
    <n v="120"/>
    <d v="2021-03-20T00:00:00"/>
    <n v="3"/>
    <n v="2021"/>
    <n v="375"/>
    <n v="-375"/>
    <n v="0"/>
    <n v="162845.49999999997"/>
    <s v="Trsf"/>
    <s v="Due 28/2/2020"/>
    <m/>
  </r>
  <r>
    <x v="40"/>
    <x v="6"/>
    <x v="1"/>
    <x v="54"/>
    <s v="C00000008"/>
    <x v="7"/>
    <s v="RA Nor 3338W (220Kg)"/>
    <n v="1"/>
    <s v="Cash"/>
    <n v="0"/>
    <d v="2020-11-21T00:00:00"/>
    <n v="11"/>
    <n v="2020"/>
    <n v="1584"/>
    <n v="-1584"/>
    <n v="0"/>
    <n v="164429.49999999997"/>
    <s v="Trsf"/>
    <m/>
    <m/>
  </r>
  <r>
    <x v="40"/>
    <x v="6"/>
    <x v="1"/>
    <x v="54"/>
    <s v="C00000008"/>
    <x v="7"/>
    <s v="RA Gelcoat GP-H (20Kg)"/>
    <n v="2"/>
    <s v="Cash"/>
    <n v="0"/>
    <d v="2020-11-21T00:00:00"/>
    <n v="11"/>
    <n v="2020"/>
    <n v="420"/>
    <n v="-420"/>
    <n v="0"/>
    <n v="164849.49999999997"/>
    <s v="Trsf"/>
    <m/>
    <m/>
  </r>
  <r>
    <x v="40"/>
    <x v="6"/>
    <x v="1"/>
    <x v="54"/>
    <s v="C00000008"/>
    <x v="7"/>
    <s v="RA Butanox M50 (5Kg)"/>
    <n v="1"/>
    <s v="Cash"/>
    <n v="0"/>
    <d v="2020-11-21T00:00:00"/>
    <n v="11"/>
    <n v="2020"/>
    <n v="90"/>
    <n v="-90"/>
    <n v="0"/>
    <n v="164939.49999999997"/>
    <s v="Trsf"/>
    <m/>
    <m/>
  </r>
  <r>
    <x v="40"/>
    <x v="6"/>
    <x v="1"/>
    <x v="54"/>
    <s v="C00000008"/>
    <x v="7"/>
    <s v="RA CSM 450 GSM JUSHI 37kg 79m(L) X 1040mm(W)"/>
    <n v="2"/>
    <s v="Cash"/>
    <n v="0"/>
    <d v="2020-11-21T00:00:00"/>
    <n v="11"/>
    <n v="2020"/>
    <n v="518"/>
    <n v="-518"/>
    <n v="0"/>
    <n v="165457.49999999997"/>
    <s v="Trsf"/>
    <m/>
    <m/>
  </r>
  <r>
    <x v="41"/>
    <x v="6"/>
    <x v="1"/>
    <x v="55"/>
    <s v="C00000005"/>
    <x v="4"/>
    <s v="RA Resin 3317AW (220Kg)"/>
    <n v="1"/>
    <s v="Cash"/>
    <n v="0"/>
    <d v="2020-11-23T00:00:00"/>
    <n v="11"/>
    <n v="2020"/>
    <n v="1540"/>
    <n v="-1540"/>
    <n v="0"/>
    <n v="166997.49999999997"/>
    <s v="Chq"/>
    <s v="Chq CIMB 000060 24/11/20, Banked in 30/11/20"/>
    <m/>
  </r>
  <r>
    <x v="38"/>
    <x v="6"/>
    <x v="1"/>
    <x v="56"/>
    <s v="C00000011"/>
    <x v="10"/>
    <s v="Alkaline resistance Chopped Strand 24MM (18Kgs)"/>
    <n v="3"/>
    <s v="Cash"/>
    <n v="0"/>
    <d v="2020-11-24T00:00:00"/>
    <n v="11"/>
    <n v="2020"/>
    <n v="982.80000000000007"/>
    <n v="-982.80000000000007"/>
    <n v="0"/>
    <n v="167980.29999999996"/>
    <s v="Trsf"/>
    <s v="Trsf 23/11/2020"/>
    <m/>
  </r>
  <r>
    <x v="38"/>
    <x v="6"/>
    <x v="1"/>
    <x v="56"/>
    <s v="C00000011"/>
    <x v="10"/>
    <s v="Transport charge"/>
    <n v="1"/>
    <s v="Cash"/>
    <n v="0"/>
    <d v="2020-11-24T00:00:00"/>
    <n v="11"/>
    <n v="2020"/>
    <n v="100"/>
    <n v="-100"/>
    <n v="0"/>
    <n v="168080.29999999996"/>
    <s v="Trsf"/>
    <s v="Trsf 23/11/2020"/>
    <m/>
  </r>
  <r>
    <x v="38"/>
    <x v="6"/>
    <x v="1"/>
    <x v="57"/>
    <s v="C00000003"/>
    <x v="2"/>
    <s v="RA Resin 3317AW (220Kg)"/>
    <n v="1"/>
    <n v="45"/>
    <n v="45"/>
    <d v="2021-01-08T00:00:00"/>
    <n v="1"/>
    <n v="2021"/>
    <n v="1628"/>
    <n v="-1628"/>
    <n v="0"/>
    <n v="169708.29999999996"/>
    <s v="PD Chq"/>
    <s v="PD Chq 10/1/21, RM2,008/-"/>
    <m/>
  </r>
  <r>
    <x v="38"/>
    <x v="6"/>
    <x v="1"/>
    <x v="57"/>
    <s v="C00000003"/>
    <x v="2"/>
    <s v="RA Talcum Powder (25Kg)"/>
    <n v="3"/>
    <n v="45"/>
    <n v="45"/>
    <d v="2021-01-08T00:00:00"/>
    <n v="1"/>
    <n v="2021"/>
    <n v="150"/>
    <n v="-150"/>
    <n v="0"/>
    <n v="169858.29999999996"/>
    <s v="PD Chq"/>
    <s v="PD Chq 10/1/21, RM2,008/-"/>
    <m/>
  </r>
  <r>
    <x v="38"/>
    <x v="6"/>
    <x v="1"/>
    <x v="57"/>
    <s v="C00000003"/>
    <x v="2"/>
    <s v="RA Butanox M50 (5Kg)"/>
    <n v="2"/>
    <n v="45"/>
    <n v="45"/>
    <d v="2021-01-08T00:00:00"/>
    <n v="1"/>
    <n v="2021"/>
    <n v="185"/>
    <n v="-185"/>
    <n v="0"/>
    <n v="170043.29999999996"/>
    <s v="PD Chq"/>
    <s v="PD Chq 10/1/21, RM2,008/-"/>
    <m/>
  </r>
  <r>
    <x v="38"/>
    <x v="6"/>
    <x v="1"/>
    <x v="57"/>
    <s v="C00000003"/>
    <x v="2"/>
    <s v="RA Miracle Gloss Wax"/>
    <n v="1"/>
    <n v="45"/>
    <n v="45"/>
    <d v="2021-01-08T00:00:00"/>
    <n v="1"/>
    <n v="2021"/>
    <n v="45"/>
    <n v="-45"/>
    <n v="0"/>
    <n v="170088.29999999996"/>
    <s v="PD Chq"/>
    <s v="PD Chq 10/1/21, RM2,008/-"/>
    <m/>
  </r>
  <r>
    <x v="42"/>
    <x v="6"/>
    <x v="1"/>
    <x v="58"/>
    <s v="C00000001"/>
    <x v="0"/>
    <s v="RA Nor 3338W (220Kg)"/>
    <n v="1"/>
    <s v="Cash"/>
    <n v="0"/>
    <d v="2020-11-27T00:00:00"/>
    <n v="11"/>
    <n v="2020"/>
    <n v="1584"/>
    <n v="-1584"/>
    <n v="0"/>
    <n v="171672.29999999996"/>
    <s v="Trsf"/>
    <s v="Trsf 5/12/2020"/>
    <m/>
  </r>
  <r>
    <x v="42"/>
    <x v="6"/>
    <x v="1"/>
    <x v="58"/>
    <s v="C00000001"/>
    <x v="0"/>
    <s v="RA CSM 450 GSM TWL 30kg 64m(L) X 1040mm(W)"/>
    <n v="4"/>
    <s v="Cash"/>
    <n v="0"/>
    <d v="2020-11-27T00:00:00"/>
    <n v="11"/>
    <n v="2020"/>
    <n v="840"/>
    <n v="-840"/>
    <n v="0"/>
    <n v="172512.29999999996"/>
    <s v="Trsf"/>
    <s v="Trsf 5/12/2020"/>
    <m/>
  </r>
  <r>
    <x v="43"/>
    <x v="6"/>
    <x v="1"/>
    <x v="59"/>
    <s v="C00000009"/>
    <x v="8"/>
    <s v="RA Gelcoat GP-H (20Kg)"/>
    <n v="2"/>
    <n v="60"/>
    <n v="60"/>
    <d v="2021-01-27T00:00:00"/>
    <n v="1"/>
    <n v="2021"/>
    <n v="408"/>
    <n v="-408"/>
    <n v="0"/>
    <n v="172920.29999999996"/>
    <s v="Chq"/>
    <s v="Chq HL 009828, dd 6/2/21, Banked in 7/2/21"/>
    <m/>
  </r>
  <r>
    <x v="44"/>
    <x v="6"/>
    <x v="1"/>
    <x v="60"/>
    <s v="C00000008"/>
    <x v="7"/>
    <s v="RA Gelcoat GP-H (20Kg)"/>
    <n v="5"/>
    <s v="Cash"/>
    <n v="0"/>
    <d v="2020-11-30T00:00:00"/>
    <n v="11"/>
    <n v="2020"/>
    <n v="1050"/>
    <n v="-1050"/>
    <n v="0"/>
    <n v="173970.29999999996"/>
    <s v="Trsf"/>
    <m/>
    <m/>
  </r>
  <r>
    <x v="44"/>
    <x v="6"/>
    <x v="1"/>
    <x v="61"/>
    <s v="C00000010"/>
    <x v="9"/>
    <s v="RA Nor 3338W (220Kg)"/>
    <n v="5"/>
    <n v="120"/>
    <n v="120"/>
    <d v="2021-03-30T00:00:00"/>
    <n v="3"/>
    <n v="2021"/>
    <n v="6600"/>
    <n v="-6600"/>
    <n v="0"/>
    <n v="180570.29999999996"/>
    <s v="Trsf"/>
    <s v="Due 28/2/2020"/>
    <m/>
  </r>
  <r>
    <x v="44"/>
    <x v="6"/>
    <x v="1"/>
    <x v="61"/>
    <s v="C00000010"/>
    <x v="9"/>
    <s v="RA CSM 450 GSM TWL 30kg 64m(L) X 1040mm(W)"/>
    <n v="4"/>
    <n v="120"/>
    <n v="120"/>
    <d v="2021-03-30T00:00:00"/>
    <n v="3"/>
    <n v="2021"/>
    <n v="720"/>
    <n v="-720"/>
    <n v="0"/>
    <n v="181290.29999999996"/>
    <s v="Trsf"/>
    <s v="Due 28/2/2020"/>
    <m/>
  </r>
  <r>
    <x v="44"/>
    <x v="6"/>
    <x v="1"/>
    <x v="61"/>
    <s v="C00000010"/>
    <x v="9"/>
    <s v="RA Talcum Powder (25Kg)"/>
    <n v="5"/>
    <n v="120"/>
    <n v="120"/>
    <d v="2021-03-30T00:00:00"/>
    <n v="3"/>
    <n v="2021"/>
    <n v="275"/>
    <n v="-275"/>
    <n v="0"/>
    <n v="181565.29999999996"/>
    <s v="Trsf"/>
    <s v="Due 28/2/2020"/>
    <m/>
  </r>
  <r>
    <x v="44"/>
    <x v="6"/>
    <x v="1"/>
    <x v="61"/>
    <s v="C00000010"/>
    <x v="9"/>
    <s v="RA Butanox M50 (5Kg)"/>
    <n v="2"/>
    <n v="120"/>
    <n v="120"/>
    <d v="2021-03-30T00:00:00"/>
    <n v="3"/>
    <n v="2021"/>
    <n v="180"/>
    <n v="-180"/>
    <n v="0"/>
    <n v="181745.29999999996"/>
    <s v="Trsf"/>
    <s v="Due 28/2/2020"/>
    <m/>
  </r>
  <r>
    <x v="44"/>
    <x v="6"/>
    <x v="1"/>
    <x v="62"/>
    <s v="C00000010"/>
    <x v="9"/>
    <s v="RA Talcum Powder (25Kg)"/>
    <n v="5"/>
    <n v="120"/>
    <n v="120"/>
    <d v="2021-03-30T00:00:00"/>
    <n v="3"/>
    <n v="2021"/>
    <n v="275"/>
    <n v="-275"/>
    <n v="0"/>
    <n v="182020.29999999996"/>
    <s v="Trsf"/>
    <s v="Due 28/2/2020"/>
    <m/>
  </r>
  <r>
    <x v="45"/>
    <x v="0"/>
    <x v="1"/>
    <x v="63"/>
    <e v="#N/A"/>
    <x v="11"/>
    <s v="RA CSM 450 GSM 54kg 64m(L) X 1860mm(W)"/>
    <n v="2"/>
    <e v="#N/A"/>
    <e v="#N/A"/>
    <e v="#N/A"/>
    <e v="#N/A"/>
    <e v="#N/A"/>
    <n v="799.2"/>
    <n v="-799.2"/>
    <n v="0"/>
    <n v="182819.49999999997"/>
    <e v="#N/A"/>
    <s v="Trsf 5/12/2020"/>
    <m/>
  </r>
  <r>
    <x v="46"/>
    <x v="0"/>
    <x v="1"/>
    <x v="64"/>
    <s v="C00000001"/>
    <x v="0"/>
    <s v="RA Resin 3317AW (220Kg)"/>
    <n v="1"/>
    <s v="Cash"/>
    <n v="0"/>
    <d v="2020-12-15T00:00:00"/>
    <n v="12"/>
    <n v="2020"/>
    <n v="1716"/>
    <n v="-1716"/>
    <n v="0"/>
    <n v="184535.49999999997"/>
    <s v="Trsf"/>
    <s v="Trsf 18/12/2020"/>
    <m/>
  </r>
  <r>
    <x v="46"/>
    <x v="0"/>
    <x v="1"/>
    <x v="64"/>
    <s v="C00000001"/>
    <x v="0"/>
    <s v="RA Gelcoat GS-S ISO (20kg)"/>
    <n v="2"/>
    <s v="Cash"/>
    <n v="0"/>
    <d v="2020-12-15T00:00:00"/>
    <n v="12"/>
    <n v="2020"/>
    <n v="512"/>
    <n v="-512"/>
    <n v="0"/>
    <n v="185047.49999999997"/>
    <s v="Trsf"/>
    <s v="Trsf 18/12/2020"/>
    <m/>
  </r>
  <r>
    <x v="47"/>
    <x v="0"/>
    <x v="1"/>
    <x v="65"/>
    <s v="C00000004"/>
    <x v="3"/>
    <s v="RA Norsodyne 3338NW (220Kg)"/>
    <n v="2"/>
    <n v="120"/>
    <n v="120"/>
    <d v="2021-04-25T00:00:00"/>
    <n v="4"/>
    <n v="2021"/>
    <n v="2860"/>
    <n v="-2860"/>
    <n v="0"/>
    <n v="187907.49999999997"/>
    <s v="Chq"/>
    <s v="HL005820, 200321 (clear on 30/3/2021)"/>
    <m/>
  </r>
  <r>
    <x v="48"/>
    <x v="0"/>
    <x v="1"/>
    <x v="66"/>
    <s v="C00000003"/>
    <x v="2"/>
    <s v="RA Resin 3317AW (220Kg)"/>
    <n v="3"/>
    <n v="45"/>
    <n v="45"/>
    <d v="2021-02-13T00:00:00"/>
    <n v="2"/>
    <n v="2021"/>
    <n v="5148"/>
    <n v="-5148"/>
    <m/>
    <n v="193055.49999999997"/>
    <s v="PD Chq"/>
    <s v="PD Chq 13/2, 16/2, 20/2, 27/2 (RM1,500.00, RM1,608.00, RM1,500.00 &amp; RM1,500.00)"/>
    <m/>
  </r>
  <r>
    <x v="48"/>
    <x v="0"/>
    <x v="1"/>
    <x v="66"/>
    <s v="C00000003"/>
    <x v="2"/>
    <s v="RA CSM 450 GSM 54kg 64m(L) X 1860mm(W)"/>
    <n v="1"/>
    <n v="45"/>
    <n v="45"/>
    <d v="2021-02-13T00:00:00"/>
    <n v="2"/>
    <n v="2021"/>
    <n v="405"/>
    <n v="-405"/>
    <n v="0"/>
    <n v="193460.49999999997"/>
    <s v="PD Chq"/>
    <s v="PD Chq 13/2, 16/2, 20/2, 27/2 (RM1,500.00, RM1,608.00, RM1,500.00 &amp; RM1,500.00)"/>
    <m/>
  </r>
  <r>
    <x v="48"/>
    <x v="0"/>
    <x v="1"/>
    <x v="66"/>
    <s v="C00000003"/>
    <x v="2"/>
    <s v="RA Butanox M50 (5Kg)"/>
    <n v="6"/>
    <n v="45"/>
    <n v="45"/>
    <d v="2021-02-13T00:00:00"/>
    <n v="2"/>
    <n v="2021"/>
    <n v="555"/>
    <n v="-555"/>
    <n v="0"/>
    <n v="194015.49999999997"/>
    <s v="PD Chq"/>
    <s v="PD Chq 13/2, 16/2, 20/2, 27/2 (RM1,500.00, RM1,608.00, RM1,500.00 &amp; RM1,500.00)"/>
    <m/>
  </r>
  <r>
    <x v="49"/>
    <x v="0"/>
    <x v="1"/>
    <x v="67"/>
    <s v="C00000010"/>
    <x v="9"/>
    <s v="RA Norsodyne 3338W (220Kg)"/>
    <n v="5"/>
    <n v="120"/>
    <n v="120"/>
    <d v="2021-04-30T00:00:00"/>
    <n v="4"/>
    <n v="2021"/>
    <n v="7700"/>
    <n v="-7700"/>
    <n v="0"/>
    <n v="201715.49999999997"/>
    <s v="Trsf"/>
    <s v="Trsf 20/04/21"/>
    <m/>
  </r>
  <r>
    <x v="49"/>
    <x v="0"/>
    <x v="1"/>
    <x v="67"/>
    <s v="C00000010"/>
    <x v="9"/>
    <s v="RA CSM 450 30kg 79m(L) X 1040mm(W)"/>
    <n v="8"/>
    <n v="120"/>
    <n v="120"/>
    <d v="2021-04-30T00:00:00"/>
    <n v="4"/>
    <n v="2021"/>
    <n v="1680"/>
    <n v="-1680"/>
    <n v="0"/>
    <n v="203395.49999999997"/>
    <s v="Trsf"/>
    <s v="Trsf 20/04/21"/>
    <m/>
  </r>
  <r>
    <x v="49"/>
    <x v="0"/>
    <x v="1"/>
    <x v="67"/>
    <s v="C00000010"/>
    <x v="9"/>
    <s v="RA Talcum Powder (25Kg)"/>
    <n v="10"/>
    <n v="120"/>
    <n v="120"/>
    <d v="2021-04-30T00:00:00"/>
    <n v="4"/>
    <n v="2021"/>
    <n v="550"/>
    <n v="-550"/>
    <n v="0"/>
    <n v="203945.49999999997"/>
    <s v="Trsf"/>
    <s v="Trsf 20/04/21"/>
    <m/>
  </r>
  <r>
    <x v="49"/>
    <x v="0"/>
    <x v="1"/>
    <x v="67"/>
    <s v="C00000010"/>
    <x v="9"/>
    <s v="RA Butanox M50 (5Kg)"/>
    <n v="2"/>
    <n v="120"/>
    <n v="120"/>
    <d v="2021-04-30T00:00:00"/>
    <n v="4"/>
    <n v="2021"/>
    <n v="190"/>
    <n v="-190"/>
    <n v="0"/>
    <n v="204135.49999999997"/>
    <s v="Trsf"/>
    <s v="Trsf 20/04/21"/>
    <m/>
  </r>
  <r>
    <x v="50"/>
    <x v="7"/>
    <x v="2"/>
    <x v="68"/>
    <s v="C00000013"/>
    <x v="12"/>
    <s v="RA Tooling Gelcoat RP92 (22Kg)"/>
    <n v="2"/>
    <s v="Cash"/>
    <n v="0"/>
    <d v="2021-01-04T00:00:00"/>
    <n v="1"/>
    <n v="2021"/>
    <n v="1540"/>
    <n v="-1540"/>
    <n v="0"/>
    <n v="205675.49999999997"/>
    <s v="Chq"/>
    <s v="Bank in 2-5/1/2021"/>
    <m/>
  </r>
  <r>
    <x v="50"/>
    <x v="7"/>
    <x v="2"/>
    <x v="68"/>
    <s v="C00000013"/>
    <x v="12"/>
    <s v="RA CSM 450 54kg 64m(L) X 1860mm(W)"/>
    <n v="2"/>
    <s v="Cash"/>
    <n v="0"/>
    <d v="2021-01-04T00:00:00"/>
    <n v="1"/>
    <n v="2021"/>
    <n v="810"/>
    <n v="-810"/>
    <n v="0"/>
    <n v="206485.49999999997"/>
    <s v="Chq"/>
    <s v="Bank in 2-5/1/2021"/>
    <m/>
  </r>
  <r>
    <x v="50"/>
    <x v="7"/>
    <x v="2"/>
    <x v="68"/>
    <s v="C00000013"/>
    <x v="12"/>
    <s v="RA CSM 300 GSM 54Kg 96m(L) X 1860mm(W)"/>
    <n v="1"/>
    <s v="Cash"/>
    <n v="0"/>
    <d v="2021-01-04T00:00:00"/>
    <n v="1"/>
    <n v="2021"/>
    <n v="405"/>
    <n v="-405"/>
    <n v="0"/>
    <n v="206890.49999999997"/>
    <s v="Chq"/>
    <s v="Bank in 2-5/1/2021"/>
    <m/>
  </r>
  <r>
    <x v="50"/>
    <x v="7"/>
    <x v="2"/>
    <x v="68"/>
    <s v="C00000013"/>
    <x v="12"/>
    <s v="RA Vinlyeter Resin (200Kg)"/>
    <n v="2"/>
    <s v="Cash"/>
    <n v="0"/>
    <d v="2021-01-04T00:00:00"/>
    <n v="1"/>
    <n v="2021"/>
    <n v="5920"/>
    <n v="-5920"/>
    <n v="0"/>
    <n v="212810.49999999997"/>
    <s v="Chq"/>
    <s v="Bank in 2-5/1/2021"/>
    <m/>
  </r>
  <r>
    <x v="50"/>
    <x v="7"/>
    <x v="2"/>
    <x v="68"/>
    <s v="C00000013"/>
    <x v="12"/>
    <s v="RA Mirror Glaze Mold Release "/>
    <n v="3"/>
    <s v="Cash"/>
    <n v="0"/>
    <d v="2021-01-04T00:00:00"/>
    <n v="1"/>
    <n v="2021"/>
    <n v="135"/>
    <n v="-135"/>
    <n v="0"/>
    <n v="212945.49999999997"/>
    <s v="Chq"/>
    <s v="Bank in 2-5/1/2021"/>
    <m/>
  </r>
  <r>
    <x v="50"/>
    <x v="7"/>
    <x v="2"/>
    <x v="68"/>
    <s v="C00000013"/>
    <x v="12"/>
    <s v="RA Pigment H 2006 Dark Grey (5Kg)"/>
    <n v="1"/>
    <s v="Cash"/>
    <n v="0"/>
    <d v="2021-01-04T00:00:00"/>
    <n v="1"/>
    <n v="2021"/>
    <n v="130"/>
    <n v="-130"/>
    <n v="0"/>
    <n v="213075.49999999997"/>
    <s v="Chq"/>
    <s v="Bank in 2-5/1/2021"/>
    <m/>
  </r>
  <r>
    <x v="50"/>
    <x v="7"/>
    <x v="2"/>
    <x v="68"/>
    <s v="C00000013"/>
    <x v="12"/>
    <s v="RA Deawa DW-5213"/>
    <n v="1"/>
    <s v="Cash"/>
    <n v="0"/>
    <d v="2021-01-04T00:00:00"/>
    <n v="1"/>
    <n v="2021"/>
    <n v="380"/>
    <n v="-380"/>
    <n v="0"/>
    <n v="213455.49999999997"/>
    <s v="Chq"/>
    <s v="Bank in 2-5/1/2021"/>
    <m/>
  </r>
  <r>
    <x v="50"/>
    <x v="7"/>
    <x v="2"/>
    <x v="68"/>
    <s v="C00000013"/>
    <x v="12"/>
    <s v="RA Pigment H 7001 Bright Orange (5Kg)"/>
    <n v="1"/>
    <s v="Cash"/>
    <n v="0"/>
    <d v="2021-01-04T00:00:00"/>
    <n v="1"/>
    <n v="2021"/>
    <n v="180"/>
    <n v="-180"/>
    <n v="0"/>
    <n v="213635.49999999997"/>
    <s v="Chq"/>
    <s v="Bank in 2-5/1/2021"/>
    <m/>
  </r>
  <r>
    <x v="50"/>
    <x v="7"/>
    <x v="2"/>
    <x v="68"/>
    <s v="C00000013"/>
    <x v="12"/>
    <s v="RA Steel Roller 3&quot;"/>
    <n v="3"/>
    <s v="Cash"/>
    <n v="0"/>
    <d v="2021-01-04T00:00:00"/>
    <n v="1"/>
    <n v="2021"/>
    <n v="144"/>
    <n v="-144"/>
    <n v="0"/>
    <n v="213779.49999999997"/>
    <s v="Chq"/>
    <s v="Bank in 2-5/1/2021"/>
    <m/>
  </r>
  <r>
    <x v="50"/>
    <x v="7"/>
    <x v="2"/>
    <x v="68"/>
    <s v="C00000013"/>
    <x v="12"/>
    <s v="RA Aerosil (Silica Fume) (10Kg)"/>
    <n v="1"/>
    <s v="Cash"/>
    <n v="0"/>
    <d v="2021-01-04T00:00:00"/>
    <n v="1"/>
    <n v="2021"/>
    <n v="360"/>
    <n v="-360"/>
    <n v="0"/>
    <n v="214139.49999999997"/>
    <s v="Chq"/>
    <s v="Bank in 2-5/1/2021"/>
    <m/>
  </r>
  <r>
    <x v="50"/>
    <x v="7"/>
    <x v="2"/>
    <x v="68"/>
    <s v="C00000013"/>
    <x v="12"/>
    <s v="RA Butanox M50 (5Kg)"/>
    <n v="1"/>
    <s v="Cash"/>
    <n v="0"/>
    <d v="2021-01-04T00:00:00"/>
    <n v="1"/>
    <n v="2021"/>
    <n v="95"/>
    <n v="-95"/>
    <n v="0"/>
    <n v="214234.49999999997"/>
    <s v="Chq"/>
    <s v="Bank in 2-5/1/2021"/>
    <m/>
  </r>
  <r>
    <x v="50"/>
    <x v="7"/>
    <x v="2"/>
    <x v="68"/>
    <s v="C00000013"/>
    <x v="12"/>
    <s v="RA Accelerator (4Kg)"/>
    <n v="1"/>
    <s v="Cash"/>
    <n v="0"/>
    <d v="2021-01-04T00:00:00"/>
    <n v="1"/>
    <n v="2021"/>
    <n v="300"/>
    <n v="-300"/>
    <n v="0"/>
    <n v="214534.49999999997"/>
    <s v="Chq"/>
    <s v="Bank in 2-5/1/2021"/>
    <m/>
  </r>
  <r>
    <x v="51"/>
    <x v="7"/>
    <x v="2"/>
    <x v="69"/>
    <s v="C00000010"/>
    <x v="9"/>
    <s v="RA Styrene Monomer (6Kg)"/>
    <n v="1"/>
    <n v="120"/>
    <n v="120"/>
    <d v="2021-05-11T00:00:00"/>
    <n v="5"/>
    <n v="2021"/>
    <n v="0"/>
    <n v="0"/>
    <n v="0"/>
    <n v="214534.49999999997"/>
    <s v="Trsf"/>
    <s v="FOC"/>
    <m/>
  </r>
  <r>
    <x v="52"/>
    <x v="7"/>
    <x v="2"/>
    <x v="70"/>
    <s v="C00000013"/>
    <x v="12"/>
    <s v="RA Steel Roller 4&quot;"/>
    <n v="3"/>
    <s v="Cash"/>
    <n v="0"/>
    <d v="2021-01-08T00:00:00"/>
    <n v="1"/>
    <n v="2021"/>
    <n v="49"/>
    <n v="-49"/>
    <n v="0"/>
    <n v="214583.49999999997"/>
    <s v="Chq"/>
    <s v="Bank in 18-19/1/2021"/>
    <m/>
  </r>
  <r>
    <x v="53"/>
    <x v="7"/>
    <x v="2"/>
    <x v="71"/>
    <s v="C00000003"/>
    <x v="2"/>
    <s v="RA Talcum Powder (25Kg)"/>
    <n v="5"/>
    <n v="45"/>
    <n v="45"/>
    <d v="2021-02-23T00:00:00"/>
    <n v="2"/>
    <n v="2021"/>
    <n v="250"/>
    <n v="-250"/>
    <n v="0"/>
    <n v="214833.49999999997"/>
    <s v="PD Chq"/>
    <s v="Cash 9/1/2021"/>
    <m/>
  </r>
  <r>
    <x v="53"/>
    <x v="7"/>
    <x v="2"/>
    <x v="71"/>
    <s v="C00000003"/>
    <x v="2"/>
    <s v="RA Miracle Gloss Wax"/>
    <n v="2"/>
    <n v="45"/>
    <n v="45"/>
    <d v="2021-02-23T00:00:00"/>
    <n v="2"/>
    <n v="2021"/>
    <n v="90"/>
    <n v="-90"/>
    <n v="0"/>
    <n v="214923.49999999997"/>
    <s v="PD Chq"/>
    <s v="Cash 9/1/2021"/>
    <m/>
  </r>
  <r>
    <x v="54"/>
    <x v="7"/>
    <x v="2"/>
    <x v="72"/>
    <s v="C00000013"/>
    <x v="12"/>
    <s v="RA Gelcoat GP-H (20Kg)"/>
    <n v="2"/>
    <s v="Cash"/>
    <n v="0"/>
    <d v="2021-01-18T00:00:00"/>
    <n v="1"/>
    <n v="2021"/>
    <n v="472"/>
    <n v="-472"/>
    <n v="0"/>
    <n v="215395.49999999997"/>
    <s v="Chq"/>
    <s v="Bank in 18-19/1/2021"/>
    <m/>
  </r>
  <r>
    <x v="54"/>
    <x v="7"/>
    <x v="2"/>
    <x v="72"/>
    <s v="C00000013"/>
    <x v="12"/>
    <s v="RA CSM 450 54kg 64m(L) X 1860mm(W)"/>
    <n v="1"/>
    <s v="Cash"/>
    <n v="0"/>
    <d v="2021-01-18T00:00:00"/>
    <n v="1"/>
    <n v="2021"/>
    <n v="405"/>
    <n v="-405"/>
    <n v="0"/>
    <n v="215800.49999999997"/>
    <s v="Chq"/>
    <s v="Bank in 18-19/1/2021"/>
    <m/>
  </r>
  <r>
    <x v="54"/>
    <x v="7"/>
    <x v="2"/>
    <x v="72"/>
    <s v="C00000013"/>
    <x v="12"/>
    <s v="RA CSM 300 GSM 54Kg 96m(L) X 1860mm(W)"/>
    <n v="1"/>
    <s v="Cash"/>
    <n v="0"/>
    <d v="2021-01-18T00:00:00"/>
    <n v="1"/>
    <n v="2021"/>
    <n v="405"/>
    <n v="-405"/>
    <n v="0"/>
    <n v="216205.49999999997"/>
    <s v="Chq"/>
    <s v="Bank in 18-19/1/2021"/>
    <m/>
  </r>
  <r>
    <x v="54"/>
    <x v="7"/>
    <x v="2"/>
    <x v="72"/>
    <s v="C00000013"/>
    <x v="12"/>
    <s v="RA Pigment H 2006 Dark Grey (5Kg)"/>
    <n v="1"/>
    <s v="Cash"/>
    <n v="0"/>
    <d v="2021-01-18T00:00:00"/>
    <n v="1"/>
    <n v="2021"/>
    <n v="130"/>
    <n v="-130"/>
    <n v="0"/>
    <n v="216335.49999999997"/>
    <s v="Chq"/>
    <s v="Bank in 18-19/1/2021"/>
    <m/>
  </r>
  <r>
    <x v="54"/>
    <x v="7"/>
    <x v="2"/>
    <x v="72"/>
    <s v="C00000013"/>
    <x v="12"/>
    <s v="RA Miracle Gloss Wax"/>
    <n v="2"/>
    <s v="Cash"/>
    <n v="0"/>
    <d v="2021-01-18T00:00:00"/>
    <n v="1"/>
    <n v="2021"/>
    <n v="90"/>
    <n v="-90"/>
    <n v="0"/>
    <n v="216425.49999999997"/>
    <s v="Chq"/>
    <s v="Bank in 18-19/1/2021"/>
    <m/>
  </r>
  <r>
    <x v="54"/>
    <x v="7"/>
    <x v="2"/>
    <x v="72"/>
    <s v="C00000013"/>
    <x v="12"/>
    <s v="RA Butanox M50 (5Kg)"/>
    <n v="2"/>
    <s v="Cash"/>
    <n v="0"/>
    <d v="2021-01-18T00:00:00"/>
    <n v="1"/>
    <n v="2021"/>
    <n v="190"/>
    <n v="-190"/>
    <n v="0"/>
    <n v="216615.49999999997"/>
    <s v="Chq"/>
    <s v="Bank in 18-19/1/2021"/>
    <m/>
  </r>
  <r>
    <x v="54"/>
    <x v="7"/>
    <x v="2"/>
    <x v="72"/>
    <s v="C00000013"/>
    <x v="12"/>
    <s v="RA Norsodyne 3338W (220Kg)"/>
    <n v="1"/>
    <s v="Cash"/>
    <n v="0"/>
    <d v="2021-01-18T00:00:00"/>
    <n v="1"/>
    <n v="2021"/>
    <n v="1716"/>
    <n v="-1716"/>
    <n v="0"/>
    <n v="218331.49999999997"/>
    <s v="Chq"/>
    <s v="Bank in 18-19/1/2021"/>
    <m/>
  </r>
  <r>
    <x v="55"/>
    <x v="7"/>
    <x v="2"/>
    <x v="73"/>
    <s v="C00000003"/>
    <x v="2"/>
    <s v="RA Resin 3317AW (220Kg)"/>
    <n v="3"/>
    <n v="45"/>
    <n v="45"/>
    <d v="2021-03-13T00:00:00"/>
    <n v="3"/>
    <n v="2021"/>
    <n v="5082"/>
    <n v="-5082"/>
    <n v="0"/>
    <n v="223413.49999999997"/>
    <s v="PD Chq"/>
    <s v="PD Chq 14/3, 21/3, 28/3, 31/3,  (RM1,500.00, RM1,500.00, RM1,500.00 &amp; RM1,387.00)"/>
    <m/>
  </r>
  <r>
    <x v="55"/>
    <x v="7"/>
    <x v="2"/>
    <x v="73"/>
    <s v="C00000003"/>
    <x v="2"/>
    <s v="RA Talcum Powder (25Kg)"/>
    <n v="5"/>
    <n v="45"/>
    <n v="45"/>
    <d v="2021-03-13T00:00:00"/>
    <n v="3"/>
    <n v="2021"/>
    <n v="250"/>
    <n v="-250"/>
    <n v="0"/>
    <n v="223663.49999999997"/>
    <s v="PD Chq"/>
    <s v="PD Chq 14/3, 21/3, 28/3, 31/3,  (RM1,500.00, RM1,500.00, RM1,500.00 &amp; RM1,387.00)"/>
    <m/>
  </r>
  <r>
    <x v="55"/>
    <x v="7"/>
    <x v="2"/>
    <x v="73"/>
    <s v="C00000003"/>
    <x v="2"/>
    <s v="RA Butanox M50 (5kg)"/>
    <n v="6"/>
    <n v="45"/>
    <n v="45"/>
    <d v="2021-03-13T00:00:00"/>
    <n v="3"/>
    <n v="2021"/>
    <n v="555"/>
    <n v="-555"/>
    <n v="0"/>
    <n v="224218.49999999997"/>
    <s v="PD Chq"/>
    <s v="PD Chq 14/3, 21/3, 28/3, 31/3,  (RM1,500.00, RM1,500.00, RM1,500.00 &amp; RM1,387.00)"/>
    <m/>
  </r>
  <r>
    <x v="56"/>
    <x v="7"/>
    <x v="2"/>
    <x v="74"/>
    <s v="C00000001"/>
    <x v="0"/>
    <s v="RA Nor 3338W (220Kg)"/>
    <n v="1"/>
    <s v="Cash"/>
    <n v="0"/>
    <d v="2021-01-29T00:00:00"/>
    <n v="1"/>
    <n v="2021"/>
    <n v="1694"/>
    <n v="-1694"/>
    <n v="0"/>
    <n v="225912.49999999997"/>
    <s v="Trsf"/>
    <s v="Trsf 1/2/2021"/>
    <m/>
  </r>
  <r>
    <x v="56"/>
    <x v="7"/>
    <x v="2"/>
    <x v="74"/>
    <s v="C00000001"/>
    <x v="0"/>
    <s v="RA CSM 450 GSM TWL 30kg 64m(L) X 1040mm(W)"/>
    <n v="4"/>
    <s v="Cash"/>
    <n v="0"/>
    <d v="2021-01-29T00:00:00"/>
    <n v="1"/>
    <n v="2021"/>
    <n v="900"/>
    <n v="-900"/>
    <n v="0"/>
    <n v="226812.49999999997"/>
    <s v="Trsf"/>
    <s v="Trsf 1/2/2021"/>
    <m/>
  </r>
  <r>
    <x v="56"/>
    <x v="7"/>
    <x v="2"/>
    <x v="74"/>
    <s v="C00000001"/>
    <x v="0"/>
    <s v="RC Woven Roving E-800 40Kg 1000mm"/>
    <n v="1"/>
    <s v="Cash"/>
    <n v="0"/>
    <d v="2021-01-29T00:00:00"/>
    <n v="1"/>
    <n v="2021"/>
    <n v="272"/>
    <n v="-272"/>
    <n v="0"/>
    <n v="227084.49999999997"/>
    <s v="Trsf"/>
    <s v="Trsf 1/2/2021"/>
    <m/>
  </r>
  <r>
    <x v="56"/>
    <x v="7"/>
    <x v="2"/>
    <x v="75"/>
    <s v="C00000010"/>
    <x v="9"/>
    <s v="RA Norsodyne 3338W (220Kg)"/>
    <n v="5"/>
    <n v="120"/>
    <n v="120"/>
    <d v="2021-05-29T00:00:00"/>
    <n v="5"/>
    <n v="2021"/>
    <n v="7700"/>
    <n v="-7700"/>
    <n v="0"/>
    <n v="234784.49999999997"/>
    <s v="Trsf"/>
    <s v="Trsf 21/5/2021"/>
    <m/>
  </r>
  <r>
    <x v="56"/>
    <x v="7"/>
    <x v="2"/>
    <x v="75"/>
    <s v="C00000010"/>
    <x v="9"/>
    <s v="RA CSM 450 30kg 79m(L) X 1040mm(W)"/>
    <n v="8"/>
    <n v="120"/>
    <n v="120"/>
    <d v="2021-05-29T00:00:00"/>
    <n v="5"/>
    <n v="2021"/>
    <n v="1680"/>
    <n v="-1680"/>
    <n v="0"/>
    <n v="236464.49999999997"/>
    <s v="Trsf"/>
    <s v="Trsf 21/5/2021"/>
    <m/>
  </r>
  <r>
    <x v="56"/>
    <x v="7"/>
    <x v="2"/>
    <x v="75"/>
    <s v="C00000010"/>
    <x v="9"/>
    <s v="RA Talcum Powder (25kg)"/>
    <n v="10"/>
    <n v="120"/>
    <n v="120"/>
    <d v="2021-05-29T00:00:00"/>
    <n v="5"/>
    <n v="2021"/>
    <n v="550"/>
    <n v="-550"/>
    <n v="0"/>
    <n v="237014.49999999997"/>
    <s v="Trsf"/>
    <s v="Trsf 21/5/2021"/>
    <m/>
  </r>
  <r>
    <x v="56"/>
    <x v="7"/>
    <x v="2"/>
    <x v="75"/>
    <s v="C00000010"/>
    <x v="9"/>
    <s v="RA Butanox M50 (5kg)"/>
    <n v="4"/>
    <n v="120"/>
    <n v="120"/>
    <d v="2021-05-29T00:00:00"/>
    <n v="5"/>
    <n v="2021"/>
    <n v="380"/>
    <n v="-380"/>
    <n v="0"/>
    <n v="237394.49999999997"/>
    <s v="Trsf"/>
    <s v="Trsf 21/5/2021"/>
    <m/>
  </r>
  <r>
    <x v="57"/>
    <x v="8"/>
    <x v="2"/>
    <x v="76"/>
    <s v="C00000014"/>
    <x v="13"/>
    <s v="RA Resin 3317AW (220Kg)"/>
    <n v="2"/>
    <s v="Cash"/>
    <n v="0"/>
    <d v="2021-02-03T00:00:00"/>
    <n v="2"/>
    <n v="2021"/>
    <n v="3344"/>
    <n v="-3344"/>
    <n v="0"/>
    <n v="240738.49999999997"/>
    <s v="Cash"/>
    <s v="Cash 3/2/2021"/>
    <m/>
  </r>
  <r>
    <x v="57"/>
    <x v="8"/>
    <x v="2"/>
    <x v="76"/>
    <s v="C00000014"/>
    <x v="13"/>
    <s v="RA CSM 450 GSM TWL 30kg 64m(L) X 1040mm(W)"/>
    <n v="5"/>
    <s v="Cash"/>
    <n v="0"/>
    <d v="2021-02-03T00:00:00"/>
    <n v="2"/>
    <n v="2021"/>
    <n v="1125"/>
    <n v="-1125"/>
    <n v="0"/>
    <n v="241863.49999999997"/>
    <s v="Cash"/>
    <s v="Cash 3/2/2021"/>
    <m/>
  </r>
  <r>
    <x v="57"/>
    <x v="8"/>
    <x v="2"/>
    <x v="76"/>
    <s v="C00000014"/>
    <x v="13"/>
    <s v="RC Woven Roving E-800 1000mm (40Kg)"/>
    <n v="1"/>
    <s v="Cash"/>
    <n v="0"/>
    <d v="2021-02-03T00:00:00"/>
    <n v="2"/>
    <n v="2021"/>
    <n v="280"/>
    <n v="-280"/>
    <n v="0"/>
    <n v="242143.49999999997"/>
    <s v="Cash"/>
    <s v="Cash 3/2/2021"/>
    <m/>
  </r>
  <r>
    <x v="57"/>
    <x v="8"/>
    <x v="2"/>
    <x v="76"/>
    <s v="C00000014"/>
    <x v="13"/>
    <s v="RA Butanox M50 (5kg)"/>
    <n v="2"/>
    <s v="Cash"/>
    <n v="0"/>
    <d v="2021-02-03T00:00:00"/>
    <n v="2"/>
    <n v="2021"/>
    <n v="195"/>
    <n v="-195"/>
    <n v="0"/>
    <n v="242338.49999999997"/>
    <s v="Cash"/>
    <s v="Cash 3/2/2021"/>
    <m/>
  </r>
  <r>
    <x v="57"/>
    <x v="8"/>
    <x v="2"/>
    <x v="76"/>
    <s v="C00000014"/>
    <x v="13"/>
    <s v="RA Miracle Gloss Wax"/>
    <n v="4"/>
    <s v="Cash"/>
    <n v="0"/>
    <d v="2021-02-03T00:00:00"/>
    <n v="2"/>
    <n v="2021"/>
    <n v="180"/>
    <n v="-180"/>
    <n v="0"/>
    <n v="242518.49999999997"/>
    <s v="Cash"/>
    <s v="Cash 3/2/2021"/>
    <m/>
  </r>
  <r>
    <x v="57"/>
    <x v="8"/>
    <x v="2"/>
    <x v="76"/>
    <s v="C00000014"/>
    <x v="13"/>
    <s v="RA Gelcoat GP-H (20kg)"/>
    <n v="1"/>
    <s v="Cash"/>
    <n v="0"/>
    <d v="2021-02-03T00:00:00"/>
    <n v="2"/>
    <n v="2021"/>
    <n v="232"/>
    <n v="-232"/>
    <n v="0"/>
    <n v="242750.49999999997"/>
    <s v="Cash"/>
    <s v="Cash 3/2/2021"/>
    <m/>
  </r>
  <r>
    <x v="58"/>
    <x v="8"/>
    <x v="2"/>
    <x v="77"/>
    <s v="C00000005"/>
    <x v="4"/>
    <s v="RA Resin 3317AW (220Kg)"/>
    <n v="1"/>
    <s v="Cash"/>
    <n v="0"/>
    <d v="2021-02-02T00:00:00"/>
    <n v="2"/>
    <n v="2021"/>
    <n v="1650"/>
    <n v="-1650"/>
    <n v="0"/>
    <n v="244400.49999999997"/>
    <s v="Chq"/>
    <s v="Chq CIMB 000070 2/2/21, Banked in 3/2/21"/>
    <m/>
  </r>
  <r>
    <x v="58"/>
    <x v="8"/>
    <x v="2"/>
    <x v="77"/>
    <s v="C00000005"/>
    <x v="4"/>
    <s v="RA Butanox M50 (5kg)"/>
    <n v="1"/>
    <s v="Cash"/>
    <n v="0"/>
    <d v="2021-02-02T00:00:00"/>
    <n v="2"/>
    <n v="2021"/>
    <n v="100"/>
    <n v="-100"/>
    <n v="0"/>
    <n v="244500.49999999997"/>
    <s v="Chq"/>
    <s v="Chq CIMB 000070 2/2/21, Banked in 3/2/21"/>
    <m/>
  </r>
  <r>
    <x v="59"/>
    <x v="8"/>
    <x v="2"/>
    <x v="78"/>
    <s v="C00000014"/>
    <x v="13"/>
    <s v="RA Pigment Super White (5Kg)"/>
    <n v="1"/>
    <s v="Cash"/>
    <n v="0"/>
    <d v="2021-02-06T00:00:00"/>
    <n v="2"/>
    <n v="2021"/>
    <n v="130"/>
    <n v="-130"/>
    <n v="0"/>
    <n v="244630.49999999997"/>
    <s v="Cash"/>
    <s v="Cash 3/2/2021"/>
    <m/>
  </r>
  <r>
    <x v="60"/>
    <x v="8"/>
    <x v="2"/>
    <x v="79"/>
    <s v="C00000013"/>
    <x v="12"/>
    <s v="RA Deawa DW-5213"/>
    <n v="1"/>
    <s v="Cash"/>
    <n v="0"/>
    <d v="2021-02-09T00:00:00"/>
    <n v="2"/>
    <n v="2021"/>
    <n v="380"/>
    <n v="-380"/>
    <n v="0"/>
    <n v="245010.49999999997"/>
    <s v="Chq"/>
    <s v="Trsf 8/2/2021"/>
    <m/>
  </r>
  <r>
    <x v="60"/>
    <x v="8"/>
    <x v="2"/>
    <x v="79"/>
    <s v="C00000013"/>
    <x v="12"/>
    <s v="RA Gelcoat GP-H (20Kg)"/>
    <n v="2"/>
    <s v="Cash"/>
    <n v="0"/>
    <d v="2021-02-09T00:00:00"/>
    <n v="2"/>
    <n v="2021"/>
    <n v="472"/>
    <n v="-472"/>
    <n v="0"/>
    <n v="245482.49999999997"/>
    <s v="Chq"/>
    <s v="Trsf 8/2/2021"/>
    <m/>
  </r>
  <r>
    <x v="60"/>
    <x v="8"/>
    <x v="2"/>
    <x v="79"/>
    <s v="C00000013"/>
    <x v="12"/>
    <s v="RA Resin 3317AW (220Kg)"/>
    <n v="1"/>
    <s v="Cash"/>
    <n v="0"/>
    <d v="2021-02-09T00:00:00"/>
    <n v="2"/>
    <n v="2021"/>
    <n v="1716"/>
    <n v="-1716"/>
    <n v="0"/>
    <n v="247198.49999999997"/>
    <s v="Chq"/>
    <s v="Trsf 8/2/2021"/>
    <m/>
  </r>
  <r>
    <x v="60"/>
    <x v="8"/>
    <x v="2"/>
    <x v="79"/>
    <s v="C00000013"/>
    <x v="12"/>
    <s v="RA CSM 450 54kg 64m(L) X 1860mm(W)"/>
    <n v="1"/>
    <s v="Cash"/>
    <n v="0"/>
    <d v="2021-02-09T00:00:00"/>
    <n v="2"/>
    <n v="2021"/>
    <n v="405"/>
    <n v="-405"/>
    <n v="0"/>
    <n v="247603.49999999997"/>
    <s v="Chq"/>
    <s v="Trsf 8/2/2021"/>
    <m/>
  </r>
  <r>
    <x v="60"/>
    <x v="8"/>
    <x v="2"/>
    <x v="79"/>
    <s v="C00000013"/>
    <x v="12"/>
    <s v="RA Butanox M50 (5Kg)"/>
    <n v="1"/>
    <s v="Cash"/>
    <n v="0"/>
    <d v="2021-02-09T00:00:00"/>
    <n v="2"/>
    <n v="2021"/>
    <n v="95"/>
    <n v="-95"/>
    <n v="0"/>
    <n v="247698.49999999997"/>
    <s v="Chq"/>
    <s v="Trsf 9/2/2021"/>
    <m/>
  </r>
  <r>
    <x v="60"/>
    <x v="8"/>
    <x v="2"/>
    <x v="79"/>
    <s v="C00000013"/>
    <x v="12"/>
    <s v="RA Pigment H 2006 Dark Grey (5Kg)"/>
    <n v="1"/>
    <s v="Cash"/>
    <n v="0"/>
    <d v="2021-02-09T00:00:00"/>
    <n v="2"/>
    <n v="2021"/>
    <n v="130"/>
    <n v="-130"/>
    <n v="0"/>
    <n v="247828.49999999997"/>
    <s v="Chq"/>
    <s v="Trsf 9/2/2021"/>
    <m/>
  </r>
  <r>
    <x v="61"/>
    <x v="8"/>
    <x v="2"/>
    <x v="80"/>
    <s v="C00000005"/>
    <x v="4"/>
    <s v="RA CSM 450 GSM TWL 30kg 64m(L) X 1040mm(W)"/>
    <n v="1"/>
    <s v="Cash"/>
    <n v="0"/>
    <d v="2021-02-17T00:00:00"/>
    <n v="2"/>
    <n v="2021"/>
    <n v="225"/>
    <n v="-225"/>
    <n v="0"/>
    <n v="248053.49999999997"/>
    <s v="Chq"/>
    <m/>
    <m/>
  </r>
  <r>
    <x v="62"/>
    <x v="8"/>
    <x v="2"/>
    <x v="81"/>
    <s v="C00000001"/>
    <x v="0"/>
    <s v="RA Resin 3317AW (220Kg)"/>
    <n v="1"/>
    <s v="Cash"/>
    <n v="0"/>
    <d v="2021-02-19T00:00:00"/>
    <n v="2"/>
    <n v="2021"/>
    <n v="1694"/>
    <n v="-1694"/>
    <n v="0"/>
    <n v="249747.49999999997"/>
    <s v="Trsf"/>
    <s v="Trsf 26/2/2021"/>
    <m/>
  </r>
  <r>
    <x v="63"/>
    <x v="8"/>
    <x v="2"/>
    <x v="82"/>
    <s v="C00000004"/>
    <x v="3"/>
    <s v="RA Nor 3338W (220Kg)"/>
    <n v="5"/>
    <n v="120"/>
    <n v="120"/>
    <d v="2021-06-24T00:00:00"/>
    <n v="6"/>
    <n v="2021"/>
    <n v="7370"/>
    <n v="-7370"/>
    <n v="0"/>
    <n v="257117.49999999997"/>
    <s v="Chq"/>
    <s v="Chq Cleared 2/8/2021"/>
    <m/>
  </r>
  <r>
    <x v="63"/>
    <x v="8"/>
    <x v="2"/>
    <x v="82"/>
    <s v="C00000004"/>
    <x v="3"/>
    <s v="RA CSM 450 54kg 64m(L) X 1860mm(W)"/>
    <n v="3"/>
    <n v="120"/>
    <n v="120"/>
    <d v="2021-06-24T00:00:00"/>
    <n v="6"/>
    <n v="2021"/>
    <n v="1069.2"/>
    <n v="-1069.2"/>
    <n v="0"/>
    <n v="258186.69999999998"/>
    <s v="Chq"/>
    <s v="Chq Cleared 2/8/2021"/>
    <m/>
  </r>
  <r>
    <x v="63"/>
    <x v="8"/>
    <x v="2"/>
    <x v="82"/>
    <s v="C00000004"/>
    <x v="3"/>
    <s v="RA Butanox M50 (5Kg)"/>
    <n v="1"/>
    <n v="120"/>
    <n v="120"/>
    <d v="2021-06-24T00:00:00"/>
    <n v="6"/>
    <n v="2021"/>
    <n v="360"/>
    <n v="-360"/>
    <n v="0"/>
    <n v="258546.69999999998"/>
    <s v="Chq"/>
    <s v="Chq Cleared 2/8/2021"/>
    <m/>
  </r>
  <r>
    <x v="63"/>
    <x v="8"/>
    <x v="2"/>
    <x v="82"/>
    <s v="C00000004"/>
    <x v="3"/>
    <s v="RA Accelerator (4Kg)"/>
    <n v="1"/>
    <n v="120"/>
    <n v="120"/>
    <d v="2021-06-24T00:00:00"/>
    <n v="6"/>
    <n v="2021"/>
    <n v="312"/>
    <n v="-312"/>
    <n v="0"/>
    <n v="258858.69999999998"/>
    <s v="Chq"/>
    <s v="Chq Cleared 2/8/2021"/>
    <m/>
  </r>
  <r>
    <x v="64"/>
    <x v="8"/>
    <x v="2"/>
    <x v="83"/>
    <s v="C00000008"/>
    <x v="7"/>
    <s v="RA Gelcoat GP-H (20Kg)"/>
    <n v="4"/>
    <s v="Cash"/>
    <n v="0"/>
    <d v="2021-02-23T00:00:00"/>
    <n v="2"/>
    <n v="2021"/>
    <n v="920"/>
    <n v="-920"/>
    <n v="0"/>
    <n v="259778.69999999998"/>
    <s v="Trsf"/>
    <s v="Trsf 11/3/3021"/>
    <m/>
  </r>
  <r>
    <x v="64"/>
    <x v="8"/>
    <x v="2"/>
    <x v="83"/>
    <s v="C00000008"/>
    <x v="7"/>
    <s v="RA Butanox M50 (5Kg)"/>
    <n v="1"/>
    <s v="Cash"/>
    <n v="0"/>
    <d v="2021-02-23T00:00:00"/>
    <n v="2"/>
    <n v="2021"/>
    <n v="100"/>
    <n v="-100"/>
    <n v="0"/>
    <n v="259878.69999999998"/>
    <s v="Trsf"/>
    <s v="Trsf 11/3/3021"/>
    <m/>
  </r>
  <r>
    <x v="64"/>
    <x v="8"/>
    <x v="2"/>
    <x v="83"/>
    <s v="C00000008"/>
    <x v="7"/>
    <s v="Brush 2 1/2&quot; (12 pc)"/>
    <n v="3"/>
    <s v="Cash"/>
    <n v="0"/>
    <d v="2021-02-23T00:00:00"/>
    <n v="2"/>
    <n v="2021"/>
    <n v="180"/>
    <n v="-180"/>
    <n v="0"/>
    <n v="260058.69999999998"/>
    <s v="Trsf"/>
    <s v="Trsf 11/3/3021"/>
    <m/>
  </r>
  <r>
    <x v="65"/>
    <x v="8"/>
    <x v="2"/>
    <x v="84"/>
    <s v="C00000015"/>
    <x v="14"/>
    <s v="RA Nor 3338W (220Kg)"/>
    <n v="1"/>
    <s v="Cash"/>
    <n v="0"/>
    <d v="2021-02-26T00:00:00"/>
    <n v="2"/>
    <n v="2021"/>
    <n v="1694"/>
    <n v="-1694"/>
    <n v="0"/>
    <n v="261752.69999999998"/>
    <s v="Trsf"/>
    <s v="Trsf 27/2/2021"/>
    <m/>
  </r>
  <r>
    <x v="65"/>
    <x v="8"/>
    <x v="2"/>
    <x v="84"/>
    <s v="C00000015"/>
    <x v="14"/>
    <s v="RA CSM 450 GSM TWL 30kg 64m(L) X 1040mm(W)"/>
    <n v="1"/>
    <s v="Cash"/>
    <n v="0"/>
    <d v="2021-02-26T00:00:00"/>
    <n v="2"/>
    <n v="2021"/>
    <n v="228"/>
    <n v="-228"/>
    <n v="0"/>
    <n v="261980.69999999998"/>
    <s v="Trsf"/>
    <s v="Trsf 27/2/2021"/>
    <m/>
  </r>
  <r>
    <x v="65"/>
    <x v="8"/>
    <x v="2"/>
    <x v="84"/>
    <s v="C00000015"/>
    <x v="14"/>
    <s v="RA Butanox M50 (5kg)"/>
    <n v="1"/>
    <s v="Cash"/>
    <n v="0"/>
    <d v="2021-02-26T00:00:00"/>
    <n v="2"/>
    <n v="2021"/>
    <n v="100"/>
    <n v="-100"/>
    <n v="0"/>
    <n v="262080.69999999998"/>
    <s v="Trsf"/>
    <s v="Trsf 27/2/2021"/>
    <m/>
  </r>
  <r>
    <x v="66"/>
    <x v="9"/>
    <x v="2"/>
    <x v="85"/>
    <s v="C00000004"/>
    <x v="3"/>
    <s v="RA Nor 3338W (220Kg)"/>
    <n v="6"/>
    <n v="120"/>
    <n v="120"/>
    <d v="2021-07-06T00:00:00"/>
    <n v="7"/>
    <n v="2021"/>
    <n v="8976"/>
    <n v="-8976"/>
    <n v="0"/>
    <n v="271056.69999999995"/>
    <s v="Chq"/>
    <s v="Chq Cleared 13/9/2021"/>
    <m/>
  </r>
  <r>
    <x v="66"/>
    <x v="9"/>
    <x v="2"/>
    <x v="85"/>
    <s v="C00000004"/>
    <x v="3"/>
    <s v="RA Nor 3338NW (220Kg)"/>
    <n v="1"/>
    <n v="120"/>
    <n v="120"/>
    <d v="2021-07-06T00:00:00"/>
    <n v="7"/>
    <n v="2021"/>
    <n v="1496"/>
    <n v="-1496"/>
    <n v="0"/>
    <n v="272552.69999999995"/>
    <s v="Chq"/>
    <s v="Chq Cleared 13/9/2021"/>
    <m/>
  </r>
  <r>
    <x v="66"/>
    <x v="9"/>
    <x v="2"/>
    <x v="85"/>
    <s v="C00000004"/>
    <x v="3"/>
    <s v="RA CSM 450 GSM 54kg 64m(L) X 1860mm(W)"/>
    <n v="7"/>
    <n v="120"/>
    <n v="120"/>
    <d v="2021-07-06T00:00:00"/>
    <n v="7"/>
    <n v="2021"/>
    <n v="2532.6"/>
    <n v="-2532.6"/>
    <n v="0"/>
    <n v="275085.29999999993"/>
    <s v="Chq"/>
    <s v="Chq Cleared 13/9/2021"/>
    <m/>
  </r>
  <r>
    <x v="66"/>
    <x v="9"/>
    <x v="2"/>
    <x v="85"/>
    <s v="C00000004"/>
    <x v="3"/>
    <s v="RA CSM 300 GSM 54Kg 96m(L) X 1860mm(W)"/>
    <n v="5"/>
    <n v="120"/>
    <n v="120"/>
    <d v="2021-07-06T00:00:00"/>
    <n v="7"/>
    <n v="2021"/>
    <n v="1809"/>
    <n v="-1809"/>
    <n v="0"/>
    <n v="276894.29999999993"/>
    <s v="Chq"/>
    <s v="Chq Cleared 13/9/2021"/>
    <m/>
  </r>
  <r>
    <x v="67"/>
    <x v="9"/>
    <x v="2"/>
    <x v="86"/>
    <s v="C00000016"/>
    <x v="15"/>
    <s v="RA Nor 3338W (220Kg)"/>
    <n v="2"/>
    <s v="Cash"/>
    <n v="0"/>
    <d v="2021-03-10T00:00:00"/>
    <n v="3"/>
    <n v="2021"/>
    <n v="3058"/>
    <n v="-3058"/>
    <n v="0"/>
    <n v="279952.29999999993"/>
    <s v="Trsf"/>
    <s v="Trsf 10/3/2021"/>
    <m/>
  </r>
  <r>
    <x v="67"/>
    <x v="9"/>
    <x v="2"/>
    <x v="86"/>
    <s v="C00000016"/>
    <x v="15"/>
    <s v="RA Resin 3317AW (220Kg)"/>
    <n v="2"/>
    <s v="Cash"/>
    <n v="0"/>
    <d v="2021-03-10T00:00:00"/>
    <n v="3"/>
    <n v="2021"/>
    <n v="3058"/>
    <n v="-3058"/>
    <n v="0"/>
    <n v="283010.29999999993"/>
    <s v="Trsf"/>
    <s v="Trsf 10/3/2021"/>
    <m/>
  </r>
  <r>
    <x v="67"/>
    <x v="9"/>
    <x v="2"/>
    <x v="86"/>
    <s v="C00000016"/>
    <x v="15"/>
    <s v="RA Resin 8201W (225Kg)"/>
    <n v="3"/>
    <s v="Cash"/>
    <n v="0"/>
    <d v="2021-03-10T00:00:00"/>
    <n v="3"/>
    <n v="2021"/>
    <n v="4691.25"/>
    <n v="-4691.25"/>
    <n v="0"/>
    <n v="287701.54999999993"/>
    <s v="Trsf"/>
    <s v="Trsf 10/3/2021"/>
    <m/>
  </r>
  <r>
    <x v="68"/>
    <x v="9"/>
    <x v="2"/>
    <x v="87"/>
    <s v="C00000009"/>
    <x v="8"/>
    <s v="RA Nor 3338NW (220Kg)"/>
    <n v="2"/>
    <n v="60"/>
    <n v="60"/>
    <d v="2021-05-10T00:00:00"/>
    <n v="5"/>
    <n v="2021"/>
    <n v="3212"/>
    <n v="-3212"/>
    <n v="0"/>
    <n v="290913.54999999993"/>
    <s v="Chq"/>
    <s v="Chq HL 012137 dd 20/10/21"/>
    <m/>
  </r>
  <r>
    <x v="68"/>
    <x v="9"/>
    <x v="2"/>
    <x v="87"/>
    <s v="C00000009"/>
    <x v="8"/>
    <s v="RA Nor 3338NW (220Kg)"/>
    <n v="1"/>
    <n v="60"/>
    <n v="60"/>
    <d v="2021-05-10T00:00:00"/>
    <n v="5"/>
    <n v="2021"/>
    <n v="1606"/>
    <n v="-1606"/>
    <n v="0"/>
    <n v="292519.54999999993"/>
    <s v="Chq"/>
    <s v="Chq HL 012137 dd 20/10/21"/>
    <m/>
  </r>
  <r>
    <x v="68"/>
    <x v="9"/>
    <x v="2"/>
    <x v="87"/>
    <s v="C00000009"/>
    <x v="8"/>
    <s v="RA CSM 450 GSM 54kg 64m(L) X 1860mm(W)"/>
    <n v="2"/>
    <n v="60"/>
    <n v="60"/>
    <d v="2021-05-10T00:00:00"/>
    <n v="5"/>
    <n v="2021"/>
    <n v="820.8"/>
    <n v="-820.8"/>
    <n v="0"/>
    <n v="293340.34999999992"/>
    <s v="Chq"/>
    <s v="Chq HL 012137 dd 20/10/21"/>
    <m/>
  </r>
  <r>
    <x v="68"/>
    <x v="9"/>
    <x v="2"/>
    <x v="87"/>
    <s v="C00000009"/>
    <x v="8"/>
    <s v="RA CSM 300 GSM 54Kg 96m(L) X 1860mm(W)"/>
    <n v="2"/>
    <n v="60"/>
    <n v="60"/>
    <d v="2021-05-10T00:00:00"/>
    <n v="5"/>
    <n v="2021"/>
    <n v="820.8"/>
    <n v="-820.8"/>
    <n v="0"/>
    <n v="294161.14999999991"/>
    <s v="Chq"/>
    <s v="Chq HL 012137 dd 20/10/21"/>
    <m/>
  </r>
  <r>
    <x v="69"/>
    <x v="9"/>
    <x v="2"/>
    <x v="88"/>
    <s v="C00000004"/>
    <x v="3"/>
    <s v="RA Nor 3338W (220Kg)"/>
    <n v="5"/>
    <n v="120"/>
    <n v="120"/>
    <d v="2021-07-21T00:00:00"/>
    <n v="7"/>
    <n v="2021"/>
    <n v="8140"/>
    <n v="-8140"/>
    <n v="0"/>
    <n v="302301.14999999991"/>
    <s v="Chq"/>
    <s v="Chq Cleared 13/9/2021"/>
    <m/>
  </r>
  <r>
    <x v="69"/>
    <x v="9"/>
    <x v="2"/>
    <x v="88"/>
    <s v="C00000004"/>
    <x v="3"/>
    <s v="RA CSM 450 GSM 54kg 64m(L) X 1860mm(W)"/>
    <n v="4"/>
    <n v="120"/>
    <n v="120"/>
    <d v="2021-07-21T00:00:00"/>
    <n v="7"/>
    <n v="2021"/>
    <n v="1641.6"/>
    <n v="-1641.6"/>
    <n v="0"/>
    <n v="303942.74999999988"/>
    <s v="Chq"/>
    <s v="Chq Cleared 13/9/2021"/>
    <m/>
  </r>
  <r>
    <x v="69"/>
    <x v="9"/>
    <x v="2"/>
    <x v="88"/>
    <s v="C00000004"/>
    <x v="3"/>
    <s v="RA CSM 300 GSM 54Kg 96m(L) X 1860mm(W)"/>
    <n v="4"/>
    <n v="120"/>
    <n v="120"/>
    <d v="2021-07-21T00:00:00"/>
    <n v="7"/>
    <n v="2021"/>
    <n v="1641.6"/>
    <n v="-1641.6"/>
    <n v="0"/>
    <n v="305584.34999999986"/>
    <s v="Chq"/>
    <s v="Chq Cleared 13/9/2021"/>
    <m/>
  </r>
  <r>
    <x v="69"/>
    <x v="9"/>
    <x v="2"/>
    <x v="88"/>
    <s v="C00000004"/>
    <x v="3"/>
    <s v="RA Butanox M50 (5kg)"/>
    <n v="4"/>
    <n v="120"/>
    <n v="120"/>
    <d v="2021-07-21T00:00:00"/>
    <n v="7"/>
    <n v="2021"/>
    <n v="380"/>
    <n v="-380"/>
    <n v="0"/>
    <n v="305964.34999999986"/>
    <s v="Chq"/>
    <s v="Chq Cleared 13/9/2021"/>
    <m/>
  </r>
  <r>
    <x v="70"/>
    <x v="9"/>
    <x v="2"/>
    <x v="89"/>
    <s v="C00000009"/>
    <x v="8"/>
    <s v="RA Miracle Gloss Wax"/>
    <n v="2"/>
    <n v="60"/>
    <n v="60"/>
    <d v="2021-05-23T00:00:00"/>
    <n v="5"/>
    <n v="2021"/>
    <n v="90"/>
    <n v="-90"/>
    <n v="0"/>
    <n v="306054.34999999986"/>
    <s v="Chq"/>
    <s v="Chq HL 012137 dd 20/10/21"/>
    <m/>
  </r>
  <r>
    <x v="70"/>
    <x v="9"/>
    <x v="2"/>
    <x v="90"/>
    <s v="C00000010"/>
    <x v="9"/>
    <s v="RA Resin 3338AW (220Kg)"/>
    <n v="5"/>
    <n v="120"/>
    <n v="120"/>
    <d v="2021-07-22T00:00:00"/>
    <n v="7"/>
    <n v="2021"/>
    <n v="8250"/>
    <n v="-8250"/>
    <n v="0"/>
    <n v="314304.34999999986"/>
    <s v="Trsf"/>
    <s v="Trsf 26/7/21"/>
    <m/>
  </r>
  <r>
    <x v="70"/>
    <x v="9"/>
    <x v="2"/>
    <x v="90"/>
    <s v="C00000010"/>
    <x v="9"/>
    <s v="RA CSM 450 30kg 79m(L) X 1040mm(W)"/>
    <n v="5"/>
    <n v="120"/>
    <n v="120"/>
    <d v="2021-07-22T00:00:00"/>
    <n v="7"/>
    <n v="2021"/>
    <n v="1170"/>
    <n v="-1170"/>
    <n v="0"/>
    <n v="315474.34999999986"/>
    <s v="Trsf"/>
    <s v="Trsf 26/7/21"/>
    <m/>
  </r>
  <r>
    <x v="70"/>
    <x v="9"/>
    <x v="2"/>
    <x v="90"/>
    <s v="C00000010"/>
    <x v="9"/>
    <s v="RA Talcum Powder (25kg)"/>
    <n v="5"/>
    <n v="120"/>
    <n v="120"/>
    <d v="2021-07-22T00:00:00"/>
    <n v="7"/>
    <n v="2021"/>
    <n v="275"/>
    <n v="-275"/>
    <n v="0"/>
    <n v="315749.34999999986"/>
    <s v="Trsf"/>
    <s v="Trsf 26/7/21"/>
    <m/>
  </r>
  <r>
    <x v="70"/>
    <x v="9"/>
    <x v="2"/>
    <x v="90"/>
    <s v="C00000010"/>
    <x v="9"/>
    <s v="RA Butanox M50 (5kg)"/>
    <n v="4"/>
    <n v="120"/>
    <n v="120"/>
    <d v="2021-07-22T00:00:00"/>
    <n v="7"/>
    <n v="2021"/>
    <n v="380"/>
    <n v="-380"/>
    <n v="0"/>
    <n v="316129.34999999986"/>
    <s v="Trsf"/>
    <s v="Trsf 26/7/21"/>
    <m/>
  </r>
  <r>
    <x v="71"/>
    <x v="9"/>
    <x v="2"/>
    <x v="91"/>
    <s v="C00000014"/>
    <x v="13"/>
    <s v="RA Gelcoat GP-H (20Kg)"/>
    <n v="1"/>
    <s v="Cash"/>
    <n v="0"/>
    <d v="2021-03-25T00:00:00"/>
    <n v="3"/>
    <n v="2021"/>
    <n v="240"/>
    <n v="-240"/>
    <n v="0"/>
    <n v="316369.34999999986"/>
    <s v="Cash"/>
    <s v="Bank in Cash 18/4/2021"/>
    <m/>
  </r>
  <r>
    <x v="72"/>
    <x v="9"/>
    <x v="2"/>
    <x v="92"/>
    <s v="C00000004"/>
    <x v="3"/>
    <s v="RA Resin 9539NW (225Kg)"/>
    <n v="2"/>
    <n v="120"/>
    <n v="120"/>
    <d v="2021-07-28T00:00:00"/>
    <n v="7"/>
    <n v="2021"/>
    <n v="3510"/>
    <n v="-3510"/>
    <n v="0"/>
    <n v="319879.34999999986"/>
    <s v="Chq"/>
    <s v="Chq Cleared 13/9/2021"/>
    <m/>
  </r>
  <r>
    <x v="73"/>
    <x v="10"/>
    <x v="2"/>
    <x v="93"/>
    <s v="C00000003"/>
    <x v="2"/>
    <s v="RA Resin 3317AW (220Kg)"/>
    <n v="3"/>
    <n v="45"/>
    <n v="45"/>
    <d v="2021-05-16T00:00:00"/>
    <n v="5"/>
    <n v="2021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x v="73"/>
    <x v="10"/>
    <x v="2"/>
    <x v="93"/>
    <s v="C00000003"/>
    <x v="2"/>
    <s v="RA CSM 300 GSM 54Kg 96m(L) X 1860mm(W)"/>
    <n v="1"/>
    <n v="45"/>
    <n v="45"/>
    <d v="2021-05-16T00:00:00"/>
    <n v="5"/>
    <n v="2021"/>
    <n v="459"/>
    <n v="-459"/>
    <n v="0"/>
    <n v="325750.34999999986"/>
    <s v="PD Chq"/>
    <s v="Chq dd 11/6 - RHB 001313 (RM1,521.00), changed new chq RHB 001441 18/9/21"/>
    <m/>
  </r>
  <r>
    <x v="73"/>
    <x v="10"/>
    <x v="2"/>
    <x v="93"/>
    <s v="C00000003"/>
    <x v="2"/>
    <s v="RA Talcum Powder (25Kg)"/>
    <n v="5"/>
    <n v="45"/>
    <n v="45"/>
    <d v="2021-05-16T00:00:00"/>
    <n v="5"/>
    <n v="2021"/>
    <n v="250"/>
    <n v="-250"/>
    <n v="0"/>
    <n v="326000.34999999986"/>
    <s v="PD Chq"/>
    <s v="Chq dd 11/6 - RHB 001313 (RM1,521.00), changed new chq RHB 001441 18/9/21"/>
    <m/>
  </r>
  <r>
    <x v="73"/>
    <x v="10"/>
    <x v="2"/>
    <x v="93"/>
    <s v="C00000003"/>
    <x v="2"/>
    <s v="RA Butanox M50 (5kg)"/>
    <n v="5"/>
    <n v="45"/>
    <n v="45"/>
    <d v="2021-05-16T00:00:00"/>
    <n v="5"/>
    <n v="2021"/>
    <n v="500"/>
    <n v="-500"/>
    <n v="0"/>
    <n v="326500.34999999986"/>
    <s v="PD Chq"/>
    <s v="Chq dd 11/6 - RHB 001313 (RM1,521.00), changed new chq RHB 001441 18/9/21"/>
    <m/>
  </r>
  <r>
    <x v="73"/>
    <x v="10"/>
    <x v="2"/>
    <x v="94"/>
    <s v="C00000003"/>
    <x v="2"/>
    <s v="RA Miracle Gloss Wax"/>
    <n v="2"/>
    <n v="45"/>
    <n v="45"/>
    <d v="2021-05-16T00:00:00"/>
    <n v="5"/>
    <n v="2021"/>
    <n v="90"/>
    <n v="-90"/>
    <n v="0"/>
    <n v="326590.34999999986"/>
    <s v="PD Chq"/>
    <s v="Bank in Cash 18/4/2021"/>
    <m/>
  </r>
  <r>
    <x v="74"/>
    <x v="10"/>
    <x v="2"/>
    <x v="95"/>
    <s v="C00000015"/>
    <x v="14"/>
    <s v="RA Nor 3338W (220Kg)"/>
    <n v="1"/>
    <s v="Cash"/>
    <n v="0"/>
    <d v="2021-04-08T00:00:00"/>
    <n v="4"/>
    <n v="2021"/>
    <n v="1870"/>
    <n v="-1870"/>
    <n v="0"/>
    <n v="328460.34999999986"/>
    <s v="Trsf"/>
    <s v="Trsf 13/4/2021"/>
    <m/>
  </r>
  <r>
    <x v="74"/>
    <x v="10"/>
    <x v="2"/>
    <x v="95"/>
    <s v="C00000015"/>
    <x v="14"/>
    <s v="RA CSM 450 GSM TWL 30kg 64m(L) X 1040mm(W)"/>
    <n v="1"/>
    <s v="Cash"/>
    <n v="0"/>
    <d v="2021-04-08T00:00:00"/>
    <n v="4"/>
    <n v="2021"/>
    <n v="255"/>
    <n v="-255"/>
    <n v="0"/>
    <n v="328715.34999999986"/>
    <s v="Trsf"/>
    <s v="Trsf 13/4/2021"/>
    <m/>
  </r>
  <r>
    <x v="74"/>
    <x v="10"/>
    <x v="2"/>
    <x v="95"/>
    <s v="C00000015"/>
    <x v="14"/>
    <s v="RA Butanox M50 (5kg)"/>
    <n v="1"/>
    <s v="Cash"/>
    <n v="0"/>
    <d v="2021-04-08T00:00:00"/>
    <n v="4"/>
    <n v="2021"/>
    <n v="100"/>
    <n v="-100"/>
    <n v="0"/>
    <n v="328815.34999999986"/>
    <s v="Trsf"/>
    <s v="Trsf 13/4/2021"/>
    <m/>
  </r>
  <r>
    <x v="74"/>
    <x v="10"/>
    <x v="2"/>
    <x v="96"/>
    <s v="C00000010"/>
    <x v="9"/>
    <s v="RA Resin 3338AW (220kg)"/>
    <n v="5"/>
    <n v="120"/>
    <n v="120"/>
    <d v="2021-08-06T00:00:00"/>
    <n v="8"/>
    <n v="2021"/>
    <n v="8690"/>
    <n v="-8690"/>
    <n v="0"/>
    <n v="337505.34999999986"/>
    <s v="Trsf"/>
    <s v="Trsf 17/8/2021"/>
    <m/>
  </r>
  <r>
    <x v="74"/>
    <x v="10"/>
    <x v="2"/>
    <x v="96"/>
    <s v="C00000010"/>
    <x v="9"/>
    <s v="RA CSM 450 GSM JUSHI 37kg 79m(L) X 1040mm(W)"/>
    <n v="6"/>
    <n v="120"/>
    <n v="120"/>
    <d v="2021-08-06T00:00:00"/>
    <n v="8"/>
    <n v="2021"/>
    <n v="1731.6000000000001"/>
    <n v="-1731.6000000000001"/>
    <n v="0"/>
    <n v="339236.94999999984"/>
    <s v="Trsf"/>
    <s v="Trsf 17/8/2021"/>
    <m/>
  </r>
  <r>
    <x v="74"/>
    <x v="10"/>
    <x v="2"/>
    <x v="96"/>
    <s v="C00000010"/>
    <x v="9"/>
    <s v="RA Talcum Powder (25kg)"/>
    <n v="10"/>
    <n v="120"/>
    <n v="120"/>
    <d v="2021-08-06T00:00:00"/>
    <n v="8"/>
    <n v="2021"/>
    <n v="550"/>
    <n v="-550"/>
    <n v="0"/>
    <n v="339786.94999999984"/>
    <s v="Trsf"/>
    <s v="Trsf 17/8/2021"/>
    <m/>
  </r>
  <r>
    <x v="74"/>
    <x v="10"/>
    <x v="2"/>
    <x v="96"/>
    <s v="C00000010"/>
    <x v="9"/>
    <s v="RA Butanox M50 (5kg)"/>
    <n v="2"/>
    <n v="120"/>
    <n v="120"/>
    <d v="2021-08-06T00:00:00"/>
    <n v="8"/>
    <n v="2021"/>
    <n v="190"/>
    <n v="-190"/>
    <n v="0"/>
    <n v="339976.94999999984"/>
    <s v="Trsf"/>
    <s v="Trsf 17/8/2021"/>
    <m/>
  </r>
  <r>
    <x v="74"/>
    <x v="10"/>
    <x v="2"/>
    <x v="96"/>
    <s v="C00000010"/>
    <x v="9"/>
    <s v="RA Aerosil (Silica Fume) (10Kg)"/>
    <n v="2"/>
    <n v="120"/>
    <n v="120"/>
    <d v="2021-08-06T00:00:00"/>
    <n v="8"/>
    <n v="2021"/>
    <n v="720"/>
    <n v="-720"/>
    <n v="0"/>
    <n v="340696.94999999984"/>
    <s v="Trsf"/>
    <s v="Trsf 17/8/2021"/>
    <m/>
  </r>
  <r>
    <x v="74"/>
    <x v="10"/>
    <x v="2"/>
    <x v="96"/>
    <s v="C00000010"/>
    <x v="9"/>
    <s v="RD Paint Brush 3&quot;(12Pc/Ctr)"/>
    <n v="4"/>
    <n v="120"/>
    <n v="120"/>
    <d v="2021-08-06T00:00:00"/>
    <n v="8"/>
    <n v="2021"/>
    <n v="220"/>
    <n v="-220"/>
    <n v="0"/>
    <n v="340916.94999999984"/>
    <s v="Trsf"/>
    <s v="Trsf 17/8/2021"/>
    <m/>
  </r>
  <r>
    <x v="75"/>
    <x v="10"/>
    <x v="2"/>
    <x v="97"/>
    <s v="C00000001"/>
    <x v="0"/>
    <s v="RA Gelcoat GS-S ISO (20Kg)"/>
    <n v="2"/>
    <s v="Cash"/>
    <n v="0"/>
    <d v="2021-04-09T00:00:00"/>
    <n v="4"/>
    <n v="2021"/>
    <n v="520"/>
    <n v="-520"/>
    <n v="0"/>
    <n v="341436.94999999984"/>
    <s v="Trsf"/>
    <s v="Trsf 9/4/21"/>
    <m/>
  </r>
  <r>
    <x v="76"/>
    <x v="10"/>
    <x v="2"/>
    <x v="98"/>
    <s v="C00000009"/>
    <x v="8"/>
    <s v="RA Nor 3338W (220Kg)"/>
    <n v="2"/>
    <n v="60"/>
    <n v="60"/>
    <d v="2021-06-26T00:00:00"/>
    <n v="6"/>
    <n v="2021"/>
    <n v="3476"/>
    <n v="-3476"/>
    <n v="0"/>
    <n v="344912.94999999984"/>
    <s v="Chq"/>
    <s v="HLB 012122, dd101121"/>
    <m/>
  </r>
  <r>
    <x v="76"/>
    <x v="10"/>
    <x v="2"/>
    <x v="98"/>
    <s v="C00000009"/>
    <x v="8"/>
    <s v="RA Nor 3338NW (220Kg)"/>
    <n v="1"/>
    <n v="60"/>
    <n v="60"/>
    <d v="2021-06-26T00:00:00"/>
    <n v="6"/>
    <n v="2021"/>
    <n v="1738"/>
    <n v="-1738"/>
    <n v="0"/>
    <n v="346650.94999999984"/>
    <s v="Chq"/>
    <s v="HLB 012122, dd101121"/>
    <m/>
  </r>
  <r>
    <x v="76"/>
    <x v="10"/>
    <x v="2"/>
    <x v="98"/>
    <s v="C00000009"/>
    <x v="8"/>
    <s v="RA CSM 450 GSM 54kg 64m(L) X 1860mm(W)"/>
    <n v="5"/>
    <n v="60"/>
    <n v="60"/>
    <d v="2021-06-26T00:00:00"/>
    <n v="6"/>
    <n v="2021"/>
    <n v="2268"/>
    <n v="-2268"/>
    <n v="0"/>
    <n v="348918.94999999984"/>
    <s v="Chq"/>
    <s v="HLB 012122, dd101121"/>
    <m/>
  </r>
  <r>
    <x v="77"/>
    <x v="10"/>
    <x v="2"/>
    <x v="99"/>
    <s v="C00000010"/>
    <x v="9"/>
    <s v="RA Resin 3338AW (220kg)"/>
    <n v="5"/>
    <n v="120"/>
    <n v="120"/>
    <d v="2021-08-27T00:00:00"/>
    <n v="8"/>
    <n v="2021"/>
    <n v="8690"/>
    <n v="-8690"/>
    <n v="0"/>
    <n v="357608.94999999984"/>
    <s v="Trsf"/>
    <s v="Trsf 17/8/2021"/>
    <m/>
  </r>
  <r>
    <x v="77"/>
    <x v="10"/>
    <x v="2"/>
    <x v="99"/>
    <s v="C00000010"/>
    <x v="9"/>
    <s v="RA CSM 450 30kg 79m(L) X 1040mm(W)"/>
    <n v="5"/>
    <n v="120"/>
    <n v="120"/>
    <d v="2021-08-27T00:00:00"/>
    <n v="8"/>
    <n v="2021"/>
    <n v="1230"/>
    <n v="-1230"/>
    <n v="0"/>
    <n v="358838.94999999984"/>
    <s v="Trsf"/>
    <s v="Trsf 17/8/2021"/>
    <m/>
  </r>
  <r>
    <x v="77"/>
    <x v="10"/>
    <x v="2"/>
    <x v="99"/>
    <s v="C00000010"/>
    <x v="9"/>
    <s v="RA Talcum Powder (25kg)"/>
    <n v="10"/>
    <n v="120"/>
    <n v="120"/>
    <d v="2021-08-27T00:00:00"/>
    <n v="8"/>
    <n v="2021"/>
    <n v="550"/>
    <n v="-550"/>
    <n v="0"/>
    <n v="359388.94999999984"/>
    <s v="Trsf"/>
    <s v="Trsf 17/8/2021"/>
    <m/>
  </r>
  <r>
    <x v="77"/>
    <x v="10"/>
    <x v="2"/>
    <x v="99"/>
    <s v="C00000010"/>
    <x v="9"/>
    <s v="RA Butanox M50 (5kg)"/>
    <n v="4"/>
    <n v="120"/>
    <n v="120"/>
    <d v="2021-08-27T00:00:00"/>
    <n v="8"/>
    <n v="2021"/>
    <n v="380"/>
    <n v="-380"/>
    <n v="0"/>
    <n v="359768.94999999984"/>
    <s v="Trsf"/>
    <s v="Trsf 17/8/2021"/>
    <m/>
  </r>
  <r>
    <x v="77"/>
    <x v="10"/>
    <x v="2"/>
    <x v="99"/>
    <s v="C00000010"/>
    <x v="9"/>
    <s v="RA Aerosil (Silica Fume) (10Kg)"/>
    <n v="1"/>
    <n v="120"/>
    <n v="120"/>
    <d v="2021-08-27T00:00:00"/>
    <n v="8"/>
    <n v="2021"/>
    <n v="360"/>
    <n v="-360"/>
    <n v="0"/>
    <n v="360128.94999999984"/>
    <s v="Trsf"/>
    <s v="Trsf 17/8/2021"/>
    <m/>
  </r>
  <r>
    <x v="77"/>
    <x v="10"/>
    <x v="2"/>
    <x v="99"/>
    <s v="C00000010"/>
    <x v="9"/>
    <s v="RH Bosny Wax (15kg)"/>
    <n v="1"/>
    <n v="120"/>
    <n v="120"/>
    <d v="2021-08-27T00:00:00"/>
    <n v="8"/>
    <n v="2021"/>
    <n v="375"/>
    <n v="-554.4"/>
    <n v="-179.39999999999998"/>
    <n v="360503.94999999984"/>
    <s v="Trsf"/>
    <s v="Trsf 17/8/2021, overpayment 179.40"/>
    <m/>
  </r>
  <r>
    <x v="78"/>
    <x v="11"/>
    <x v="2"/>
    <x v="100"/>
    <s v="C00000004"/>
    <x v="3"/>
    <s v="RA Nor 3338W (220Kg)"/>
    <n v="5"/>
    <n v="120"/>
    <n v="120"/>
    <d v="2021-08-31T00:00:00"/>
    <n v="8"/>
    <n v="2021"/>
    <n v="8690"/>
    <n v="-8690"/>
    <n v="0"/>
    <n v="369193.94999999984"/>
    <s v="Chq"/>
    <s v="Chq 008127, cleared 22/11/21"/>
    <m/>
  </r>
  <r>
    <x v="78"/>
    <x v="11"/>
    <x v="2"/>
    <x v="100"/>
    <s v="C00000004"/>
    <x v="3"/>
    <s v="RF Nor 3338NW (220Kg)"/>
    <n v="1"/>
    <n v="120"/>
    <n v="120"/>
    <d v="2021-08-31T00:00:00"/>
    <n v="8"/>
    <n v="2021"/>
    <n v="1716"/>
    <n v="-1716"/>
    <n v="0"/>
    <n v="370909.94999999984"/>
    <s v="Chq"/>
    <s v="Chq 008127, cleared 22/11/21"/>
    <m/>
  </r>
  <r>
    <x v="78"/>
    <x v="11"/>
    <x v="2"/>
    <x v="100"/>
    <s v="C00000004"/>
    <x v="3"/>
    <s v="RG CSM 450 GSM 54kg 64m(L) X 1860mm(W)"/>
    <n v="4"/>
    <n v="120"/>
    <n v="120"/>
    <d v="2021-08-31T00:00:00"/>
    <n v="8"/>
    <n v="2021"/>
    <n v="1814.4"/>
    <n v="-1814.4"/>
    <n v="0"/>
    <n v="372724.34999999986"/>
    <s v="Chq"/>
    <s v="Chq 008127, cleared 22/11/21"/>
    <m/>
  </r>
  <r>
    <x v="78"/>
    <x v="11"/>
    <x v="2"/>
    <x v="100"/>
    <s v="C00000004"/>
    <x v="3"/>
    <s v="RA CSM 300 GSM 54Kg 96m(L) X 1860mm(W)"/>
    <n v="4"/>
    <n v="120"/>
    <n v="120"/>
    <d v="2021-08-31T00:00:00"/>
    <n v="8"/>
    <n v="2021"/>
    <n v="1814.4"/>
    <n v="-1814.4"/>
    <n v="0"/>
    <n v="374538.74999999988"/>
    <s v="Chq"/>
    <s v="Chq 008127, cleared 22/11/21"/>
    <m/>
  </r>
  <r>
    <x v="79"/>
    <x v="11"/>
    <x v="2"/>
    <x v="101"/>
    <s v="C00000005"/>
    <x v="4"/>
    <s v="RA Resin 3317AW (220Kg)"/>
    <n v="1"/>
    <s v="Cash"/>
    <n v="0"/>
    <d v="2021-05-06T00:00:00"/>
    <n v="5"/>
    <n v="2021"/>
    <n v="1826"/>
    <n v="-1826"/>
    <n v="0"/>
    <n v="376364.74999999988"/>
    <s v="Chq"/>
    <s v="Chq CIMB 000077 8/5/21, Banked in 17/5/21"/>
    <m/>
  </r>
  <r>
    <x v="79"/>
    <x v="11"/>
    <x v="2"/>
    <x v="101"/>
    <s v="C00000005"/>
    <x v="4"/>
    <s v="Mould Released"/>
    <n v="1"/>
    <s v="Cash"/>
    <n v="0"/>
    <d v="2021-05-06T00:00:00"/>
    <n v="5"/>
    <n v="2021"/>
    <n v="50"/>
    <n v="-50"/>
    <n v="0"/>
    <n v="376414.74999999988"/>
    <s v="Chq"/>
    <s v="Chq CIMB 000077 8/5/21, Banked in 17/5/21"/>
    <m/>
  </r>
  <r>
    <x v="80"/>
    <x v="11"/>
    <x v="2"/>
    <x v="102"/>
    <s v="C00000001"/>
    <x v="0"/>
    <s v="RA Resin 3317AW (220Kg)"/>
    <n v="1"/>
    <s v="Cash"/>
    <n v="0"/>
    <d v="2021-05-07T00:00:00"/>
    <n v="5"/>
    <n v="2021"/>
    <n v="1826"/>
    <n v="-1826"/>
    <n v="0"/>
    <n v="378240.74999999988"/>
    <s v="Trsf"/>
    <s v="Trsf 8/5/2021"/>
    <m/>
  </r>
  <r>
    <x v="80"/>
    <x v="11"/>
    <x v="2"/>
    <x v="102"/>
    <s v="C00000001"/>
    <x v="0"/>
    <s v="RA CSM 450 GSM TWL 30kg 64m(L) X 1040mm(W)"/>
    <n v="4"/>
    <s v="Cash"/>
    <n v="0"/>
    <d v="2021-05-07T00:00:00"/>
    <n v="5"/>
    <n v="2021"/>
    <n v="1020"/>
    <n v="-1020"/>
    <n v="0"/>
    <n v="379260.74999999988"/>
    <s v="Trsf"/>
    <s v="Trsf 8/5/2021"/>
    <m/>
  </r>
  <r>
    <x v="81"/>
    <x v="11"/>
    <x v="2"/>
    <x v="103"/>
    <s v="C00000005"/>
    <x v="4"/>
    <s v="RA Resin 3317AW (220Kg)"/>
    <n v="1"/>
    <s v="Cash"/>
    <n v="0"/>
    <d v="2021-05-19T00:00:00"/>
    <n v="5"/>
    <n v="2021"/>
    <n v="1826"/>
    <n v="-1826"/>
    <n v="0"/>
    <n v="381086.74999999988"/>
    <s v="Chq"/>
    <s v="Chq CIMB 000079 18/5/21, Banked in 20/5/21"/>
    <m/>
  </r>
  <r>
    <x v="82"/>
    <x v="11"/>
    <x v="2"/>
    <x v="104"/>
    <s v="C00000003"/>
    <x v="2"/>
    <s v="RA Resin 3317AW (220Kg)"/>
    <n v="3"/>
    <n v="45"/>
    <n v="45"/>
    <d v="2021-07-05T00:00:00"/>
    <n v="5"/>
    <n v="2021"/>
    <n v="5610"/>
    <n v="-5610"/>
    <n v="0"/>
    <n v="386696.74999999988"/>
    <s v="PD Chq"/>
    <s v="13, 23, 27/6 &amp; 11/7 - RHB 001402, 4, 5 &amp; 6 (1,350.00, 3X1,700.00)"/>
    <m/>
  </r>
  <r>
    <x v="82"/>
    <x v="11"/>
    <x v="2"/>
    <x v="104"/>
    <s v="C00000003"/>
    <x v="2"/>
    <s v="RA Talcum Powder (25Kg)"/>
    <n v="5"/>
    <n v="45"/>
    <n v="45"/>
    <d v="2021-07-05T00:00:00"/>
    <n v="5"/>
    <n v="2021"/>
    <n v="250"/>
    <n v="-250"/>
    <n v="0"/>
    <n v="386946.74999999988"/>
    <s v="PD Chq"/>
    <s v="13, 23, 27/6 &amp; 11/7 - RHB 001402, 4, 5 &amp; 6 (1,350.00, 3X1,700.00)"/>
    <m/>
  </r>
  <r>
    <x v="82"/>
    <x v="11"/>
    <x v="2"/>
    <x v="104"/>
    <s v="C00000003"/>
    <x v="2"/>
    <s v="RA Butanox M50 (5kg)"/>
    <n v="5"/>
    <n v="45"/>
    <n v="45"/>
    <d v="2021-07-05T00:00:00"/>
    <n v="5"/>
    <n v="2021"/>
    <n v="500"/>
    <n v="-500"/>
    <n v="0"/>
    <n v="387446.74999999988"/>
    <s v="PD Chq"/>
    <s v="13, 23, 27/6 &amp; 11/7 - RHB 001402, 4, 5 &amp; 6 (1,350.00, 3X1,700.00)"/>
    <m/>
  </r>
  <r>
    <x v="82"/>
    <x v="11"/>
    <x v="2"/>
    <x v="104"/>
    <s v="C00000003"/>
    <x v="2"/>
    <s v="RA Miracle Gloss Wax"/>
    <n v="2"/>
    <n v="45"/>
    <n v="45"/>
    <d v="2021-07-05T00:00:00"/>
    <n v="5"/>
    <n v="2021"/>
    <n v="90"/>
    <n v="-90"/>
    <n v="0"/>
    <n v="387536.74999999988"/>
    <s v="PD Chq"/>
    <s v="13, 23, 27/6 &amp; 11/7 - RHB 001402, 4, 5 &amp; 6 (1,350.00, 3X1,700.00)"/>
    <m/>
  </r>
  <r>
    <x v="83"/>
    <x v="11"/>
    <x v="2"/>
    <x v="105"/>
    <s v="C00000013"/>
    <x v="12"/>
    <s v="RA CSM 450 GSM 54kg 64m(L) X 1860mm(W)"/>
    <n v="1"/>
    <s v="Cash"/>
    <n v="0"/>
    <d v="2021-05-25T00:00:00"/>
    <n v="5"/>
    <n v="2021"/>
    <n v="459"/>
    <n v="-459"/>
    <n v="0"/>
    <n v="387995.74999999988"/>
    <s v="Chq"/>
    <s v="Trsf 21 &amp; 22/5/2021"/>
    <m/>
  </r>
  <r>
    <x v="83"/>
    <x v="11"/>
    <x v="2"/>
    <x v="105"/>
    <s v="C00000013"/>
    <x v="12"/>
    <s v="RA CSM 300 GSM 54Kg 96m(L) X 1860mm(W)"/>
    <n v="1"/>
    <s v="Cash"/>
    <n v="0"/>
    <d v="2021-05-25T00:00:00"/>
    <n v="5"/>
    <n v="2021"/>
    <n v="459"/>
    <n v="-459"/>
    <n v="0"/>
    <n v="388454.74999999988"/>
    <s v="Chq"/>
    <s v="Trsf 21 &amp; 22/5/2021"/>
    <m/>
  </r>
  <r>
    <x v="83"/>
    <x v="11"/>
    <x v="2"/>
    <x v="105"/>
    <s v="C00000013"/>
    <x v="12"/>
    <s v="RA Butanox M50 (5Kg)"/>
    <n v="1"/>
    <s v="Cash"/>
    <n v="0"/>
    <d v="2021-05-25T00:00:00"/>
    <n v="5"/>
    <n v="2021"/>
    <n v="100"/>
    <n v="-100"/>
    <n v="0"/>
    <n v="388554.74999999988"/>
    <s v="Chq"/>
    <s v="Trsf 21 &amp; 22/5/2021"/>
    <m/>
  </r>
  <r>
    <x v="83"/>
    <x v="11"/>
    <x v="2"/>
    <x v="105"/>
    <s v="C00000013"/>
    <x v="12"/>
    <s v="RE Frekote 770NC (1 Gallon)"/>
    <n v="1"/>
    <s v="Cash"/>
    <n v="0"/>
    <d v="2021-05-25T00:00:00"/>
    <n v="5"/>
    <n v="2021"/>
    <n v="380"/>
    <n v="-380"/>
    <n v="0"/>
    <n v="388934.74999999988"/>
    <s v="Chq"/>
    <s v="Trsf 21 &amp; 22/5/2021"/>
    <m/>
  </r>
  <r>
    <x v="83"/>
    <x v="11"/>
    <x v="2"/>
    <x v="105"/>
    <s v="C00000013"/>
    <x v="12"/>
    <s v="RA Gelcoat GP-H (20Kg)"/>
    <n v="1"/>
    <s v="Cash"/>
    <n v="0"/>
    <d v="2021-05-25T00:00:00"/>
    <n v="5"/>
    <n v="2021"/>
    <n v="246"/>
    <n v="-246"/>
    <n v="0"/>
    <n v="389180.74999999988"/>
    <s v="Chq"/>
    <s v="Trsf 21 &amp; 22/5/2021"/>
    <m/>
  </r>
  <r>
    <x v="83"/>
    <x v="11"/>
    <x v="2"/>
    <x v="105"/>
    <s v="C00000013"/>
    <x v="12"/>
    <s v="RA Miracle Gloss Wax"/>
    <n v="2"/>
    <s v="Cash"/>
    <n v="0"/>
    <d v="2021-05-25T00:00:00"/>
    <n v="5"/>
    <n v="2021"/>
    <n v="90"/>
    <n v="-90"/>
    <n v="0"/>
    <n v="389270.74999999988"/>
    <s v="Chq"/>
    <s v="Trsf 21 &amp; 22/5/2021"/>
    <m/>
  </r>
  <r>
    <x v="83"/>
    <x v="11"/>
    <x v="2"/>
    <x v="105"/>
    <s v="C00000013"/>
    <x v="12"/>
    <s v="RD Steel Roller 4&quot;"/>
    <n v="1"/>
    <s v="Cash"/>
    <n v="0"/>
    <d v="2021-05-25T00:00:00"/>
    <n v="5"/>
    <n v="2021"/>
    <n v="68"/>
    <n v="-68"/>
    <n v="0"/>
    <n v="389338.74999999988"/>
    <s v="Chq"/>
    <s v="Trsf 21 &amp; 22/5/2021"/>
    <m/>
  </r>
  <r>
    <x v="83"/>
    <x v="11"/>
    <x v="2"/>
    <x v="105"/>
    <s v="C00000013"/>
    <x v="12"/>
    <s v="RD Steel Roller 3&quot;"/>
    <n v="2"/>
    <s v="Cash"/>
    <n v="0"/>
    <d v="2021-05-25T00:00:00"/>
    <n v="5"/>
    <n v="2021"/>
    <n v="130"/>
    <n v="-130"/>
    <n v="0"/>
    <n v="389468.74999999988"/>
    <s v="Chq"/>
    <s v="Trsf 21 &amp; 22/5/2021"/>
    <m/>
  </r>
  <r>
    <x v="83"/>
    <x v="11"/>
    <x v="2"/>
    <x v="105"/>
    <s v="C00000013"/>
    <x v="12"/>
    <s v="RD Brush 1.1/2 (12 PC)"/>
    <n v="1"/>
    <s v="Cash"/>
    <n v="0"/>
    <d v="2021-05-25T00:00:00"/>
    <n v="5"/>
    <n v="2021"/>
    <n v="42"/>
    <n v="-42"/>
    <n v="0"/>
    <n v="389510.74999999988"/>
    <s v="Chq"/>
    <s v="Trsf 21 &amp; 22/5/2021"/>
    <m/>
  </r>
  <r>
    <x v="83"/>
    <x v="11"/>
    <x v="2"/>
    <x v="105"/>
    <s v="C00000013"/>
    <x v="12"/>
    <s v="RD Brush 3&quot; (12 PC)"/>
    <n v="1"/>
    <s v="Cash"/>
    <n v="0"/>
    <d v="2021-05-25T00:00:00"/>
    <n v="5"/>
    <n v="2021"/>
    <n v="60"/>
    <n v="-60"/>
    <n v="0"/>
    <n v="389570.74999999988"/>
    <s v="Chq"/>
    <s v="Trsf 21 &amp; 22/5/2021"/>
    <m/>
  </r>
  <r>
    <x v="83"/>
    <x v="11"/>
    <x v="2"/>
    <x v="105"/>
    <s v="C00000013"/>
    <x v="12"/>
    <s v="RA Resin 3317AW (220Kg)"/>
    <n v="1"/>
    <s v="Cash"/>
    <n v="0"/>
    <d v="2021-05-25T00:00:00"/>
    <n v="5"/>
    <n v="2021"/>
    <n v="1870"/>
    <n v="-1870"/>
    <n v="0"/>
    <n v="391440.74999999988"/>
    <s v="Chq"/>
    <s v="Trsf 21 &amp; 22/5/2021"/>
    <m/>
  </r>
  <r>
    <x v="83"/>
    <x v="11"/>
    <x v="2"/>
    <x v="105"/>
    <s v="C00000013"/>
    <x v="12"/>
    <s v="RA Talcum Powder (25kg)"/>
    <n v="1"/>
    <s v="Cash"/>
    <n v="0"/>
    <d v="2021-05-25T00:00:00"/>
    <n v="5"/>
    <n v="2021"/>
    <n v="55"/>
    <n v="-55"/>
    <n v="0"/>
    <n v="391495.74999999988"/>
    <s v="Chq"/>
    <s v="Trsf 21 &amp; 22/5/2021"/>
    <m/>
  </r>
  <r>
    <x v="83"/>
    <x v="11"/>
    <x v="2"/>
    <x v="106"/>
    <s v="C00000005"/>
    <x v="4"/>
    <s v="RA Butanox M50 (5Kg)"/>
    <n v="1"/>
    <s v="Cash"/>
    <n v="0"/>
    <d v="2021-05-25T00:00:00"/>
    <n v="5"/>
    <n v="2021"/>
    <n v="100"/>
    <n v="-100"/>
    <n v="0"/>
    <n v="391595.74999999988"/>
    <s v="Chq"/>
    <s v="Bank in Cash 27/5/2021"/>
    <m/>
  </r>
  <r>
    <x v="84"/>
    <x v="1"/>
    <x v="2"/>
    <x v="107"/>
    <s v="C00000010"/>
    <x v="9"/>
    <s v="RA Resin 3338AW (220kg)"/>
    <n v="4"/>
    <n v="120"/>
    <n v="120"/>
    <d v="2021-09-29T00:00:00"/>
    <n v="9"/>
    <n v="2021"/>
    <n v="6952"/>
    <n v="-6952"/>
    <n v="0"/>
    <n v="398547.74999999988"/>
    <s v="Trsf"/>
    <s v="Trsf 20/10/2021"/>
    <m/>
  </r>
  <r>
    <x v="84"/>
    <x v="1"/>
    <x v="2"/>
    <x v="108"/>
    <s v="C00000009"/>
    <x v="8"/>
    <s v="RA CSM 450 TWL 60kg 64m(L) X 2080mm(W)"/>
    <n v="3"/>
    <n v="60"/>
    <n v="60"/>
    <d v="2021-06-26T00:00:00"/>
    <n v="6"/>
    <n v="2021"/>
    <n v="1530"/>
    <n v="-1530"/>
    <n v="0"/>
    <n v="400077.74999999988"/>
    <s v="Chq"/>
    <s v="HLB 012142, cleared20/12/21"/>
    <m/>
  </r>
  <r>
    <x v="84"/>
    <x v="1"/>
    <x v="2"/>
    <x v="108"/>
    <s v="C00000009"/>
    <x v="8"/>
    <s v="RA CSM 300 GSM 54kg 64m(L) X 1860mm(W)"/>
    <n v="5"/>
    <n v="60"/>
    <n v="60"/>
    <d v="2021-06-26T00:00:00"/>
    <n v="6"/>
    <n v="2021"/>
    <n v="2295"/>
    <n v="-2295"/>
    <n v="0"/>
    <n v="402372.74999999988"/>
    <s v="Chq"/>
    <s v="HLB 012142, cleared20/12/21"/>
    <m/>
  </r>
  <r>
    <x v="84"/>
    <x v="1"/>
    <x v="2"/>
    <x v="109"/>
    <s v="C00000009"/>
    <x v="8"/>
    <s v="RA Gelcoat GP-H (20kg)"/>
    <n v="3"/>
    <n v="60"/>
    <n v="60"/>
    <d v="2021-06-26T00:00:00"/>
    <n v="6"/>
    <n v="2021"/>
    <n v="690"/>
    <n v="-690"/>
    <n v="0"/>
    <n v="403062.74999999988"/>
    <s v="Chq"/>
    <s v="HLB 012142, cleared20/12/21"/>
    <m/>
  </r>
  <r>
    <x v="84"/>
    <x v="1"/>
    <x v="2"/>
    <x v="110"/>
    <s v="C00000010"/>
    <x v="9"/>
    <s v="RA Talcum Powder (25kg)"/>
    <n v="10"/>
    <n v="120"/>
    <n v="120"/>
    <d v="2021-09-29T00:00:00"/>
    <n v="9"/>
    <n v="2021"/>
    <n v="550"/>
    <n v="-550"/>
    <n v="0"/>
    <n v="403612.74999999988"/>
    <s v="Trsf"/>
    <s v="Trsf 20/10/2021"/>
    <m/>
  </r>
  <r>
    <x v="84"/>
    <x v="1"/>
    <x v="2"/>
    <x v="110"/>
    <s v="C00000010"/>
    <x v="9"/>
    <s v="RA Butanox M50 (5kg)"/>
    <n v="4"/>
    <n v="120"/>
    <n v="120"/>
    <d v="2021-09-29T00:00:00"/>
    <n v="9"/>
    <n v="2021"/>
    <n v="380"/>
    <n v="-380"/>
    <n v="0"/>
    <n v="403992.74999999988"/>
    <s v="Trsf"/>
    <s v="Trsf 20/10/2021"/>
    <m/>
  </r>
  <r>
    <x v="85"/>
    <x v="4"/>
    <x v="2"/>
    <x v="111"/>
    <s v="C00000017"/>
    <x v="16"/>
    <s v="RA Resin (25kg)"/>
    <n v="2"/>
    <s v="Cash"/>
    <n v="0"/>
    <d v="2021-09-01T00:00:00"/>
    <n v="9"/>
    <n v="2021"/>
    <n v="600"/>
    <n v="-600"/>
    <n v="0"/>
    <n v="404592.74999999988"/>
    <s v="Trsf"/>
    <s v="Advance payment 26/7/2021"/>
    <m/>
  </r>
  <r>
    <x v="85"/>
    <x v="4"/>
    <x v="2"/>
    <x v="111"/>
    <s v="C00000017"/>
    <x v="16"/>
    <s v="RA CSM 450 GSM TWL 30kg 64m(L) X 1040mm(W)"/>
    <n v="1"/>
    <s v="Cash"/>
    <n v="0"/>
    <d v="2021-09-01T00:00:00"/>
    <n v="9"/>
    <n v="2021"/>
    <n v="255"/>
    <n v="-255"/>
    <n v="0"/>
    <n v="404847.74999999988"/>
    <s v="Trsf"/>
    <s v="Advance payment 26/7/2021"/>
    <m/>
  </r>
  <r>
    <x v="85"/>
    <x v="4"/>
    <x v="2"/>
    <x v="112"/>
    <s v="C00000005"/>
    <x v="4"/>
    <s v="RA Resin 3317AW (220Kg)"/>
    <n v="1"/>
    <s v="Cash"/>
    <n v="0"/>
    <d v="2021-09-01T00:00:00"/>
    <n v="9"/>
    <n v="2021"/>
    <n v="1826"/>
    <n v="-1826"/>
    <n v="0"/>
    <n v="406673.74999999988"/>
    <s v="Chq"/>
    <s v="Advance payment 20/8/2021"/>
    <m/>
  </r>
  <r>
    <x v="85"/>
    <x v="4"/>
    <x v="2"/>
    <x v="113"/>
    <s v="C00000005"/>
    <x v="4"/>
    <s v="RA Resin 3317AW (220Kg)"/>
    <n v="1"/>
    <s v="Cash"/>
    <n v="0"/>
    <d v="2021-09-01T00:00:00"/>
    <n v="9"/>
    <n v="2021"/>
    <n v="1826"/>
    <n v="-1826"/>
    <n v="0"/>
    <n v="408499.74999999988"/>
    <s v="Chq"/>
    <s v="Advance payment 9/9/2021"/>
    <m/>
  </r>
  <r>
    <x v="85"/>
    <x v="4"/>
    <x v="2"/>
    <x v="113"/>
    <s v="C00000005"/>
    <x v="4"/>
    <s v="RA Butanox M50 (5kg)"/>
    <n v="1"/>
    <s v="Cash"/>
    <n v="0"/>
    <d v="2021-09-01T00:00:00"/>
    <n v="9"/>
    <n v="2021"/>
    <n v="100"/>
    <n v="-100"/>
    <n v="0"/>
    <n v="408599.74999999988"/>
    <s v="Chq"/>
    <s v="Advance payment 9/9/2021"/>
    <m/>
  </r>
  <r>
    <x v="85"/>
    <x v="4"/>
    <x v="2"/>
    <x v="114"/>
    <s v="C00000004"/>
    <x v="3"/>
    <s v="RA CSM 450 TWL 60kg 64m(L) X 2080mm(W)"/>
    <n v="4"/>
    <n v="120"/>
    <n v="120"/>
    <d v="2021-12-30T00:00:00"/>
    <n v="12"/>
    <n v="2021"/>
    <n v="2016"/>
    <n v="-2016"/>
    <n v="0"/>
    <n v="410615.74999999988"/>
    <s v="Chq"/>
    <s v="Chq HLB009259 dd 170122"/>
    <m/>
  </r>
  <r>
    <x v="85"/>
    <x v="4"/>
    <x v="2"/>
    <x v="114"/>
    <s v="C00000004"/>
    <x v="3"/>
    <s v="RA CSM 300 GSM 54kg 64m(L) X 1860mm(W)"/>
    <n v="4"/>
    <n v="120"/>
    <n v="120"/>
    <d v="2021-12-30T00:00:00"/>
    <n v="12"/>
    <n v="2021"/>
    <n v="1814.4"/>
    <n v="-1814.4"/>
    <n v="0"/>
    <n v="412430.14999999991"/>
    <s v="Chq"/>
    <s v="Chq HLB009259 dd 170122"/>
    <m/>
  </r>
  <r>
    <x v="85"/>
    <x v="4"/>
    <x v="2"/>
    <x v="115"/>
    <s v="C00000002"/>
    <x v="1"/>
    <s v="RA Resin 3338AW (220kg)"/>
    <n v="2"/>
    <s v="Cash"/>
    <n v="0"/>
    <d v="2021-09-01T00:00:00"/>
    <n v="9"/>
    <n v="2021"/>
    <n v="3432"/>
    <n v="-3432"/>
    <n v="0"/>
    <n v="415862.14999999991"/>
    <s v="Chq"/>
    <s v="Chq 494585,  Cleared 13/10/21"/>
    <m/>
  </r>
  <r>
    <x v="86"/>
    <x v="4"/>
    <x v="2"/>
    <x v="116"/>
    <s v="C00000003"/>
    <x v="2"/>
    <s v="RA Resin 3317AW (220Kg)"/>
    <n v="3"/>
    <n v="45"/>
    <n v="45"/>
    <d v="2021-10-29T00:00:00"/>
    <n v="10"/>
    <n v="2021"/>
    <n v="5610"/>
    <n v="-5610"/>
    <n v="0"/>
    <n v="421472.14999999991"/>
    <s v="PD Chq"/>
    <s v="30/10/2021 RHB 001446 RM1,400.00, Chq cleared on 1/11/2021"/>
    <m/>
  </r>
  <r>
    <x v="86"/>
    <x v="4"/>
    <x v="2"/>
    <x v="116"/>
    <s v="C00000003"/>
    <x v="2"/>
    <s v="RA Talcum Powder (25Kg)"/>
    <n v="4"/>
    <n v="45"/>
    <n v="45"/>
    <d v="2021-10-29T00:00:00"/>
    <n v="10"/>
    <n v="2021"/>
    <n v="200"/>
    <n v="-200"/>
    <n v="0"/>
    <n v="421672.14999999991"/>
    <s v="PD Chq"/>
    <s v="13/11/2021 RHB 001447 RM1,400.00, Chq cleared on 15/11/21"/>
    <m/>
  </r>
  <r>
    <x v="86"/>
    <x v="4"/>
    <x v="2"/>
    <x v="116"/>
    <s v="C00000003"/>
    <x v="2"/>
    <s v="RA Butanox M50 (5kg)"/>
    <n v="6"/>
    <n v="45"/>
    <n v="45"/>
    <d v="2021-10-29T00:00:00"/>
    <n v="10"/>
    <n v="2021"/>
    <n v="600"/>
    <n v="-600"/>
    <n v="0"/>
    <n v="422272.14999999991"/>
    <s v="PD Chq"/>
    <s v="20/11/2021 RHB 001448 RM1,400.00, Chq cleared on 22/11/21"/>
    <m/>
  </r>
  <r>
    <x v="86"/>
    <x v="4"/>
    <x v="2"/>
    <x v="116"/>
    <s v="C00000003"/>
    <x v="2"/>
    <s v="RA Miracle Gloss Wax"/>
    <n v="1"/>
    <n v="45"/>
    <n v="45"/>
    <d v="2021-10-29T00:00:00"/>
    <n v="10"/>
    <n v="2021"/>
    <n v="45"/>
    <n v="-45"/>
    <n v="0"/>
    <n v="422317.14999999991"/>
    <s v="PD Chq"/>
    <s v="27/11/2021 RHB 001449 RM1,400.00, Chq cleared on 30/11/21"/>
    <m/>
  </r>
  <r>
    <x v="86"/>
    <x v="4"/>
    <x v="2"/>
    <x v="116"/>
    <s v="C00000003"/>
    <x v="2"/>
    <s v="RA CSM 300 GSM 54Kg 96m(L) X 1860mm(W)"/>
    <n v="1"/>
    <n v="45"/>
    <n v="45"/>
    <d v="2021-10-29T00:00:00"/>
    <n v="10"/>
    <n v="2021"/>
    <n v="459"/>
    <n v="-459"/>
    <n v="0"/>
    <n v="422776.14999999991"/>
    <s v="PD Chq"/>
    <s v="30/11/2021 RHB 001450 RM1,314.00, Chq cleared on 30/11/21"/>
    <m/>
  </r>
  <r>
    <x v="86"/>
    <x v="4"/>
    <x v="2"/>
    <x v="117"/>
    <s v="C00000010"/>
    <x v="9"/>
    <s v="RA Resin 3338AW (220kg)"/>
    <n v="6"/>
    <n v="120"/>
    <n v="120"/>
    <d v="2022-01-12T00:00:00"/>
    <n v="1"/>
    <n v="2022"/>
    <n v="10428"/>
    <n v="-10428"/>
    <n v="0"/>
    <n v="433204.14999999991"/>
    <s v="Trsf"/>
    <s v="Trsf 13/12/2021"/>
    <m/>
  </r>
  <r>
    <x v="86"/>
    <x v="4"/>
    <x v="2"/>
    <x v="117"/>
    <s v="C00000010"/>
    <x v="9"/>
    <s v="RA CSM 450 30kg 79m(L) X 1040mm(W)"/>
    <n v="10"/>
    <n v="120"/>
    <n v="120"/>
    <d v="2022-01-12T00:00:00"/>
    <n v="1"/>
    <n v="2022"/>
    <n v="2550"/>
    <n v="-2550"/>
    <n v="0"/>
    <n v="435754.14999999991"/>
    <s v="Trsf"/>
    <s v="Trsf 13/12/2021"/>
    <m/>
  </r>
  <r>
    <x v="86"/>
    <x v="4"/>
    <x v="2"/>
    <x v="117"/>
    <s v="C00000010"/>
    <x v="9"/>
    <s v="RA Talcum Powder (25kg)"/>
    <n v="10"/>
    <n v="120"/>
    <n v="120"/>
    <d v="2022-01-12T00:00:00"/>
    <n v="1"/>
    <n v="2022"/>
    <n v="550"/>
    <n v="-550"/>
    <n v="0"/>
    <n v="436304.14999999991"/>
    <s v="Trsf"/>
    <s v="Trsf 13/12/2021"/>
    <m/>
  </r>
  <r>
    <x v="86"/>
    <x v="4"/>
    <x v="2"/>
    <x v="117"/>
    <s v="C00000010"/>
    <x v="9"/>
    <s v="RA Mepoxe M (5kg)"/>
    <n v="4"/>
    <n v="120"/>
    <n v="120"/>
    <d v="2022-01-12T00:00:00"/>
    <n v="1"/>
    <n v="2022"/>
    <n v="320"/>
    <n v="-320"/>
    <n v="0"/>
    <n v="436624.14999999991"/>
    <s v="Trsf"/>
    <s v="Trsf 13/12/2021"/>
    <m/>
  </r>
  <r>
    <x v="86"/>
    <x v="4"/>
    <x v="2"/>
    <x v="117"/>
    <s v="C00000010"/>
    <x v="9"/>
    <s v="RA Aerosil (Silica Fume) (10Kg)"/>
    <n v="1"/>
    <n v="120"/>
    <n v="120"/>
    <d v="2022-01-12T00:00:00"/>
    <n v="1"/>
    <n v="2022"/>
    <n v="360"/>
    <n v="-360"/>
    <n v="0"/>
    <n v="436984.14999999991"/>
    <s v="Trsf"/>
    <s v="Trsf 13/12/2021"/>
    <m/>
  </r>
  <r>
    <x v="87"/>
    <x v="4"/>
    <x v="2"/>
    <x v="118"/>
    <s v="C00000018"/>
    <x v="17"/>
    <s v="RA Resin 3317AW (220Kg)"/>
    <n v="4"/>
    <s v="Cash"/>
    <n v="0"/>
    <d v="2021-09-21T00:00:00"/>
    <n v="9"/>
    <n v="2021"/>
    <n v="6952"/>
    <n v="-6952"/>
    <n v="0"/>
    <n v="443936.14999999991"/>
    <s v="Trsf"/>
    <s v="Trsf 21/9/2021"/>
    <m/>
  </r>
  <r>
    <x v="87"/>
    <x v="4"/>
    <x v="2"/>
    <x v="118"/>
    <s v="C00000018"/>
    <x v="17"/>
    <s v="RA CSM 450 30kg 79m(L) X 1040mm(W)"/>
    <n v="10"/>
    <s v="Cash"/>
    <n v="0"/>
    <d v="2021-09-21T00:00:00"/>
    <n v="9"/>
    <n v="2021"/>
    <n v="2400"/>
    <n v="-2400"/>
    <n v="0"/>
    <n v="446336.14999999991"/>
    <s v="Trsf"/>
    <s v="Trsf 21/9/2021"/>
    <m/>
  </r>
  <r>
    <x v="87"/>
    <x v="4"/>
    <x v="2"/>
    <x v="118"/>
    <s v="C00000018"/>
    <x v="17"/>
    <s v="RA Mepoxe M (5kg)"/>
    <n v="3"/>
    <s v="Cash"/>
    <n v="0"/>
    <d v="2021-09-21T00:00:00"/>
    <n v="9"/>
    <n v="2021"/>
    <n v="240"/>
    <n v="-240"/>
    <n v="0"/>
    <n v="446576.14999999991"/>
    <s v="Trsf"/>
    <s v="Trsf 21/9/2021"/>
    <m/>
  </r>
  <r>
    <x v="88"/>
    <x v="4"/>
    <x v="2"/>
    <x v="119"/>
    <s v="C00000001"/>
    <x v="0"/>
    <s v="RA Resin 3317AW (220Kg)"/>
    <n v="1"/>
    <s v="Cash"/>
    <n v="0"/>
    <d v="2021-09-25T00:00:00"/>
    <n v="9"/>
    <n v="2021"/>
    <n v="1870"/>
    <n v="-1870"/>
    <n v="0"/>
    <n v="448446.14999999991"/>
    <s v="Trsf"/>
    <s v="Trsf 4/10/2021"/>
    <m/>
  </r>
  <r>
    <x v="89"/>
    <x v="4"/>
    <x v="2"/>
    <x v="120"/>
    <s v="C00000004"/>
    <x v="3"/>
    <s v="RA Resin 3338AW (220kg)"/>
    <n v="5"/>
    <n v="120"/>
    <n v="120"/>
    <d v="2022-01-25T00:00:00"/>
    <n v="1"/>
    <n v="2022"/>
    <n v="8690"/>
    <n v="-8690"/>
    <n v="0"/>
    <n v="457136.14999999991"/>
    <s v="Chq"/>
    <s v="Chq HLB009259 dd 170122"/>
    <m/>
  </r>
  <r>
    <x v="89"/>
    <x v="4"/>
    <x v="2"/>
    <x v="120"/>
    <s v="C00000004"/>
    <x v="3"/>
    <s v="RA Resin 3338NW (220kg)"/>
    <n v="1"/>
    <n v="120"/>
    <n v="120"/>
    <d v="2022-01-25T00:00:00"/>
    <n v="1"/>
    <n v="2022"/>
    <n v="1738"/>
    <n v="-1738"/>
    <n v="0"/>
    <n v="458874.14999999991"/>
    <s v="Chq"/>
    <s v="Chq HLB009259 dd 170122"/>
    <m/>
  </r>
  <r>
    <x v="89"/>
    <x v="4"/>
    <x v="2"/>
    <x v="120"/>
    <s v="C00000004"/>
    <x v="3"/>
    <s v="RA CSM 450 TWL 60kg 64m(L) X 2080mm(W)"/>
    <n v="4"/>
    <n v="120"/>
    <n v="120"/>
    <d v="2022-01-25T00:00:00"/>
    <n v="1"/>
    <n v="2022"/>
    <n v="2016"/>
    <n v="-2016"/>
    <n v="0"/>
    <n v="460890.14999999991"/>
    <s v="Chq"/>
    <s v="Chq HLB009259 dd 170122"/>
    <m/>
  </r>
  <r>
    <x v="89"/>
    <x v="4"/>
    <x v="2"/>
    <x v="120"/>
    <s v="C00000004"/>
    <x v="3"/>
    <s v="RA Mepoxe M (5kg)"/>
    <n v="1"/>
    <n v="120"/>
    <n v="120"/>
    <d v="2022-01-25T00:00:00"/>
    <n v="1"/>
    <n v="2022"/>
    <n v="80"/>
    <n v="-80"/>
    <n v="0"/>
    <n v="460970.14999999991"/>
    <s v="Chq"/>
    <s v="Chq HLB009259 dd 170122"/>
    <m/>
  </r>
  <r>
    <x v="90"/>
    <x v="4"/>
    <x v="2"/>
    <x v="121"/>
    <s v="C00000005"/>
    <x v="4"/>
    <s v="RA Resin 3317AW (220Kg)"/>
    <n v="1"/>
    <s v="Cash"/>
    <n v="0"/>
    <d v="2021-09-28T00:00:00"/>
    <n v="9"/>
    <n v="2021"/>
    <n v="1826"/>
    <n v="-1826"/>
    <n v="0"/>
    <n v="462796.14999999991"/>
    <s v="Chq"/>
    <s v="Chq CIMB 000086, cleared 8/10/2021"/>
    <m/>
  </r>
  <r>
    <x v="91"/>
    <x v="4"/>
    <x v="2"/>
    <x v="122"/>
    <s v="C00000004"/>
    <x v="3"/>
    <s v="RA Butanox M50 (5Kg)"/>
    <n v="3"/>
    <n v="120"/>
    <n v="120"/>
    <d v="2022-01-28T00:00:00"/>
    <n v="1"/>
    <n v="2022"/>
    <n v="240"/>
    <n v="-240"/>
    <n v="0"/>
    <n v="463036.14999999991"/>
    <s v="Chq"/>
    <s v="Chq HLB009259 dd 170122"/>
    <m/>
  </r>
  <r>
    <x v="92"/>
    <x v="5"/>
    <x v="2"/>
    <x v="123"/>
    <s v="C00000006"/>
    <x v="5"/>
    <s v="RA Gelcoat GP-H (20Kg)"/>
    <n v="1"/>
    <s v="Cash"/>
    <n v="0"/>
    <d v="2021-10-01T00:00:00"/>
    <n v="10"/>
    <n v="2021"/>
    <n v="240"/>
    <n v="-240"/>
    <n v="0"/>
    <n v="463276.14999999991"/>
    <s v="Chq"/>
    <s v="chq 934897 5/11/2021"/>
    <m/>
  </r>
  <r>
    <x v="93"/>
    <x v="5"/>
    <x v="2"/>
    <x v="124"/>
    <s v="C00000019"/>
    <x v="18"/>
    <s v="RA Resin 3338AW (220kg)"/>
    <n v="2"/>
    <s v="Cash"/>
    <n v="0"/>
    <d v="2021-10-02T00:00:00"/>
    <n v="10"/>
    <n v="2021"/>
    <n v="3696"/>
    <n v="-3696"/>
    <n v="0"/>
    <n v="466972.14999999991"/>
    <s v="Trsf"/>
    <s v="Trsf 2/10/2021"/>
    <m/>
  </r>
  <r>
    <x v="93"/>
    <x v="5"/>
    <x v="2"/>
    <x v="124"/>
    <s v="C00000019"/>
    <x v="18"/>
    <s v="RA CSM 450 GSM 54kg 64m(L) X 1860mm(W)"/>
    <n v="1"/>
    <s v="Cash"/>
    <n v="0"/>
    <d v="2021-10-02T00:00:00"/>
    <n v="10"/>
    <n v="2021"/>
    <n v="475.2"/>
    <n v="-475.2"/>
    <n v="0"/>
    <n v="467447.34999999992"/>
    <s v="Trsf"/>
    <s v="Trsf 2/10/2021"/>
    <m/>
  </r>
  <r>
    <x v="93"/>
    <x v="5"/>
    <x v="2"/>
    <x v="124"/>
    <s v="C00000019"/>
    <x v="18"/>
    <s v="RE Frekote 770NC (1 Gallon)"/>
    <n v="2"/>
    <s v="Cash"/>
    <n v="0"/>
    <d v="2021-10-02T00:00:00"/>
    <n v="10"/>
    <n v="2021"/>
    <n v="720"/>
    <n v="-720"/>
    <n v="0"/>
    <n v="468167.34999999992"/>
    <s v="Trsf"/>
    <s v="Trsf 2/10/2021"/>
    <m/>
  </r>
  <r>
    <x v="93"/>
    <x v="5"/>
    <x v="2"/>
    <x v="124"/>
    <s v="C00000019"/>
    <x v="18"/>
    <s v="RA Talcum Powder (25kg)"/>
    <n v="3"/>
    <s v="Cash"/>
    <n v="0"/>
    <d v="2021-10-02T00:00:00"/>
    <n v="10"/>
    <n v="2021"/>
    <n v="165"/>
    <n v="-165"/>
    <n v="0"/>
    <n v="468332.34999999992"/>
    <s v="Trsf"/>
    <s v="Trsf 2/10/2021"/>
    <m/>
  </r>
  <r>
    <x v="94"/>
    <x v="5"/>
    <x v="2"/>
    <x v="125"/>
    <s v="C00000019"/>
    <x v="18"/>
    <s v="RA Butanox M50 (5kg)"/>
    <n v="1"/>
    <s v="Cash"/>
    <n v="0"/>
    <d v="2021-10-05T00:00:00"/>
    <n v="10"/>
    <n v="2021"/>
    <n v="100"/>
    <n v="-100"/>
    <n v="0"/>
    <n v="468432.34999999992"/>
    <s v="Trsf"/>
    <s v="Trsf 11/10/2021"/>
    <m/>
  </r>
  <r>
    <x v="94"/>
    <x v="5"/>
    <x v="2"/>
    <x v="126"/>
    <s v="C00000010"/>
    <x v="9"/>
    <s v="RA Resin 3338AW (220kg)"/>
    <n v="6"/>
    <n v="120"/>
    <n v="120"/>
    <d v="2022-02-02T00:00:00"/>
    <n v="2"/>
    <n v="2022"/>
    <n v="10428"/>
    <n v="-10428"/>
    <n v="0"/>
    <n v="478860.34999999992"/>
    <s v="Trsf"/>
    <s v="Trsf 10/2/2022 RM35,864.00"/>
    <m/>
  </r>
  <r>
    <x v="94"/>
    <x v="5"/>
    <x v="2"/>
    <x v="126"/>
    <s v="C00000010"/>
    <x v="9"/>
    <s v="RA CSM 450 30kg 79m(L) X 1040mm(W)"/>
    <n v="4"/>
    <n v="120"/>
    <n v="120"/>
    <d v="2022-02-02T00:00:00"/>
    <n v="2"/>
    <n v="2022"/>
    <n v="1258"/>
    <n v="-1258"/>
    <n v="0"/>
    <n v="480118.34999999992"/>
    <s v="Trsf"/>
    <s v="Trsf 10/2/2022 RM35,864.00"/>
    <m/>
  </r>
  <r>
    <x v="94"/>
    <x v="5"/>
    <x v="2"/>
    <x v="126"/>
    <s v="C00000010"/>
    <x v="9"/>
    <s v="RA Talcum Powder (25kg)"/>
    <n v="5"/>
    <n v="120"/>
    <n v="120"/>
    <d v="2022-02-02T00:00:00"/>
    <n v="2"/>
    <n v="2022"/>
    <n v="275"/>
    <n v="-275"/>
    <n v="0"/>
    <n v="480393.34999999992"/>
    <s v="Trsf"/>
    <s v="Trsf 10/2/2022 RM35,864.00"/>
    <m/>
  </r>
  <r>
    <x v="94"/>
    <x v="5"/>
    <x v="2"/>
    <x v="126"/>
    <s v="C00000010"/>
    <x v="9"/>
    <s v="RA Mepoxe M (5kg)"/>
    <n v="2"/>
    <n v="120"/>
    <n v="120"/>
    <d v="2022-02-02T00:00:00"/>
    <n v="2"/>
    <n v="2022"/>
    <n v="160"/>
    <n v="-160"/>
    <n v="0"/>
    <n v="480553.34999999992"/>
    <s v="Trsf"/>
    <s v="Trsf 10/2/2022 RM35,864.00"/>
    <m/>
  </r>
  <r>
    <x v="95"/>
    <x v="5"/>
    <x v="2"/>
    <x v="127"/>
    <s v="C00000003"/>
    <x v="2"/>
    <s v="RF Resin 3317AW (220Kg)"/>
    <n v="1"/>
    <n v="45"/>
    <n v="45"/>
    <d v="2021-11-21T00:00:00"/>
    <n v="11"/>
    <n v="2021"/>
    <n v="1870"/>
    <n v="-1870"/>
    <n v="0"/>
    <n v="482423.34999999992"/>
    <s v="PD Chq"/>
    <s v="RHB 001451cleared6/12/21-RM1,314.00(1,314.00partial, 1452cleared14/12/21-RM1,500(RM556.00partial)"/>
    <m/>
  </r>
  <r>
    <x v="95"/>
    <x v="5"/>
    <x v="2"/>
    <x v="127"/>
    <s v="C00000003"/>
    <x v="2"/>
    <s v="RA Talcum Powder (25Kg)"/>
    <n v="6"/>
    <n v="45"/>
    <n v="45"/>
    <d v="2021-11-21T00:00:00"/>
    <n v="11"/>
    <n v="2021"/>
    <n v="300"/>
    <n v="-300"/>
    <n v="0"/>
    <n v="482723.34999999992"/>
    <s v="PD Chq"/>
    <s v="RHB 001452cleared14/12/21-RM1.500.00(300.00partial)"/>
    <m/>
  </r>
  <r>
    <x v="95"/>
    <x v="5"/>
    <x v="2"/>
    <x v="127"/>
    <s v="C00000003"/>
    <x v="2"/>
    <s v="RA Mepoxe M (5kg)"/>
    <n v="2"/>
    <n v="45"/>
    <n v="45"/>
    <d v="2021-11-21T00:00:00"/>
    <n v="11"/>
    <n v="2021"/>
    <n v="160"/>
    <n v="-160"/>
    <n v="0"/>
    <n v="482883.34999999992"/>
    <s v="PD Chq"/>
    <s v="RHB 001452cleared14/12/21-RM1.500.00(160.00patial)"/>
    <m/>
  </r>
  <r>
    <x v="96"/>
    <x v="5"/>
    <x v="2"/>
    <x v="128"/>
    <s v="C00000003"/>
    <x v="2"/>
    <s v="RI Silicone Rubber (25kg)"/>
    <n v="1"/>
    <n v="45"/>
    <n v="45"/>
    <d v="2021-11-22T00:00:00"/>
    <n v="11"/>
    <n v="2021"/>
    <n v="1300"/>
    <n v="-1300"/>
    <n v="0"/>
    <n v="484183.34999999992"/>
    <s v="PD Chq"/>
    <s v="RHB 001452cleared14/12/21-RM1.500.00(484.00patial), 1453cleared20/12/21-RM1,500.00(816.00patial)"/>
    <m/>
  </r>
  <r>
    <x v="97"/>
    <x v="5"/>
    <x v="2"/>
    <x v="129"/>
    <s v="C00000020"/>
    <x v="19"/>
    <s v="RA Nor 3338NW (220Kg)"/>
    <n v="1"/>
    <s v="Cash"/>
    <n v="0"/>
    <d v="2021-10-09T00:00:00"/>
    <n v="10"/>
    <n v="2021"/>
    <n v="1760"/>
    <n v="-1760"/>
    <n v="0"/>
    <n v="485943.34999999992"/>
    <s v="Trsf"/>
    <s v="Trsf 11/10/2021"/>
    <m/>
  </r>
  <r>
    <x v="98"/>
    <x v="5"/>
    <x v="2"/>
    <x v="130"/>
    <s v="C00000013"/>
    <x v="12"/>
    <s v="RA Talcum Powder (25kg)"/>
    <n v="2"/>
    <s v="Cash"/>
    <n v="0"/>
    <d v="2021-10-11T00:00:00"/>
    <n v="10"/>
    <n v="2021"/>
    <n v="125"/>
    <n v="-125"/>
    <n v="0"/>
    <n v="486068.34999999992"/>
    <s v="Chq"/>
    <s v="Trsf 11/10/2021"/>
    <m/>
  </r>
  <r>
    <x v="98"/>
    <x v="5"/>
    <x v="2"/>
    <x v="130"/>
    <s v="C00000013"/>
    <x v="12"/>
    <s v="RA Mepoxe M (5kg)"/>
    <n v="1"/>
    <s v="Cash"/>
    <n v="0"/>
    <d v="2021-10-11T00:00:00"/>
    <n v="10"/>
    <n v="2021"/>
    <n v="80"/>
    <n v="-80"/>
    <n v="0"/>
    <n v="486148.34999999992"/>
    <s v="Chq"/>
    <s v="Trsf 11/10/2021"/>
    <m/>
  </r>
  <r>
    <x v="99"/>
    <x v="5"/>
    <x v="2"/>
    <x v="131"/>
    <s v="C00000020"/>
    <x v="19"/>
    <s v="RA Resin SHCP268W (225kg)"/>
    <n v="4"/>
    <s v="Cash"/>
    <n v="0"/>
    <d v="2021-10-12T00:00:00"/>
    <n v="10"/>
    <n v="2021"/>
    <n v="7650"/>
    <n v="-7650"/>
    <n v="0"/>
    <n v="493798.34999999992"/>
    <s v="Trsf"/>
    <s v="Trsf 13/10/2021"/>
    <m/>
  </r>
  <r>
    <x v="99"/>
    <x v="5"/>
    <x v="2"/>
    <x v="131"/>
    <s v="C00000020"/>
    <x v="19"/>
    <s v="RA CSM 450 TWL (37Kg) 1040mm"/>
    <n v="10"/>
    <s v="Cash"/>
    <n v="0"/>
    <d v="2021-10-12T00:00:00"/>
    <n v="10"/>
    <n v="2021"/>
    <n v="3182"/>
    <n v="-3182"/>
    <n v="0"/>
    <n v="496980.34999999992"/>
    <s v="Trsf"/>
    <s v="Trsf 13/10/2021"/>
    <m/>
  </r>
  <r>
    <x v="99"/>
    <x v="5"/>
    <x v="2"/>
    <x v="131"/>
    <s v="C00000020"/>
    <x v="19"/>
    <s v="RA Talcum Powder (25kg)"/>
    <n v="2"/>
    <s v="Cash"/>
    <n v="0"/>
    <d v="2021-10-12T00:00:00"/>
    <n v="10"/>
    <n v="2021"/>
    <n v="125"/>
    <n v="-125"/>
    <n v="0"/>
    <n v="497105.34999999992"/>
    <s v="Trsf"/>
    <s v="Trsf 13/10/2021"/>
    <m/>
  </r>
  <r>
    <x v="99"/>
    <x v="5"/>
    <x v="2"/>
    <x v="131"/>
    <s v="C00000020"/>
    <x v="19"/>
    <s v="RA Mepoxe M (5kg)"/>
    <n v="4"/>
    <s v="Cash"/>
    <n v="0"/>
    <d v="2021-10-12T00:00:00"/>
    <n v="10"/>
    <n v="2021"/>
    <n v="320"/>
    <n v="-320"/>
    <n v="0"/>
    <n v="497425.34999999992"/>
    <s v="Trsf"/>
    <s v="Trsf 13/10/2021"/>
    <m/>
  </r>
  <r>
    <x v="99"/>
    <x v="5"/>
    <x v="2"/>
    <x v="131"/>
    <s v="C00000020"/>
    <x v="19"/>
    <s v="RA Woven Roving E-600 (45kg) 1120mm"/>
    <n v="4"/>
    <s v="Cash"/>
    <n v="0"/>
    <d v="2021-10-12T00:00:00"/>
    <n v="10"/>
    <n v="2021"/>
    <n v="1350"/>
    <n v="-1350"/>
    <n v="0"/>
    <n v="498775.34999999992"/>
    <s v="Trsf"/>
    <s v="Trsf 13/10/2021"/>
    <m/>
  </r>
  <r>
    <x v="100"/>
    <x v="5"/>
    <x v="2"/>
    <x v="132"/>
    <s v="C00000019"/>
    <x v="18"/>
    <s v="RA Resin 3338AW (220kg)"/>
    <n v="2"/>
    <s v="Cash"/>
    <n v="0"/>
    <d v="2021-10-13T00:00:00"/>
    <n v="10"/>
    <n v="2021"/>
    <n v="3696"/>
    <n v="-3696"/>
    <n v="0"/>
    <n v="502471.34999999992"/>
    <s v="Trsf"/>
    <s v="Trsf 14/10/2021"/>
    <m/>
  </r>
  <r>
    <x v="100"/>
    <x v="5"/>
    <x v="2"/>
    <x v="132"/>
    <s v="C00000019"/>
    <x v="18"/>
    <s v="RG CSM 450 CQ 54kg 64m(L) X 1860mm(W)"/>
    <n v="2"/>
    <s v="Cash"/>
    <n v="0"/>
    <d v="2021-10-13T00:00:00"/>
    <n v="10"/>
    <n v="2021"/>
    <n v="950.4"/>
    <n v="-950.4"/>
    <n v="0"/>
    <n v="503421.74999999994"/>
    <s v="Trsf"/>
    <s v="Trsf 14/10/2021"/>
    <m/>
  </r>
  <r>
    <x v="100"/>
    <x v="5"/>
    <x v="2"/>
    <x v="132"/>
    <s v="C00000019"/>
    <x v="18"/>
    <s v="RA Aerosil (Silica Fume) (10Kg)"/>
    <n v="1"/>
    <s v="Cash"/>
    <n v="0"/>
    <d v="2021-10-13T00:00:00"/>
    <n v="10"/>
    <n v="2021"/>
    <n v="360"/>
    <n v="-360"/>
    <n v="0"/>
    <n v="503781.74999999994"/>
    <s v="Trsf"/>
    <s v="Trsf 14/10/2021"/>
    <m/>
  </r>
  <r>
    <x v="101"/>
    <x v="5"/>
    <x v="2"/>
    <x v="133"/>
    <s v="C00000019"/>
    <x v="18"/>
    <s v="RJ TR104 Hi Temp Wax"/>
    <n v="6"/>
    <s v="Cash"/>
    <n v="0"/>
    <d v="2021-10-14T00:00:00"/>
    <n v="10"/>
    <n v="2021"/>
    <n v="300"/>
    <n v="-300"/>
    <n v="0"/>
    <n v="504081.74999999994"/>
    <s v="Trsf"/>
    <s v="Trsf 14/10/2021"/>
    <m/>
  </r>
  <r>
    <x v="101"/>
    <x v="5"/>
    <x v="2"/>
    <x v="133"/>
    <s v="C00000019"/>
    <x v="18"/>
    <s v="RA Butanox M50 (5kg)"/>
    <n v="1"/>
    <s v="Cash"/>
    <n v="0"/>
    <d v="2021-10-14T00:00:00"/>
    <n v="10"/>
    <n v="2021"/>
    <n v="100"/>
    <n v="-100"/>
    <n v="0"/>
    <n v="504181.74999999994"/>
    <s v="Trsf"/>
    <s v="Trsf 14/10/2021"/>
    <m/>
  </r>
  <r>
    <x v="101"/>
    <x v="5"/>
    <x v="2"/>
    <x v="134"/>
    <s v="C00000009"/>
    <x v="8"/>
    <s v="RA CSM 450 TWL 60kg 64m(L) X 2080mm(W)"/>
    <n v="10"/>
    <n v="60"/>
    <n v="60"/>
    <d v="2021-12-13T00:00:00"/>
    <n v="12"/>
    <n v="2021"/>
    <n v="5100"/>
    <n v="-5100"/>
    <n v="0"/>
    <n v="509281.74999999994"/>
    <s v="Chq"/>
    <s v="Chq HLB013309 dd 260122"/>
    <m/>
  </r>
  <r>
    <x v="102"/>
    <x v="5"/>
    <x v="2"/>
    <x v="135"/>
    <s v="C00000014"/>
    <x v="13"/>
    <s v="RA VE Resin (25kg)"/>
    <n v="3"/>
    <s v="Cash"/>
    <n v="0"/>
    <d v="2021-10-15T00:00:00"/>
    <n v="10"/>
    <n v="2021"/>
    <n v="2025"/>
    <n v="-2025"/>
    <n v="0"/>
    <n v="511306.74999999994"/>
    <s v="Cash"/>
    <s v="Cash 17/10/2021"/>
    <m/>
  </r>
  <r>
    <x v="102"/>
    <x v="5"/>
    <x v="2"/>
    <x v="135"/>
    <s v="C00000014"/>
    <x v="13"/>
    <s v="RA CSM 450 TWL (37Kg) 1040mm"/>
    <n v="2"/>
    <s v="Cash"/>
    <n v="0"/>
    <d v="2021-10-15T00:00:00"/>
    <n v="10"/>
    <n v="2021"/>
    <n v="516"/>
    <n v="-516"/>
    <n v="0"/>
    <n v="511822.74999999994"/>
    <s v="Cash"/>
    <s v="Cash 17/10/2021"/>
    <m/>
  </r>
  <r>
    <x v="102"/>
    <x v="5"/>
    <x v="2"/>
    <x v="135"/>
    <s v="C00000014"/>
    <x v="13"/>
    <s v="RA Talcum Powder (25kg)"/>
    <n v="1"/>
    <s v="Cash"/>
    <n v="0"/>
    <d v="2021-10-15T00:00:00"/>
    <n v="10"/>
    <n v="2021"/>
    <n v="55"/>
    <n v="-55"/>
    <n v="0"/>
    <n v="511877.74999999994"/>
    <s v="Cash"/>
    <s v="Cash 17/10/2021"/>
    <m/>
  </r>
  <r>
    <x v="102"/>
    <x v="5"/>
    <x v="2"/>
    <x v="135"/>
    <s v="C00000014"/>
    <x v="13"/>
    <s v="RA Mepoxe M (5kg)"/>
    <n v="1"/>
    <s v="Cash"/>
    <n v="0"/>
    <d v="2021-10-15T00:00:00"/>
    <n v="10"/>
    <n v="2021"/>
    <n v="80"/>
    <n v="-80"/>
    <n v="0"/>
    <n v="511957.74999999994"/>
    <s v="Cash"/>
    <s v="Cash 17/10/2021"/>
    <m/>
  </r>
  <r>
    <x v="102"/>
    <x v="5"/>
    <x v="2"/>
    <x v="136"/>
    <s v="C00000005"/>
    <x v="4"/>
    <s v="RA Resin 3317AW (220Kg)"/>
    <n v="1"/>
    <s v="Cash"/>
    <n v="0"/>
    <d v="2021-10-15T00:00:00"/>
    <n v="10"/>
    <n v="2021"/>
    <n v="1826"/>
    <n v="-1826"/>
    <n v="0"/>
    <n v="513783.74999999994"/>
    <s v="Chq"/>
    <s v="Chq CIMB 000087, cleared 3/11/2021"/>
    <m/>
  </r>
  <r>
    <x v="102"/>
    <x v="5"/>
    <x v="2"/>
    <x v="136"/>
    <s v="C00000005"/>
    <x v="4"/>
    <s v="RA Butanox M50 (5kg)"/>
    <n v="1"/>
    <s v="Cash"/>
    <n v="0"/>
    <d v="2021-10-15T00:00:00"/>
    <n v="10"/>
    <n v="2021"/>
    <n v="100"/>
    <n v="-100"/>
    <n v="0"/>
    <n v="513883.74999999994"/>
    <s v="Chq"/>
    <s v="Chq CIMB 000087, cleared 3/11/2021"/>
    <m/>
  </r>
  <r>
    <x v="102"/>
    <x v="5"/>
    <x v="2"/>
    <x v="137"/>
    <s v="C00000020"/>
    <x v="19"/>
    <s v="RA CSM 450 30kg 79m(L) X 1040mm(W)"/>
    <n v="2"/>
    <s v="Cash"/>
    <n v="0"/>
    <d v="2021-10-15T00:00:00"/>
    <n v="10"/>
    <n v="2021"/>
    <n v="636.4"/>
    <n v="-636.4"/>
    <n v="0"/>
    <n v="514520.14999999997"/>
    <s v="Trsf"/>
    <s v="Trsf 16/10/2021"/>
    <m/>
  </r>
  <r>
    <x v="102"/>
    <x v="5"/>
    <x v="2"/>
    <x v="137"/>
    <s v="C00000020"/>
    <x v="19"/>
    <s v="RA Woven Roving E-600 (45kg) 1120mm"/>
    <n v="2"/>
    <s v="Cash"/>
    <n v="0"/>
    <d v="2021-10-15T00:00:00"/>
    <n v="10"/>
    <n v="2021"/>
    <n v="675"/>
    <n v="-675"/>
    <n v="0"/>
    <n v="515195.14999999997"/>
    <s v="Trsf"/>
    <s v="Trsf 16/10/2021"/>
    <m/>
  </r>
  <r>
    <x v="103"/>
    <x v="5"/>
    <x v="2"/>
    <x v="138"/>
    <s v="C00000020"/>
    <x v="19"/>
    <s v="RA GP ResinW (225Kg)"/>
    <n v="2"/>
    <s v="Cash"/>
    <n v="0"/>
    <d v="2021-10-18T00:00:00"/>
    <n v="10"/>
    <n v="2021"/>
    <n v="3825"/>
    <n v="-3825"/>
    <n v="0"/>
    <n v="519020.14999999997"/>
    <s v="Trsf"/>
    <s v="Trsf 1/11/2021"/>
    <m/>
  </r>
  <r>
    <x v="103"/>
    <x v="5"/>
    <x v="2"/>
    <x v="138"/>
    <s v="C00000020"/>
    <x v="19"/>
    <s v="RA Nor 3338W (220Kg)"/>
    <n v="2"/>
    <s v="Cash"/>
    <n v="0"/>
    <d v="2021-10-18T00:00:00"/>
    <n v="10"/>
    <n v="2021"/>
    <n v="3740"/>
    <n v="-3740"/>
    <n v="0"/>
    <n v="522760.14999999997"/>
    <s v="Trsf"/>
    <s v="Trsf 1/11/2021"/>
    <m/>
  </r>
  <r>
    <x v="103"/>
    <x v="5"/>
    <x v="2"/>
    <x v="138"/>
    <s v="C00000020"/>
    <x v="19"/>
    <s v="RA CSM 450 TWL (37Kg) 1040mm"/>
    <n v="6"/>
    <s v="Cash"/>
    <n v="0"/>
    <d v="2021-10-18T00:00:00"/>
    <n v="10"/>
    <n v="2021"/>
    <n v="1909.2"/>
    <n v="-1909.2"/>
    <n v="0"/>
    <n v="524669.35"/>
    <s v="Trsf"/>
    <s v="Trsf 1/11/2021"/>
    <m/>
  </r>
  <r>
    <x v="103"/>
    <x v="5"/>
    <x v="2"/>
    <x v="138"/>
    <s v="C00000020"/>
    <x v="19"/>
    <s v="RA Talcum Powder (25kg)"/>
    <n v="7"/>
    <s v="Cash"/>
    <n v="0"/>
    <d v="2021-10-18T00:00:00"/>
    <n v="10"/>
    <n v="2021"/>
    <n v="437.5"/>
    <n v="-437.5"/>
    <n v="0"/>
    <n v="525106.85"/>
    <s v="Trsf"/>
    <s v="Trsf 1/11/2021"/>
    <m/>
  </r>
  <r>
    <x v="103"/>
    <x v="5"/>
    <x v="2"/>
    <x v="138"/>
    <s v="C00000020"/>
    <x v="19"/>
    <s v="RA Mepoxe M (5kg)"/>
    <n v="2"/>
    <s v="Cash"/>
    <n v="0"/>
    <d v="2021-10-18T00:00:00"/>
    <n v="10"/>
    <n v="2021"/>
    <n v="160"/>
    <n v="-160"/>
    <n v="0"/>
    <n v="525266.85"/>
    <s v="Trsf"/>
    <s v="Trsf 1/11/2021"/>
    <m/>
  </r>
  <r>
    <x v="103"/>
    <x v="5"/>
    <x v="2"/>
    <x v="138"/>
    <s v="C00000020"/>
    <x v="19"/>
    <s v="RA Woven Roving E-600 (45kg) 1120mm"/>
    <n v="9"/>
    <s v="Cash"/>
    <n v="0"/>
    <d v="2021-10-18T00:00:00"/>
    <n v="10"/>
    <n v="2021"/>
    <n v="3037.5"/>
    <n v="-3037.5"/>
    <n v="0"/>
    <n v="528304.35"/>
    <s v="Trsf"/>
    <s v="Trsf 1/11/2021"/>
    <m/>
  </r>
  <r>
    <x v="104"/>
    <x v="5"/>
    <x v="2"/>
    <x v="139"/>
    <s v="C00000020"/>
    <x v="19"/>
    <s v="RK Smooth Cream (25kg)"/>
    <n v="1"/>
    <s v="Cash"/>
    <n v="0"/>
    <d v="2021-10-19T00:00:00"/>
    <n v="10"/>
    <n v="2021"/>
    <n v="1000"/>
    <n v="-1000"/>
    <n v="0"/>
    <n v="529304.35"/>
    <s v="Trsf"/>
    <s v="Trsf 1/11/2021"/>
    <m/>
  </r>
  <r>
    <x v="105"/>
    <x v="5"/>
    <x v="2"/>
    <x v="140"/>
    <s v="C00000020"/>
    <x v="19"/>
    <s v="RA GP ResinW (225Kg)"/>
    <n v="2"/>
    <s v="Cash"/>
    <n v="0"/>
    <d v="2021-10-20T00:00:00"/>
    <n v="10"/>
    <n v="2021"/>
    <n v="3825"/>
    <n v="-3825"/>
    <n v="0"/>
    <n v="533129.35"/>
    <s v="Trsf"/>
    <s v="Trsf 10/11/21"/>
    <m/>
  </r>
  <r>
    <x v="105"/>
    <x v="5"/>
    <x v="2"/>
    <x v="140"/>
    <s v="C00000020"/>
    <x v="19"/>
    <s v="RA Nor 3338W (220Kg)"/>
    <n v="1"/>
    <s v="Cash"/>
    <n v="0"/>
    <d v="2021-10-20T00:00:00"/>
    <n v="10"/>
    <n v="2021"/>
    <n v="1870"/>
    <n v="-1870"/>
    <n v="0"/>
    <n v="534999.35"/>
    <s v="Trsf"/>
    <s v="Trsf 10/11/21"/>
    <m/>
  </r>
  <r>
    <x v="105"/>
    <x v="5"/>
    <x v="2"/>
    <x v="140"/>
    <s v="C00000020"/>
    <x v="19"/>
    <s v="RA CSM 450 TWL (37Kg) 1040mm"/>
    <n v="12"/>
    <s v="Cash"/>
    <n v="0"/>
    <d v="2021-10-20T00:00:00"/>
    <n v="10"/>
    <n v="2021"/>
    <n v="3818.4"/>
    <n v="-3818.4"/>
    <n v="0"/>
    <n v="538817.75"/>
    <s v="Trsf"/>
    <s v="Trsf 10/11/21"/>
    <m/>
  </r>
  <r>
    <x v="105"/>
    <x v="5"/>
    <x v="2"/>
    <x v="140"/>
    <s v="C00000020"/>
    <x v="19"/>
    <s v="RA Mepoxe M (5kg)"/>
    <n v="2"/>
    <s v="Cash"/>
    <n v="0"/>
    <d v="2021-10-20T00:00:00"/>
    <n v="10"/>
    <n v="2021"/>
    <n v="160"/>
    <n v="-160"/>
    <n v="0"/>
    <n v="538977.75"/>
    <s v="Trsf"/>
    <s v="Trsf 10/11/21"/>
    <m/>
  </r>
  <r>
    <x v="106"/>
    <x v="5"/>
    <x v="2"/>
    <x v="141"/>
    <s v="C00000008"/>
    <x v="7"/>
    <s v="RA Resin 3317AW (220Kg)"/>
    <n v="1"/>
    <s v="Cash"/>
    <n v="0"/>
    <d v="2021-10-23T00:00:00"/>
    <n v="10"/>
    <n v="2021"/>
    <n v="1892"/>
    <n v="-1892"/>
    <n v="0"/>
    <n v="540869.75"/>
    <s v="Trsf"/>
    <s v="Trsf 25/10/21"/>
    <m/>
  </r>
  <r>
    <x v="106"/>
    <x v="5"/>
    <x v="2"/>
    <x v="141"/>
    <s v="C00000008"/>
    <x v="7"/>
    <s v="RA CSM 450 30kg 79m(L) X 1040mm(W)"/>
    <n v="2"/>
    <s v="Cash"/>
    <n v="0"/>
    <d v="2021-10-23T00:00:00"/>
    <n v="10"/>
    <n v="2021"/>
    <n v="510"/>
    <n v="-510"/>
    <n v="0"/>
    <n v="541379.75"/>
    <s v="Trsf"/>
    <s v="Trsf 25/10/21"/>
    <m/>
  </r>
  <r>
    <x v="106"/>
    <x v="5"/>
    <x v="2"/>
    <x v="141"/>
    <s v="C00000008"/>
    <x v="7"/>
    <s v="RA Gelcoat GP-H (20Kg)"/>
    <n v="4"/>
    <s v="Cash"/>
    <n v="0"/>
    <d v="2021-10-23T00:00:00"/>
    <n v="10"/>
    <n v="2021"/>
    <n v="960"/>
    <n v="-960"/>
    <n v="0"/>
    <n v="542339.75"/>
    <s v="Trsf"/>
    <s v="Trsf 25/10/21"/>
    <m/>
  </r>
  <r>
    <x v="107"/>
    <x v="5"/>
    <x v="2"/>
    <x v="142"/>
    <s v="C00000001"/>
    <x v="0"/>
    <s v="RA Resin 3317AW (220Kg)"/>
    <n v="2"/>
    <s v="Cash"/>
    <n v="0"/>
    <d v="2021-10-26T00:00:00"/>
    <n v="10"/>
    <n v="2021"/>
    <n v="3740"/>
    <n v="-3740"/>
    <n v="0"/>
    <n v="546079.75"/>
    <s v="Trsf"/>
    <s v="Trsf 27/10/21"/>
    <m/>
  </r>
  <r>
    <x v="107"/>
    <x v="5"/>
    <x v="2"/>
    <x v="142"/>
    <s v="C00000001"/>
    <x v="0"/>
    <s v="RA CSM 450 30kg 79m(L) X 1040mm(W)"/>
    <n v="8"/>
    <s v="Cash"/>
    <n v="0"/>
    <d v="2021-10-26T00:00:00"/>
    <n v="10"/>
    <n v="2021"/>
    <n v="2516"/>
    <n v="-2516"/>
    <n v="0"/>
    <n v="548595.75"/>
    <s v="Trsf"/>
    <s v="Trsf 27/10/21"/>
    <m/>
  </r>
  <r>
    <x v="107"/>
    <x v="5"/>
    <x v="2"/>
    <x v="142"/>
    <s v="C00000001"/>
    <x v="0"/>
    <s v="RA Butanox M50 (5kg)"/>
    <n v="4"/>
    <s v="Cash"/>
    <n v="0"/>
    <d v="2021-10-26T00:00:00"/>
    <n v="10"/>
    <n v="2021"/>
    <n v="400"/>
    <n v="-400"/>
    <n v="0"/>
    <n v="548995.75"/>
    <s v="Trsf"/>
    <s v="Trsf 27/10/21"/>
    <m/>
  </r>
  <r>
    <x v="107"/>
    <x v="5"/>
    <x v="2"/>
    <x v="142"/>
    <s v="C00000001"/>
    <x v="0"/>
    <s v="RA Styrene Monomer (6Kg)"/>
    <n v="1"/>
    <s v="Cash"/>
    <n v="0"/>
    <d v="2021-10-26T00:00:00"/>
    <n v="10"/>
    <n v="2021"/>
    <n v="0"/>
    <n v="0"/>
    <n v="0"/>
    <n v="548995.75"/>
    <s v="Trsf"/>
    <m/>
    <m/>
  </r>
  <r>
    <x v="107"/>
    <x v="5"/>
    <x v="2"/>
    <x v="143"/>
    <s v="C00000020"/>
    <x v="19"/>
    <s v="RA Resin 3317AW (220Kg)"/>
    <n v="2"/>
    <s v="Cash"/>
    <n v="0"/>
    <d v="2021-10-26T00:00:00"/>
    <n v="10"/>
    <n v="2021"/>
    <n v="3916"/>
    <n v="-3916"/>
    <n v="0"/>
    <n v="552911.75"/>
    <s v="Trsf"/>
    <s v="Trsf 13/11/21, RM7,000.00"/>
    <m/>
  </r>
  <r>
    <x v="107"/>
    <x v="5"/>
    <x v="2"/>
    <x v="143"/>
    <s v="C00000020"/>
    <x v="19"/>
    <s v="RA Nor 3338W (220Kg)"/>
    <n v="2"/>
    <s v="Cash"/>
    <n v="0"/>
    <d v="2021-10-26T00:00:00"/>
    <n v="10"/>
    <n v="2021"/>
    <n v="3916"/>
    <n v="-3916"/>
    <n v="0"/>
    <n v="556827.75"/>
    <s v="Trsf"/>
    <s v="Trsf 13/11/21-RM7,000.00 (3,084.00partial), Trsf 26/11/21-RM3,000.00 (832.00partial)"/>
    <m/>
  </r>
  <r>
    <x v="107"/>
    <x v="5"/>
    <x v="2"/>
    <x v="143"/>
    <s v="C00000020"/>
    <x v="19"/>
    <s v="RA CSM 450 30kg 79m(L) X 1040mm(W)"/>
    <n v="14"/>
    <s v="Cash"/>
    <n v="0"/>
    <d v="2021-10-26T00:00:00"/>
    <n v="10"/>
    <n v="2021"/>
    <n v="4610.2"/>
    <n v="-4610.2"/>
    <n v="0"/>
    <n v="561437.94999999995"/>
    <s v="Trsf"/>
    <s v="Trsf 26/11/21-RM3,000.00 (2,168.00partial), Trsf 10/12/21-RM20,000.00 (2,442.20partial)"/>
    <m/>
  </r>
  <r>
    <x v="107"/>
    <x v="5"/>
    <x v="2"/>
    <x v="143"/>
    <s v="C00000020"/>
    <x v="19"/>
    <s v="RA Talcum Powder (25kg)"/>
    <n v="6"/>
    <s v="Cash"/>
    <n v="0"/>
    <d v="2021-10-26T00:00:00"/>
    <n v="10"/>
    <n v="2021"/>
    <n v="375"/>
    <n v="-375"/>
    <n v="0"/>
    <n v="561812.94999999995"/>
    <s v="Trsf"/>
    <s v="Trsf 10/12/21-RM20,000.00"/>
    <m/>
  </r>
  <r>
    <x v="107"/>
    <x v="5"/>
    <x v="2"/>
    <x v="143"/>
    <s v="C00000020"/>
    <x v="19"/>
    <s v="RA Woven Roving E-600 (45kg) 1120mm"/>
    <n v="9"/>
    <s v="Cash"/>
    <n v="0"/>
    <d v="2021-10-26T00:00:00"/>
    <n v="10"/>
    <n v="2021"/>
    <n v="3159"/>
    <n v="-3159"/>
    <n v="0"/>
    <n v="564971.94999999995"/>
    <s v="Trsf"/>
    <s v="Trsf 10/12/21-RM20,000.00"/>
    <m/>
  </r>
  <r>
    <x v="107"/>
    <x v="5"/>
    <x v="2"/>
    <x v="143"/>
    <s v="C00000020"/>
    <x v="19"/>
    <s v="RK Smooth Cream (25kg)"/>
    <n v="1"/>
    <s v="Cash"/>
    <n v="0"/>
    <d v="2021-10-26T00:00:00"/>
    <n v="10"/>
    <n v="2021"/>
    <n v="1000"/>
    <n v="-1000"/>
    <n v="0"/>
    <n v="565971.94999999995"/>
    <s v="Trsf"/>
    <s v="Trsf 10/12/21-RM20,000.00"/>
    <m/>
  </r>
  <r>
    <x v="108"/>
    <x v="5"/>
    <x v="2"/>
    <x v="144"/>
    <s v="C00000008"/>
    <x v="7"/>
    <s v="RA CSM 450 30kg 79m(L) X 1040mm(W)"/>
    <n v="2"/>
    <s v="Cash"/>
    <n v="0"/>
    <d v="2021-10-28T00:00:00"/>
    <n v="10"/>
    <n v="2021"/>
    <n v="510"/>
    <n v="-510"/>
    <n v="0"/>
    <n v="566481.94999999995"/>
    <s v="Trsf"/>
    <s v="Trsf 21/1/2022, RM4,006.00"/>
    <m/>
  </r>
  <r>
    <x v="109"/>
    <x v="5"/>
    <x v="2"/>
    <x v="145"/>
    <s v="C00000020"/>
    <x v="19"/>
    <s v="RA Resin 3317AW (220Kg)"/>
    <n v="3"/>
    <s v="Cash"/>
    <n v="0"/>
    <d v="2021-10-27T00:00:00"/>
    <n v="10"/>
    <n v="2021"/>
    <n v="5874"/>
    <n v="-5874"/>
    <n v="0"/>
    <n v="572355.94999999995"/>
    <s v="Trsf"/>
    <s v="Trsf 10/12/21-RM20,000.00"/>
    <m/>
  </r>
  <r>
    <x v="108"/>
    <x v="5"/>
    <x v="2"/>
    <x v="146"/>
    <s v="C00000010"/>
    <x v="9"/>
    <s v="RA Resin 3338AW (220kg)"/>
    <n v="6"/>
    <n v="120"/>
    <n v="120"/>
    <d v="2022-02-25T00:00:00"/>
    <n v="2"/>
    <n v="2022"/>
    <n v="11748"/>
    <n v="-11748"/>
    <n v="0"/>
    <n v="584103.94999999995"/>
    <s v="Trsf"/>
    <s v="Trsf 10/2/2022 RM35,864.00"/>
    <m/>
  </r>
  <r>
    <x v="108"/>
    <x v="5"/>
    <x v="2"/>
    <x v="146"/>
    <s v="C00000010"/>
    <x v="9"/>
    <s v="RA CSM 450 37kg 79m(L) X 1040mm(W)"/>
    <n v="6"/>
    <n v="120"/>
    <n v="120"/>
    <d v="2022-02-25T00:00:00"/>
    <n v="2"/>
    <n v="2022"/>
    <n v="1975.8"/>
    <n v="-1975.8"/>
    <n v="0"/>
    <n v="586079.75"/>
    <s v="Trsf"/>
    <s v="Trsf 10/2/2022 RM35,864.00"/>
    <m/>
  </r>
  <r>
    <x v="108"/>
    <x v="5"/>
    <x v="2"/>
    <x v="147"/>
    <s v="C00000019"/>
    <x v="18"/>
    <s v="RE Frekote 770NC (1 Gallon)"/>
    <n v="2"/>
    <s v="Cash"/>
    <n v="0"/>
    <d v="2021-10-28T00:00:00"/>
    <n v="10"/>
    <n v="2021"/>
    <n v="720"/>
    <n v="-720"/>
    <n v="0"/>
    <n v="586799.75"/>
    <s v="Trsf"/>
    <s v="Trsf 30/10/21"/>
    <m/>
  </r>
  <r>
    <x v="110"/>
    <x v="5"/>
    <x v="2"/>
    <x v="148"/>
    <s v="C00000010"/>
    <x v="9"/>
    <s v="RA Resin 3338AW (220kg)"/>
    <n v="4"/>
    <n v="120"/>
    <n v="120"/>
    <d v="2022-02-27T00:00:00"/>
    <n v="2"/>
    <n v="2022"/>
    <n v="7832"/>
    <n v="-7832"/>
    <n v="0"/>
    <n v="594631.75"/>
    <s v="Trsf"/>
    <s v="Trsf 10/2/2022 RM35,864.00"/>
    <m/>
  </r>
  <r>
    <x v="110"/>
    <x v="5"/>
    <x v="2"/>
    <x v="148"/>
    <s v="C00000010"/>
    <x v="9"/>
    <s v="RA CSM 450 37kg 79m(L) X 1040mm(W)"/>
    <n v="4"/>
    <n v="120"/>
    <n v="120"/>
    <d v="2022-02-27T00:00:00"/>
    <n v="2"/>
    <n v="2022"/>
    <n v="1317.2"/>
    <n v="-1317.2"/>
    <n v="0"/>
    <n v="595948.94999999995"/>
    <s v="Trsf"/>
    <s v="Trsf 10/2/2022 RM35,864.00"/>
    <m/>
  </r>
  <r>
    <x v="110"/>
    <x v="5"/>
    <x v="2"/>
    <x v="148"/>
    <s v="C00000010"/>
    <x v="9"/>
    <s v="RA Talcum Powder (25kg)"/>
    <n v="10"/>
    <n v="120"/>
    <n v="120"/>
    <d v="2022-02-27T00:00:00"/>
    <n v="2"/>
    <n v="2022"/>
    <n v="550"/>
    <n v="-550"/>
    <n v="0"/>
    <n v="596498.94999999995"/>
    <s v="Trsf"/>
    <s v="Trsf 10/2/2022 RM35,864.00"/>
    <m/>
  </r>
  <r>
    <x v="110"/>
    <x v="5"/>
    <x v="2"/>
    <x v="148"/>
    <s v="C00000010"/>
    <x v="9"/>
    <s v="RA Mepoxe M (5kg)"/>
    <n v="4"/>
    <n v="120"/>
    <n v="120"/>
    <d v="2022-02-27T00:00:00"/>
    <n v="2"/>
    <n v="2022"/>
    <n v="320"/>
    <n v="-320"/>
    <n v="0"/>
    <n v="596818.94999999995"/>
    <s v="Trsf"/>
    <s v="Trsf 10/2/2022 RM35,864.00"/>
    <m/>
  </r>
  <r>
    <x v="111"/>
    <x v="6"/>
    <x v="2"/>
    <x v="149"/>
    <s v="C00000005"/>
    <x v="4"/>
    <s v="RA CSM 450 37kg 79m(L) X 1040mm(W)"/>
    <n v="1"/>
    <s v="Cash"/>
    <n v="0"/>
    <d v="2021-11-01T00:00:00"/>
    <n v="11"/>
    <n v="2021"/>
    <n v="340.4"/>
    <n v="-340.4"/>
    <n v="0"/>
    <n v="597159.35"/>
    <s v="Chq"/>
    <s v="Chq 000090, cleared 19/11/21"/>
    <m/>
  </r>
  <r>
    <x v="111"/>
    <x v="6"/>
    <x v="2"/>
    <x v="149"/>
    <s v="C00000005"/>
    <x v="4"/>
    <s v="RA Pigment Black (1kg)"/>
    <n v="1"/>
    <s v="Cash"/>
    <n v="0"/>
    <d v="2021-11-01T00:00:00"/>
    <n v="11"/>
    <n v="2021"/>
    <n v="40"/>
    <n v="-40"/>
    <n v="0"/>
    <n v="597199.35"/>
    <s v="Chq"/>
    <s v="Chq 000090, cleared 19/11/21"/>
    <m/>
  </r>
  <r>
    <x v="112"/>
    <x v="6"/>
    <x v="2"/>
    <x v="150"/>
    <s v="C00000019"/>
    <x v="18"/>
    <s v="RA Resin 3338AW (220kg)"/>
    <n v="2"/>
    <s v="Cash"/>
    <n v="0"/>
    <d v="2021-11-02T00:00:00"/>
    <n v="11"/>
    <n v="2021"/>
    <n v="3960"/>
    <n v="-3960"/>
    <n v="0"/>
    <n v="601159.35"/>
    <s v="Trsf"/>
    <s v="Trsf 3/11/21"/>
    <m/>
  </r>
  <r>
    <x v="112"/>
    <x v="6"/>
    <x v="2"/>
    <x v="150"/>
    <s v="C00000019"/>
    <x v="18"/>
    <s v="RA Talcum Powder (25kg)"/>
    <n v="6"/>
    <s v="Cash"/>
    <n v="0"/>
    <d v="2021-11-02T00:00:00"/>
    <n v="11"/>
    <n v="2021"/>
    <n v="360"/>
    <n v="-360"/>
    <n v="0"/>
    <n v="601519.35"/>
    <s v="Trsf"/>
    <s v="Trsf 3/11/21"/>
    <m/>
  </r>
  <r>
    <x v="112"/>
    <x v="6"/>
    <x v="2"/>
    <x v="150"/>
    <s v="C00000019"/>
    <x v="18"/>
    <s v="RA Aerosil (Silica Fume) (10Kg)"/>
    <n v="1"/>
    <s v="Cash"/>
    <n v="0"/>
    <d v="2021-11-02T00:00:00"/>
    <n v="11"/>
    <n v="2021"/>
    <n v="440"/>
    <n v="-440"/>
    <n v="0"/>
    <n v="601959.35"/>
    <s v="Trsf"/>
    <s v="Trsf 3/11/21"/>
    <m/>
  </r>
  <r>
    <x v="112"/>
    <x v="6"/>
    <x v="2"/>
    <x v="150"/>
    <s v="C00000019"/>
    <x v="18"/>
    <s v="RE Frekote 770NC (1 Gallon)"/>
    <n v="1"/>
    <s v="Cash"/>
    <n v="0"/>
    <d v="2021-11-02T00:00:00"/>
    <n v="11"/>
    <n v="2021"/>
    <n v="360"/>
    <n v="-360"/>
    <n v="0"/>
    <n v="602319.35"/>
    <s v="Trsf"/>
    <s v="Trsf 3/11/21"/>
    <m/>
  </r>
  <r>
    <x v="112"/>
    <x v="6"/>
    <x v="2"/>
    <x v="151"/>
    <s v="C00000003"/>
    <x v="2"/>
    <s v="RF Resin 3317AW (220Kg)"/>
    <n v="1"/>
    <n v="45"/>
    <n v="45"/>
    <d v="2021-12-17T00:00:00"/>
    <n v="12"/>
    <n v="2021"/>
    <n v="2024"/>
    <n v="-2024"/>
    <n v="0"/>
    <n v="604343.35"/>
    <s v="PD Chq"/>
    <s v="RHB 001453cleared20/12/21-RM1,500(684.00partial), RHB 001454cleared27/12/21-RM1,500.00 (1,340.00partial)"/>
    <m/>
  </r>
  <r>
    <x v="112"/>
    <x v="6"/>
    <x v="2"/>
    <x v="151"/>
    <s v="C00000003"/>
    <x v="2"/>
    <s v="RA Mepoxe M (5kg)"/>
    <n v="2"/>
    <n v="45"/>
    <n v="45"/>
    <d v="2021-12-17T00:00:00"/>
    <n v="12"/>
    <n v="2021"/>
    <n v="160"/>
    <n v="-160"/>
    <n v="0"/>
    <n v="604503.35"/>
    <s v="PD Chq"/>
    <s v="RHB 001454cleared27/12/21-RM1,500.00 (160.00partial)"/>
    <m/>
  </r>
  <r>
    <x v="113"/>
    <x v="6"/>
    <x v="2"/>
    <x v="152"/>
    <s v="C00000020"/>
    <x v="19"/>
    <s v="RA Resin 3317AW (220Kg)"/>
    <n v="2"/>
    <s v="Cash"/>
    <n v="0"/>
    <d v="2021-11-03T00:00:00"/>
    <n v="11"/>
    <n v="2021"/>
    <n v="4048"/>
    <n v="-4048"/>
    <n v="0"/>
    <n v="608551.35"/>
    <s v="Trsf"/>
    <s v="Trsf 10/12/21-RM20,000.00"/>
    <m/>
  </r>
  <r>
    <x v="113"/>
    <x v="6"/>
    <x v="2"/>
    <x v="152"/>
    <s v="C00000020"/>
    <x v="19"/>
    <s v="RA Nor 3338W (220Kg)"/>
    <n v="3"/>
    <s v="Cash"/>
    <n v="0"/>
    <d v="2021-11-03T00:00:00"/>
    <n v="11"/>
    <n v="2021"/>
    <n v="6072"/>
    <n v="-6072"/>
    <n v="0"/>
    <n v="614623.35"/>
    <s v="Trsf"/>
    <s v="Trsf 10/12/21-RM20,000.00 (3,101.80partial), Trsf 20/12/21-RM10,000.00 (2,970.20partial)"/>
    <m/>
  </r>
  <r>
    <x v="113"/>
    <x v="6"/>
    <x v="2"/>
    <x v="152"/>
    <s v="C00000020"/>
    <x v="19"/>
    <s v="RA CSM 450 37kg 79m(L) X 1040mm(W)"/>
    <n v="15"/>
    <s v="Cash"/>
    <n v="0"/>
    <d v="2021-11-03T00:00:00"/>
    <n v="11"/>
    <n v="2021"/>
    <n v="5106"/>
    <n v="-5106"/>
    <n v="0"/>
    <n v="619729.35"/>
    <s v="Trsf"/>
    <s v="Trsf 20/12/21-RM10,000.00"/>
    <m/>
  </r>
  <r>
    <x v="113"/>
    <x v="6"/>
    <x v="2"/>
    <x v="152"/>
    <s v="C00000020"/>
    <x v="19"/>
    <s v="RA Talcum Powder (25kg)"/>
    <n v="5"/>
    <s v="Cash"/>
    <n v="0"/>
    <d v="2021-11-03T00:00:00"/>
    <n v="11"/>
    <n v="2021"/>
    <n v="312.5"/>
    <n v="-312.5"/>
    <n v="0"/>
    <n v="620041.85"/>
    <s v="Trsf"/>
    <s v="Trsf 20/12/21-RM10,000.00"/>
    <m/>
  </r>
  <r>
    <x v="113"/>
    <x v="6"/>
    <x v="2"/>
    <x v="152"/>
    <s v="C00000020"/>
    <x v="19"/>
    <s v="RA Woven Roving E-600 (45kg) 1120mm"/>
    <n v="9"/>
    <s v="Cash"/>
    <n v="0"/>
    <d v="2021-11-03T00:00:00"/>
    <n v="11"/>
    <n v="2021"/>
    <n v="3159"/>
    <n v="-3159"/>
    <n v="0"/>
    <n v="623200.85"/>
    <s v="Trsf"/>
    <s v="Trsf 20/12/21-RM10,000.00 (1,611.30patial), Trsf 29/12/21-RM12,500.00 (1,547.70patial)"/>
    <m/>
  </r>
  <r>
    <x v="113"/>
    <x v="6"/>
    <x v="2"/>
    <x v="152"/>
    <s v="C00000020"/>
    <x v="19"/>
    <s v="RA Mepoxe M (5kg)"/>
    <n v="4"/>
    <s v="Cash"/>
    <n v="0"/>
    <d v="2021-11-03T00:00:00"/>
    <n v="11"/>
    <n v="2021"/>
    <n v="320"/>
    <n v="-320"/>
    <n v="0"/>
    <n v="623520.85"/>
    <s v="Trsf"/>
    <s v="Trsf 29/12/21-RM12,500.00 (320.00partial)"/>
    <m/>
  </r>
  <r>
    <x v="113"/>
    <x v="6"/>
    <x v="2"/>
    <x v="153"/>
    <s v="C00000010"/>
    <x v="9"/>
    <s v="RA Talcum Powder (25kg)"/>
    <n v="5"/>
    <n v="120"/>
    <n v="120"/>
    <d v="2022-03-03T00:00:00"/>
    <n v="3"/>
    <n v="2022"/>
    <n v="275"/>
    <n v="-275"/>
    <n v="0"/>
    <n v="623795.85"/>
    <s v="Trsf"/>
    <s v="Trsf 15/2/2022 RM16,388.00"/>
    <m/>
  </r>
  <r>
    <x v="113"/>
    <x v="6"/>
    <x v="2"/>
    <x v="153"/>
    <s v="C00000010"/>
    <x v="9"/>
    <s v="RA Mepoxe M (5kg)"/>
    <n v="4"/>
    <n v="120"/>
    <n v="120"/>
    <d v="2022-03-03T00:00:00"/>
    <n v="3"/>
    <n v="2022"/>
    <n v="320"/>
    <n v="-320"/>
    <n v="0"/>
    <n v="624115.85"/>
    <s v="Trsf"/>
    <s v="Trsf 15/2/2022 RM16,388.00"/>
    <m/>
  </r>
  <r>
    <x v="113"/>
    <x v="6"/>
    <x v="2"/>
    <x v="153"/>
    <s v="C00000010"/>
    <x v="9"/>
    <s v="RA Aerosil (Silica Fume) (10Kg)"/>
    <n v="3"/>
    <n v="120"/>
    <n v="120"/>
    <d v="2022-03-03T00:00:00"/>
    <n v="3"/>
    <n v="2022"/>
    <n v="1320"/>
    <n v="-1320"/>
    <n v="0"/>
    <n v="625435.85"/>
    <s v="Trsf"/>
    <s v="Trsf 15/2/2022 RM16,388.00"/>
    <m/>
  </r>
  <r>
    <x v="113"/>
    <x v="6"/>
    <x v="2"/>
    <x v="153"/>
    <s v="C00000010"/>
    <x v="9"/>
    <s v="RD Paint Brush 3&quot;(12Pc/Ctr)"/>
    <n v="4"/>
    <n v="120"/>
    <n v="120"/>
    <d v="2022-03-03T00:00:00"/>
    <n v="3"/>
    <n v="2022"/>
    <n v="220"/>
    <n v="-220"/>
    <n v="0"/>
    <n v="625655.85"/>
    <s v="Trsf"/>
    <s v="Trsf 15/2/2022 RM16,388.00"/>
    <m/>
  </r>
  <r>
    <x v="114"/>
    <x v="6"/>
    <x v="2"/>
    <x v="154"/>
    <s v="C00000020"/>
    <x v="19"/>
    <s v="RA Resin 3317AW (220Kg)"/>
    <n v="2"/>
    <s v="Cash"/>
    <n v="0"/>
    <d v="2021-11-06T00:00:00"/>
    <n v="11"/>
    <n v="2021"/>
    <n v="4048"/>
    <n v="-4048"/>
    <n v="0"/>
    <n v="629703.85"/>
    <s v="Trsf"/>
    <s v="Trsf 29/12/21-RM12,500.00 (4,048.00partial)"/>
    <m/>
  </r>
  <r>
    <x v="114"/>
    <x v="6"/>
    <x v="2"/>
    <x v="154"/>
    <s v="C00000020"/>
    <x v="19"/>
    <s v="RA Nor 3338W (220Kg)"/>
    <n v="3"/>
    <s v="Cash"/>
    <n v="0"/>
    <d v="2021-11-06T00:00:00"/>
    <n v="11"/>
    <n v="2021"/>
    <n v="6072"/>
    <n v="-6072"/>
    <n v="0"/>
    <n v="635775.85"/>
    <s v="Trsf"/>
    <s v="Trsf 29/12/21-RM12,500.00 (6,072.00patial)"/>
    <m/>
  </r>
  <r>
    <x v="114"/>
    <x v="6"/>
    <x v="2"/>
    <x v="154"/>
    <s v="C00000020"/>
    <x v="19"/>
    <s v="RA CSM 450 37kg 79m(L) X 1040mm(W)"/>
    <n v="15"/>
    <s v="Cash"/>
    <n v="0"/>
    <d v="2021-11-06T00:00:00"/>
    <n v="11"/>
    <n v="2021"/>
    <n v="5106"/>
    <n v="-5106"/>
    <n v="0"/>
    <n v="640881.85"/>
    <s v="Trsf"/>
    <s v="Trsf 29/12/21-RM12,500.00 (512.30partial), Trsf 13/1/21-37,500.00 (4,593.70patial)"/>
    <m/>
  </r>
  <r>
    <x v="114"/>
    <x v="6"/>
    <x v="2"/>
    <x v="154"/>
    <s v="C00000020"/>
    <x v="19"/>
    <s v="RA Talcum Powder (25kg)"/>
    <n v="5"/>
    <s v="Cash"/>
    <n v="0"/>
    <d v="2021-11-06T00:00:00"/>
    <n v="11"/>
    <n v="2021"/>
    <n v="312.5"/>
    <n v="-312.5"/>
    <n v="0"/>
    <n v="641194.35"/>
    <s v="Trsf"/>
    <s v="Trsf 13/1/21-37,500.00 "/>
    <m/>
  </r>
  <r>
    <x v="114"/>
    <x v="6"/>
    <x v="2"/>
    <x v="154"/>
    <s v="C00000020"/>
    <x v="19"/>
    <s v="RA Woven Roving E-600 (45kg) 1120mm"/>
    <n v="7"/>
    <s v="Cash"/>
    <n v="0"/>
    <d v="2021-11-06T00:00:00"/>
    <n v="11"/>
    <n v="2021"/>
    <n v="2457"/>
    <n v="-2457"/>
    <n v="0"/>
    <n v="643651.35"/>
    <s v="Trsf"/>
    <s v="Trsf 13/1/21-37,500.00 "/>
    <m/>
  </r>
  <r>
    <x v="114"/>
    <x v="6"/>
    <x v="2"/>
    <x v="154"/>
    <s v="C00000020"/>
    <x v="19"/>
    <s v="RA Mepoxe M (5kg)"/>
    <n v="4"/>
    <s v="Cash"/>
    <n v="0"/>
    <d v="2021-11-06T00:00:00"/>
    <n v="11"/>
    <n v="2021"/>
    <n v="320"/>
    <n v="-320"/>
    <n v="0"/>
    <n v="643971.35"/>
    <s v="Trsf"/>
    <s v="Trsf 13/1/21-37,500.00 "/>
    <m/>
  </r>
  <r>
    <x v="114"/>
    <x v="6"/>
    <x v="2"/>
    <x v="154"/>
    <s v="C00000020"/>
    <x v="19"/>
    <s v="RK Smooth Cream (25kg)"/>
    <n v="1"/>
    <s v="Cash"/>
    <n v="0"/>
    <d v="2021-11-06T00:00:00"/>
    <n v="11"/>
    <n v="2021"/>
    <n v="1000"/>
    <n v="-1000"/>
    <n v="0"/>
    <n v="644971.35"/>
    <s v="Trsf"/>
    <s v="Trsf 13/1/21-37,500.00 "/>
    <m/>
  </r>
  <r>
    <x v="115"/>
    <x v="6"/>
    <x v="2"/>
    <x v="155"/>
    <s v="C00000010"/>
    <x v="9"/>
    <s v="RA Resin 3338AW (220kg)"/>
    <n v="6"/>
    <n v="120"/>
    <n v="120"/>
    <d v="2022-03-08T00:00:00"/>
    <n v="3"/>
    <n v="2022"/>
    <n v="12144"/>
    <n v="-12144"/>
    <n v="0"/>
    <n v="657115.35"/>
    <s v="Trsf"/>
    <s v="Trsf 15/2/2022 RM16,388.00"/>
    <m/>
  </r>
  <r>
    <x v="115"/>
    <x v="6"/>
    <x v="2"/>
    <x v="155"/>
    <s v="C00000010"/>
    <x v="9"/>
    <s v="RA CSM 450 37kg 79m(L) X 1040mm(W)"/>
    <n v="6"/>
    <n v="120"/>
    <n v="120"/>
    <d v="2022-03-08T00:00:00"/>
    <n v="3"/>
    <n v="2022"/>
    <n v="2109"/>
    <n v="-2109"/>
    <n v="0"/>
    <n v="659224.35"/>
    <s v="Trsf"/>
    <s v="Trsf 15/2/2022 RM16,388.00"/>
    <m/>
  </r>
  <r>
    <x v="116"/>
    <x v="6"/>
    <x v="2"/>
    <x v="156"/>
    <e v="#N/A"/>
    <x v="20"/>
    <s v="RA Resin 3317AW (20Kg)"/>
    <n v="1"/>
    <e v="#N/A"/>
    <e v="#N/A"/>
    <e v="#N/A"/>
    <e v="#N/A"/>
    <e v="#N/A"/>
    <n v="240"/>
    <n v="-240"/>
    <n v="0"/>
    <n v="659464.35"/>
    <e v="#N/A"/>
    <s v="Cash in 9/11/21"/>
    <m/>
  </r>
  <r>
    <x v="117"/>
    <x v="6"/>
    <x v="2"/>
    <x v="157"/>
    <s v="C00000021"/>
    <x v="21"/>
    <s v="RA Resin 3317AW (220Kg)"/>
    <n v="1"/>
    <s v="Cash"/>
    <n v="0"/>
    <d v="2021-11-10T00:00:00"/>
    <n v="11"/>
    <n v="2021"/>
    <n v="2024"/>
    <n v="-2024"/>
    <n v="0"/>
    <n v="661488.35"/>
    <s v="PD Chq"/>
    <s v="Chq PBB 395353, dd 301121"/>
    <m/>
  </r>
  <r>
    <x v="118"/>
    <x v="6"/>
    <x v="2"/>
    <x v="158"/>
    <s v="C00000020"/>
    <x v="19"/>
    <s v="RA Resin 3338AW (220kg)"/>
    <n v="10"/>
    <s v="Cash"/>
    <n v="0"/>
    <d v="2021-11-11T00:00:00"/>
    <n v="11"/>
    <n v="2021"/>
    <n v="20680"/>
    <n v="-20680"/>
    <n v="0"/>
    <n v="682168.35"/>
    <s v="Trsf"/>
    <s v="Trsf 13/1/21-37,500.00 "/>
    <m/>
  </r>
  <r>
    <x v="118"/>
    <x v="6"/>
    <x v="2"/>
    <x v="158"/>
    <s v="C00000020"/>
    <x v="19"/>
    <s v="RA CSM 450 37kg 79m(L) X 1040mm(W)"/>
    <n v="15"/>
    <s v="Cash"/>
    <n v="0"/>
    <d v="2021-11-11T00:00:00"/>
    <n v="11"/>
    <n v="2021"/>
    <n v="5328"/>
    <n v="-5328"/>
    <n v="0"/>
    <n v="687496.35"/>
    <s v="Trsf"/>
    <s v="Trsf 13/1/21-37,500.00 "/>
    <m/>
  </r>
  <r>
    <x v="118"/>
    <x v="6"/>
    <x v="2"/>
    <x v="158"/>
    <s v="C00000020"/>
    <x v="19"/>
    <s v="RA Woven Roving E-600 (45kg) 1120mm"/>
    <n v="14"/>
    <s v="Cash"/>
    <n v="0"/>
    <d v="2021-11-11T00:00:00"/>
    <n v="11"/>
    <n v="2021"/>
    <n v="4914"/>
    <n v="-4914"/>
    <n v="0"/>
    <n v="692410.35"/>
    <s v="Trsf"/>
    <s v="Trsf 13/1/21-37,500.00 (2,808.80 partial), Trsf 21/1/2021-RM5,000.00 (2,105.20 parital)"/>
    <m/>
  </r>
  <r>
    <x v="118"/>
    <x v="6"/>
    <x v="2"/>
    <x v="158"/>
    <s v="C00000020"/>
    <x v="19"/>
    <s v="RA Talcum Powder (25kg)"/>
    <n v="4"/>
    <s v="Cash"/>
    <n v="0"/>
    <d v="2021-11-11T00:00:00"/>
    <n v="11"/>
    <n v="2021"/>
    <n v="250"/>
    <n v="-250"/>
    <n v="0"/>
    <n v="692660.35"/>
    <s v="Trsf"/>
    <s v="Trsf 21/1/2021-RM5,000.00"/>
    <m/>
  </r>
  <r>
    <x v="118"/>
    <x v="6"/>
    <x v="2"/>
    <x v="158"/>
    <s v="C00000020"/>
    <x v="19"/>
    <s v="RK Smooth Cream (25kg)"/>
    <n v="2"/>
    <s v="Cash"/>
    <n v="0"/>
    <d v="2021-11-11T00:00:00"/>
    <n v="11"/>
    <n v="2021"/>
    <n v="2000"/>
    <n v="-2000"/>
    <n v="0"/>
    <n v="694660.35"/>
    <s v="Trsf"/>
    <s v="Trsf 21/1/2021-RM5,000.00"/>
    <m/>
  </r>
  <r>
    <x v="118"/>
    <x v="6"/>
    <x v="2"/>
    <x v="159"/>
    <s v="C00000020"/>
    <x v="19"/>
    <s v="RA Talcum Powder (25kg)"/>
    <n v="5"/>
    <s v="Cash"/>
    <n v="0"/>
    <d v="2021-11-11T00:00:00"/>
    <n v="11"/>
    <n v="2021"/>
    <n v="312.5"/>
    <n v="-312.5"/>
    <n v="0"/>
    <n v="694972.85"/>
    <s v="Trsf"/>
    <s v="Trsf 21/1/2021-RM5,000.00"/>
    <m/>
  </r>
  <r>
    <x v="119"/>
    <x v="6"/>
    <x v="2"/>
    <x v="160"/>
    <e v="#N/A"/>
    <x v="22"/>
    <s v="RA Resin 3317AW (220Kg)"/>
    <n v="1"/>
    <e v="#N/A"/>
    <e v="#N/A"/>
    <e v="#N/A"/>
    <e v="#N/A"/>
    <e v="#N/A"/>
    <n v="2090"/>
    <n v="-2090"/>
    <n v="0"/>
    <n v="697062.85"/>
    <e v="#N/A"/>
    <s v="Trsf 11/11/21 RM2,070.00"/>
    <m/>
  </r>
  <r>
    <x v="119"/>
    <x v="6"/>
    <x v="2"/>
    <x v="160"/>
    <e v="#N/A"/>
    <x v="22"/>
    <s v="RJ TR104 Hi Temp Wax"/>
    <n v="2"/>
    <e v="#N/A"/>
    <e v="#N/A"/>
    <e v="#N/A"/>
    <e v="#N/A"/>
    <e v="#N/A"/>
    <n v="120"/>
    <n v="-120"/>
    <n v="0"/>
    <n v="697182.85"/>
    <e v="#N/A"/>
    <s v="Trsf 12/11/21 RM1,000.00"/>
    <m/>
  </r>
  <r>
    <x v="119"/>
    <x v="6"/>
    <x v="2"/>
    <x v="160"/>
    <e v="#N/A"/>
    <x v="22"/>
    <s v="RA Gelcoat GP-H (20Kg)"/>
    <n v="2"/>
    <e v="#N/A"/>
    <e v="#N/A"/>
    <e v="#N/A"/>
    <e v="#N/A"/>
    <e v="#N/A"/>
    <n v="540"/>
    <n v="-540"/>
    <n v="0"/>
    <n v="697722.85"/>
    <e v="#N/A"/>
    <s v="Trsf 12/11/21 RM1,000.00"/>
    <m/>
  </r>
  <r>
    <x v="119"/>
    <x v="6"/>
    <x v="2"/>
    <x v="160"/>
    <e v="#N/A"/>
    <x v="22"/>
    <s v="RA Pigment H 2006 Dark Grey (5Kg)"/>
    <n v="2"/>
    <e v="#N/A"/>
    <e v="#N/A"/>
    <e v="#N/A"/>
    <e v="#N/A"/>
    <e v="#N/A"/>
    <n v="320"/>
    <n v="-320"/>
    <n v="0"/>
    <n v="698042.85"/>
    <e v="#N/A"/>
    <s v="Trsf 12/11/21 RM1,000.00"/>
    <m/>
  </r>
  <r>
    <x v="119"/>
    <x v="6"/>
    <x v="2"/>
    <x v="161"/>
    <s v="C00000019"/>
    <x v="18"/>
    <s v="RA Resin 3338AW (220kg)"/>
    <n v="2"/>
    <s v="Cash"/>
    <n v="0"/>
    <d v="2021-11-13T00:00:00"/>
    <n v="11"/>
    <n v="2021"/>
    <n v="4048"/>
    <n v="-4048"/>
    <n v="0"/>
    <n v="702090.85"/>
    <s v="Trsf"/>
    <s v="Trsf 13/11/21, RM5,366.60"/>
    <m/>
  </r>
  <r>
    <x v="119"/>
    <x v="6"/>
    <x v="2"/>
    <x v="161"/>
    <s v="C00000019"/>
    <x v="18"/>
    <s v="RG CSM 450 CQ 54kg 64m(L) X 1860mm(W)"/>
    <n v="2"/>
    <s v="Cash"/>
    <n v="0"/>
    <d v="2021-11-13T00:00:00"/>
    <n v="11"/>
    <n v="2021"/>
    <n v="993.6"/>
    <n v="-993.6"/>
    <n v="0"/>
    <n v="703084.45"/>
    <s v="Trsf"/>
    <s v="Trsf 13/11/21, RM5,366.60"/>
    <m/>
  </r>
  <r>
    <x v="119"/>
    <x v="6"/>
    <x v="2"/>
    <x v="161"/>
    <s v="C00000019"/>
    <x v="18"/>
    <s v="RA Talcum Powder (25kg)"/>
    <n v="2"/>
    <s v="Cash"/>
    <n v="0"/>
    <d v="2021-11-13T00:00:00"/>
    <n v="11"/>
    <n v="2021"/>
    <n v="125"/>
    <n v="-125"/>
    <n v="0"/>
    <n v="703209.45"/>
    <s v="Trsf"/>
    <s v="Trsf 13/11/21, RM5,366.60"/>
    <m/>
  </r>
  <r>
    <x v="119"/>
    <x v="6"/>
    <x v="2"/>
    <x v="161"/>
    <s v="C00000019"/>
    <x v="18"/>
    <s v="RA Butanox M50 (5kg)"/>
    <n v="2"/>
    <s v="Cash"/>
    <n v="0"/>
    <d v="2021-11-13T00:00:00"/>
    <n v="11"/>
    <n v="2021"/>
    <n v="200"/>
    <n v="-200"/>
    <n v="0"/>
    <n v="703409.45"/>
    <s v="Trsf"/>
    <s v="Trsf 13/11/21, RM5,366.60"/>
    <m/>
  </r>
  <r>
    <x v="120"/>
    <x v="6"/>
    <x v="2"/>
    <x v="162"/>
    <s v="C00000003"/>
    <x v="2"/>
    <s v="RA Resin 3317AW (220Kg)"/>
    <n v="1"/>
    <n v="45"/>
    <n v="45"/>
    <d v="2022-01-07T00:00:00"/>
    <n v="1"/>
    <n v="2022"/>
    <n v="2024"/>
    <n v="-2024"/>
    <n v="0"/>
    <n v="705433.45"/>
    <s v="PD Chq"/>
    <s v="RHB 001457cleared29/12/21-RM2,366.50 (2,024.00partial)"/>
    <m/>
  </r>
  <r>
    <x v="120"/>
    <x v="6"/>
    <x v="2"/>
    <x v="162"/>
    <s v="C00000003"/>
    <x v="2"/>
    <s v="RA Mepoxe M (5kg)"/>
    <n v="2"/>
    <n v="45"/>
    <n v="45"/>
    <d v="2022-01-07T00:00:00"/>
    <n v="1"/>
    <n v="2022"/>
    <n v="170"/>
    <n v="-170"/>
    <n v="0"/>
    <n v="705603.45"/>
    <s v="PD Chq"/>
    <s v="RHB 001457cleared29/12/21-RM2,366.50 (170.00artial)"/>
    <m/>
  </r>
  <r>
    <x v="120"/>
    <x v="6"/>
    <x v="2"/>
    <x v="162"/>
    <s v="C00000003"/>
    <x v="2"/>
    <s v="RA Talcum Powder (25kg)"/>
    <n v="3"/>
    <n v="45"/>
    <n v="45"/>
    <d v="2022-01-07T00:00:00"/>
    <n v="1"/>
    <n v="2022"/>
    <n v="172.5"/>
    <n v="-172.5"/>
    <n v="0"/>
    <n v="705775.95"/>
    <s v="PD Chq"/>
    <s v="RHB 001457cleared29/12/21-RM2,366.50 (172.50partial)"/>
    <m/>
  </r>
  <r>
    <x v="121"/>
    <x v="6"/>
    <x v="2"/>
    <x v="163"/>
    <s v="C00000019"/>
    <x v="18"/>
    <s v="RA Resin 3338AW (220kg)"/>
    <n v="1"/>
    <s v="Cash"/>
    <n v="0"/>
    <d v="2021-11-26T00:00:00"/>
    <n v="11"/>
    <n v="2021"/>
    <n v="2024"/>
    <n v="-2024"/>
    <n v="0"/>
    <n v="707799.95"/>
    <s v="Trsf"/>
    <s v="Trsf 28/11/21"/>
    <m/>
  </r>
  <r>
    <x v="121"/>
    <x v="6"/>
    <x v="2"/>
    <x v="163"/>
    <s v="C00000019"/>
    <x v="18"/>
    <s v="RA Talcum Powder (25kg)"/>
    <n v="4"/>
    <s v="Cash"/>
    <n v="0"/>
    <d v="2021-11-26T00:00:00"/>
    <n v="11"/>
    <n v="2021"/>
    <n v="250"/>
    <n v="-250"/>
    <n v="0"/>
    <n v="708049.95"/>
    <s v="Trsf"/>
    <s v="Trsf 28/11/21"/>
    <m/>
  </r>
  <r>
    <x v="121"/>
    <x v="6"/>
    <x v="2"/>
    <x v="163"/>
    <s v="C00000019"/>
    <x v="18"/>
    <s v="RA Butanox M50 (5kg)"/>
    <n v="1"/>
    <s v="Cash"/>
    <n v="0"/>
    <d v="2021-11-26T00:00:00"/>
    <n v="11"/>
    <n v="2021"/>
    <n v="100"/>
    <n v="-100"/>
    <n v="0"/>
    <n v="708149.95"/>
    <s v="Trsf"/>
    <s v="Trsf 28/11/21"/>
    <m/>
  </r>
  <r>
    <x v="121"/>
    <x v="6"/>
    <x v="2"/>
    <x v="164"/>
    <s v="C00000019"/>
    <x v="18"/>
    <s v="RA Resin 3338AW (220kg)"/>
    <n v="1"/>
    <s v="Cash"/>
    <n v="0"/>
    <d v="2021-11-26T00:00:00"/>
    <n v="11"/>
    <n v="2021"/>
    <n v="2024"/>
    <n v="-2024"/>
    <n v="0"/>
    <n v="710173.95"/>
    <s v="Trsf"/>
    <s v="Trsf 28/11/21"/>
    <m/>
  </r>
  <r>
    <x v="122"/>
    <x v="6"/>
    <x v="2"/>
    <x v="165"/>
    <s v="C00000008"/>
    <x v="7"/>
    <s v="RA Resin 3317AW (220Kg)"/>
    <n v="1"/>
    <s v="Cash"/>
    <n v="0"/>
    <d v="2021-11-29T00:00:00"/>
    <n v="11"/>
    <n v="2021"/>
    <n v="2090"/>
    <n v="-2090"/>
    <n v="0"/>
    <n v="712263.95"/>
    <s v="Trsf"/>
    <s v="Trsf 21/1/2022, RM4,006.00"/>
    <m/>
  </r>
  <r>
    <x v="122"/>
    <x v="6"/>
    <x v="2"/>
    <x v="165"/>
    <s v="C00000008"/>
    <x v="7"/>
    <s v="RA CSM 450 30kg 79m(L) X 1040mm(W)"/>
    <n v="4"/>
    <s v="Cash"/>
    <n v="0"/>
    <d v="2021-11-29T00:00:00"/>
    <n v="11"/>
    <n v="2021"/>
    <n v="1406"/>
    <n v="-1406"/>
    <n v="0"/>
    <n v="713669.95"/>
    <s v="Trsf"/>
    <s v="Trsf 21/1/2022, RM4,006.00"/>
    <m/>
  </r>
  <r>
    <x v="123"/>
    <x v="0"/>
    <x v="2"/>
    <x v="166"/>
    <s v="C00000020"/>
    <x v="19"/>
    <s v="RA Resin 3317AW (220Kg)"/>
    <n v="3"/>
    <s v="Cash"/>
    <n v="0"/>
    <d v="2021-12-07T00:00:00"/>
    <n v="12"/>
    <n v="2021"/>
    <n v="6138"/>
    <n v="-6138"/>
    <n v="0"/>
    <n v="719807.95"/>
    <s v="Trsf"/>
    <s v="Trsf 7/12/21"/>
    <m/>
  </r>
  <r>
    <x v="123"/>
    <x v="0"/>
    <x v="2"/>
    <x v="166"/>
    <s v="C00000020"/>
    <x v="19"/>
    <s v="RA CSM 450 37kg 79m(L) X 1040mm(W)"/>
    <n v="9"/>
    <s v="Cash"/>
    <n v="0"/>
    <d v="2021-12-07T00:00:00"/>
    <n v="12"/>
    <n v="2021"/>
    <n v="3263.4"/>
    <n v="-3263.4"/>
    <n v="0"/>
    <n v="723071.35"/>
    <s v="Trsf"/>
    <s v="Trsf 7/12/21"/>
    <m/>
  </r>
  <r>
    <x v="123"/>
    <x v="0"/>
    <x v="2"/>
    <x v="166"/>
    <s v="C00000020"/>
    <x v="19"/>
    <s v="RA Woven Roving E-600 (45kg) 1120mm"/>
    <n v="6"/>
    <s v="Cash"/>
    <n v="0"/>
    <d v="2021-12-07T00:00:00"/>
    <n v="12"/>
    <n v="2021"/>
    <n v="2430"/>
    <n v="-2430"/>
    <n v="0"/>
    <n v="725501.35"/>
    <s v="Trsf"/>
    <s v="Trsf 7/12/21"/>
    <m/>
  </r>
  <r>
    <x v="123"/>
    <x v="0"/>
    <x v="2"/>
    <x v="166"/>
    <s v="C00000020"/>
    <x v="19"/>
    <s v="RA Talcum Powder (25kg)"/>
    <n v="3"/>
    <s v="Cash"/>
    <n v="0"/>
    <d v="2021-12-07T00:00:00"/>
    <n v="12"/>
    <n v="2021"/>
    <n v="187.5"/>
    <n v="-187.5"/>
    <n v="0"/>
    <n v="725688.85"/>
    <s v="Trsf"/>
    <s v="Trsf 7/12/21"/>
    <m/>
  </r>
  <r>
    <x v="123"/>
    <x v="0"/>
    <x v="2"/>
    <x v="166"/>
    <s v="C00000020"/>
    <x v="19"/>
    <s v="RA Mepoxe M (5kg)"/>
    <n v="2"/>
    <s v="Cash"/>
    <n v="0"/>
    <d v="2021-12-07T00:00:00"/>
    <n v="12"/>
    <n v="2021"/>
    <n v="170"/>
    <n v="-170"/>
    <n v="0"/>
    <n v="725858.85"/>
    <s v="Trsf"/>
    <s v="Trsf 7/12/21"/>
    <m/>
  </r>
  <r>
    <x v="124"/>
    <x v="0"/>
    <x v="2"/>
    <x v="167"/>
    <s v="C00000013"/>
    <x v="12"/>
    <s v="RA Resin 3317AW (220Kg)"/>
    <n v="1"/>
    <s v="Cash"/>
    <n v="0"/>
    <d v="2021-12-10T00:00:00"/>
    <n v="12"/>
    <n v="2021"/>
    <n v="2112"/>
    <n v="-2112"/>
    <n v="0"/>
    <n v="727970.85"/>
    <s v="Chq"/>
    <s v="Trsf 11 &amp; 12/12/21, RM3,000.00 &amp; 2,175.40"/>
    <m/>
  </r>
  <r>
    <x v="124"/>
    <x v="0"/>
    <x v="2"/>
    <x v="167"/>
    <s v="C00000013"/>
    <x v="12"/>
    <s v="RJ TR104 Hi Temp Wax"/>
    <n v="1"/>
    <s v="Cash"/>
    <n v="0"/>
    <d v="2021-12-10T00:00:00"/>
    <n v="12"/>
    <n v="2021"/>
    <n v="60"/>
    <n v="-60"/>
    <n v="0"/>
    <n v="728030.85"/>
    <s v="Chq"/>
    <s v="Trsf 11 &amp; 12/12/21, RM3,000.00 &amp; 2,175.40"/>
    <m/>
  </r>
  <r>
    <x v="124"/>
    <x v="0"/>
    <x v="2"/>
    <x v="167"/>
    <s v="C00000013"/>
    <x v="12"/>
    <s v="RA Gelcoat GP-H (20Kg)"/>
    <n v="1"/>
    <s v="Cash"/>
    <n v="0"/>
    <d v="2021-12-10T00:00:00"/>
    <n v="12"/>
    <n v="2021"/>
    <n v="270"/>
    <n v="-270"/>
    <n v="0"/>
    <n v="728300.85"/>
    <s v="Chq"/>
    <s v="Trsf 11 &amp; 12/12/21, RM3,000.00 &amp; 2,175.40"/>
    <m/>
  </r>
  <r>
    <x v="124"/>
    <x v="0"/>
    <x v="2"/>
    <x v="167"/>
    <s v="C00000013"/>
    <x v="12"/>
    <s v="RA Pigment H 2006 Dark Grey (5Kg)"/>
    <n v="2"/>
    <s v="Cash"/>
    <n v="0"/>
    <d v="2021-12-10T00:00:00"/>
    <n v="12"/>
    <n v="2021"/>
    <n v="320"/>
    <n v="-320"/>
    <n v="0"/>
    <n v="728620.85"/>
    <s v="Chq"/>
    <s v="Trsf 11 &amp; 12/12/21, RM3,000.00 &amp; 2,175.40"/>
    <m/>
  </r>
  <r>
    <x v="124"/>
    <x v="0"/>
    <x v="2"/>
    <x v="167"/>
    <s v="C00000013"/>
    <x v="12"/>
    <s v="RE Frekote 770NC (1 Gallon)"/>
    <n v="1"/>
    <s v="Cash"/>
    <n v="0"/>
    <d v="2021-12-10T00:00:00"/>
    <n v="12"/>
    <n v="2021"/>
    <n v="390"/>
    <n v="-390"/>
    <n v="0"/>
    <n v="729010.85"/>
    <s v="Chq"/>
    <s v="Trsf 11 &amp; 12/12/21, RM3,000.00 &amp; 2,175.40"/>
    <m/>
  </r>
  <r>
    <x v="124"/>
    <x v="0"/>
    <x v="2"/>
    <x v="167"/>
    <s v="C00000013"/>
    <x v="12"/>
    <s v="RA Mepoxe M (5kg)"/>
    <n v="2"/>
    <s v="Cash"/>
    <n v="0"/>
    <d v="2021-12-10T00:00:00"/>
    <n v="12"/>
    <n v="2021"/>
    <n v="170"/>
    <n v="-170"/>
    <n v="0"/>
    <n v="729180.85"/>
    <s v="Chq"/>
    <s v="Trsf 11 &amp; 12/12/21, RM3,000.00 &amp; 2,175.40"/>
    <m/>
  </r>
  <r>
    <x v="124"/>
    <x v="0"/>
    <x v="2"/>
    <x v="167"/>
    <s v="C00000013"/>
    <x v="12"/>
    <s v="RD Paint Brush 1.1/2&quot;(12Pc/Ctr)"/>
    <n v="1"/>
    <s v="Cash"/>
    <n v="0"/>
    <d v="2021-12-10T00:00:00"/>
    <n v="12"/>
    <n v="2021"/>
    <n v="45"/>
    <n v="-45"/>
    <n v="0"/>
    <n v="729225.85"/>
    <s v="Chq"/>
    <s v="Trsf 11 &amp; 12/12/21, RM3,000.00 &amp; 2,175.40"/>
    <m/>
  </r>
  <r>
    <x v="124"/>
    <x v="0"/>
    <x v="2"/>
    <x v="167"/>
    <s v="C00000013"/>
    <x v="12"/>
    <s v="RA CSM 450 GSM 54kg 64m(L) X 1860mm(W)"/>
    <n v="1"/>
    <s v="Cash"/>
    <n v="0"/>
    <d v="2021-12-10T00:00:00"/>
    <n v="12"/>
    <n v="2021"/>
    <n v="529.20000000000005"/>
    <n v="-529.20000000000005"/>
    <n v="0"/>
    <n v="729755.04999999993"/>
    <s v="Chq"/>
    <s v="Trsf 11 &amp; 12/12/21, RM3,000.00 &amp; 2,175.40"/>
    <m/>
  </r>
  <r>
    <x v="124"/>
    <x v="0"/>
    <x v="2"/>
    <x v="167"/>
    <s v="C00000013"/>
    <x v="12"/>
    <s v="RA CSM 300 GSM 54Kg 96m(L) X 1860mm(W)"/>
    <n v="1"/>
    <s v="Cash"/>
    <n v="0"/>
    <d v="2021-12-10T00:00:00"/>
    <n v="12"/>
    <n v="2021"/>
    <n v="529.20000000000005"/>
    <n v="-529.20000000000005"/>
    <n v="0"/>
    <n v="730284.24999999988"/>
    <s v="Chq"/>
    <s v="Trsf 11 &amp; 12/12/21, RM3,000.00 &amp; 2,175.40"/>
    <m/>
  </r>
  <r>
    <x v="124"/>
    <x v="0"/>
    <x v="2"/>
    <x v="167"/>
    <s v="C00000013"/>
    <x v="12"/>
    <s v="RA Tissue Mat (300M2) 30G/M2 1Meter (9Kg) Soft"/>
    <n v="1"/>
    <s v="Cash"/>
    <n v="0"/>
    <d v="2021-12-10T00:00:00"/>
    <n v="12"/>
    <n v="2021"/>
    <n v="750"/>
    <n v="-750"/>
    <n v="0"/>
    <n v="731034.24999999988"/>
    <s v="Chq"/>
    <s v="Trsf 11 &amp; 12/12/21, RM3,000.00 &amp; 2,175.40"/>
    <m/>
  </r>
  <r>
    <x v="124"/>
    <x v="0"/>
    <x v="2"/>
    <x v="168"/>
    <s v="C00000020"/>
    <x v="19"/>
    <s v="RA Resin 9539W (225Kg)"/>
    <n v="5"/>
    <s v="Cash"/>
    <n v="0"/>
    <d v="2021-12-10T00:00:00"/>
    <n v="12"/>
    <n v="2021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x v="124"/>
    <x v="0"/>
    <x v="2"/>
    <x v="168"/>
    <s v="C00000020"/>
    <x v="19"/>
    <s v="RA CSM 450 TWL 60kg 64m(L) X 2080mm(W)"/>
    <n v="6"/>
    <s v="Cash"/>
    <n v="0"/>
    <d v="2021-12-10T00:00:00"/>
    <n v="12"/>
    <n v="2021"/>
    <n v="3420"/>
    <n v="-3420"/>
    <n v="0"/>
    <n v="744916.74999999988"/>
    <s v="Trsf"/>
    <s v="Trsf 26/2/22-RM2,900.00(2,769.80partial), Trsf 15/3/22-RM16,000.00(RM650.20partial)"/>
    <m/>
  </r>
  <r>
    <x v="124"/>
    <x v="0"/>
    <x v="2"/>
    <x v="168"/>
    <s v="C00000020"/>
    <x v="19"/>
    <s v="RA Woven Roving E-600 (45kg) 1120mm"/>
    <n v="7"/>
    <s v="Cash"/>
    <n v="0"/>
    <d v="2021-12-10T00:00:00"/>
    <n v="12"/>
    <n v="2021"/>
    <n v="2835"/>
    <n v="-2835"/>
    <n v="0"/>
    <n v="747751.74999999988"/>
    <s v="Trsf"/>
    <s v="Trsf 15/3/22-RM16,000.00"/>
    <m/>
  </r>
  <r>
    <x v="124"/>
    <x v="0"/>
    <x v="2"/>
    <x v="168"/>
    <s v="C00000020"/>
    <x v="19"/>
    <s v="RA Talcum Powder (25kg)"/>
    <n v="5"/>
    <s v="Cash"/>
    <n v="0"/>
    <d v="2021-12-10T00:00:00"/>
    <n v="12"/>
    <n v="2021"/>
    <n v="312.5"/>
    <n v="-312.5"/>
    <n v="0"/>
    <n v="748064.24999999988"/>
    <s v="Trsf"/>
    <s v="Trsf 15/3/22-RM16,000.00"/>
    <m/>
  </r>
  <r>
    <x v="124"/>
    <x v="0"/>
    <x v="2"/>
    <x v="168"/>
    <s v="C00000020"/>
    <x v="19"/>
    <s v="RK Smooth Cream (25kg)"/>
    <n v="1"/>
    <s v="Cash"/>
    <n v="0"/>
    <d v="2021-12-10T00:00:00"/>
    <n v="12"/>
    <n v="2021"/>
    <n v="1000"/>
    <n v="-1000"/>
    <n v="0"/>
    <n v="749064.24999999988"/>
    <s v="Trsf"/>
    <s v="Trsf 15/3/22-RM16,000.00"/>
    <m/>
  </r>
  <r>
    <x v="124"/>
    <x v="0"/>
    <x v="2"/>
    <x v="168"/>
    <s v="C00000020"/>
    <x v="19"/>
    <s v="RA Mepoxe M (5kg)"/>
    <n v="2"/>
    <s v="Cash"/>
    <n v="0"/>
    <d v="2021-12-10T00:00:00"/>
    <n v="12"/>
    <n v="2021"/>
    <n v="170"/>
    <n v="-170"/>
    <n v="0"/>
    <n v="749234.24999999988"/>
    <s v="Trsf"/>
    <s v="Trsf 15/3/22-RM16,000.00"/>
    <m/>
  </r>
  <r>
    <x v="124"/>
    <x v="0"/>
    <x v="2"/>
    <x v="168"/>
    <s v="C00000020"/>
    <x v="19"/>
    <s v="RA CSM 450 GSM 51kg 64m(L) X 1860mm(W)"/>
    <n v="1"/>
    <s v="Cash"/>
    <n v="0"/>
    <d v="2021-12-10T00:00:00"/>
    <n v="12"/>
    <n v="2021"/>
    <n v="484.5"/>
    <n v="-484.5"/>
    <n v="0"/>
    <n v="749718.74999999988"/>
    <s v="Trsf"/>
    <s v="Trsf 15/3/22-RM16,000.00"/>
    <m/>
  </r>
  <r>
    <x v="125"/>
    <x v="0"/>
    <x v="2"/>
    <x v="169"/>
    <s v="C00000010"/>
    <x v="9"/>
    <s v="RA Resin 3338AW (220kg)"/>
    <n v="6"/>
    <n v="120"/>
    <n v="120"/>
    <d v="2022-04-14T00:00:00"/>
    <n v="4"/>
    <n v="2022"/>
    <n v="12144"/>
    <n v="-12144"/>
    <n v="0"/>
    <n v="761862.74999999988"/>
    <s v="Trsf"/>
    <s v="Trsf 14/3/2022 RM22,264.00"/>
    <m/>
  </r>
  <r>
    <x v="125"/>
    <x v="0"/>
    <x v="2"/>
    <x v="170"/>
    <s v="C00000004"/>
    <x v="3"/>
    <s v="RA Resin 3338AW (220kg)"/>
    <n v="5"/>
    <n v="120"/>
    <n v="120"/>
    <d v="2022-04-14T00:00:00"/>
    <n v="4"/>
    <n v="2022"/>
    <n v="10120"/>
    <n v="-10120"/>
    <n v="0"/>
    <n v="771982.74999999988"/>
    <s v="Chq"/>
    <s v="HLB010464Cleared21/4/22-RM15,895.80"/>
    <m/>
  </r>
  <r>
    <x v="125"/>
    <x v="0"/>
    <x v="2"/>
    <x v="170"/>
    <s v="C00000004"/>
    <x v="3"/>
    <s v="RF Resin 3338NW (220Kg)"/>
    <n v="1"/>
    <n v="120"/>
    <n v="120"/>
    <d v="2022-04-14T00:00:00"/>
    <n v="4"/>
    <n v="2022"/>
    <n v="2024"/>
    <n v="-2024"/>
    <n v="0"/>
    <n v="774006.74999999988"/>
    <s v="Chq"/>
    <s v="HLB010464Cleared21/4/22-RM15,895.80"/>
    <m/>
  </r>
  <r>
    <x v="125"/>
    <x v="0"/>
    <x v="2"/>
    <x v="170"/>
    <s v="C00000004"/>
    <x v="3"/>
    <s v="RA Mepoxe M (5kg)"/>
    <n v="4"/>
    <n v="120"/>
    <n v="120"/>
    <d v="2022-04-14T00:00:00"/>
    <n v="4"/>
    <n v="2022"/>
    <n v="340"/>
    <n v="-340"/>
    <n v="0"/>
    <n v="774346.74999999988"/>
    <s v="Chq"/>
    <s v="HLB010464Cleared21/4/22-RM15,895.80"/>
    <m/>
  </r>
  <r>
    <x v="126"/>
    <x v="0"/>
    <x v="2"/>
    <x v="171"/>
    <s v="C00000004"/>
    <x v="3"/>
    <s v="RA Accelerator (5kg)"/>
    <n v="1"/>
    <n v="120"/>
    <n v="120"/>
    <d v="2022-04-15T00:00:00"/>
    <n v="4"/>
    <n v="2022"/>
    <n v="390"/>
    <n v="-390"/>
    <n v="0"/>
    <n v="774736.74999999988"/>
    <s v="Chq"/>
    <s v="HLB010464Cleared21/4/22-RM15,895.80"/>
    <m/>
  </r>
  <r>
    <x v="127"/>
    <x v="0"/>
    <x v="2"/>
    <x v="172"/>
    <s v="C00000020"/>
    <x v="19"/>
    <s v="RA Resin 3317AW (220Kg)"/>
    <n v="3"/>
    <s v="Cash"/>
    <n v="0"/>
    <d v="2021-12-20T00:00:00"/>
    <n v="12"/>
    <n v="2021"/>
    <n v="6270"/>
    <n v="-6270"/>
    <n v="0"/>
    <n v="781006.74999999988"/>
    <s v="Trsf"/>
    <s v="Trsf 15/3/22-RM16,000.00"/>
    <m/>
  </r>
  <r>
    <x v="127"/>
    <x v="0"/>
    <x v="2"/>
    <x v="172"/>
    <s v="C00000020"/>
    <x v="19"/>
    <s v="RK Smooth Cream (25kg)"/>
    <n v="1"/>
    <s v="Cash"/>
    <n v="0"/>
    <d v="2021-12-20T00:00:00"/>
    <n v="12"/>
    <n v="2021"/>
    <n v="1000"/>
    <n v="-1000"/>
    <n v="0"/>
    <n v="782006.74999999988"/>
    <s v="Trsf"/>
    <s v="Trsf 15/3/22-RM16,000.00"/>
    <m/>
  </r>
  <r>
    <x v="127"/>
    <x v="0"/>
    <x v="2"/>
    <x v="172"/>
    <s v="C00000020"/>
    <x v="19"/>
    <s v="RA Talcum Powder (25kg)"/>
    <n v="3"/>
    <s v="Cash"/>
    <n v="0"/>
    <d v="2021-12-20T00:00:00"/>
    <n v="12"/>
    <n v="2021"/>
    <n v="187.5"/>
    <n v="-187.5"/>
    <n v="0"/>
    <n v="782194.24999999988"/>
    <s v="Trsf"/>
    <s v="Trsf 15/3/22-RM16,000.00"/>
    <m/>
  </r>
  <r>
    <x v="128"/>
    <x v="0"/>
    <x v="2"/>
    <x v="173"/>
    <s v="C00000004"/>
    <x v="3"/>
    <s v="RA CSM 300 TWL 54Kg 96m(L) X 1860mm(W)"/>
    <n v="1"/>
    <n v="120"/>
    <n v="120"/>
    <d v="2022-04-20T00:00:00"/>
    <n v="4"/>
    <n v="2022"/>
    <n v="513"/>
    <n v="-513"/>
    <n v="0"/>
    <n v="782707.24999999988"/>
    <s v="Chq"/>
    <s v="HLB010464Cleared21/4/22-RM15,895.80"/>
    <m/>
  </r>
  <r>
    <x v="128"/>
    <x v="0"/>
    <x v="2"/>
    <x v="173"/>
    <s v="C00000004"/>
    <x v="3"/>
    <s v="RL CSM 450 Jushi 64kg 1800mm(W)"/>
    <n v="4"/>
    <n v="120"/>
    <n v="120"/>
    <d v="2022-04-20T00:00:00"/>
    <n v="4"/>
    <n v="2022"/>
    <n v="2508.8000000000002"/>
    <n v="-2508.8000000000002"/>
    <n v="0"/>
    <n v="785216.04999999993"/>
    <s v="Chq"/>
    <s v="HLB010464Cleared21/4/22-RM15,895.80"/>
    <m/>
  </r>
  <r>
    <x v="129"/>
    <x v="0"/>
    <x v="2"/>
    <x v="174"/>
    <s v="C00000020"/>
    <x v="19"/>
    <s v="RA Resin 3317AW (220Kg)"/>
    <n v="3"/>
    <s v="Cash"/>
    <n v="0"/>
    <d v="2021-12-22T00:00:00"/>
    <n v="12"/>
    <n v="2021"/>
    <n v="6270"/>
    <n v="-6270"/>
    <n v="0"/>
    <n v="791486.04999999993"/>
    <s v="Trsf"/>
    <s v="Trsf 15/3/22-RM16,000.00(RM3,090.30), Trsf 23/3/22-RM4,800.00(RM3,179.70)"/>
    <m/>
  </r>
  <r>
    <x v="129"/>
    <x v="0"/>
    <x v="2"/>
    <x v="174"/>
    <s v="C00000020"/>
    <x v="19"/>
    <s v="RK Smooth Cream (25kg)"/>
    <n v="1"/>
    <s v="Cash"/>
    <n v="0"/>
    <d v="2021-12-22T00:00:00"/>
    <n v="12"/>
    <n v="2021"/>
    <n v="1000"/>
    <n v="-1000"/>
    <n v="0"/>
    <n v="792486.04999999993"/>
    <s v="Trsf"/>
    <s v="Trsf 23/3/22-RM4,800.00"/>
    <m/>
  </r>
  <r>
    <x v="129"/>
    <x v="0"/>
    <x v="2"/>
    <x v="174"/>
    <s v="C00000020"/>
    <x v="19"/>
    <s v="RA Talcum Powder (25kg)"/>
    <n v="3"/>
    <s v="Cash"/>
    <n v="0"/>
    <d v="2021-12-22T00:00:00"/>
    <n v="12"/>
    <n v="2021"/>
    <n v="187.5"/>
    <n v="-187.5"/>
    <n v="0"/>
    <n v="792673.54999999993"/>
    <s v="Trsf"/>
    <s v="Trsf 23/3/22-RM4,800.00"/>
    <m/>
  </r>
  <r>
    <x v="129"/>
    <x v="0"/>
    <x v="2"/>
    <x v="174"/>
    <s v="C00000020"/>
    <x v="19"/>
    <s v="RL CSM 450 Jushi 37kg 1040mm(W)"/>
    <n v="8"/>
    <s v="Cash"/>
    <n v="0"/>
    <d v="2021-12-22T00:00:00"/>
    <n v="12"/>
    <n v="2021"/>
    <n v="3108"/>
    <n v="-3108"/>
    <n v="0"/>
    <n v="795781.54999999993"/>
    <s v="Trsf"/>
    <s v="Trsf 23/3/22-RM4,800(RM432.80), Trsf 25/3/22-RM6,000.00(RM2,675.20)"/>
    <m/>
  </r>
  <r>
    <x v="130"/>
    <x v="0"/>
    <x v="2"/>
    <x v="175"/>
    <s v="C00000020"/>
    <x v="19"/>
    <s v="RL CSM 450 Jushi 37kg 1040mm(W)"/>
    <n v="2"/>
    <s v="Cash"/>
    <n v="0"/>
    <d v="2021-12-24T00:00:00"/>
    <n v="12"/>
    <n v="2021"/>
    <n v="777"/>
    <n v="-777"/>
    <n v="0"/>
    <n v="796558.54999999993"/>
    <s v="Trsf"/>
    <s v="Trsf 25/3/22-RM6,000.00"/>
    <m/>
  </r>
  <r>
    <x v="131"/>
    <x v="0"/>
    <x v="2"/>
    <x v="176"/>
    <s v="C00000020"/>
    <x v="19"/>
    <s v="RL CSM 450 Jushi 37kg 1040mm(W)"/>
    <n v="2"/>
    <s v="Cash"/>
    <n v="0"/>
    <d v="2021-12-27T00:00:00"/>
    <n v="12"/>
    <n v="2021"/>
    <n v="777"/>
    <n v="-777"/>
    <n v="0"/>
    <n v="797335.54999999993"/>
    <s v="Trsf"/>
    <s v="Trsf 25/3/22-RM6,000.00"/>
    <m/>
  </r>
  <r>
    <x v="131"/>
    <x v="0"/>
    <x v="2"/>
    <x v="176"/>
    <s v="C00000020"/>
    <x v="19"/>
    <s v="RC Woven Roving E-800 1000mm (40Kg)"/>
    <n v="1"/>
    <s v="Cash"/>
    <n v="0"/>
    <d v="2021-12-27T00:00:00"/>
    <n v="12"/>
    <n v="2021"/>
    <n v="300"/>
    <n v="-300"/>
    <n v="0"/>
    <n v="797635.54999999993"/>
    <s v="Trsf"/>
    <s v="Trsf 25/3/22-RM6,000.00"/>
    <m/>
  </r>
  <r>
    <x v="132"/>
    <x v="0"/>
    <x v="2"/>
    <x v="177"/>
    <s v="C00000001"/>
    <x v="0"/>
    <s v="RA Resin 3317AW (220Kg)"/>
    <n v="2"/>
    <s v="Cash"/>
    <n v="0"/>
    <d v="2021-12-28T00:00:00"/>
    <n v="12"/>
    <n v="2021"/>
    <n v="4136"/>
    <n v="-4136"/>
    <n v="0"/>
    <n v="801771.54999999993"/>
    <s v="Trsf"/>
    <s v="Trsf 31/12/21, "/>
    <m/>
  </r>
  <r>
    <x v="132"/>
    <x v="0"/>
    <x v="2"/>
    <x v="177"/>
    <s v="C00000001"/>
    <x v="0"/>
    <s v="RA CSM 450 (30Kg) 64m(L) x 1040mm(W)"/>
    <n v="5"/>
    <s v="Cash"/>
    <n v="0"/>
    <d v="2021-12-28T00:00:00"/>
    <n v="12"/>
    <n v="2021"/>
    <n v="1455"/>
    <n v="-1455"/>
    <n v="0"/>
    <n v="803226.54999999993"/>
    <s v="Trsf"/>
    <s v="Trsf 31/12/21, "/>
    <m/>
  </r>
  <r>
    <x v="133"/>
    <x v="0"/>
    <x v="2"/>
    <x v="178"/>
    <s v="C00000020"/>
    <x v="19"/>
    <s v="RA Resin 3317AW (220Kg)"/>
    <n v="5"/>
    <s v="Cash"/>
    <n v="0"/>
    <d v="2021-12-30T00:00:00"/>
    <n v="12"/>
    <n v="2021"/>
    <n v="10450"/>
    <n v="-10450"/>
    <n v="0"/>
    <n v="813676.54999999993"/>
    <s v="Trsf"/>
    <s v="Trsf 25/3/22-RM6,000.00(RM1,470.80partial), Trsf 22/3/22-RM6,200.00, Trsf 05/04/22-RM7,000.00(2,779.20partial)"/>
    <m/>
  </r>
  <r>
    <x v="133"/>
    <x v="0"/>
    <x v="2"/>
    <x v="178"/>
    <s v="C00000020"/>
    <x v="19"/>
    <s v="RA CSM 450 (30Kg) 64m(L) x 1040mm(W)"/>
    <n v="15"/>
    <s v="Cash"/>
    <n v="0"/>
    <d v="2021-12-30T00:00:00"/>
    <n v="12"/>
    <n v="2021"/>
    <n v="4410"/>
    <n v="-4410"/>
    <n v="0"/>
    <n v="818086.54999999993"/>
    <s v="Trsf"/>
    <s v="Trsf 05/04/22-RM7,000.00(4,220.80(partial), Trsf 7/4/22-RM3,000.00(189.20partial)"/>
    <m/>
  </r>
  <r>
    <x v="133"/>
    <x v="0"/>
    <x v="2"/>
    <x v="178"/>
    <s v="C00000020"/>
    <x v="19"/>
    <s v="RF Woven Roving E-600 (45kg) 1120mm"/>
    <n v="8"/>
    <s v="Cash"/>
    <n v="0"/>
    <d v="2021-12-30T00:00:00"/>
    <n v="12"/>
    <n v="2021"/>
    <n v="2808"/>
    <n v="-2808"/>
    <n v="0"/>
    <n v="820894.54999999993"/>
    <s v="Trsf"/>
    <s v="Trsf 7/4/22-RM3,000.00(2,808.00partial)"/>
    <m/>
  </r>
  <r>
    <x v="133"/>
    <x v="0"/>
    <x v="2"/>
    <x v="178"/>
    <s v="C00000020"/>
    <x v="19"/>
    <s v="RA Talcum Powder (25kg)"/>
    <n v="5"/>
    <s v="Cash"/>
    <n v="0"/>
    <d v="2021-12-30T00:00:00"/>
    <n v="12"/>
    <n v="2021"/>
    <n v="312.5"/>
    <n v="-312.5"/>
    <n v="0"/>
    <n v="821207.04999999993"/>
    <s v="Trsf"/>
    <s v="Trsf 7/4/22-RM3,000.00(2.80partial), Trsf 8/4/22-RM5,000.00(309.70partial)"/>
    <m/>
  </r>
  <r>
    <x v="133"/>
    <x v="0"/>
    <x v="2"/>
    <x v="178"/>
    <s v="C00000020"/>
    <x v="19"/>
    <s v="RK Smooth Cream (25kg)"/>
    <n v="1"/>
    <s v="Cash"/>
    <n v="0"/>
    <d v="2021-12-30T00:00:00"/>
    <n v="12"/>
    <n v="2021"/>
    <n v="1000"/>
    <n v="-1000"/>
    <n v="0"/>
    <n v="822207.04999999993"/>
    <s v="Trsf"/>
    <s v="Trsf 8/4/22-RM5,000.00"/>
    <m/>
  </r>
  <r>
    <x v="133"/>
    <x v="0"/>
    <x v="2"/>
    <x v="178"/>
    <s v="C00000020"/>
    <x v="19"/>
    <s v="RA Mepoxe M (5kg)"/>
    <n v="4"/>
    <s v="Cash"/>
    <n v="0"/>
    <d v="2021-12-30T00:00:00"/>
    <n v="12"/>
    <n v="2021"/>
    <n v="340"/>
    <n v="-340"/>
    <n v="0"/>
    <n v="822547.04999999993"/>
    <s v="Trsf"/>
    <s v="Trsf 8/4/22-RM5,000.00"/>
    <m/>
  </r>
  <r>
    <x v="134"/>
    <x v="0"/>
    <x v="2"/>
    <x v="179"/>
    <s v="C00000010"/>
    <x v="9"/>
    <s v="RA Resin 3338AW (220kg)"/>
    <n v="4"/>
    <n v="120"/>
    <n v="120"/>
    <d v="2022-04-30T00:00:00"/>
    <n v="4"/>
    <n v="2022"/>
    <n v="8096"/>
    <n v="-8096"/>
    <n v="0"/>
    <n v="830643.04999999993"/>
    <s v="Trsf"/>
    <s v="Trsf 14/3/2022 RM22,264.00"/>
    <m/>
  </r>
  <r>
    <x v="134"/>
    <x v="0"/>
    <x v="2"/>
    <x v="179"/>
    <s v="C00000010"/>
    <x v="9"/>
    <s v="RA Resin 3317AW (220Kg)"/>
    <n v="1"/>
    <n v="120"/>
    <n v="120"/>
    <d v="2022-04-30T00:00:00"/>
    <n v="4"/>
    <n v="2022"/>
    <n v="2024"/>
    <n v="-2024"/>
    <n v="0"/>
    <n v="832667.04999999993"/>
    <s v="Trsf"/>
    <s v="Trsf 14/3/2022 RM22,264.00"/>
    <m/>
  </r>
  <r>
    <x v="134"/>
    <x v="0"/>
    <x v="2"/>
    <x v="180"/>
    <s v="C00000019"/>
    <x v="18"/>
    <s v="RA Resin 3338AW (220kg)"/>
    <n v="2"/>
    <s v="Cash"/>
    <n v="0"/>
    <d v="2021-12-31T00:00:00"/>
    <n v="12"/>
    <n v="2021"/>
    <n v="4136"/>
    <n v="-4136"/>
    <n v="0"/>
    <n v="836803.04999999993"/>
    <s v="Trsf"/>
    <s v="Trsf 1/1/2022 RM5,014.80"/>
    <m/>
  </r>
  <r>
    <x v="134"/>
    <x v="0"/>
    <x v="2"/>
    <x v="180"/>
    <s v="C00000019"/>
    <x v="18"/>
    <s v="RA Talcum Powder (25kg)"/>
    <n v="4"/>
    <s v="Cash"/>
    <n v="0"/>
    <d v="2021-12-31T00:00:00"/>
    <n v="12"/>
    <n v="2021"/>
    <n v="250"/>
    <n v="-250"/>
    <n v="0"/>
    <n v="837053.04999999993"/>
    <s v="Trsf"/>
    <s v="Trsf 1/1/2022 RM5,014.80"/>
    <m/>
  </r>
  <r>
    <x v="134"/>
    <x v="0"/>
    <x v="2"/>
    <x v="180"/>
    <s v="C00000019"/>
    <x v="18"/>
    <s v="RA Butanox M50 (5kg)"/>
    <n v="1"/>
    <s v="Cash"/>
    <n v="0"/>
    <d v="2021-12-31T00:00:00"/>
    <n v="12"/>
    <n v="2021"/>
    <n v="105"/>
    <n v="-105"/>
    <n v="0"/>
    <n v="837158.04999999993"/>
    <s v="Trsf"/>
    <s v="Trsf 1/1/2022 RM5,014.80"/>
    <m/>
  </r>
  <r>
    <x v="134"/>
    <x v="0"/>
    <x v="2"/>
    <x v="180"/>
    <s v="C00000019"/>
    <x v="18"/>
    <s v="RG CSM 450 CQ 54kg 64m(L) X 1860mm(W)"/>
    <n v="1"/>
    <s v="Cash"/>
    <n v="0"/>
    <d v="2021-12-31T00:00:00"/>
    <n v="12"/>
    <n v="2021"/>
    <n v="523.79999999999995"/>
    <n v="-523.79999999999995"/>
    <n v="0"/>
    <n v="837681.85"/>
    <s v="Trsf"/>
    <s v="Trsf 1/1/2022 RM5,014.80"/>
    <m/>
  </r>
  <r>
    <x v="135"/>
    <x v="7"/>
    <x v="3"/>
    <x v="181"/>
    <s v="C00000020"/>
    <x v="19"/>
    <s v="RG Resin 3317AW (220Kg)"/>
    <n v="3"/>
    <s v="Cash"/>
    <n v="0"/>
    <d v="2022-01-03T00:00:00"/>
    <n v="1"/>
    <n v="2022"/>
    <n v="6270"/>
    <n v="-6270"/>
    <n v="0"/>
    <n v="843951.85"/>
    <s v="Trsf"/>
    <s v="Trsf 8/4/22-RM5,000.00(3,350.30partial), Trsf 12/4/22-RM10,000.00(2,919.70partial)"/>
    <m/>
  </r>
  <r>
    <x v="135"/>
    <x v="7"/>
    <x v="3"/>
    <x v="181"/>
    <s v="C00000020"/>
    <x v="19"/>
    <s v="RA CSM 450 (30Kg) 64m(L) x 1040mm(W)"/>
    <n v="4"/>
    <s v="Cash"/>
    <n v="0"/>
    <d v="2022-01-03T00:00:00"/>
    <n v="1"/>
    <n v="2022"/>
    <n v="1176"/>
    <n v="-1176"/>
    <n v="0"/>
    <n v="845127.85"/>
    <s v="Trsf"/>
    <s v="Trsf 12/4/22-RM10,000.00"/>
    <m/>
  </r>
  <r>
    <x v="135"/>
    <x v="7"/>
    <x v="3"/>
    <x v="181"/>
    <s v="C00000020"/>
    <x v="19"/>
    <s v="RF Woven Roving E-600 (45kg) 1120mm"/>
    <n v="2"/>
    <s v="Cash"/>
    <n v="0"/>
    <d v="2022-01-03T00:00:00"/>
    <n v="1"/>
    <n v="2022"/>
    <n v="702"/>
    <n v="-702"/>
    <n v="0"/>
    <n v="845829.85"/>
    <s v="Trsf"/>
    <s v="Trsf 12/4/22-RM10,000.00"/>
    <m/>
  </r>
  <r>
    <x v="135"/>
    <x v="7"/>
    <x v="3"/>
    <x v="181"/>
    <s v="C00000020"/>
    <x v="19"/>
    <s v="RA Talcum Powder (25kg)"/>
    <n v="2"/>
    <s v="Cash"/>
    <n v="0"/>
    <d v="2022-01-03T00:00:00"/>
    <n v="1"/>
    <n v="2022"/>
    <n v="125"/>
    <n v="-125"/>
    <n v="0"/>
    <n v="845954.85"/>
    <s v="Trsf"/>
    <s v="Trsf 12/4/22-RM10,000.00"/>
    <m/>
  </r>
  <r>
    <x v="136"/>
    <x v="7"/>
    <x v="3"/>
    <x v="182"/>
    <s v="C00000019"/>
    <x v="18"/>
    <s v="RG TR104 Hi Temp Wax"/>
    <n v="6"/>
    <s v="Cash"/>
    <n v="0"/>
    <d v="2022-01-06T00:00:00"/>
    <n v="1"/>
    <n v="2022"/>
    <n v="360"/>
    <n v="-360"/>
    <n v="0"/>
    <n v="846314.85"/>
    <s v="Trsf"/>
    <s v="Trsf 6/1/2022 RM1,080.00"/>
    <m/>
  </r>
  <r>
    <x v="136"/>
    <x v="7"/>
    <x v="3"/>
    <x v="182"/>
    <s v="C00000019"/>
    <x v="18"/>
    <s v="RE Frekote 770NC (1 Gallon)"/>
    <n v="2"/>
    <s v="Cash"/>
    <n v="0"/>
    <d v="2022-01-06T00:00:00"/>
    <n v="1"/>
    <n v="2022"/>
    <n v="720"/>
    <n v="-720"/>
    <n v="0"/>
    <n v="847034.85"/>
    <s v="Trsf"/>
    <s v="Trsf 6/1/2022 RM1,080.00"/>
    <m/>
  </r>
  <r>
    <x v="137"/>
    <x v="7"/>
    <x v="3"/>
    <x v="183"/>
    <s v="C00000020"/>
    <x v="19"/>
    <s v="RA CSM 450 (30Kg) 64m(L) x 1040mm(W)"/>
    <n v="3"/>
    <s v="Cash"/>
    <n v="0"/>
    <d v="2022-01-07T00:00:00"/>
    <n v="1"/>
    <n v="2022"/>
    <n v="882"/>
    <n v="-882"/>
    <n v="0"/>
    <n v="847916.85"/>
    <s v="Trsf"/>
    <s v="Trsf 7/1/22 RMRM1,223.00"/>
    <m/>
  </r>
  <r>
    <x v="137"/>
    <x v="7"/>
    <x v="3"/>
    <x v="183"/>
    <s v="C00000020"/>
    <x v="19"/>
    <s v="RF Woven Roving E-600 (45kg) 1120mm"/>
    <n v="1"/>
    <s v="Cash"/>
    <n v="0"/>
    <d v="2022-01-07T00:00:00"/>
    <n v="1"/>
    <n v="2022"/>
    <n v="351"/>
    <n v="-351"/>
    <n v="0"/>
    <n v="848267.85"/>
    <s v="Trsf"/>
    <s v="Trsf 7/1/22 RMRM1,223.00"/>
    <m/>
  </r>
  <r>
    <x v="138"/>
    <x v="7"/>
    <x v="3"/>
    <x v="184"/>
    <s v="C00000020"/>
    <x v="19"/>
    <s v="RG Resin 3317AW (220Kg)"/>
    <n v="2"/>
    <s v="Cash"/>
    <n v="0"/>
    <d v="2022-01-08T00:00:00"/>
    <n v="1"/>
    <n v="2022"/>
    <n v="4180"/>
    <n v="-4180"/>
    <n v="0"/>
    <n v="852447.85"/>
    <s v="Trsf"/>
    <s v="Trsf 12/4/22-RM10,000.00"/>
    <m/>
  </r>
  <r>
    <x v="138"/>
    <x v="7"/>
    <x v="3"/>
    <x v="184"/>
    <s v="C00000020"/>
    <x v="19"/>
    <s v="RA CSM 450 (30Kg) 64m(L) x 1040mm(W)"/>
    <n v="7"/>
    <s v="Cash"/>
    <n v="0"/>
    <d v="2022-01-08T00:00:00"/>
    <n v="1"/>
    <n v="2022"/>
    <n v="2058"/>
    <n v="-2058"/>
    <n v="0"/>
    <n v="854505.85"/>
    <s v="Trsf"/>
    <s v="Trsf 12/4/22-RM10,000.00(897.30partial), Trsf 15/4/22-RM3,500.00(1,160.70partial)"/>
    <m/>
  </r>
  <r>
    <x v="138"/>
    <x v="7"/>
    <x v="3"/>
    <x v="184"/>
    <s v="C00000020"/>
    <x v="19"/>
    <s v="RC Woven Roving E-800 1000mm (40Kg)"/>
    <n v="1"/>
    <s v="Cash"/>
    <n v="0"/>
    <d v="2022-01-08T00:00:00"/>
    <n v="1"/>
    <n v="2022"/>
    <n v="312"/>
    <n v="-312"/>
    <n v="0"/>
    <n v="854817.85"/>
    <s v="Trsf"/>
    <s v="Trsf 15/4/22-RM3,500.00"/>
    <m/>
  </r>
  <r>
    <x v="138"/>
    <x v="7"/>
    <x v="3"/>
    <x v="184"/>
    <s v="C00000020"/>
    <x v="19"/>
    <s v="RF Woven Roving E-600 (45kg) 1120mm"/>
    <n v="2"/>
    <s v="Cash"/>
    <n v="0"/>
    <d v="2022-01-08T00:00:00"/>
    <n v="1"/>
    <n v="2022"/>
    <n v="702"/>
    <n v="-702"/>
    <n v="0"/>
    <n v="855519.85"/>
    <s v="Trsf"/>
    <s v="Trsf 15/4/22-RM3,500.00"/>
    <m/>
  </r>
  <r>
    <x v="138"/>
    <x v="7"/>
    <x v="3"/>
    <x v="184"/>
    <s v="C00000020"/>
    <x v="19"/>
    <s v="RA Talcum Powder (25kg)"/>
    <n v="2"/>
    <s v="Cash"/>
    <n v="0"/>
    <d v="2022-01-08T00:00:00"/>
    <n v="1"/>
    <n v="2022"/>
    <n v="125"/>
    <n v="-125"/>
    <n v="0"/>
    <n v="855644.85"/>
    <s v="Trsf"/>
    <s v="Trsf 15/4/22-RM3,500.00"/>
    <m/>
  </r>
  <r>
    <x v="139"/>
    <x v="7"/>
    <x v="3"/>
    <x v="185"/>
    <s v="C00000003"/>
    <x v="2"/>
    <s v="RG Resin 3317AW (220Kg)"/>
    <n v="3"/>
    <n v="45"/>
    <n v="45"/>
    <d v="2022-02-24T00:00:00"/>
    <n v="2"/>
    <n v="2022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x v="139"/>
    <x v="7"/>
    <x v="3"/>
    <x v="185"/>
    <s v="C00000003"/>
    <x v="2"/>
    <s v="RG CSM 300 (30Kg) 64m(L) x 1040mm(W)"/>
    <n v="1"/>
    <n v="45"/>
    <n v="45"/>
    <d v="2022-02-24T00:00:00"/>
    <n v="2"/>
    <n v="2022"/>
    <n v="309"/>
    <n v="-309"/>
    <n v="0"/>
    <n v="862289.85"/>
    <s v="PD Chq"/>
    <s v="RHB001531cleared28/2/22-RM1,800.00(309.00.00partial)"/>
    <m/>
  </r>
  <r>
    <x v="139"/>
    <x v="7"/>
    <x v="3"/>
    <x v="185"/>
    <s v="C00000003"/>
    <x v="2"/>
    <s v="RA Butanox M50 (5Kg)"/>
    <n v="6"/>
    <n v="45"/>
    <n v="45"/>
    <d v="2022-02-24T00:00:00"/>
    <n v="2"/>
    <n v="2022"/>
    <n v="600"/>
    <n v="-600"/>
    <n v="0"/>
    <n v="862889.85"/>
    <s v="PD Chq"/>
    <s v="RHB001531cleared28/2/22-RM1,800.00(600.00.00partial)"/>
    <m/>
  </r>
  <r>
    <x v="139"/>
    <x v="7"/>
    <x v="3"/>
    <x v="185"/>
    <s v="C00000003"/>
    <x v="2"/>
    <s v="RA Miracle Gloss Wax"/>
    <n v="2"/>
    <n v="45"/>
    <n v="45"/>
    <d v="2022-02-24T00:00:00"/>
    <n v="2"/>
    <n v="2022"/>
    <n v="90"/>
    <n v="-90"/>
    <n v="0"/>
    <n v="862979.85"/>
    <s v="PD Chq"/>
    <s v="RHB001531cleared28/2/22-RM1,800.00(90.00.00partial)"/>
    <m/>
  </r>
  <r>
    <x v="140"/>
    <x v="7"/>
    <x v="3"/>
    <x v="186"/>
    <s v="C00000010"/>
    <x v="9"/>
    <s v="RG Resin 3338AW (220kg)"/>
    <n v="4"/>
    <n v="120"/>
    <n v="120"/>
    <d v="2022-05-11T00:00:00"/>
    <n v="5"/>
    <n v="2022"/>
    <n v="8096"/>
    <n v="-8096"/>
    <n v="0"/>
    <n v="871075.85"/>
    <s v="Trsf"/>
    <s v="Trsf 21/4/2022 RM28,820.00"/>
    <m/>
  </r>
  <r>
    <x v="140"/>
    <x v="7"/>
    <x v="3"/>
    <x v="186"/>
    <s v="C00000010"/>
    <x v="9"/>
    <s v="RG CSM 450 30kg 79m(L) X 1040mm(W)"/>
    <n v="20"/>
    <n v="120"/>
    <n v="120"/>
    <d v="2022-05-11T00:00:00"/>
    <n v="5"/>
    <n v="2022"/>
    <n v="5700"/>
    <n v="-5700"/>
    <n v="0"/>
    <n v="876775.85"/>
    <s v="Trsf"/>
    <s v="Trsf 21/4/2022 RM28,820.00"/>
    <m/>
  </r>
  <r>
    <x v="140"/>
    <x v="7"/>
    <x v="3"/>
    <x v="186"/>
    <s v="C00000010"/>
    <x v="9"/>
    <s v="RA Talcum Powder (25kg)"/>
    <n v="10"/>
    <n v="120"/>
    <n v="120"/>
    <d v="2022-05-11T00:00:00"/>
    <n v="5"/>
    <n v="2022"/>
    <n v="550"/>
    <n v="-550"/>
    <n v="0"/>
    <n v="877325.85"/>
    <s v="Trsf"/>
    <s v="Trsf 21/4/2022 RM28,820.00"/>
    <m/>
  </r>
  <r>
    <x v="140"/>
    <x v="7"/>
    <x v="3"/>
    <x v="186"/>
    <s v="C00000010"/>
    <x v="9"/>
    <s v="RA Mepoxe M (5kg)"/>
    <n v="4"/>
    <n v="120"/>
    <n v="120"/>
    <d v="2022-05-11T00:00:00"/>
    <n v="5"/>
    <n v="2022"/>
    <n v="340"/>
    <n v="-340"/>
    <n v="0"/>
    <n v="877665.85"/>
    <s v="Trsf"/>
    <s v="Trsf 21/4/2022 RM28,820.00"/>
    <m/>
  </r>
  <r>
    <x v="140"/>
    <x v="7"/>
    <x v="3"/>
    <x v="186"/>
    <s v="C00000010"/>
    <x v="9"/>
    <s v="RA Aerosil (Silica Fume) (10Kg)"/>
    <n v="1"/>
    <n v="120"/>
    <n v="120"/>
    <d v="2022-05-11T00:00:00"/>
    <n v="5"/>
    <n v="2022"/>
    <n v="440"/>
    <n v="-440"/>
    <n v="0"/>
    <n v="878105.85"/>
    <s v="Trsf"/>
    <s v="Trsf 21/4/2022 RM28,820.00"/>
    <m/>
  </r>
  <r>
    <x v="140"/>
    <x v="7"/>
    <x v="3"/>
    <x v="186"/>
    <s v="C00000010"/>
    <x v="9"/>
    <s v="RD Brush 3&quot; (12 PC)"/>
    <n v="4"/>
    <n v="120"/>
    <n v="120"/>
    <d v="2022-05-11T00:00:00"/>
    <n v="5"/>
    <n v="2022"/>
    <n v="220"/>
    <n v="-220"/>
    <n v="0"/>
    <n v="878325.85"/>
    <s v="Trsf"/>
    <s v="Trsf 21/4/2022 RM28,820.00"/>
    <m/>
  </r>
  <r>
    <x v="141"/>
    <x v="7"/>
    <x v="3"/>
    <x v="187"/>
    <s v="C00000019"/>
    <x v="18"/>
    <s v="RA Resin 3338AW (220kg)"/>
    <n v="2"/>
    <s v="Cash"/>
    <n v="0"/>
    <d v="2022-01-13T00:00:00"/>
    <n v="1"/>
    <n v="2022"/>
    <n v="4136"/>
    <n v="-4136"/>
    <n v="0"/>
    <n v="882461.85"/>
    <s v="Trsf"/>
    <s v="Trsf 14/1/22 RM5,183.60"/>
    <m/>
  </r>
  <r>
    <x v="141"/>
    <x v="7"/>
    <x v="3"/>
    <x v="187"/>
    <s v="C00000019"/>
    <x v="18"/>
    <s v="RG CSM 450 CQ 54kg 64m(L) X 1860mm(W)"/>
    <n v="2"/>
    <s v="Cash"/>
    <n v="0"/>
    <d v="2022-01-13T00:00:00"/>
    <n v="1"/>
    <n v="2022"/>
    <n v="1047.5999999999999"/>
    <n v="-1047.5999999999999"/>
    <n v="0"/>
    <n v="883509.45"/>
    <s v="Trsf"/>
    <s v="Trsf 14/1/22 RM5,183.60"/>
    <m/>
  </r>
  <r>
    <x v="141"/>
    <x v="7"/>
    <x v="3"/>
    <x v="188"/>
    <s v="C00000020"/>
    <x v="19"/>
    <s v="RG Resin 3317AW (220Kg)"/>
    <n v="8"/>
    <s v="Cash"/>
    <n v="0"/>
    <d v="2022-01-13T00:00:00"/>
    <n v="1"/>
    <n v="2022"/>
    <n v="16720"/>
    <n v="-16720"/>
    <n v="0"/>
    <n v="900229.45"/>
    <s v="Trsf"/>
    <s v="Trsf 15/4/22-RM3,500.00(1.200.30partial), Trsf 22/4/22-RM8,000.00, Trsf 27/4/22-RM8,000.00(7,519.70partial)"/>
    <m/>
  </r>
  <r>
    <x v="141"/>
    <x v="7"/>
    <x v="3"/>
    <x v="188"/>
    <s v="C00000020"/>
    <x v="19"/>
    <s v="RA CSM 450 (60Kg) 64m(L) x 2080mm(W)"/>
    <n v="11"/>
    <s v="Cash"/>
    <n v="0"/>
    <d v="2022-01-13T00:00:00"/>
    <n v="1"/>
    <n v="2022"/>
    <n v="6468"/>
    <n v="-6468"/>
    <n v="0"/>
    <n v="906697.45"/>
    <s v="Trsf"/>
    <s v="Trsf 27/4/22-RM8,000.00(480.30partial), Trsf 28/4/22-RM8,000.00(5,987.70partial)"/>
    <m/>
  </r>
  <r>
    <x v="141"/>
    <x v="7"/>
    <x v="3"/>
    <x v="188"/>
    <s v="C00000020"/>
    <x v="19"/>
    <s v="RG Woven Roving E-600 (45kg) 1120mm"/>
    <n v="11"/>
    <s v="Cash"/>
    <n v="0"/>
    <d v="2022-01-13T00:00:00"/>
    <n v="1"/>
    <n v="2022"/>
    <n v="3861"/>
    <n v="-3861"/>
    <n v="0"/>
    <n v="910558.45"/>
    <s v="Trsf"/>
    <s v="Trsf 28/4/22-RM8,000.00(2,012.30partial), Trsf 11/5/22 RM16,000.00(RM1,848.70partial)"/>
    <m/>
  </r>
  <r>
    <x v="141"/>
    <x v="7"/>
    <x v="3"/>
    <x v="188"/>
    <s v="C00000020"/>
    <x v="19"/>
    <s v="RK Smooth Cream (25kg)"/>
    <n v="1"/>
    <s v="Cash"/>
    <n v="0"/>
    <d v="2022-01-13T00:00:00"/>
    <n v="1"/>
    <n v="2022"/>
    <n v="1000"/>
    <n v="-1000"/>
    <n v="0"/>
    <n v="911558.45"/>
    <s v="Trsf"/>
    <s v="Trsf 11/5/22 RM16,000.00"/>
    <m/>
  </r>
  <r>
    <x v="141"/>
    <x v="7"/>
    <x v="3"/>
    <x v="188"/>
    <s v="C00000020"/>
    <x v="19"/>
    <s v="RA Talcum Powder (25kg)"/>
    <n v="8"/>
    <s v="Cash"/>
    <n v="0"/>
    <d v="2022-01-13T00:00:00"/>
    <n v="1"/>
    <n v="2022"/>
    <n v="500"/>
    <n v="-500"/>
    <n v="0"/>
    <n v="912058.45"/>
    <s v="Trsf"/>
    <s v="Trsf 11/5/22 RM16,000.00"/>
    <m/>
  </r>
  <r>
    <x v="142"/>
    <x v="7"/>
    <x v="3"/>
    <x v="189"/>
    <s v="C00000004"/>
    <x v="3"/>
    <s v="RG Nor 3338W (220Kg)"/>
    <n v="2"/>
    <n v="120"/>
    <n v="120"/>
    <d v="2022-05-14T00:00:00"/>
    <n v="5"/>
    <n v="2022"/>
    <n v="4048"/>
    <n v="-4048"/>
    <n v="0"/>
    <n v="916106.45"/>
    <s v="Chq"/>
    <s v="HLB010490Cleared30/5/22-RM31,599.50"/>
    <m/>
  </r>
  <r>
    <x v="142"/>
    <x v="7"/>
    <x v="3"/>
    <x v="189"/>
    <s v="C00000004"/>
    <x v="3"/>
    <s v="RA CSM 450 (60Kg) 64m(L) x 2080mm(W)"/>
    <n v="2"/>
    <n v="120"/>
    <n v="120"/>
    <d v="2022-05-14T00:00:00"/>
    <n v="5"/>
    <n v="2022"/>
    <n v="1140"/>
    <n v="-1140"/>
    <n v="0"/>
    <n v="917246.45"/>
    <s v="Chq"/>
    <s v="HLB010490Cleared30/5/22-RM31,599.50"/>
    <m/>
  </r>
  <r>
    <x v="142"/>
    <x v="7"/>
    <x v="3"/>
    <x v="189"/>
    <s v="C00000004"/>
    <x v="3"/>
    <s v="RA Aerosil (Silica Fume) (10Kg)"/>
    <n v="1"/>
    <n v="120"/>
    <n v="120"/>
    <d v="2022-05-14T00:00:00"/>
    <n v="5"/>
    <n v="2022"/>
    <n v="450"/>
    <n v="-450"/>
    <n v="0"/>
    <n v="917696.45"/>
    <s v="Chq"/>
    <s v="HLB010490Cleared30/5/22-RM31,599.50"/>
    <m/>
  </r>
  <r>
    <x v="142"/>
    <x v="7"/>
    <x v="3"/>
    <x v="189"/>
    <s v="C00000004"/>
    <x v="3"/>
    <s v="RA Mepoxe M (5kg)"/>
    <n v="4"/>
    <n v="120"/>
    <n v="120"/>
    <d v="2022-05-14T00:00:00"/>
    <n v="5"/>
    <n v="2022"/>
    <n v="340"/>
    <n v="-340"/>
    <n v="0"/>
    <n v="918036.45"/>
    <s v="Chq"/>
    <s v="HLB010490Cleared30/5/22-RM31,599.50"/>
    <m/>
  </r>
  <r>
    <x v="142"/>
    <x v="7"/>
    <x v="3"/>
    <x v="189"/>
    <s v="C00000004"/>
    <x v="3"/>
    <s v="RA Gelcoat GP-H (20kg)"/>
    <n v="2"/>
    <n v="120"/>
    <n v="120"/>
    <d v="2022-05-14T00:00:00"/>
    <n v="5"/>
    <n v="2022"/>
    <n v="540"/>
    <n v="-540"/>
    <n v="0"/>
    <n v="918576.45"/>
    <s v="Chq"/>
    <s v="HLB010490Cleared30/5/22-RM31,599.50"/>
    <m/>
  </r>
  <r>
    <x v="142"/>
    <x v="7"/>
    <x v="3"/>
    <x v="189"/>
    <s v="C00000004"/>
    <x v="3"/>
    <s v="RG CSM 300 (30Kg) 64m(L) x 1040mm(W)"/>
    <n v="1"/>
    <n v="120"/>
    <n v="120"/>
    <d v="2022-05-14T00:00:00"/>
    <n v="5"/>
    <n v="2022"/>
    <n v="285"/>
    <n v="-285"/>
    <n v="0"/>
    <n v="918861.45"/>
    <s v="Chq"/>
    <s v="HLB010490Cleared30/5/22-RM31,599.50"/>
    <m/>
  </r>
  <r>
    <x v="142"/>
    <x v="7"/>
    <x v="3"/>
    <x v="190"/>
    <s v="C00000004"/>
    <x v="3"/>
    <s v="RG CSM 300 (30Kg) 64m(L) x 1040mm(W)"/>
    <n v="4"/>
    <n v="120"/>
    <n v="120"/>
    <d v="2022-05-14T00:00:00"/>
    <n v="5"/>
    <n v="2022"/>
    <n v="1140"/>
    <n v="-1140"/>
    <n v="0"/>
    <n v="920001.45"/>
    <s v="Chq"/>
    <s v="HLB010490Cleared30/5/22-RM31,599.50"/>
    <m/>
  </r>
  <r>
    <x v="142"/>
    <x v="7"/>
    <x v="3"/>
    <x v="190"/>
    <s v="C00000004"/>
    <x v="3"/>
    <s v="RA Talcum Powder (25kg)"/>
    <n v="1"/>
    <n v="120"/>
    <n v="120"/>
    <d v="2022-05-14T00:00:00"/>
    <n v="5"/>
    <n v="2022"/>
    <n v="62.5"/>
    <n v="-62.5"/>
    <n v="0"/>
    <n v="920063.95"/>
    <s v="Chq"/>
    <s v="HLB010490Cleared30/5/22-RM31,599.50"/>
    <m/>
  </r>
  <r>
    <x v="143"/>
    <x v="7"/>
    <x v="3"/>
    <x v="191"/>
    <s v="C00000004"/>
    <x v="3"/>
    <s v="RA Nor 3338W (220Kg)"/>
    <n v="3"/>
    <n v="120"/>
    <n v="120"/>
    <d v="2022-05-17T00:00:00"/>
    <n v="5"/>
    <n v="2022"/>
    <n v="6072"/>
    <n v="-6072"/>
    <n v="0"/>
    <n v="926135.95"/>
    <s v="Chq"/>
    <s v="HLB010490Cleared30/5/22-RM31,599.50"/>
    <m/>
  </r>
  <r>
    <x v="143"/>
    <x v="7"/>
    <x v="3"/>
    <x v="191"/>
    <s v="C00000004"/>
    <x v="3"/>
    <s v="RF Nor 3338NW (220Kg)"/>
    <n v="1"/>
    <n v="120"/>
    <n v="120"/>
    <d v="2022-05-17T00:00:00"/>
    <n v="5"/>
    <n v="2022"/>
    <n v="2024"/>
    <n v="-2024"/>
    <n v="0"/>
    <n v="928159.95"/>
    <s v="Chq"/>
    <s v="HLB010490Cleared30/5/22-RM31,599.50"/>
    <m/>
  </r>
  <r>
    <x v="143"/>
    <x v="7"/>
    <x v="3"/>
    <x v="191"/>
    <s v="C00000004"/>
    <x v="3"/>
    <s v="RA Accelerator (5Kg)"/>
    <n v="1"/>
    <n v="120"/>
    <n v="120"/>
    <d v="2022-05-17T00:00:00"/>
    <n v="5"/>
    <n v="2022"/>
    <n v="390"/>
    <n v="-390"/>
    <n v="0"/>
    <n v="928549.95"/>
    <s v="Chq"/>
    <s v="HLB010490Cleared30/5/22-RM31,599.50"/>
    <m/>
  </r>
  <r>
    <x v="144"/>
    <x v="7"/>
    <x v="3"/>
    <x v="192"/>
    <s v="C00000020"/>
    <x v="19"/>
    <s v="RG Resin 3317AW (220Kg)"/>
    <n v="3"/>
    <s v="Cash"/>
    <n v="0"/>
    <d v="2022-01-18T00:00:00"/>
    <n v="1"/>
    <n v="2022"/>
    <n v="6270"/>
    <n v="-6270"/>
    <n v="0"/>
    <n v="934819.95"/>
    <s v="Trsf"/>
    <s v="Trsf 11/5/22 RM16,000.00"/>
    <m/>
  </r>
  <r>
    <x v="144"/>
    <x v="7"/>
    <x v="3"/>
    <x v="192"/>
    <s v="C00000020"/>
    <x v="19"/>
    <s v="RA CSM 450 (60Kg) 64m(L) x 2080mm(W)"/>
    <n v="4"/>
    <s v="Cash"/>
    <n v="0"/>
    <d v="2022-01-18T00:00:00"/>
    <n v="1"/>
    <n v="2022"/>
    <n v="2352"/>
    <n v="-2352"/>
    <n v="0"/>
    <n v="937171.95"/>
    <s v="Trsf"/>
    <s v="Trsf 11/5/22 RM16,000.00"/>
    <m/>
  </r>
  <r>
    <x v="144"/>
    <x v="7"/>
    <x v="3"/>
    <x v="192"/>
    <s v="C00000020"/>
    <x v="19"/>
    <s v="RG Woven Roving E-600 (45kg) 1120mm"/>
    <n v="5"/>
    <s v="Cash"/>
    <n v="0"/>
    <d v="2022-01-18T00:00:00"/>
    <n v="1"/>
    <n v="2022"/>
    <n v="1755"/>
    <n v="-1755"/>
    <n v="0"/>
    <n v="938926.95"/>
    <s v="Trsf"/>
    <s v="Trsf 11/5/22 RM16,000.00"/>
    <m/>
  </r>
  <r>
    <x v="144"/>
    <x v="7"/>
    <x v="3"/>
    <x v="192"/>
    <s v="C00000020"/>
    <x v="19"/>
    <s v="RK Smooth Cream (25kg)"/>
    <n v="1"/>
    <s v="Cash"/>
    <n v="0"/>
    <d v="2022-01-18T00:00:00"/>
    <n v="1"/>
    <n v="2022"/>
    <n v="1000"/>
    <n v="-1000"/>
    <n v="0"/>
    <n v="939926.95"/>
    <s v="Trsf"/>
    <s v="Trsf 11/5/22 RM16,000.00"/>
    <m/>
  </r>
  <r>
    <x v="144"/>
    <x v="7"/>
    <x v="3"/>
    <x v="192"/>
    <s v="C00000020"/>
    <x v="19"/>
    <s v="RA Talcum Powder (25kg)"/>
    <n v="2"/>
    <s v="Cash"/>
    <n v="0"/>
    <d v="2022-01-18T00:00:00"/>
    <n v="1"/>
    <n v="2022"/>
    <n v="125"/>
    <n v="-125"/>
    <n v="0"/>
    <n v="940051.95"/>
    <s v="Trsf"/>
    <s v="Trsf 11/5/22 RM16,000.00"/>
    <m/>
  </r>
  <r>
    <x v="145"/>
    <x v="7"/>
    <x v="3"/>
    <x v="193"/>
    <s v="C00000019"/>
    <x v="18"/>
    <s v="RG Nor 3338W (220Kg)"/>
    <n v="1"/>
    <s v="Cash"/>
    <n v="0"/>
    <d v="2022-01-22T00:00:00"/>
    <n v="1"/>
    <n v="2022"/>
    <n v="2068"/>
    <n v="-2068"/>
    <n v="0"/>
    <n v="942119.95"/>
    <s v="Trsf"/>
    <s v="Trsf  23/1/22 RM2,696.80"/>
    <m/>
  </r>
  <r>
    <x v="145"/>
    <x v="7"/>
    <x v="3"/>
    <x v="193"/>
    <s v="C00000019"/>
    <x v="18"/>
    <s v="RG CSM 450 CQ 54kg 64m(L) X 1860mm(W)"/>
    <n v="1"/>
    <s v="Cash"/>
    <n v="0"/>
    <d v="2022-01-22T00:00:00"/>
    <n v="1"/>
    <n v="2022"/>
    <n v="523.79999999999995"/>
    <n v="-523.79999999999995"/>
    <n v="0"/>
    <n v="942643.75"/>
    <s v="Trsf"/>
    <s v="Trsf  23/1/22 RM2,696.80"/>
    <m/>
  </r>
  <r>
    <x v="145"/>
    <x v="7"/>
    <x v="3"/>
    <x v="193"/>
    <s v="C00000019"/>
    <x v="18"/>
    <s v="RA Butanox M50"/>
    <n v="1"/>
    <s v="Cash"/>
    <n v="0"/>
    <d v="2022-01-22T00:00:00"/>
    <n v="1"/>
    <n v="2022"/>
    <n v="105"/>
    <n v="-105"/>
    <n v="0"/>
    <n v="942748.75"/>
    <s v="Trsf"/>
    <s v="Trsf  23/1/22 RM2,696.80"/>
    <m/>
  </r>
  <r>
    <x v="146"/>
    <x v="7"/>
    <x v="3"/>
    <x v="194"/>
    <s v="C00000010"/>
    <x v="9"/>
    <s v="RA Resin 3338AW (220kg)"/>
    <n v="6"/>
    <n v="120"/>
    <n v="120"/>
    <d v="2022-05-24T00:00:00"/>
    <n v="5"/>
    <n v="2022"/>
    <n v="12144"/>
    <n v="-12144"/>
    <n v="0"/>
    <n v="954892.75"/>
    <s v="Trsf"/>
    <s v="Trsf 21/4/2022 RM28,820.00"/>
    <m/>
  </r>
  <r>
    <x v="146"/>
    <x v="7"/>
    <x v="3"/>
    <x v="194"/>
    <s v="C00000010"/>
    <x v="9"/>
    <s v="RA Talcum Powder (25kg)"/>
    <n v="10"/>
    <n v="120"/>
    <n v="120"/>
    <d v="2022-05-24T00:00:00"/>
    <n v="5"/>
    <n v="2022"/>
    <n v="550"/>
    <n v="-550"/>
    <n v="0"/>
    <n v="955442.75"/>
    <s v="Trsf"/>
    <s v="Trsf 21/4/2022 RM28,820.00"/>
    <m/>
  </r>
  <r>
    <x v="146"/>
    <x v="7"/>
    <x v="3"/>
    <x v="194"/>
    <s v="C00000010"/>
    <x v="9"/>
    <s v="RA Mepoxe M (5kg)"/>
    <n v="4"/>
    <n v="120"/>
    <n v="120"/>
    <d v="2022-05-24T00:00:00"/>
    <n v="5"/>
    <n v="2022"/>
    <n v="340"/>
    <n v="-340"/>
    <n v="0"/>
    <n v="955782.75"/>
    <s v="Trsf"/>
    <s v="Trsf 21/4/2022 RM28,820.00"/>
    <m/>
  </r>
  <r>
    <x v="146"/>
    <x v="7"/>
    <x v="3"/>
    <x v="194"/>
    <s v="C00000010"/>
    <x v="9"/>
    <s v="RA Aerosil (Silica Fume) (10Kg)"/>
    <n v="1"/>
    <n v="120"/>
    <n v="120"/>
    <d v="2022-05-24T00:00:00"/>
    <n v="5"/>
    <n v="2022"/>
    <n v="440"/>
    <n v="-440"/>
    <n v="0"/>
    <n v="956222.75"/>
    <s v="Trsf"/>
    <s v="Trsf 21/4/2022 RM28,820.00"/>
    <m/>
  </r>
  <r>
    <x v="147"/>
    <x v="7"/>
    <x v="3"/>
    <x v="195"/>
    <s v="C00000006"/>
    <x v="5"/>
    <s v="RG Nor 3338W (220Kg)"/>
    <n v="1"/>
    <s v="Cash"/>
    <n v="0"/>
    <d v="2022-01-25T00:00:00"/>
    <n v="1"/>
    <n v="2022"/>
    <n v="2024"/>
    <n v="-2024"/>
    <n v="0"/>
    <n v="958246.75"/>
    <s v="Chq"/>
    <s v="chq 934918 21/02/2022"/>
    <m/>
  </r>
  <r>
    <x v="147"/>
    <x v="7"/>
    <x v="3"/>
    <x v="195"/>
    <s v="C00000006"/>
    <x v="5"/>
    <s v="RG CSM 300 (30Kg) 64m(L) x 1040mm(W)"/>
    <n v="1"/>
    <s v="Cash"/>
    <n v="0"/>
    <d v="2022-01-25T00:00:00"/>
    <n v="1"/>
    <n v="2022"/>
    <n v="285"/>
    <n v="-285"/>
    <n v="0"/>
    <n v="958531.75"/>
    <s v="Chq"/>
    <s v="chq 934918 21/02/2022"/>
    <m/>
  </r>
  <r>
    <x v="148"/>
    <x v="7"/>
    <x v="3"/>
    <x v="196"/>
    <s v="C00000004"/>
    <x v="3"/>
    <s v="RG Nor 3338W (220Kg)"/>
    <n v="5"/>
    <n v="120"/>
    <n v="120"/>
    <d v="2022-05-26T00:00:00"/>
    <n v="5"/>
    <n v="2022"/>
    <n v="10120"/>
    <n v="-10120"/>
    <n v="0"/>
    <n v="968651.75"/>
    <s v="Chq"/>
    <s v="HLB010490Cleared30/5/22-RM31,599.50"/>
    <m/>
  </r>
  <r>
    <x v="148"/>
    <x v="7"/>
    <x v="3"/>
    <x v="196"/>
    <s v="C00000004"/>
    <x v="3"/>
    <s v="RG Nor 3338NW (220Kg)"/>
    <n v="1"/>
    <n v="120"/>
    <n v="120"/>
    <d v="2022-05-26T00:00:00"/>
    <n v="5"/>
    <n v="2022"/>
    <n v="2024"/>
    <n v="-2024"/>
    <n v="0"/>
    <n v="970675.75"/>
    <s v="Chq"/>
    <s v="HLB010490Cleared30/5/22-RM31,599.50"/>
    <m/>
  </r>
  <r>
    <x v="148"/>
    <x v="7"/>
    <x v="3"/>
    <x v="196"/>
    <s v="C00000004"/>
    <x v="3"/>
    <s v="RG CSM 300 (30Kg) 64m(L) x 1040mm(W)"/>
    <n v="5"/>
    <n v="120"/>
    <n v="120"/>
    <d v="2022-05-26T00:00:00"/>
    <n v="5"/>
    <n v="2022"/>
    <n v="1425"/>
    <n v="-1425"/>
    <n v="0"/>
    <n v="972100.75"/>
    <s v="Chq"/>
    <s v="HLB010490Cleared30/5/22-RM31,599.50"/>
    <m/>
  </r>
  <r>
    <x v="148"/>
    <x v="7"/>
    <x v="3"/>
    <x v="196"/>
    <s v="C00000004"/>
    <x v="3"/>
    <s v="RG CSM 450 CQ 54kg 64m(L) X 1860mm(W)"/>
    <n v="3"/>
    <n v="120"/>
    <n v="120"/>
    <d v="2022-05-26T00:00:00"/>
    <n v="5"/>
    <n v="2022"/>
    <n v="1539"/>
    <n v="-1539"/>
    <n v="0"/>
    <n v="973639.75"/>
    <s v="Chq"/>
    <s v="HLB010490Cleared30/5/22-RM31,599.50"/>
    <m/>
  </r>
  <r>
    <x v="149"/>
    <x v="8"/>
    <x v="3"/>
    <x v="197"/>
    <s v="C00000019"/>
    <x v="18"/>
    <s v="RG Nor 3338W (220Kg)"/>
    <n v="2"/>
    <s v="Cash"/>
    <n v="0"/>
    <d v="2022-02-10T00:00:00"/>
    <n v="2"/>
    <n v="2022"/>
    <n v="4136"/>
    <n v="-4136"/>
    <n v="0"/>
    <n v="977775.75"/>
    <s v="Trsf"/>
    <s v="Trsf 12/2/22 RM6,532.40"/>
    <m/>
  </r>
  <r>
    <x v="149"/>
    <x v="8"/>
    <x v="3"/>
    <x v="197"/>
    <s v="C00000019"/>
    <x v="18"/>
    <s v="RG CSM 450 CQ 54kg 64m(L) X 1860mm(W)"/>
    <n v="3"/>
    <s v="Cash"/>
    <n v="0"/>
    <d v="2022-02-10T00:00:00"/>
    <n v="2"/>
    <n v="2022"/>
    <n v="1571.4"/>
    <n v="-1571.4"/>
    <n v="0"/>
    <n v="979347.15"/>
    <s v="Trsf"/>
    <s v="Trsf 12/2/22 RM6,532.40"/>
    <m/>
  </r>
  <r>
    <x v="149"/>
    <x v="8"/>
    <x v="3"/>
    <x v="197"/>
    <s v="C00000019"/>
    <x v="18"/>
    <s v="RA Butanox M50 (5Kg)"/>
    <n v="1"/>
    <s v="Cash"/>
    <n v="0"/>
    <d v="2022-02-10T00:00:00"/>
    <n v="2"/>
    <n v="2022"/>
    <n v="105"/>
    <n v="-105"/>
    <n v="0"/>
    <n v="979452.15"/>
    <s v="Trsf"/>
    <s v="Trsf 12/2/22 RM6,532.40"/>
    <m/>
  </r>
  <r>
    <x v="149"/>
    <x v="8"/>
    <x v="3"/>
    <x v="197"/>
    <s v="C00000019"/>
    <x v="18"/>
    <s v="RE Frekote 770NC (1 Gallon)"/>
    <n v="2"/>
    <s v="Cash"/>
    <n v="0"/>
    <d v="2022-02-10T00:00:00"/>
    <n v="2"/>
    <n v="2022"/>
    <n v="720"/>
    <n v="-720"/>
    <n v="0"/>
    <n v="980172.15"/>
    <s v="Trsf"/>
    <s v="Trsf 12/2/22 RM6,532.40"/>
    <m/>
  </r>
  <r>
    <x v="150"/>
    <x v="8"/>
    <x v="3"/>
    <x v="198"/>
    <s v="C00000004"/>
    <x v="3"/>
    <s v="RA Mepoxe M (5kg)"/>
    <n v="4"/>
    <n v="120"/>
    <n v="120"/>
    <d v="2022-06-15T00:00:00"/>
    <n v="6"/>
    <n v="2022"/>
    <n v="340"/>
    <n v="-340"/>
    <n v="0"/>
    <n v="980512.15"/>
    <s v="Chq"/>
    <s v="HLB011600Cleared23/6/22-RM1,480.00"/>
    <m/>
  </r>
  <r>
    <x v="150"/>
    <x v="8"/>
    <x v="3"/>
    <x v="198"/>
    <s v="C00000004"/>
    <x v="3"/>
    <s v="RG CSM 300 (30Kg) 64m(L) x 1040mm(W)"/>
    <n v="4"/>
    <n v="120"/>
    <n v="120"/>
    <d v="2022-06-15T00:00:00"/>
    <n v="6"/>
    <n v="2022"/>
    <n v="1140"/>
    <n v="-1140"/>
    <n v="0"/>
    <n v="981652.15"/>
    <s v="Chq"/>
    <s v="HLB011600Cleared23/6/22-RM1,480.00"/>
    <m/>
  </r>
  <r>
    <x v="151"/>
    <x v="8"/>
    <x v="3"/>
    <x v="199"/>
    <s v="C00000010"/>
    <x v="9"/>
    <s v="RG Resin 3338AW (220kg)"/>
    <n v="6"/>
    <n v="120"/>
    <n v="120"/>
    <d v="2022-06-17T00:00:00"/>
    <n v="6"/>
    <n v="2022"/>
    <n v="11880"/>
    <n v="-11880"/>
    <n v="0"/>
    <n v="993532.15"/>
    <s v="Trsf"/>
    <s v="Trsf 23/5/22 RM14,395.00"/>
    <m/>
  </r>
  <r>
    <x v="151"/>
    <x v="8"/>
    <x v="3"/>
    <x v="199"/>
    <s v="C00000010"/>
    <x v="9"/>
    <s v="RG CSM 450 (30Kg) 64m(L) x 1040mm(W)"/>
    <n v="5"/>
    <n v="120"/>
    <n v="120"/>
    <d v="2022-06-17T00:00:00"/>
    <n v="6"/>
    <n v="2022"/>
    <n v="1425"/>
    <n v="-1425"/>
    <n v="0"/>
    <n v="994957.15"/>
    <s v="Trsf"/>
    <s v="Trsf 23/5/22 RM14,395.00"/>
    <m/>
  </r>
  <r>
    <x v="151"/>
    <x v="8"/>
    <x v="3"/>
    <x v="199"/>
    <s v="C00000010"/>
    <x v="9"/>
    <s v="RA Talcum Powder (25kg)"/>
    <n v="5"/>
    <n v="120"/>
    <n v="120"/>
    <d v="2022-06-17T00:00:00"/>
    <n v="6"/>
    <n v="2022"/>
    <n v="275"/>
    <n v="-275"/>
    <n v="0"/>
    <n v="995232.15"/>
    <s v="Trsf"/>
    <s v="Trsf 23/5/22 RM14,395.00"/>
    <m/>
  </r>
  <r>
    <x v="151"/>
    <x v="8"/>
    <x v="3"/>
    <x v="199"/>
    <s v="C00000010"/>
    <x v="9"/>
    <s v="RH Bosny Wax (15Kg)"/>
    <n v="1"/>
    <n v="120"/>
    <n v="120"/>
    <d v="2022-06-17T00:00:00"/>
    <n v="6"/>
    <n v="2022"/>
    <n v="375"/>
    <n v="-375"/>
    <n v="0"/>
    <n v="995607.15"/>
    <s v="Trsf"/>
    <s v="Trsf 23/5/22 RM14,395.00"/>
    <m/>
  </r>
  <r>
    <x v="151"/>
    <x v="8"/>
    <x v="3"/>
    <x v="199"/>
    <s v="C00000010"/>
    <x v="9"/>
    <s v="RA Aerosil (Silica Fume) (10Kg)"/>
    <n v="1"/>
    <n v="120"/>
    <n v="120"/>
    <d v="2022-06-17T00:00:00"/>
    <n v="6"/>
    <n v="2022"/>
    <n v="440"/>
    <n v="-440"/>
    <n v="0"/>
    <n v="996047.15"/>
    <s v="Trsf"/>
    <s v="Trsf 23/5/22 RM14,395.00"/>
    <m/>
  </r>
  <r>
    <x v="152"/>
    <x v="8"/>
    <x v="3"/>
    <x v="200"/>
    <s v="C00000009"/>
    <x v="8"/>
    <s v="RG Nor 3338W (220Kg)"/>
    <n v="2"/>
    <n v="60"/>
    <n v="60"/>
    <d v="2022-04-19T00:00:00"/>
    <n v="4"/>
    <n v="2022"/>
    <n v="3960"/>
    <n v="-3960"/>
    <n v="0"/>
    <n v="1000007.15"/>
    <s v="Chq"/>
    <s v="HLIB 015672dd250522 RM5,940,00"/>
    <m/>
  </r>
  <r>
    <x v="152"/>
    <x v="8"/>
    <x v="3"/>
    <x v="200"/>
    <s v="C00000009"/>
    <x v="8"/>
    <s v="RM Nor 3338NW (220Kg)"/>
    <n v="1"/>
    <n v="60"/>
    <n v="60"/>
    <d v="2022-04-19T00:00:00"/>
    <n v="4"/>
    <n v="2022"/>
    <n v="1980"/>
    <n v="-1980"/>
    <n v="0"/>
    <n v="1001987.15"/>
    <s v="Chq"/>
    <s v="HLIB 015672dd250522 RM5,940,00"/>
    <m/>
  </r>
  <r>
    <x v="153"/>
    <x v="8"/>
    <x v="3"/>
    <x v="201"/>
    <s v="C00000003"/>
    <x v="2"/>
    <s v="RG Resin 3317AW (220Kg)"/>
    <n v="3"/>
    <n v="45"/>
    <n v="45"/>
    <d v="2022-04-05T00:00:00"/>
    <n v="4"/>
    <n v="2022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x v="153"/>
    <x v="8"/>
    <x v="3"/>
    <x v="201"/>
    <s v="C00000003"/>
    <x v="2"/>
    <s v="RA Talcum Powder (25kg)"/>
    <n v="4"/>
    <n v="45"/>
    <n v="45"/>
    <d v="2022-04-05T00:00:00"/>
    <n v="4"/>
    <n v="2022"/>
    <n v="260"/>
    <n v="-260"/>
    <n v="0"/>
    <n v="1008583.15"/>
    <s v="PD Chq"/>
    <s v="RHB001569cleared11/4/22-RM1,586.00"/>
    <m/>
  </r>
  <r>
    <x v="153"/>
    <x v="8"/>
    <x v="3"/>
    <x v="201"/>
    <s v="C00000003"/>
    <x v="2"/>
    <s v="RA Butanox M50 (5Kg)"/>
    <n v="6"/>
    <n v="45"/>
    <n v="45"/>
    <d v="2022-04-05T00:00:00"/>
    <n v="4"/>
    <n v="2022"/>
    <n v="630"/>
    <n v="-630"/>
    <n v="0"/>
    <n v="1009213.15"/>
    <s v="PD Chq"/>
    <s v="RHB001569cleared11/4/22-RM1,586.00"/>
    <m/>
  </r>
  <r>
    <x v="153"/>
    <x v="8"/>
    <x v="3"/>
    <x v="201"/>
    <s v="C00000003"/>
    <x v="2"/>
    <s v="RA Miracle Gloss Wax"/>
    <n v="1"/>
    <n v="45"/>
    <n v="45"/>
    <d v="2022-04-05T00:00:00"/>
    <n v="4"/>
    <n v="2022"/>
    <n v="45"/>
    <n v="-45"/>
    <n v="0"/>
    <n v="1009258.15"/>
    <s v="PD Chq"/>
    <s v="RHB001569cleared11/4/22-RM1,586.00"/>
    <m/>
  </r>
  <r>
    <x v="154"/>
    <x v="8"/>
    <x v="3"/>
    <x v="202"/>
    <s v="C00000021"/>
    <x v="21"/>
    <s v="RG Resin 3317AW (220Kg)"/>
    <n v="2"/>
    <s v="Cash"/>
    <n v="0"/>
    <d v="2022-02-21T00:00:00"/>
    <n v="2"/>
    <n v="2022"/>
    <n v="3960"/>
    <n v="-3960"/>
    <n v="0"/>
    <n v="1013218.15"/>
    <s v="PD Chq"/>
    <s v="PBB395355cleared31/3/22 RM5,822.00"/>
    <m/>
  </r>
  <r>
    <x v="154"/>
    <x v="8"/>
    <x v="3"/>
    <x v="202"/>
    <s v="C00000021"/>
    <x v="21"/>
    <s v="RG CSM 450 (30Kg) 64m(L) x 1040mm(W)"/>
    <n v="6"/>
    <s v="Cash"/>
    <n v="0"/>
    <d v="2022-02-21T00:00:00"/>
    <n v="2"/>
    <n v="2022"/>
    <n v="1692"/>
    <n v="-1692"/>
    <n v="0"/>
    <n v="1014910.15"/>
    <s v="PD Chq"/>
    <s v="PBB395355cleared31/3/22 RM5,822.01"/>
    <m/>
  </r>
  <r>
    <x v="154"/>
    <x v="8"/>
    <x v="3"/>
    <x v="202"/>
    <s v="C00000021"/>
    <x v="21"/>
    <s v="RA Mepoxe M (5kg)"/>
    <n v="2"/>
    <s v="Cash"/>
    <n v="0"/>
    <d v="2022-02-21T00:00:00"/>
    <n v="2"/>
    <n v="2022"/>
    <n v="170"/>
    <n v="-170"/>
    <n v="0"/>
    <n v="1015080.15"/>
    <s v="PD Chq"/>
    <s v="PBB395355cleared31/3/22 RM5,822.02"/>
    <m/>
  </r>
  <r>
    <x v="154"/>
    <x v="8"/>
    <x v="3"/>
    <x v="203"/>
    <s v="C00000006"/>
    <x v="5"/>
    <s v="RA Pigment Super White (5kg)"/>
    <n v="1"/>
    <s v="Cash"/>
    <n v="0"/>
    <d v="2022-02-21T00:00:00"/>
    <n v="2"/>
    <n v="2022"/>
    <n v="175"/>
    <n v="-175"/>
    <n v="0"/>
    <n v="1015255.15"/>
    <s v="Chq"/>
    <s v="RHB 934926 cleared18/4/22-RM2,580.50"/>
    <m/>
  </r>
  <r>
    <x v="155"/>
    <x v="8"/>
    <x v="3"/>
    <x v="204"/>
    <s v="C00000019"/>
    <x v="18"/>
    <s v="RG Nor 3338W (220Kg)"/>
    <n v="2"/>
    <s v="Cash"/>
    <n v="0"/>
    <d v="2022-02-22T00:00:00"/>
    <n v="2"/>
    <n v="2022"/>
    <n v="4136"/>
    <n v="-4136"/>
    <n v="0"/>
    <n v="1019391.15"/>
    <s v="Trsf"/>
    <s v="Trsf 22/2/22 RM5,877.30"/>
    <m/>
  </r>
  <r>
    <x v="155"/>
    <x v="8"/>
    <x v="3"/>
    <x v="204"/>
    <s v="C00000019"/>
    <x v="18"/>
    <s v="RG CSM 450 CQ 54kg 64m(L) X 1860mm(W)"/>
    <n v="1"/>
    <s v="Cash"/>
    <n v="0"/>
    <d v="2022-02-22T00:00:00"/>
    <n v="2"/>
    <n v="2022"/>
    <n v="523.79999999999995"/>
    <n v="-523.79999999999995"/>
    <n v="0"/>
    <n v="1019914.9500000001"/>
    <s v="Trsf"/>
    <s v="Trsf 22/2/22 RM5,877.30"/>
    <m/>
  </r>
  <r>
    <x v="155"/>
    <x v="8"/>
    <x v="3"/>
    <x v="204"/>
    <s v="C00000019"/>
    <x v="18"/>
    <s v="RA Butanox M50"/>
    <n v="1"/>
    <s v="Cash"/>
    <n v="0"/>
    <d v="2022-02-22T00:00:00"/>
    <n v="2"/>
    <n v="2022"/>
    <n v="105"/>
    <n v="-105"/>
    <n v="0"/>
    <n v="1020019.9500000001"/>
    <s v="Trsf"/>
    <s v="Trsf 22/2/22 RM5,877.30"/>
    <m/>
  </r>
  <r>
    <x v="155"/>
    <x v="8"/>
    <x v="3"/>
    <x v="204"/>
    <s v="C00000019"/>
    <x v="18"/>
    <s v="RE Frekote 770NC (1 Gallon)"/>
    <n v="1"/>
    <s v="Cash"/>
    <n v="0"/>
    <d v="2022-02-22T00:00:00"/>
    <n v="2"/>
    <n v="2022"/>
    <n v="360"/>
    <n v="-360"/>
    <n v="0"/>
    <n v="1020379.9500000001"/>
    <s v="Trsf"/>
    <s v="Trsf 22/2/22 RM5,877.30"/>
    <m/>
  </r>
  <r>
    <x v="155"/>
    <x v="8"/>
    <x v="3"/>
    <x v="204"/>
    <s v="C00000019"/>
    <x v="18"/>
    <s v="RA Talcum Powder (25kg)"/>
    <n v="5"/>
    <s v="Cash"/>
    <n v="0"/>
    <d v="2022-02-22T00:00:00"/>
    <n v="2"/>
    <n v="2022"/>
    <n v="312.5"/>
    <n v="-312.5"/>
    <n v="0"/>
    <n v="1020692.4500000001"/>
    <s v="Trsf"/>
    <s v="Trsf 22/2/22 RM5,877.30"/>
    <m/>
  </r>
  <r>
    <x v="155"/>
    <x v="8"/>
    <x v="3"/>
    <x v="204"/>
    <s v="C00000019"/>
    <x v="18"/>
    <s v="RA Aerosil (Silica Fume) (10Kg)"/>
    <n v="1"/>
    <s v="Cash"/>
    <n v="0"/>
    <d v="2022-02-22T00:00:00"/>
    <n v="2"/>
    <n v="2022"/>
    <n v="440"/>
    <n v="-440"/>
    <n v="0"/>
    <n v="1021132.4500000001"/>
    <s v="Trsf"/>
    <s v="Trsf 22/2/22 RM5,877.30"/>
    <m/>
  </r>
  <r>
    <x v="156"/>
    <x v="8"/>
    <x v="3"/>
    <x v="205"/>
    <s v="C00000020"/>
    <x v="19"/>
    <s v="RG Resin 3317AW (220Kg)"/>
    <n v="2"/>
    <s v="Cash"/>
    <n v="0"/>
    <d v="2022-02-24T00:00:00"/>
    <n v="2"/>
    <n v="2022"/>
    <n v="4180"/>
    <n v="-4180"/>
    <n v="0"/>
    <n v="1025312.4500000001"/>
    <s v="Trsf"/>
    <s v="Trsf 11/5/22 RM16,000.00(1,149.30partial), Trsf 17/5/22 RM10,000.00(3,030.70partial)"/>
    <m/>
  </r>
  <r>
    <x v="156"/>
    <x v="8"/>
    <x v="3"/>
    <x v="205"/>
    <s v="C00000020"/>
    <x v="19"/>
    <s v="RG Nor 3338W (220Kg)"/>
    <n v="1"/>
    <s v="Cash"/>
    <n v="0"/>
    <d v="2022-02-24T00:00:00"/>
    <n v="2"/>
    <n v="2022"/>
    <n v="2090"/>
    <n v="-2090"/>
    <n v="0"/>
    <n v="1027402.4500000001"/>
    <s v="Trsf"/>
    <s v="Trsf 17/5/22 RM10,000.00"/>
    <m/>
  </r>
  <r>
    <x v="156"/>
    <x v="8"/>
    <x v="3"/>
    <x v="205"/>
    <s v="C00000020"/>
    <x v="19"/>
    <s v="RG Woven Roving E-600 (45kg) 1120mm"/>
    <n v="1"/>
    <s v="Cash"/>
    <n v="0"/>
    <d v="2022-02-24T00:00:00"/>
    <n v="2"/>
    <n v="2022"/>
    <n v="351"/>
    <n v="-351"/>
    <n v="0"/>
    <n v="1027753.4500000001"/>
    <s v="Trsf"/>
    <s v="Trsf 17/5/22 RM10,000.00"/>
    <m/>
  </r>
  <r>
    <x v="156"/>
    <x v="8"/>
    <x v="3"/>
    <x v="205"/>
    <s v="C00000020"/>
    <x v="19"/>
    <s v="RK Smooth Cream (25kg)"/>
    <n v="1"/>
    <s v="Cash"/>
    <n v="0"/>
    <d v="2022-02-24T00:00:00"/>
    <n v="2"/>
    <n v="2022"/>
    <n v="1000"/>
    <n v="-1000"/>
    <n v="0"/>
    <n v="1028753.4500000001"/>
    <s v="Trsf"/>
    <s v="Trsf 17/5/22 RM10,000.00"/>
    <m/>
  </r>
  <r>
    <x v="156"/>
    <x v="8"/>
    <x v="3"/>
    <x v="205"/>
    <s v="C00000020"/>
    <x v="19"/>
    <s v="RA Mepoxe M (5kg)"/>
    <n v="4"/>
    <s v="Cash"/>
    <n v="0"/>
    <d v="2022-02-24T00:00:00"/>
    <n v="2"/>
    <n v="2022"/>
    <n v="340"/>
    <n v="-340"/>
    <n v="0"/>
    <n v="1029093.4500000001"/>
    <s v="Trsf"/>
    <s v="Trsf 17/5/22 RM10,000.00"/>
    <m/>
  </r>
  <r>
    <x v="157"/>
    <x v="8"/>
    <x v="3"/>
    <x v="206"/>
    <s v="C00000020"/>
    <x v="19"/>
    <s v="RG Resin 3317AW (220Kg)"/>
    <n v="1"/>
    <s v="Cash"/>
    <n v="0"/>
    <d v="2022-02-26T00:00:00"/>
    <n v="2"/>
    <n v="2022"/>
    <n v="2090"/>
    <n v="-2090"/>
    <n v="0"/>
    <n v="1031183.4500000001"/>
    <s v="Trsf"/>
    <s v="Trsf 17/5/22 RM10,000.00"/>
    <m/>
  </r>
  <r>
    <x v="157"/>
    <x v="8"/>
    <x v="3"/>
    <x v="206"/>
    <s v="C00000020"/>
    <x v="19"/>
    <s v="RA CSM 450 (60Kg) 64m(L) x 2080mm(W)"/>
    <n v="1"/>
    <s v="Cash"/>
    <n v="0"/>
    <d v="2022-02-26T00:00:00"/>
    <n v="2"/>
    <n v="2022"/>
    <n v="588"/>
    <n v="-588"/>
    <n v="0"/>
    <n v="1031771.4500000001"/>
    <s v="Trsf"/>
    <s v="Trsf 17/5/22 RM10,000.00"/>
    <m/>
  </r>
  <r>
    <x v="157"/>
    <x v="8"/>
    <x v="3"/>
    <x v="207"/>
    <s v="C00000003"/>
    <x v="2"/>
    <s v="RG CSM 300 (30Kg) 64m(L) x 1040mm(W)"/>
    <n v="1"/>
    <n v="45"/>
    <n v="45"/>
    <d v="2022-04-12T00:00:00"/>
    <n v="4"/>
    <n v="2022"/>
    <n v="315"/>
    <n v="-315"/>
    <n v="0"/>
    <n v="1032086.4500000001"/>
    <s v="PD Chq"/>
    <s v="RHB001569cleared11/4/22-RM1,586.00"/>
    <m/>
  </r>
  <r>
    <x v="158"/>
    <x v="9"/>
    <x v="3"/>
    <x v="208"/>
    <s v="C00000021"/>
    <x v="21"/>
    <s v="RG Resin 3317AW (220Kg)"/>
    <n v="2"/>
    <s v="Cash"/>
    <n v="0"/>
    <d v="2022-03-05T00:00:00"/>
    <n v="3"/>
    <n v="2022"/>
    <n v="3960"/>
    <n v="-3960"/>
    <n v="0"/>
    <n v="1036046.4500000001"/>
    <s v="PD Chq"/>
    <s v="PBB395356cleared11/4/22 RM6,301.00"/>
    <m/>
  </r>
  <r>
    <x v="158"/>
    <x v="9"/>
    <x v="3"/>
    <x v="208"/>
    <s v="C00000021"/>
    <x v="21"/>
    <s v="RG CSM 450 (30Kg) 64m(L) x 1040mm(W)"/>
    <n v="8"/>
    <s v="Cash"/>
    <n v="0"/>
    <d v="2022-03-05T00:00:00"/>
    <n v="3"/>
    <n v="2022"/>
    <n v="2256"/>
    <n v="-2256"/>
    <n v="0"/>
    <n v="1038302.4500000001"/>
    <s v="PD Chq"/>
    <s v="PBB395356cleared11/4/22 RM6,301.00"/>
    <m/>
  </r>
  <r>
    <x v="158"/>
    <x v="9"/>
    <x v="3"/>
    <x v="208"/>
    <s v="C00000021"/>
    <x v="21"/>
    <s v="RA Mepoxe M (5kg)"/>
    <n v="1"/>
    <s v="Cash"/>
    <n v="0"/>
    <d v="2022-03-05T00:00:00"/>
    <n v="3"/>
    <n v="2022"/>
    <n v="85"/>
    <n v="-85"/>
    <n v="0"/>
    <n v="1038387.4500000001"/>
    <s v="PD Chq"/>
    <s v="PBB395356cleared11/4/22 RM6,301.00"/>
    <m/>
  </r>
  <r>
    <x v="159"/>
    <x v="9"/>
    <x v="3"/>
    <x v="209"/>
    <s v="C00000022"/>
    <x v="23"/>
    <s v="RM Nor 3338NW (220Kg)"/>
    <n v="1"/>
    <s v="Cash"/>
    <n v="0"/>
    <d v="2022-03-08T00:00:00"/>
    <n v="3"/>
    <n v="2022"/>
    <n v="2112"/>
    <n v="-2112"/>
    <n v="0"/>
    <n v="1040499.4500000001"/>
    <s v="Trsf"/>
    <s v="Trsf 23/3/22 RM5,328.00"/>
    <m/>
  </r>
  <r>
    <x v="159"/>
    <x v="9"/>
    <x v="3"/>
    <x v="209"/>
    <s v="C00000022"/>
    <x v="23"/>
    <s v="RM Wax Solution 54-56 (10L)"/>
    <n v="1"/>
    <s v="Cash"/>
    <n v="0"/>
    <d v="2022-03-08T00:00:00"/>
    <n v="3"/>
    <n v="2022"/>
    <n v="320"/>
    <n v="-320"/>
    <n v="0"/>
    <n v="1040819.4500000001"/>
    <s v="Trsf"/>
    <s v="Trsf 23/3/22 RM5,328.00"/>
    <m/>
  </r>
  <r>
    <x v="159"/>
    <x v="9"/>
    <x v="3"/>
    <x v="209"/>
    <s v="C00000022"/>
    <x v="23"/>
    <s v="RM NPG Gelcoat 9319-H (25Kg)"/>
    <n v="1"/>
    <s v="Cash"/>
    <n v="0"/>
    <d v="2022-03-08T00:00:00"/>
    <n v="3"/>
    <n v="2022"/>
    <n v="337.5"/>
    <n v="-337.5"/>
    <n v="0"/>
    <n v="1041156.9500000001"/>
    <s v="Trsf"/>
    <s v="Trsf 23/3/22 RM5,328.00"/>
    <m/>
  </r>
  <r>
    <x v="159"/>
    <x v="9"/>
    <x v="3"/>
    <x v="209"/>
    <s v="C00000022"/>
    <x v="23"/>
    <s v="RM Pgment Paste Riviera Blue B5 (5Kg)"/>
    <n v="2"/>
    <s v="Cash"/>
    <n v="0"/>
    <d v="2022-03-08T00:00:00"/>
    <n v="3"/>
    <n v="2022"/>
    <n v="480"/>
    <n v="-480"/>
    <n v="0"/>
    <n v="1041636.9500000001"/>
    <s v="Trsf"/>
    <s v="Trsf 23/3/22 RM5,328.00"/>
    <m/>
  </r>
  <r>
    <x v="159"/>
    <x v="9"/>
    <x v="3"/>
    <x v="209"/>
    <s v="C00000022"/>
    <x v="23"/>
    <s v="RA CSM 450 (60Kg) 64m(L) x 2080mm(W)"/>
    <n v="1"/>
    <s v="Cash"/>
    <n v="0"/>
    <d v="2022-03-08T00:00:00"/>
    <n v="3"/>
    <n v="2022"/>
    <n v="588"/>
    <n v="-588"/>
    <n v="0"/>
    <n v="1042224.9500000001"/>
    <s v="Trsf"/>
    <s v="Trsf 23/3/22 RM5,328.00"/>
    <m/>
  </r>
  <r>
    <x v="159"/>
    <x v="9"/>
    <x v="3"/>
    <x v="209"/>
    <s v="C00000022"/>
    <x v="23"/>
    <s v="RG CSM 300 (30Kg) 64m(L) x 1040mm(W)"/>
    <n v="2"/>
    <s v="Cash"/>
    <n v="0"/>
    <d v="2022-03-08T00:00:00"/>
    <n v="3"/>
    <n v="2022"/>
    <n v="588"/>
    <n v="-588"/>
    <n v="0"/>
    <n v="1042812.9500000001"/>
    <s v="Trsf"/>
    <s v="Trsf 23/3/22 RM5,328.00"/>
    <m/>
  </r>
  <r>
    <x v="159"/>
    <x v="9"/>
    <x v="3"/>
    <x v="209"/>
    <s v="C00000022"/>
    <x v="23"/>
    <s v="RG Woven Roving E-600 (45kg) 1120mm"/>
    <n v="1"/>
    <s v="Cash"/>
    <n v="0"/>
    <d v="2022-03-08T00:00:00"/>
    <n v="3"/>
    <n v="2022"/>
    <n v="337.5"/>
    <n v="-337.5"/>
    <n v="0"/>
    <n v="1043150.4500000001"/>
    <s v="Trsf"/>
    <s v="Trsf 23/3/22 RM5,328.00"/>
    <m/>
  </r>
  <r>
    <x v="159"/>
    <x v="9"/>
    <x v="3"/>
    <x v="209"/>
    <s v="C00000022"/>
    <x v="23"/>
    <s v="RA Butanox M50 (5kg)"/>
    <n v="1"/>
    <s v="Cash"/>
    <n v="0"/>
    <d v="2022-03-08T00:00:00"/>
    <n v="3"/>
    <n v="2022"/>
    <n v="110"/>
    <n v="-110"/>
    <n v="0"/>
    <n v="1043260.4500000001"/>
    <s v="Trsf"/>
    <s v="Trsf 23/3/22 RM5,328.00"/>
    <m/>
  </r>
  <r>
    <x v="159"/>
    <x v="9"/>
    <x v="3"/>
    <x v="210"/>
    <s v="C00000010"/>
    <x v="9"/>
    <s v="RG Resin 3338AW (220kg)"/>
    <n v="6"/>
    <n v="120"/>
    <n v="120"/>
    <d v="2022-07-06T00:00:00"/>
    <n v="7"/>
    <n v="2022"/>
    <n v="11880"/>
    <n v="-11880"/>
    <n v="0"/>
    <n v="1055140.4500000002"/>
    <s v="Trsf"/>
    <s v="Trsf 27/6/22 RM29,465.00"/>
    <m/>
  </r>
  <r>
    <x v="159"/>
    <x v="9"/>
    <x v="3"/>
    <x v="210"/>
    <s v="C00000010"/>
    <x v="9"/>
    <s v="RG CSM 450 (30Kg) 64m(L) x 1040mm(W)"/>
    <n v="10"/>
    <n v="120"/>
    <n v="120"/>
    <d v="2022-07-06T00:00:00"/>
    <n v="7"/>
    <n v="2022"/>
    <n v="2850"/>
    <n v="-2850"/>
    <n v="0"/>
    <n v="1057990.4500000002"/>
    <s v="Trsf"/>
    <s v="Trsf 27/6/22 RM29,465.00"/>
    <m/>
  </r>
  <r>
    <x v="159"/>
    <x v="9"/>
    <x v="3"/>
    <x v="210"/>
    <s v="C00000010"/>
    <x v="9"/>
    <s v="RA Talcum Powder (25kg)"/>
    <n v="10"/>
    <n v="120"/>
    <n v="120"/>
    <d v="2022-07-06T00:00:00"/>
    <n v="7"/>
    <n v="2022"/>
    <n v="550"/>
    <n v="-550"/>
    <n v="0"/>
    <n v="1058540.4500000002"/>
    <s v="Trsf"/>
    <s v="Trsf 27/6/22 RM29,465.00"/>
    <m/>
  </r>
  <r>
    <x v="160"/>
    <x v="9"/>
    <x v="3"/>
    <x v="211"/>
    <s v="C00000022"/>
    <x v="23"/>
    <s v="RA Talcum Powder (25kg)"/>
    <n v="1"/>
    <s v="Cash"/>
    <n v="0"/>
    <d v="2022-03-09T00:00:00"/>
    <n v="3"/>
    <n v="2022"/>
    <n v="65"/>
    <n v="-65"/>
    <n v="0"/>
    <n v="1058605.4500000002"/>
    <s v="Trsf"/>
    <s v="Trsf 23/3/22 RM5,328.00"/>
    <m/>
  </r>
  <r>
    <x v="161"/>
    <x v="9"/>
    <x v="3"/>
    <x v="212"/>
    <s v="C00000019"/>
    <x v="18"/>
    <s v="RG Nor 3338W (220Kg)"/>
    <n v="2"/>
    <s v="Cash"/>
    <n v="0"/>
    <d v="2022-03-11T00:00:00"/>
    <n v="3"/>
    <n v="2022"/>
    <n v="4136"/>
    <n v="-4136"/>
    <n v="0"/>
    <n v="1062741.4500000002"/>
    <s v="Trsf"/>
    <s v="Trsf 11/3/22 RM6,379.90"/>
    <m/>
  </r>
  <r>
    <x v="161"/>
    <x v="9"/>
    <x v="3"/>
    <x v="212"/>
    <s v="C00000019"/>
    <x v="18"/>
    <s v="RG CSM 450 CQ 54kg 64m(L) X 1860mm(W)"/>
    <n v="3"/>
    <s v="Cash"/>
    <n v="0"/>
    <d v="2022-03-11T00:00:00"/>
    <n v="3"/>
    <n v="2022"/>
    <n v="1571.3999999999999"/>
    <n v="-1571.3999999999999"/>
    <n v="0"/>
    <n v="1064312.8500000001"/>
    <s v="Trsf"/>
    <s v="Trsf 11/3/22 RM6,379.90"/>
    <m/>
  </r>
  <r>
    <x v="161"/>
    <x v="9"/>
    <x v="3"/>
    <x v="212"/>
    <s v="C00000019"/>
    <x v="18"/>
    <s v="RA Talcum Powder (25kg)"/>
    <n v="5"/>
    <s v="Cash"/>
    <n v="0"/>
    <d v="2022-03-11T00:00:00"/>
    <n v="3"/>
    <n v="2022"/>
    <n v="312.5"/>
    <n v="-312.5"/>
    <n v="0"/>
    <n v="1064625.3500000001"/>
    <s v="Trsf"/>
    <s v="Trsf 11/3/22 RM6,379.90"/>
    <m/>
  </r>
  <r>
    <x v="161"/>
    <x v="9"/>
    <x v="3"/>
    <x v="212"/>
    <s v="C00000019"/>
    <x v="18"/>
    <s v="RE Frekote 770NC (1 Gallon)"/>
    <n v="1"/>
    <s v="Cash"/>
    <n v="0"/>
    <d v="2022-03-11T00:00:00"/>
    <n v="3"/>
    <n v="2022"/>
    <n v="360"/>
    <n v="-360"/>
    <n v="0"/>
    <n v="1064985.3500000001"/>
    <s v="Trsf"/>
    <s v="Trsf 11/3/22 RM6,379.90"/>
    <m/>
  </r>
  <r>
    <x v="162"/>
    <x v="9"/>
    <x v="3"/>
    <x v="213"/>
    <s v="C00000022"/>
    <x v="23"/>
    <s v="RE Frekote 770NC (1 Gallon)"/>
    <n v="1"/>
    <s v="Cash"/>
    <n v="0"/>
    <d v="2022-03-12T00:00:00"/>
    <n v="3"/>
    <n v="2022"/>
    <n v="390"/>
    <n v="-390"/>
    <n v="0"/>
    <n v="1065375.3500000001"/>
    <s v="Trsf"/>
    <s v="Trsf 23/3/22 RM5,328.00"/>
    <m/>
  </r>
  <r>
    <x v="162"/>
    <x v="9"/>
    <x v="3"/>
    <x v="214"/>
    <s v="C00000006"/>
    <x v="5"/>
    <s v="RG Resin 3338AW (220kg)"/>
    <n v="1"/>
    <s v="Cash"/>
    <n v="0"/>
    <d v="2022-03-12T00:00:00"/>
    <n v="3"/>
    <n v="2022"/>
    <n v="2068"/>
    <n v="-2068"/>
    <n v="0"/>
    <n v="1067443.3500000001"/>
    <s v="Chq"/>
    <s v="RHB 934926 cleared18/4/22-RM2,580.50"/>
    <m/>
  </r>
  <r>
    <x v="163"/>
    <x v="9"/>
    <x v="3"/>
    <x v="215"/>
    <s v="C00000020"/>
    <x v="19"/>
    <s v="RG Resin 3317AW (220Kg)"/>
    <n v="1"/>
    <s v="Cash"/>
    <n v="0"/>
    <d v="2022-03-14T00:00:00"/>
    <n v="3"/>
    <n v="2022"/>
    <n v="2090"/>
    <n v="-2090"/>
    <n v="0"/>
    <n v="1069533.3500000001"/>
    <s v="Trsf"/>
    <s v="Trsf 17/5/22 RM10,000.00(510.30partial), Trsf 19/5/22 RM10,000.00(1,579.70partial)"/>
    <m/>
  </r>
  <r>
    <x v="163"/>
    <x v="9"/>
    <x v="3"/>
    <x v="215"/>
    <s v="C00000020"/>
    <x v="19"/>
    <s v="RA CSM 450 (60Kg) 64m(L) x 2080mm(W)"/>
    <n v="1"/>
    <s v="Cash"/>
    <n v="0"/>
    <d v="2022-03-14T00:00:00"/>
    <n v="3"/>
    <n v="2022"/>
    <n v="588"/>
    <n v="-588"/>
    <n v="0"/>
    <n v="1070121.3500000001"/>
    <s v="Trsf"/>
    <s v="Trsf 19/5/22 RM10,000.00"/>
    <m/>
  </r>
  <r>
    <x v="163"/>
    <x v="9"/>
    <x v="3"/>
    <x v="215"/>
    <s v="C00000020"/>
    <x v="19"/>
    <s v="RG Woven Roving E-600 (45kg) 1120mm"/>
    <n v="1"/>
    <s v="Cash"/>
    <n v="0"/>
    <d v="2022-03-14T00:00:00"/>
    <n v="3"/>
    <n v="2022"/>
    <n v="351"/>
    <n v="-351"/>
    <n v="0"/>
    <n v="1070472.3500000001"/>
    <s v="Trsf"/>
    <s v="Trsf 19/5/22 RM10,000.00"/>
    <m/>
  </r>
  <r>
    <x v="164"/>
    <x v="9"/>
    <x v="3"/>
    <x v="216"/>
    <s v="C00000010"/>
    <x v="9"/>
    <s v="RG Resin 3338AW (220kg)"/>
    <n v="6"/>
    <n v="120"/>
    <n v="120"/>
    <d v="2022-07-13T00:00:00"/>
    <n v="7"/>
    <n v="2022"/>
    <n v="11880"/>
    <n v="-11880"/>
    <n v="0"/>
    <n v="1082352.3500000001"/>
    <s v="Trsf"/>
    <s v="Trsf 27/6/22 RM29,465.00"/>
    <m/>
  </r>
  <r>
    <x v="164"/>
    <x v="9"/>
    <x v="3"/>
    <x v="216"/>
    <s v="C00000010"/>
    <x v="9"/>
    <s v="RG CSM 450 (30Kg) 64m(L) x 1040mm(W)"/>
    <n v="5"/>
    <n v="120"/>
    <n v="120"/>
    <d v="2022-07-13T00:00:00"/>
    <n v="7"/>
    <n v="2022"/>
    <n v="1425"/>
    <n v="-1425"/>
    <n v="0"/>
    <n v="1083777.3500000001"/>
    <s v="Trsf"/>
    <s v="Trsf 27/6/22 RM29,465.00"/>
    <m/>
  </r>
  <r>
    <x v="164"/>
    <x v="9"/>
    <x v="3"/>
    <x v="216"/>
    <s v="C00000010"/>
    <x v="9"/>
    <s v="RA Aerosil (Silica Fume) (10Kg)"/>
    <n v="2"/>
    <n v="120"/>
    <n v="120"/>
    <d v="2022-07-13T00:00:00"/>
    <n v="7"/>
    <n v="2022"/>
    <n v="880"/>
    <n v="-880"/>
    <n v="0"/>
    <n v="1084657.3500000001"/>
    <s v="Trsf"/>
    <s v="Trsf 27/6/22 RM29,465.00"/>
    <m/>
  </r>
  <r>
    <x v="164"/>
    <x v="9"/>
    <x v="3"/>
    <x v="217"/>
    <s v="C00000020"/>
    <x v="19"/>
    <s v="RG Resin 3317AW (220Kg)"/>
    <n v="3"/>
    <s v="Cash"/>
    <n v="0"/>
    <d v="2022-03-15T00:00:00"/>
    <n v="3"/>
    <n v="2022"/>
    <n v="6270"/>
    <n v="-6270"/>
    <n v="0"/>
    <n v="1090927.3500000001"/>
    <s v="Trsf"/>
    <s v="Trsf 19/5/22 RM10,000.00"/>
    <m/>
  </r>
  <r>
    <x v="164"/>
    <x v="9"/>
    <x v="3"/>
    <x v="217"/>
    <s v="C00000020"/>
    <x v="19"/>
    <s v="RA CSM 450 (60Kg) 64m(L) x 2080mm(W)"/>
    <n v="6"/>
    <s v="Cash"/>
    <n v="0"/>
    <d v="2022-03-15T00:00:00"/>
    <n v="3"/>
    <n v="2022"/>
    <n v="3528"/>
    <n v="-3528"/>
    <n v="0"/>
    <n v="1094455.3500000001"/>
    <s v="Trsf"/>
    <s v="Trsf 19/5/22 RM10,000.00(1,211.30partial), Trsf 20/5/22 RM9,000.00(2,316.70partial)"/>
    <m/>
  </r>
  <r>
    <x v="164"/>
    <x v="9"/>
    <x v="3"/>
    <x v="217"/>
    <s v="C00000020"/>
    <x v="19"/>
    <s v="RG Woven Roving E-600 (45kg) 1120mm"/>
    <n v="1"/>
    <s v="Cash"/>
    <n v="0"/>
    <d v="2022-03-15T00:00:00"/>
    <n v="3"/>
    <n v="2022"/>
    <n v="351"/>
    <n v="-351"/>
    <n v="0"/>
    <n v="1094806.3500000001"/>
    <s v="Trsf"/>
    <s v="Trsf 20/5/22 RM9,000.00"/>
    <m/>
  </r>
  <r>
    <x v="164"/>
    <x v="9"/>
    <x v="3"/>
    <x v="217"/>
    <s v="C00000020"/>
    <x v="19"/>
    <s v="RC Woven Roving E-800 1000mm (40Kg)"/>
    <n v="3"/>
    <s v="Cash"/>
    <n v="0"/>
    <d v="2022-03-15T00:00:00"/>
    <n v="3"/>
    <n v="2022"/>
    <n v="936"/>
    <n v="-936"/>
    <n v="0"/>
    <n v="1095742.3500000001"/>
    <s v="Trsf"/>
    <s v="Trsf 20/5/22 RM9,000.00"/>
    <m/>
  </r>
  <r>
    <x v="164"/>
    <x v="9"/>
    <x v="3"/>
    <x v="217"/>
    <s v="C00000020"/>
    <x v="19"/>
    <s v="RA Mepoxe M (5kg)"/>
    <n v="4"/>
    <s v="Cash"/>
    <n v="0"/>
    <d v="2022-03-15T00:00:00"/>
    <n v="3"/>
    <n v="2022"/>
    <n v="340"/>
    <n v="-340"/>
    <n v="0"/>
    <n v="1096082.3500000001"/>
    <s v="Trsf"/>
    <s v="Trsf 20/5/22 RM9,000.00"/>
    <m/>
  </r>
  <r>
    <x v="165"/>
    <x v="9"/>
    <x v="3"/>
    <x v="218"/>
    <s v="C00000019"/>
    <x v="18"/>
    <s v="RA Butanox M50"/>
    <n v="3"/>
    <s v="Cash"/>
    <n v="0"/>
    <d v="2022-03-17T00:00:00"/>
    <n v="3"/>
    <n v="2022"/>
    <n v="315"/>
    <n v="-315"/>
    <n v="0"/>
    <n v="1096397.3500000001"/>
    <s v="Trsf"/>
    <s v="Trsf 17/3/22 RM315.00"/>
    <m/>
  </r>
  <r>
    <x v="166"/>
    <x v="9"/>
    <x v="3"/>
    <x v="219"/>
    <s v="C00000020"/>
    <x v="19"/>
    <s v="RA Resin 3317AW (220Kg)"/>
    <n v="3"/>
    <s v="Cash"/>
    <n v="0"/>
    <d v="2022-03-18T00:00:00"/>
    <n v="3"/>
    <n v="2022"/>
    <n v="6270"/>
    <n v="-6270"/>
    <n v="0"/>
    <n v="1102667.3500000001"/>
    <s v="Trsf"/>
    <s v="Trsf 20/5/22 RM9,000.00(5,056.30partial), Trsf 1/6/22 RM27,000.00(1,213.70partial)"/>
    <m/>
  </r>
  <r>
    <x v="166"/>
    <x v="9"/>
    <x v="3"/>
    <x v="219"/>
    <s v="C00000020"/>
    <x v="19"/>
    <s v="RM CSM 450 64m(L) 1040mm(W) (30Kg)"/>
    <n v="7"/>
    <s v="Cash"/>
    <n v="0"/>
    <d v="2022-03-18T00:00:00"/>
    <n v="3"/>
    <n v="2022"/>
    <n v="2058"/>
    <n v="-2058"/>
    <n v="0"/>
    <n v="1104725.3500000001"/>
    <s v="Trsf"/>
    <s v="Trsf 1/6/22 RM27,000.00"/>
    <m/>
  </r>
  <r>
    <x v="166"/>
    <x v="9"/>
    <x v="3"/>
    <x v="219"/>
    <s v="C00000020"/>
    <x v="19"/>
    <s v="RM Woven Roving E-600gm 1000mm (40Kg)"/>
    <n v="5"/>
    <s v="Cash"/>
    <n v="0"/>
    <d v="2022-03-18T00:00:00"/>
    <n v="3"/>
    <n v="2022"/>
    <n v="1560"/>
    <n v="-1560"/>
    <n v="0"/>
    <n v="1106285.3500000001"/>
    <s v="Trsf"/>
    <s v="Trsf 1/6/22 RM27,000.00"/>
    <m/>
  </r>
  <r>
    <x v="167"/>
    <x v="9"/>
    <x v="3"/>
    <x v="220"/>
    <s v="C00000021"/>
    <x v="21"/>
    <s v="RA Resin 3317AW (220Kg)"/>
    <n v="2"/>
    <s v="Cash"/>
    <n v="0"/>
    <d v="2022-03-19T00:00:00"/>
    <n v="3"/>
    <n v="2022"/>
    <n v="4048"/>
    <n v="-4048"/>
    <n v="0"/>
    <n v="1110333.3500000001"/>
    <s v="PD Chq"/>
    <s v="PBB395357cleared27/5/22 RM8,127.50"/>
    <m/>
  </r>
  <r>
    <x v="167"/>
    <x v="9"/>
    <x v="3"/>
    <x v="220"/>
    <s v="C00000021"/>
    <x v="21"/>
    <s v="RM CSM 450 64m(L) 1040mm(W) (30Kg)"/>
    <n v="6"/>
    <s v="Cash"/>
    <n v="0"/>
    <d v="2022-03-19T00:00:00"/>
    <n v="3"/>
    <n v="2022"/>
    <n v="1710"/>
    <n v="-1710"/>
    <n v="0"/>
    <n v="1112043.3500000001"/>
    <s v="PD Chq"/>
    <s v="PBB395357cleared27/5/22 RM8,127.50"/>
    <m/>
  </r>
  <r>
    <x v="167"/>
    <x v="9"/>
    <x v="3"/>
    <x v="220"/>
    <s v="C00000021"/>
    <x v="21"/>
    <s v="RA Mepoxe M (5kg)"/>
    <n v="2"/>
    <s v="Cash"/>
    <n v="0"/>
    <d v="2022-03-19T00:00:00"/>
    <n v="3"/>
    <n v="2022"/>
    <n v="170"/>
    <n v="-170"/>
    <n v="0"/>
    <n v="1112213.3500000001"/>
    <s v="PD Chq"/>
    <s v="PBB395357cleared27/5/22 RM8,127.50"/>
    <m/>
  </r>
  <r>
    <x v="167"/>
    <x v="9"/>
    <x v="3"/>
    <x v="220"/>
    <s v="C00000021"/>
    <x v="21"/>
    <s v="RA Pigment Super Black (5kg)"/>
    <n v="1"/>
    <s v="Cash"/>
    <n v="0"/>
    <d v="2022-03-19T00:00:00"/>
    <n v="3"/>
    <n v="2022"/>
    <n v="175"/>
    <n v="-175"/>
    <n v="0"/>
    <n v="1112388.3500000001"/>
    <s v="PD Chq"/>
    <s v="PBB395357cleared27/5/22 RM8,127.50"/>
    <m/>
  </r>
  <r>
    <x v="167"/>
    <x v="9"/>
    <x v="3"/>
    <x v="220"/>
    <s v="C00000021"/>
    <x v="21"/>
    <s v="RM Cobalt (5kg)"/>
    <n v="1"/>
    <s v="Cash"/>
    <n v="0"/>
    <d v="2022-03-19T00:00:00"/>
    <n v="3"/>
    <n v="2022"/>
    <n v="390"/>
    <n v="-390"/>
    <n v="0"/>
    <n v="1112778.3500000001"/>
    <s v="PD Chq"/>
    <s v="PBB395357cleared27/5/22 RM8,127.50"/>
    <m/>
  </r>
  <r>
    <x v="167"/>
    <x v="9"/>
    <x v="3"/>
    <x v="220"/>
    <s v="C00000021"/>
    <x v="21"/>
    <s v="RA Talcum Powder (25kg)"/>
    <n v="10"/>
    <s v="Cash"/>
    <n v="0"/>
    <d v="2022-03-19T00:00:00"/>
    <n v="3"/>
    <n v="2022"/>
    <n v="575"/>
    <n v="-575"/>
    <n v="0"/>
    <n v="1113353.3500000001"/>
    <s v="PD Chq"/>
    <s v="PBB395357cleared27/5/22 RM8,127.50"/>
    <m/>
  </r>
  <r>
    <x v="167"/>
    <x v="9"/>
    <x v="3"/>
    <x v="220"/>
    <s v="C00000021"/>
    <x v="21"/>
    <s v="RM Acetone (163Kg)"/>
    <n v="1"/>
    <s v="Cash"/>
    <n v="0"/>
    <d v="2022-03-19T00:00:00"/>
    <n v="3"/>
    <n v="2022"/>
    <n v="1059.5"/>
    <n v="-1059.5"/>
    <n v="0"/>
    <n v="1114412.8500000001"/>
    <s v="PD Chq"/>
    <s v="PBB395357cleared27/5/22 RM8,127.50"/>
    <m/>
  </r>
  <r>
    <x v="168"/>
    <x v="9"/>
    <x v="3"/>
    <x v="221"/>
    <s v="C00000006"/>
    <x v="5"/>
    <s v="RM NPG Gelcoat 9319-H (25Kg)"/>
    <n v="1"/>
    <s v="Cash"/>
    <n v="0"/>
    <d v="2022-03-21T00:00:00"/>
    <n v="3"/>
    <n v="2022"/>
    <n v="337.5"/>
    <n v="-337.5"/>
    <n v="0"/>
    <n v="1114750.3500000001"/>
    <s v="Chq"/>
    <s v="RHB 934926 cleared18/4/22-RM2,580.50"/>
    <m/>
  </r>
  <r>
    <x v="169"/>
    <x v="9"/>
    <x v="3"/>
    <x v="222"/>
    <s v="C00000020"/>
    <x v="19"/>
    <s v="RA Resin 3317AW (220Kg)"/>
    <n v="3"/>
    <s v="Cash"/>
    <n v="0"/>
    <d v="2022-03-23T00:00:00"/>
    <n v="3"/>
    <n v="2022"/>
    <n v="6270"/>
    <n v="-6270"/>
    <n v="0"/>
    <n v="1121020.3500000001"/>
    <s v="Trsf"/>
    <s v="Trsf 1/6/22 RM27,000.00"/>
    <m/>
  </r>
  <r>
    <x v="169"/>
    <x v="9"/>
    <x v="3"/>
    <x v="222"/>
    <s v="C00000020"/>
    <x v="19"/>
    <s v="RM CSM 450 64m(L) 1040mm(W) (30Kg)"/>
    <n v="4"/>
    <s v="Cash"/>
    <n v="0"/>
    <d v="2022-03-23T00:00:00"/>
    <n v="3"/>
    <n v="2022"/>
    <n v="1176"/>
    <n v="-1176"/>
    <n v="0"/>
    <n v="1122196.3500000001"/>
    <s v="Trsf"/>
    <s v="Trsf 1/6/22 RM27,000.00"/>
    <m/>
  </r>
  <r>
    <x v="169"/>
    <x v="9"/>
    <x v="3"/>
    <x v="222"/>
    <s v="C00000020"/>
    <x v="19"/>
    <s v="RM Woven Roving E-600gm 1000mm (40Kg)"/>
    <n v="4"/>
    <s v="Cash"/>
    <n v="0"/>
    <d v="2022-03-23T00:00:00"/>
    <n v="3"/>
    <n v="2022"/>
    <n v="1248"/>
    <n v="-1248"/>
    <n v="0"/>
    <n v="1123444.3500000001"/>
    <s v="Trsf"/>
    <s v="Trsf 1/6/22 RM27,000.00"/>
    <m/>
  </r>
  <r>
    <x v="169"/>
    <x v="9"/>
    <x v="3"/>
    <x v="222"/>
    <s v="C00000020"/>
    <x v="19"/>
    <s v="RA Talcum Powder (25kg)"/>
    <n v="2"/>
    <s v="Cash"/>
    <n v="0"/>
    <d v="2022-03-23T00:00:00"/>
    <n v="3"/>
    <n v="2022"/>
    <n v="125"/>
    <n v="-125"/>
    <n v="0"/>
    <n v="1123569.3500000001"/>
    <s v="Trsf"/>
    <s v="Trsf 1/6/22 RM27,000.00"/>
    <m/>
  </r>
  <r>
    <x v="170"/>
    <x v="9"/>
    <x v="3"/>
    <x v="223"/>
    <s v="C00000020"/>
    <x v="19"/>
    <s v="RA Nor 3338W (220Kg)"/>
    <n v="4"/>
    <s v="Cash"/>
    <n v="0"/>
    <d v="2022-03-25T00:00:00"/>
    <n v="3"/>
    <n v="2022"/>
    <n v="8360"/>
    <n v="-8360"/>
    <n v="0"/>
    <n v="1131929.3500000001"/>
    <s v="Trsf"/>
    <s v="Trsf 1/6/22 RM27,000.00"/>
    <m/>
  </r>
  <r>
    <x v="170"/>
    <x v="9"/>
    <x v="3"/>
    <x v="223"/>
    <s v="C00000020"/>
    <x v="19"/>
    <s v="RM CSM 450 64m(L) 1040mm(W) (30Kg)"/>
    <n v="10"/>
    <s v="Cash"/>
    <n v="0"/>
    <d v="2022-03-25T00:00:00"/>
    <n v="3"/>
    <n v="2022"/>
    <n v="2940"/>
    <n v="-2940"/>
    <n v="0"/>
    <n v="1134869.3500000001"/>
    <s v="Trsf"/>
    <s v="Trsf 1/6/22 RM27,000.00"/>
    <m/>
  </r>
  <r>
    <x v="170"/>
    <x v="9"/>
    <x v="3"/>
    <x v="223"/>
    <s v="C00000020"/>
    <x v="19"/>
    <s v="RM Woven Roving E-600gm 1000mm (40Kg)"/>
    <n v="6"/>
    <s v="Cash"/>
    <n v="0"/>
    <d v="2022-03-25T00:00:00"/>
    <n v="3"/>
    <n v="2022"/>
    <n v="1872"/>
    <n v="-1872"/>
    <n v="0"/>
    <n v="1136741.3500000001"/>
    <s v="Trsf"/>
    <s v="Trsf 1/6/22 RM27,000.00"/>
    <m/>
  </r>
  <r>
    <x v="170"/>
    <x v="9"/>
    <x v="3"/>
    <x v="223"/>
    <s v="C00000020"/>
    <x v="19"/>
    <s v="RA Talcum Powder (25kg)"/>
    <n v="4"/>
    <s v="Cash"/>
    <n v="0"/>
    <d v="2022-03-25T00:00:00"/>
    <n v="3"/>
    <n v="2022"/>
    <n v="250"/>
    <n v="-250"/>
    <n v="0"/>
    <n v="1136991.3500000001"/>
    <s v="Trsf"/>
    <s v="Trsf 1/6/22 RM27,000.00(177.30partial), Trs23/6/22 RM7,000.00(72.70partial) "/>
    <m/>
  </r>
  <r>
    <x v="170"/>
    <x v="9"/>
    <x v="3"/>
    <x v="223"/>
    <s v="C00000020"/>
    <x v="19"/>
    <s v="RM Pigment Smooth Cream (25kg)"/>
    <n v="1"/>
    <s v="Cash"/>
    <n v="0"/>
    <d v="2022-03-25T00:00:00"/>
    <n v="3"/>
    <n v="2022"/>
    <n v="1000"/>
    <n v="-1000"/>
    <n v="0"/>
    <n v="1137991.3500000001"/>
    <s v="Trsf"/>
    <s v="Trsf23/6/22 RM7,000.00"/>
    <m/>
  </r>
  <r>
    <x v="171"/>
    <x v="9"/>
    <x v="3"/>
    <x v="224"/>
    <s v="C00000001"/>
    <x v="0"/>
    <s v="RA Resin 3317AW (220Kg)"/>
    <n v="1"/>
    <s v="Cash"/>
    <n v="0"/>
    <d v="2022-03-29T00:00:00"/>
    <n v="3"/>
    <n v="2022"/>
    <n v="2068"/>
    <n v="-2068"/>
    <n v="0"/>
    <n v="1140059.3500000001"/>
    <s v="Trsf"/>
    <s v="Trsf 30/3/22 RM3,232.00"/>
    <m/>
  </r>
  <r>
    <x v="171"/>
    <x v="9"/>
    <x v="3"/>
    <x v="224"/>
    <s v="C00000001"/>
    <x v="0"/>
    <s v="RM CSM 450 64m(L) 1040mm(W) (30Kg)"/>
    <n v="4"/>
    <s v="Cash"/>
    <n v="0"/>
    <d v="2022-03-29T00:00:00"/>
    <n v="3"/>
    <n v="2022"/>
    <n v="1164"/>
    <n v="-1164"/>
    <n v="0"/>
    <n v="1141223.3500000001"/>
    <s v="Trsf"/>
    <s v="Trsf 30/3/22 RM3,232.00"/>
    <m/>
  </r>
  <r>
    <x v="171"/>
    <x v="9"/>
    <x v="3"/>
    <x v="225"/>
    <s v="C00000020"/>
    <x v="19"/>
    <s v="RA Nor 3338W (220Kg)"/>
    <n v="2"/>
    <s v="Cash"/>
    <n v="0"/>
    <d v="2022-03-29T00:00:00"/>
    <n v="3"/>
    <n v="2022"/>
    <n v="4180"/>
    <n v="-4180"/>
    <n v="0"/>
    <n v="1145403.3500000001"/>
    <s v="Trsf"/>
    <s v="Trsf23/6/22 RM7,000.00"/>
    <m/>
  </r>
  <r>
    <x v="171"/>
    <x v="9"/>
    <x v="3"/>
    <x v="225"/>
    <s v="C00000020"/>
    <x v="19"/>
    <s v="RM CSM 450 64m(L) 1040mm(W) (30Kg)"/>
    <n v="8"/>
    <s v="Cash"/>
    <n v="0"/>
    <d v="2022-03-29T00:00:00"/>
    <n v="3"/>
    <n v="2022"/>
    <n v="2352"/>
    <n v="-2352"/>
    <n v="0"/>
    <n v="1147755.3500000001"/>
    <s v="Trsf"/>
    <s v="Trsf23/6/22 RM7,000.00(RM1,747.30partial), Trsf20/7/22 RM10,700.00(RM604.70partial)"/>
    <m/>
  </r>
  <r>
    <x v="171"/>
    <x v="9"/>
    <x v="3"/>
    <x v="225"/>
    <s v="C00000020"/>
    <x v="19"/>
    <s v="RM Woven Roving E-600gm 1000mm (40Kg)"/>
    <n v="3"/>
    <s v="Cash"/>
    <n v="0"/>
    <d v="2022-03-29T00:00:00"/>
    <n v="3"/>
    <n v="2022"/>
    <n v="936"/>
    <n v="-936"/>
    <n v="0"/>
    <n v="1148691.3500000001"/>
    <s v="Trsf"/>
    <s v="Trsf20/7/22 RM10,700.00(RM936.00)"/>
    <m/>
  </r>
  <r>
    <x v="171"/>
    <x v="9"/>
    <x v="3"/>
    <x v="225"/>
    <s v="C00000020"/>
    <x v="19"/>
    <s v="RA Talcum Powder (25kg)"/>
    <n v="2"/>
    <s v="Cash"/>
    <n v="0"/>
    <d v="2022-03-29T00:00:00"/>
    <n v="3"/>
    <n v="2022"/>
    <n v="125"/>
    <n v="-125"/>
    <n v="0"/>
    <n v="1148816.3500000001"/>
    <s v="Trsf"/>
    <s v="Trsf20/7/22 RM10,700.00(RM125.00)"/>
    <m/>
  </r>
  <r>
    <x v="172"/>
    <x v="9"/>
    <x v="3"/>
    <x v="226"/>
    <s v="C00000023"/>
    <x v="24"/>
    <s v="RA Nor 3338W (220Kg)"/>
    <n v="1"/>
    <s v="Cash"/>
    <n v="0"/>
    <d v="2022-03-31T00:00:00"/>
    <n v="3"/>
    <n v="2022"/>
    <n v="2090"/>
    <n v="-2090"/>
    <n v="0"/>
    <n v="1150906.3500000001"/>
    <s v="Trsf"/>
    <s v="Trsf 31/3/22 RM3,555.00"/>
    <m/>
  </r>
  <r>
    <x v="172"/>
    <x v="9"/>
    <x v="3"/>
    <x v="226"/>
    <s v="C00000023"/>
    <x v="24"/>
    <s v="RJ Mepoxe (5kg)"/>
    <n v="4"/>
    <s v="Cash"/>
    <n v="0"/>
    <d v="2022-03-31T00:00:00"/>
    <n v="3"/>
    <n v="2022"/>
    <n v="340"/>
    <n v="-340"/>
    <n v="0"/>
    <n v="1151246.3500000001"/>
    <s v="Trsf"/>
    <s v="Trsf 31/3/22 RM3,555.00"/>
    <m/>
  </r>
  <r>
    <x v="172"/>
    <x v="9"/>
    <x v="3"/>
    <x v="226"/>
    <s v="C00000023"/>
    <x v="24"/>
    <s v="RM Pigment Smooth Cream (25kg)"/>
    <n v="1"/>
    <s v="Cash"/>
    <n v="0"/>
    <d v="2022-03-31T00:00:00"/>
    <n v="3"/>
    <n v="2022"/>
    <n v="1000"/>
    <n v="-1000"/>
    <n v="0"/>
    <n v="1152246.3500000001"/>
    <s v="Trsf"/>
    <s v="Trsf 31/3/22 RM3,555.00"/>
    <m/>
  </r>
  <r>
    <x v="172"/>
    <x v="9"/>
    <x v="3"/>
    <x v="226"/>
    <s v="C00000023"/>
    <x v="24"/>
    <s v="RA Talcum Powder (25kg)"/>
    <n v="2"/>
    <s v="Cash"/>
    <n v="0"/>
    <d v="2022-03-31T00:00:00"/>
    <n v="3"/>
    <n v="2022"/>
    <n v="125"/>
    <n v="-125"/>
    <n v="0"/>
    <n v="1152371.3500000001"/>
    <s v="Trsf"/>
    <s v="Trsf 31/3/22 RM3,555.00"/>
    <m/>
  </r>
  <r>
    <x v="173"/>
    <x v="10"/>
    <x v="3"/>
    <x v="227"/>
    <s v="C00000021"/>
    <x v="21"/>
    <s v="RA Resin 3317AW (220Kg)"/>
    <n v="2"/>
    <s v="Cash"/>
    <n v="0"/>
    <d v="2022-04-01T00:00:00"/>
    <n v="4"/>
    <n v="2022"/>
    <n v="4136"/>
    <n v="-4136"/>
    <n v="0"/>
    <n v="1156507.3500000001"/>
    <s v="PD Chq"/>
    <s v="PBB395362cleared28/4/22 RM6,083.50"/>
    <m/>
  </r>
  <r>
    <x v="173"/>
    <x v="10"/>
    <x v="3"/>
    <x v="227"/>
    <s v="C00000021"/>
    <x v="21"/>
    <s v="RM CSM 450 64m(L) 1040mm(W) (30Kg)"/>
    <n v="3"/>
    <s v="Cash"/>
    <n v="0"/>
    <d v="2022-04-01T00:00:00"/>
    <n v="4"/>
    <n v="2022"/>
    <n v="855"/>
    <n v="-855"/>
    <n v="0"/>
    <n v="1157362.3500000001"/>
    <s v="PD Chq"/>
    <s v="PBB395362cleared28/4/22 RM6,083.50"/>
    <m/>
  </r>
  <r>
    <x v="173"/>
    <x v="10"/>
    <x v="3"/>
    <x v="227"/>
    <s v="C00000021"/>
    <x v="21"/>
    <s v="RJ Mepoxe (5kg)"/>
    <n v="2"/>
    <s v="Cash"/>
    <n v="0"/>
    <d v="2022-04-01T00:00:00"/>
    <n v="4"/>
    <n v="2022"/>
    <n v="170"/>
    <n v="-170"/>
    <n v="0"/>
    <n v="1157532.3500000001"/>
    <s v="PD Chq"/>
    <s v="PBB395362cleared28/4/22 RM6,083.50"/>
    <m/>
  </r>
  <r>
    <x v="173"/>
    <x v="10"/>
    <x v="3"/>
    <x v="227"/>
    <s v="C00000021"/>
    <x v="21"/>
    <s v="RA Talcum Powder (25kg)"/>
    <n v="10"/>
    <s v="Cash"/>
    <n v="0"/>
    <d v="2022-04-01T00:00:00"/>
    <n v="4"/>
    <n v="2022"/>
    <n v="575"/>
    <n v="-575"/>
    <n v="0"/>
    <n v="1158107.3500000001"/>
    <s v="PD Chq"/>
    <s v="PBB395362cleared28/4/22 RM6,083.50"/>
    <m/>
  </r>
  <r>
    <x v="173"/>
    <x v="10"/>
    <x v="3"/>
    <x v="227"/>
    <s v="C00000021"/>
    <x v="21"/>
    <s v="RM Gelcoat GSH"/>
    <n v="1"/>
    <s v="Cash"/>
    <n v="0"/>
    <d v="2022-04-01T00:00:00"/>
    <n v="4"/>
    <n v="2022"/>
    <n v="347.5"/>
    <n v="-347.5"/>
    <n v="0"/>
    <n v="1158454.8500000001"/>
    <s v="PD Chq"/>
    <s v="PBB395362cleared28/4/22 RM6,083.50"/>
    <m/>
  </r>
  <r>
    <x v="173"/>
    <x v="10"/>
    <x v="3"/>
    <x v="228"/>
    <s v="C00000020"/>
    <x v="19"/>
    <s v="RA Resin 3317AW (220Kg)"/>
    <n v="1"/>
    <s v="Cash"/>
    <n v="0"/>
    <d v="2022-04-01T00:00:00"/>
    <n v="4"/>
    <n v="2022"/>
    <n v="2090"/>
    <n v="-2090"/>
    <n v="0"/>
    <n v="1160544.8500000001"/>
    <s v="Trsf"/>
    <s v="Trsf20/7/22 RM10,700.00(2,090.00)"/>
    <m/>
  </r>
  <r>
    <x v="173"/>
    <x v="10"/>
    <x v="3"/>
    <x v="228"/>
    <s v="C00000020"/>
    <x v="19"/>
    <s v="RA Nor 3338W (220Kg)"/>
    <n v="2"/>
    <s v="Cash"/>
    <n v="0"/>
    <d v="2022-04-01T00:00:00"/>
    <n v="4"/>
    <n v="2022"/>
    <n v="4180"/>
    <n v="-4180"/>
    <n v="0"/>
    <n v="1164724.8500000001"/>
    <s v="Trsf"/>
    <s v="Trsf20/7/22 RM10,700.00(4,180.00)"/>
    <m/>
  </r>
  <r>
    <x v="173"/>
    <x v="10"/>
    <x v="3"/>
    <x v="228"/>
    <s v="C00000020"/>
    <x v="19"/>
    <s v="RM CSM 450 (60Kg) 64m(L) x 2080mm(W)"/>
    <n v="3"/>
    <s v="Cash"/>
    <n v="0"/>
    <d v="2022-04-01T00:00:00"/>
    <n v="4"/>
    <n v="2022"/>
    <n v="1764"/>
    <n v="-1764"/>
    <n v="0"/>
    <n v="1166488.8500000001"/>
    <s v="Trsf"/>
    <s v="Trsf20/7/22 RM10,700.00(RM1,764.00)"/>
    <m/>
  </r>
  <r>
    <x v="173"/>
    <x v="10"/>
    <x v="3"/>
    <x v="228"/>
    <s v="C00000020"/>
    <x v="19"/>
    <s v="RM Woven Roving E-600gm 1000mm (40Kg)"/>
    <n v="3"/>
    <s v="Cash"/>
    <n v="0"/>
    <d v="2022-04-01T00:00:00"/>
    <n v="4"/>
    <n v="2022"/>
    <n v="936"/>
    <n v="-936"/>
    <n v="0"/>
    <n v="1167424.8500000001"/>
    <s v="Trsf"/>
    <s v="Trsf20/7/22 RM10,700.00(RM936.00)"/>
    <m/>
  </r>
  <r>
    <x v="173"/>
    <x v="10"/>
    <x v="3"/>
    <x v="228"/>
    <s v="C00000020"/>
    <x v="19"/>
    <s v="RA Talcum Powder (25kg)"/>
    <n v="3"/>
    <s v="Cash"/>
    <n v="0"/>
    <d v="2022-04-01T00:00:00"/>
    <n v="4"/>
    <n v="2022"/>
    <n v="187.5"/>
    <n v="-187.5"/>
    <n v="0"/>
    <n v="1167612.3500000001"/>
    <s v="Trsf"/>
    <s v="Trsf20/7/22 RM10,700.00(RM64.30), Trsf 19/8/22 RM3,000.00(123.20partial)"/>
    <m/>
  </r>
  <r>
    <x v="173"/>
    <x v="10"/>
    <x v="3"/>
    <x v="229"/>
    <s v="C00000022"/>
    <x v="23"/>
    <s v="RA Nor 3338W (220Kg)"/>
    <n v="1"/>
    <s v="Cash"/>
    <n v="0"/>
    <d v="2022-04-01T00:00:00"/>
    <n v="4"/>
    <n v="2022"/>
    <n v="2112"/>
    <n v="-2112"/>
    <n v="0"/>
    <n v="1169724.3500000001"/>
    <s v="Trsf"/>
    <s v="Trsf 9/5/22 RM4,070.00"/>
    <m/>
  </r>
  <r>
    <x v="173"/>
    <x v="10"/>
    <x v="3"/>
    <x v="229"/>
    <s v="C00000022"/>
    <x v="23"/>
    <s v="RG CSM 300 (30Kg) 64m(L) x 1040mm(W)"/>
    <n v="2"/>
    <s v="Cash"/>
    <n v="0"/>
    <d v="2022-04-01T00:00:00"/>
    <n v="4"/>
    <n v="2022"/>
    <n v="588"/>
    <n v="-588"/>
    <n v="0"/>
    <n v="1170312.3500000001"/>
    <s v="Trsf"/>
    <s v="Trsf 9/5/22 RM4,070.00"/>
    <m/>
  </r>
  <r>
    <x v="173"/>
    <x v="10"/>
    <x v="3"/>
    <x v="229"/>
    <s v="C00000022"/>
    <x v="23"/>
    <s v="RM Woven Roving E-600gm 1000mm (40Kg)"/>
    <n v="1"/>
    <s v="Cash"/>
    <n v="0"/>
    <d v="2022-04-01T00:00:00"/>
    <n v="4"/>
    <n v="2022"/>
    <n v="300"/>
    <n v="-300"/>
    <n v="0"/>
    <n v="1170612.3500000001"/>
    <s v="Trsf"/>
    <s v="Trsf 9/5/22 RM4,070.00"/>
    <m/>
  </r>
  <r>
    <x v="173"/>
    <x v="10"/>
    <x v="3"/>
    <x v="229"/>
    <s v="C00000022"/>
    <x v="23"/>
    <s v="RM Pgment Paste Riviera Blue B5 (5Kg)"/>
    <n v="2"/>
    <s v="Cash"/>
    <n v="0"/>
    <d v="2022-04-01T00:00:00"/>
    <n v="4"/>
    <n v="2022"/>
    <n v="480"/>
    <n v="-480"/>
    <n v="0"/>
    <n v="1171092.3500000001"/>
    <s v="Trsf"/>
    <s v="Trsf 9/5/22 RM4,070.00"/>
    <m/>
  </r>
  <r>
    <x v="174"/>
    <x v="10"/>
    <x v="3"/>
    <x v="230"/>
    <s v="C00000020"/>
    <x v="19"/>
    <s v="RA Nor 3338W (220Kg)"/>
    <n v="3"/>
    <s v="Cash"/>
    <n v="0"/>
    <d v="2022-04-05T00:00:00"/>
    <n v="4"/>
    <n v="2022"/>
    <n v="6270"/>
    <n v="-6270"/>
    <n v="0"/>
    <n v="1177362.3500000001"/>
    <s v="Trsf"/>
    <s v="Trsf 19/8/22 RM3,000.00(2,876.80partial), Trsf 2/9/22 RM10,000.00(RM3,393.20partial)"/>
    <m/>
  </r>
  <r>
    <x v="174"/>
    <x v="10"/>
    <x v="3"/>
    <x v="230"/>
    <s v="C00000020"/>
    <x v="19"/>
    <s v="RM CSM 450 64m(L) 1040mm(W) (30Kg)"/>
    <n v="6"/>
    <s v="Cash"/>
    <n v="0"/>
    <d v="2022-04-05T00:00:00"/>
    <n v="4"/>
    <n v="2022"/>
    <n v="1764"/>
    <n v="-1764"/>
    <n v="0"/>
    <n v="1179126.3500000001"/>
    <s v="Trsf"/>
    <s v="Trsf 2/9/22 RM10,000.00(RM1,764.00partial)"/>
    <m/>
  </r>
  <r>
    <x v="174"/>
    <x v="10"/>
    <x v="3"/>
    <x v="230"/>
    <s v="C00000020"/>
    <x v="19"/>
    <s v="RM Woven Roving E-600gm 1000mm (40Kg)"/>
    <n v="3"/>
    <s v="Cash"/>
    <n v="0"/>
    <d v="2022-04-05T00:00:00"/>
    <n v="4"/>
    <n v="2022"/>
    <n v="936"/>
    <n v="-936"/>
    <n v="0"/>
    <n v="1180062.3500000001"/>
    <s v="Trsf"/>
    <s v="Trsf 2/9/22 RM10,000.00(RM936.00partial)"/>
    <m/>
  </r>
  <r>
    <x v="174"/>
    <x v="10"/>
    <x v="3"/>
    <x v="230"/>
    <s v="C00000020"/>
    <x v="19"/>
    <s v="RA Talcum Powder (25kg)"/>
    <n v="3"/>
    <s v="Cash"/>
    <n v="0"/>
    <d v="2022-04-05T00:00:00"/>
    <n v="4"/>
    <n v="2022"/>
    <n v="187.5"/>
    <n v="-187.5"/>
    <n v="0"/>
    <n v="1180249.8500000001"/>
    <s v="Trsf"/>
    <s v="Trsf 2/9/22 RM10,000.00(R187.50partial)"/>
    <m/>
  </r>
  <r>
    <x v="174"/>
    <x v="10"/>
    <x v="3"/>
    <x v="230"/>
    <s v="C00000020"/>
    <x v="19"/>
    <s v="RM Pigment Smooth Cream (25kg)"/>
    <n v="1"/>
    <s v="Cash"/>
    <n v="0"/>
    <d v="2022-04-05T00:00:00"/>
    <n v="4"/>
    <n v="2022"/>
    <n v="1000"/>
    <n v="-1000"/>
    <n v="0"/>
    <n v="1181249.8500000001"/>
    <s v="Trsf"/>
    <s v="Trsf 2/9/22 RM10,000.00(RM1,000.00partial)"/>
    <m/>
  </r>
  <r>
    <x v="174"/>
    <x v="10"/>
    <x v="3"/>
    <x v="230"/>
    <s v="C00000020"/>
    <x v="19"/>
    <s v="RJ Mepoxe (5kg)"/>
    <n v="4"/>
    <s v="Cash"/>
    <n v="0"/>
    <d v="2022-04-05T00:00:00"/>
    <n v="4"/>
    <n v="2022"/>
    <n v="340"/>
    <n v="-340"/>
    <n v="0"/>
    <n v="1181589.8500000001"/>
    <s v="Trsf"/>
    <s v="Trsf 2/9/22 RM10,000.00(RM340.00partial)"/>
    <m/>
  </r>
  <r>
    <x v="175"/>
    <x v="10"/>
    <x v="3"/>
    <x v="231"/>
    <s v="C00000019"/>
    <x v="18"/>
    <s v="RA Nor 3338W (220Kg)"/>
    <n v="2"/>
    <s v="Cash"/>
    <n v="0"/>
    <d v="2022-04-08T00:00:00"/>
    <n v="4"/>
    <n v="2022"/>
    <n v="4136"/>
    <n v="-4136"/>
    <n v="0"/>
    <n v="1185725.8500000001"/>
    <s v="Trsf"/>
    <s v="Trsf 10/4/22 RM6,361.10"/>
    <m/>
  </r>
  <r>
    <x v="175"/>
    <x v="10"/>
    <x v="3"/>
    <x v="231"/>
    <s v="C00000019"/>
    <x v="18"/>
    <s v="RG CSM 450 CQ 54kg 64m(L) X 1860mm(W)"/>
    <n v="2"/>
    <s v="Cash"/>
    <n v="0"/>
    <d v="2022-04-08T00:00:00"/>
    <n v="4"/>
    <n v="2022"/>
    <n v="1047.5999999999999"/>
    <n v="-1047.5999999999999"/>
    <n v="0"/>
    <n v="1186773.4500000002"/>
    <s v="Trsf"/>
    <s v="Trsf 10/4/22 RM6,361.10"/>
    <m/>
  </r>
  <r>
    <x v="175"/>
    <x v="10"/>
    <x v="3"/>
    <x v="231"/>
    <s v="C00000019"/>
    <x v="18"/>
    <s v="RA Talcum Powder (25kg)"/>
    <n v="3"/>
    <s v="Cash"/>
    <n v="0"/>
    <d v="2022-04-08T00:00:00"/>
    <n v="4"/>
    <n v="2022"/>
    <n v="187.5"/>
    <n v="-187.5"/>
    <n v="0"/>
    <n v="1186960.9500000002"/>
    <s v="Trsf"/>
    <s v="Trsf 10/4/22 RM6,361.10"/>
    <m/>
  </r>
  <r>
    <x v="175"/>
    <x v="10"/>
    <x v="3"/>
    <x v="231"/>
    <s v="C00000019"/>
    <x v="18"/>
    <s v="RE Frekote 770NC (1 Gallon)"/>
    <n v="2"/>
    <s v="Cash"/>
    <n v="0"/>
    <d v="2022-04-08T00:00:00"/>
    <n v="4"/>
    <n v="2022"/>
    <n v="780"/>
    <n v="-780"/>
    <n v="0"/>
    <n v="1187740.9500000002"/>
    <s v="Trsf"/>
    <s v="Trsf 10/4/22 RM6,361.10"/>
    <m/>
  </r>
  <r>
    <x v="175"/>
    <x v="10"/>
    <x v="3"/>
    <x v="231"/>
    <s v="C00000019"/>
    <x v="18"/>
    <s v="RA Butanox M50"/>
    <n v="2"/>
    <s v="Cash"/>
    <n v="0"/>
    <d v="2022-04-08T00:00:00"/>
    <n v="4"/>
    <n v="2022"/>
    <n v="210"/>
    <n v="-210"/>
    <n v="0"/>
    <n v="1187950.9500000002"/>
    <s v="Trsf"/>
    <s v="Trsf 10/4/22 RM6,361.10"/>
    <m/>
  </r>
  <r>
    <x v="175"/>
    <x v="10"/>
    <x v="3"/>
    <x v="232"/>
    <s v="C00000003"/>
    <x v="2"/>
    <s v="RA Resin 3317AW (220Kg)"/>
    <n v="3"/>
    <n v="45"/>
    <n v="45"/>
    <d v="2022-05-23T00:00:00"/>
    <n v="5"/>
    <n v="2022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x v="175"/>
    <x v="10"/>
    <x v="3"/>
    <x v="232"/>
    <s v="C00000003"/>
    <x v="2"/>
    <s v="RA Talcum Powder (25kg)"/>
    <n v="4"/>
    <n v="45"/>
    <n v="45"/>
    <d v="2022-05-23T00:00:00"/>
    <n v="5"/>
    <n v="2022"/>
    <n v="260"/>
    <n v="-260"/>
    <n v="0"/>
    <n v="1194546.9500000002"/>
    <s v="PD Chq"/>
    <s v="RHB 001605cleared13/6/22-RM2,000.00"/>
    <m/>
  </r>
  <r>
    <x v="175"/>
    <x v="10"/>
    <x v="3"/>
    <x v="232"/>
    <s v="C00000003"/>
    <x v="2"/>
    <s v="RA Butanox M50 (5Kg)"/>
    <n v="6"/>
    <n v="45"/>
    <n v="45"/>
    <d v="2022-05-23T00:00:00"/>
    <n v="5"/>
    <n v="2022"/>
    <n v="630"/>
    <n v="-630"/>
    <n v="0"/>
    <n v="1195176.9500000002"/>
    <s v="PD Chq"/>
    <s v="RHB 001605cleared13/6/22-RM2,000.00"/>
    <m/>
  </r>
  <r>
    <x v="175"/>
    <x v="10"/>
    <x v="3"/>
    <x v="232"/>
    <s v="C00000003"/>
    <x v="2"/>
    <s v="RA Miracle Gloss Wax"/>
    <n v="2"/>
    <n v="45"/>
    <n v="45"/>
    <d v="2022-05-23T00:00:00"/>
    <n v="5"/>
    <n v="2022"/>
    <n v="90"/>
    <n v="-90"/>
    <n v="0"/>
    <n v="1195266.9500000002"/>
    <s v="PD Chq"/>
    <s v="RHB 001605cleared13/6/22-RM2,000.00"/>
    <m/>
  </r>
  <r>
    <x v="176"/>
    <x v="10"/>
    <x v="3"/>
    <x v="233"/>
    <s v="C00000009"/>
    <x v="8"/>
    <s v="RA Nor 3338W (220Kg)"/>
    <n v="2"/>
    <n v="60"/>
    <n v="60"/>
    <d v="2022-06-08T00:00:00"/>
    <n v="6"/>
    <n v="2022"/>
    <n v="3960"/>
    <n v="-3960"/>
    <n v="0"/>
    <n v="1199226.9500000002"/>
    <s v="Chq"/>
    <s v="Chq HL 015688 dd 24/8/22"/>
    <m/>
  </r>
  <r>
    <x v="176"/>
    <x v="10"/>
    <x v="3"/>
    <x v="233"/>
    <s v="C00000009"/>
    <x v="8"/>
    <s v="RM CSM 450 (60Kg) 64m(L) x 2080mm(W)"/>
    <n v="1"/>
    <n v="60"/>
    <n v="60"/>
    <d v="2022-06-08T00:00:00"/>
    <n v="6"/>
    <n v="2022"/>
    <n v="570"/>
    <n v="-570"/>
    <n v="0"/>
    <n v="1199796.9500000002"/>
    <s v="Chq"/>
    <s v="Chq HL 015688 dd 24/8/22"/>
    <m/>
  </r>
  <r>
    <x v="176"/>
    <x v="10"/>
    <x v="3"/>
    <x v="233"/>
    <s v="C00000009"/>
    <x v="8"/>
    <s v="RA CSM 300 (54Kg) 1860mm"/>
    <n v="1"/>
    <n v="60"/>
    <n v="60"/>
    <d v="2022-06-08T00:00:00"/>
    <n v="6"/>
    <n v="2022"/>
    <n v="513"/>
    <n v="-513"/>
    <n v="0"/>
    <n v="1200309.9500000002"/>
    <s v="Chq"/>
    <s v="Chq HL 015688 dd 24/8/22"/>
    <m/>
  </r>
  <r>
    <x v="176"/>
    <x v="10"/>
    <x v="3"/>
    <x v="234"/>
    <s v="C00000020"/>
    <x v="19"/>
    <s v="RA Resin 3317AW (220Kg)"/>
    <n v="3"/>
    <s v="Cash"/>
    <n v="0"/>
    <d v="2022-04-09T00:00:00"/>
    <n v="4"/>
    <n v="2022"/>
    <n v="6270"/>
    <n v="-6270"/>
    <n v="0"/>
    <n v="1206579.9500000002"/>
    <s v="Trsf"/>
    <s v="Trsf 2/9/22 RM10,000.00(RM2,379.30partial), Trsf 8/9/22 RM3.890.70(partial)"/>
    <m/>
  </r>
  <r>
    <x v="176"/>
    <x v="10"/>
    <x v="3"/>
    <x v="234"/>
    <s v="C00000020"/>
    <x v="19"/>
    <s v="RM CSM 450 64m(L) 1040mm(W) (30Kg)"/>
    <n v="4"/>
    <s v="Cash"/>
    <n v="0"/>
    <d v="2022-04-09T00:00:00"/>
    <n v="4"/>
    <n v="2022"/>
    <n v="1176"/>
    <n v="-1176"/>
    <n v="0"/>
    <n v="1207755.9500000002"/>
    <s v="Trsf"/>
    <s v="Trsf 8/9/22 RM10,000.00(RM1,176.00partial)"/>
    <m/>
  </r>
  <r>
    <x v="176"/>
    <x v="10"/>
    <x v="3"/>
    <x v="234"/>
    <s v="C00000020"/>
    <x v="19"/>
    <s v="RM Woven Roving E-600gm 1000mm (40Kg)"/>
    <n v="3"/>
    <s v="Cash"/>
    <n v="0"/>
    <d v="2022-04-09T00:00:00"/>
    <n v="4"/>
    <n v="2022"/>
    <n v="936"/>
    <n v="-936"/>
    <n v="0"/>
    <n v="1208691.9500000002"/>
    <s v="Trsf"/>
    <s v="Trsf 8/9/22 RM10,000.00(RM936.00partial)"/>
    <m/>
  </r>
  <r>
    <x v="176"/>
    <x v="10"/>
    <x v="3"/>
    <x v="234"/>
    <s v="C00000020"/>
    <x v="19"/>
    <s v="RA Talcum Powder (25kg)"/>
    <n v="3"/>
    <s v="Cash"/>
    <n v="0"/>
    <d v="2022-04-09T00:00:00"/>
    <n v="4"/>
    <n v="2022"/>
    <n v="187.5"/>
    <n v="-187.5"/>
    <n v="0"/>
    <n v="1208879.4500000002"/>
    <s v="Trsf"/>
    <s v="Trsf 8/9/22 RM10,000.00(RM187.50partial)"/>
    <m/>
  </r>
  <r>
    <x v="176"/>
    <x v="10"/>
    <x v="3"/>
    <x v="235"/>
    <s v="C00000024"/>
    <x v="25"/>
    <s v="RA Resin 3317AW (220Kg)"/>
    <n v="1"/>
    <s v="Cash"/>
    <n v="0"/>
    <d v="2022-04-09T00:00:00"/>
    <n v="4"/>
    <n v="2022"/>
    <n v="2090"/>
    <n v="-2090"/>
    <n v="0"/>
    <n v="1210969.4500000002"/>
    <s v="Trsf"/>
    <s v="PIB 091977Cleared11/4/22-RM3,881.50"/>
    <m/>
  </r>
  <r>
    <x v="176"/>
    <x v="10"/>
    <x v="3"/>
    <x v="235"/>
    <s v="C00000024"/>
    <x v="25"/>
    <s v="RA Resin 3317AW (25Kg)"/>
    <n v="1"/>
    <s v="Cash"/>
    <n v="0"/>
    <d v="2022-04-09T00:00:00"/>
    <n v="4"/>
    <n v="2022"/>
    <n v="350"/>
    <n v="-350"/>
    <n v="0"/>
    <n v="1211319.4500000002"/>
    <s v="Trsf"/>
    <s v="PIB 091977Cleared11/4/22-RM3,881.50"/>
    <m/>
  </r>
  <r>
    <x v="176"/>
    <x v="10"/>
    <x v="3"/>
    <x v="235"/>
    <s v="C00000024"/>
    <x v="25"/>
    <s v="RM CSM 450 64m(L) 1040mm(W) (30Kg)"/>
    <n v="1"/>
    <s v="Cash"/>
    <n v="0"/>
    <d v="2022-04-09T00:00:00"/>
    <n v="4"/>
    <n v="2022"/>
    <n v="294"/>
    <n v="-294"/>
    <n v="0"/>
    <n v="1211613.4500000002"/>
    <s v="Trsf"/>
    <s v="PIB 091977Cleared11/4/22-RM3,881.50"/>
    <m/>
  </r>
  <r>
    <x v="176"/>
    <x v="10"/>
    <x v="3"/>
    <x v="235"/>
    <s v="C00000024"/>
    <x v="25"/>
    <s v="RA Talcum Powder (25kg)"/>
    <n v="1"/>
    <s v="Cash"/>
    <n v="0"/>
    <d v="2022-04-09T00:00:00"/>
    <n v="4"/>
    <n v="2022"/>
    <n v="62.5"/>
    <n v="-62.5"/>
    <n v="0"/>
    <n v="1211675.9500000002"/>
    <s v="Trsf"/>
    <s v="PIB 091977Cleared11/4/22-RM3,881.50"/>
    <m/>
  </r>
  <r>
    <x v="176"/>
    <x v="10"/>
    <x v="3"/>
    <x v="235"/>
    <s v="C00000024"/>
    <x v="25"/>
    <s v="RM Pigment Smooth Cream (25kg)"/>
    <n v="1"/>
    <s v="Cash"/>
    <n v="0"/>
    <d v="2022-04-09T00:00:00"/>
    <n v="4"/>
    <n v="2022"/>
    <n v="1000"/>
    <n v="-1000"/>
    <n v="0"/>
    <n v="1212675.9500000002"/>
    <s v="Trsf"/>
    <s v="PIB 091977Cleared11/4/22-RM3,881.50"/>
    <m/>
  </r>
  <r>
    <x v="176"/>
    <x v="10"/>
    <x v="3"/>
    <x v="235"/>
    <s v="C00000024"/>
    <x v="25"/>
    <s v="RJ Mepoxe (5kg)"/>
    <n v="1"/>
    <s v="Cash"/>
    <n v="0"/>
    <d v="2022-04-09T00:00:00"/>
    <n v="4"/>
    <n v="2022"/>
    <n v="85"/>
    <n v="-85"/>
    <n v="0"/>
    <n v="1212760.9500000002"/>
    <s v="Trsf"/>
    <s v="PIB 091977Cleared11/4/22-RM3,881.50"/>
    <m/>
  </r>
  <r>
    <x v="177"/>
    <x v="10"/>
    <x v="3"/>
    <x v="236"/>
    <s v="C00000022"/>
    <x v="23"/>
    <s v="RM NPG Gelcoat 9319-H (5Kg)"/>
    <n v="2"/>
    <s v="Cash"/>
    <n v="0"/>
    <d v="2022-04-12T00:00:00"/>
    <n v="4"/>
    <n v="2022"/>
    <n v="200"/>
    <n v="-200"/>
    <n v="0"/>
    <n v="1212960.9500000002"/>
    <s v="Trsf"/>
    <s v="Trsf 9/5/22 RM4,070.00"/>
    <m/>
  </r>
  <r>
    <x v="177"/>
    <x v="10"/>
    <x v="3"/>
    <x v="236"/>
    <s v="C00000022"/>
    <x v="23"/>
    <s v="RE Frekote 770NC (1 Gallon)"/>
    <n v="1"/>
    <s v="Cash"/>
    <n v="0"/>
    <d v="2022-04-12T00:00:00"/>
    <n v="4"/>
    <n v="2022"/>
    <n v="390"/>
    <n v="-390"/>
    <n v="0"/>
    <n v="1213350.9500000002"/>
    <s v="Trsf"/>
    <s v="Trsf 9/5/22 RM4,070.00"/>
    <m/>
  </r>
  <r>
    <x v="178"/>
    <x v="10"/>
    <x v="3"/>
    <x v="237"/>
    <s v="C00000024"/>
    <x v="25"/>
    <s v="RM CSM 450 64m(L) 1040mm(W) (30Kg)"/>
    <n v="2"/>
    <s v="Cash"/>
    <n v="0"/>
    <d v="2022-04-13T00:00:00"/>
    <n v="4"/>
    <n v="2022"/>
    <n v="588"/>
    <n v="-588"/>
    <n v="0"/>
    <n v="1213938.9500000002"/>
    <s v="Trsf"/>
    <s v="Trsf PBB Yew Kok Wah 13/4/22 RM588.00 "/>
    <m/>
  </r>
  <r>
    <x v="178"/>
    <x v="10"/>
    <x v="3"/>
    <x v="238"/>
    <s v="C00000020"/>
    <x v="19"/>
    <s v="RA Nor 3338W (220Kg)"/>
    <n v="3"/>
    <s v="Cash"/>
    <n v="0"/>
    <d v="2022-04-13T00:00:00"/>
    <n v="4"/>
    <n v="2022"/>
    <n v="6270"/>
    <n v="-6270"/>
    <n v="0"/>
    <n v="1220208.9500000002"/>
    <s v="Trsf"/>
    <s v="Trsf 8/9/22 RM10,000.00(RM3,809.80partial), Trsf 12/9/22 RM4,000.00(2,460.20partial)"/>
    <m/>
  </r>
  <r>
    <x v="178"/>
    <x v="10"/>
    <x v="3"/>
    <x v="238"/>
    <s v="C00000020"/>
    <x v="19"/>
    <s v="RM CSM 450 64m(L) X 1860mm(W) (54kg)"/>
    <n v="5"/>
    <s v="Cash"/>
    <n v="0"/>
    <d v="2022-04-13T00:00:00"/>
    <n v="4"/>
    <n v="2022"/>
    <n v="2646"/>
    <n v="-2646"/>
    <n v="0"/>
    <n v="1222854.9500000002"/>
    <s v="Trsf"/>
    <s v="Trsf 12/9/22 RM4,000.00(RM1,539.80partial), Trsf 28/9/22 RM13,000.00(partial RM1,106.20)"/>
    <m/>
  </r>
  <r>
    <x v="178"/>
    <x v="10"/>
    <x v="3"/>
    <x v="238"/>
    <s v="C00000020"/>
    <x v="19"/>
    <s v="RM Woven Roving E-600gm 1000mm (40Kg)"/>
    <n v="6"/>
    <s v="Cash"/>
    <n v="0"/>
    <d v="2022-04-13T00:00:00"/>
    <n v="4"/>
    <n v="2022"/>
    <n v="1872"/>
    <n v="-1872"/>
    <n v="0"/>
    <n v="1224726.9500000002"/>
    <s v="Trsf"/>
    <s v="Trsf 28/9/22 RM13,000.00"/>
    <m/>
  </r>
  <r>
    <x v="178"/>
    <x v="10"/>
    <x v="3"/>
    <x v="238"/>
    <s v="C00000020"/>
    <x v="19"/>
    <s v="RA Talcum Powder (25kg)"/>
    <n v="3"/>
    <s v="Cash"/>
    <n v="0"/>
    <d v="2022-04-13T00:00:00"/>
    <n v="4"/>
    <n v="2022"/>
    <n v="187.5"/>
    <n v="-187.5"/>
    <n v="0"/>
    <n v="1224914.4500000002"/>
    <s v="Trsf"/>
    <s v="Trsf 28/9/22 RM13,000.00"/>
    <m/>
  </r>
  <r>
    <x v="179"/>
    <x v="10"/>
    <x v="3"/>
    <x v="239"/>
    <s v="C00000021"/>
    <x v="21"/>
    <s v="RA Resin 3317AW (220Kg)"/>
    <n v="2"/>
    <s v="Cash"/>
    <n v="0"/>
    <d v="2022-04-14T00:00:00"/>
    <n v="4"/>
    <n v="2022"/>
    <n v="4136"/>
    <n v="-4136"/>
    <n v="0"/>
    <n v="1229050.4500000002"/>
    <s v="PD Chq"/>
    <s v="PBB395363cleared23/6/22 RM5,746.00"/>
    <m/>
  </r>
  <r>
    <x v="179"/>
    <x v="10"/>
    <x v="3"/>
    <x v="239"/>
    <s v="C00000021"/>
    <x v="21"/>
    <s v="RM CSM 450 64m(L) 1040mm(W) (30Kg)"/>
    <n v="5"/>
    <s v="Cash"/>
    <n v="0"/>
    <d v="2022-04-14T00:00:00"/>
    <n v="4"/>
    <n v="2022"/>
    <n v="1440"/>
    <n v="-1440"/>
    <n v="0"/>
    <n v="1230490.4500000002"/>
    <s v="PD Chq"/>
    <s v="PBB395363cleared23/6/22 RM5,746.00"/>
    <m/>
  </r>
  <r>
    <x v="179"/>
    <x v="10"/>
    <x v="3"/>
    <x v="239"/>
    <s v="C00000021"/>
    <x v="21"/>
    <s v="RJ Mepoxe (5kg)"/>
    <n v="2"/>
    <s v="Cash"/>
    <n v="0"/>
    <d v="2022-04-14T00:00:00"/>
    <n v="4"/>
    <n v="2022"/>
    <n v="170"/>
    <n v="-170"/>
    <n v="0"/>
    <n v="1230660.4500000002"/>
    <s v="PD Chq"/>
    <s v="PBB395363cleared23/6/22 RM5,746.00"/>
    <m/>
  </r>
  <r>
    <x v="180"/>
    <x v="10"/>
    <x v="3"/>
    <x v="240"/>
    <s v="C00000024"/>
    <x v="25"/>
    <s v="RA Resin 3317AW (220Kg)"/>
    <n v="1"/>
    <s v="Cash"/>
    <n v="0"/>
    <d v="2022-04-15T00:00:00"/>
    <n v="4"/>
    <n v="2022"/>
    <n v="2090"/>
    <n v="-2090"/>
    <n v="0"/>
    <n v="1232750.4500000002"/>
    <s v="Trsf"/>
    <s v="PIB 091980Cleared18/4/22-RM2,175.00"/>
    <m/>
  </r>
  <r>
    <x v="180"/>
    <x v="10"/>
    <x v="3"/>
    <x v="240"/>
    <s v="C00000024"/>
    <x v="25"/>
    <s v="RJ Mepoxe (5kg)"/>
    <n v="1"/>
    <s v="Cash"/>
    <n v="0"/>
    <d v="2022-04-15T00:00:00"/>
    <n v="4"/>
    <n v="2022"/>
    <n v="85"/>
    <n v="-85"/>
    <n v="0"/>
    <n v="1232835.4500000002"/>
    <s v="Trsf"/>
    <s v="PIB 091980Cleared18/4/22-RM2,175.00"/>
    <m/>
  </r>
  <r>
    <x v="181"/>
    <x v="10"/>
    <x v="3"/>
    <x v="241"/>
    <s v="C00000020"/>
    <x v="19"/>
    <s v="RA Nor 3338W (220Kg)"/>
    <n v="3"/>
    <s v="Cash"/>
    <n v="0"/>
    <d v="2022-04-16T00:00:00"/>
    <n v="4"/>
    <n v="2022"/>
    <n v="6270"/>
    <n v="-6270"/>
    <n v="0"/>
    <n v="1239105.4500000002"/>
    <s v="Trsf"/>
    <s v="Trsf 28/9/22 RM13,000.00"/>
    <m/>
  </r>
  <r>
    <x v="181"/>
    <x v="10"/>
    <x v="3"/>
    <x v="241"/>
    <s v="C00000020"/>
    <x v="19"/>
    <s v="RM CSM 450 64m(L) 1040mm(W) (30Kg)"/>
    <n v="7"/>
    <s v="Cash"/>
    <n v="0"/>
    <d v="2022-04-16T00:00:00"/>
    <n v="4"/>
    <n v="2022"/>
    <n v="2058"/>
    <n v="-2058"/>
    <n v="0"/>
    <n v="1241163.4500000002"/>
    <s v="Trsf"/>
    <s v="Trsf 28/9/22 RM13,000.00"/>
    <m/>
  </r>
  <r>
    <x v="181"/>
    <x v="10"/>
    <x v="3"/>
    <x v="241"/>
    <s v="C00000020"/>
    <x v="19"/>
    <s v="RM Woven Roving E-600gm 1000mm (40Kg)"/>
    <n v="4"/>
    <s v="Cash"/>
    <n v="0"/>
    <d v="2022-04-16T00:00:00"/>
    <n v="4"/>
    <n v="2022"/>
    <n v="1248"/>
    <n v="-1248"/>
    <n v="0"/>
    <n v="1242411.4500000002"/>
    <s v="Trsf"/>
    <s v="Trsf 28/9/22 RM13,000.00"/>
    <m/>
  </r>
  <r>
    <x v="181"/>
    <x v="10"/>
    <x v="3"/>
    <x v="241"/>
    <s v="C00000020"/>
    <x v="19"/>
    <s v="RA Talcum Powder (25kg)"/>
    <n v="3"/>
    <s v="Cash"/>
    <n v="0"/>
    <d v="2022-04-16T00:00:00"/>
    <n v="4"/>
    <n v="2022"/>
    <n v="187.5"/>
    <n v="-187.5"/>
    <n v="0"/>
    <n v="1242598.9500000002"/>
    <s v="Trsf"/>
    <s v="Trsf 28/9/22 RM13,000.00"/>
    <m/>
  </r>
  <r>
    <x v="181"/>
    <x v="10"/>
    <x v="3"/>
    <x v="241"/>
    <s v="C00000020"/>
    <x v="19"/>
    <s v="RJ Mepoxe (5kg)"/>
    <n v="4"/>
    <s v="Cash"/>
    <n v="0"/>
    <d v="2022-04-16T00:00:00"/>
    <n v="4"/>
    <n v="2022"/>
    <n v="340"/>
    <n v="-340"/>
    <n v="0"/>
    <n v="1242938.9500000002"/>
    <s v="Trsf"/>
    <s v="Trsf 28/9/22 RM13,000.00, Trsf 5/10/22 RM5,000.00(RM269.20partial)"/>
    <m/>
  </r>
  <r>
    <x v="181"/>
    <x v="10"/>
    <x v="3"/>
    <x v="242"/>
    <s v="C00000023"/>
    <x v="24"/>
    <s v="RA Nor 3317W (220Kg)"/>
    <n v="5"/>
    <s v="Cash"/>
    <n v="0"/>
    <d v="2022-04-16T00:00:00"/>
    <n v="4"/>
    <n v="2022"/>
    <n v="10450"/>
    <n v="-10450"/>
    <n v="0"/>
    <n v="1253388.9500000002"/>
    <s v="Trsf"/>
    <s v="Trsf 17/5/22 RM14,088.50"/>
    <m/>
  </r>
  <r>
    <x v="181"/>
    <x v="10"/>
    <x v="3"/>
    <x v="242"/>
    <s v="C00000023"/>
    <x v="24"/>
    <s v="RM CSM 450 64m(L) 1040mm(W) (30Kg)"/>
    <n v="9"/>
    <s v="Cash"/>
    <n v="0"/>
    <d v="2022-04-16T00:00:00"/>
    <n v="4"/>
    <n v="2022"/>
    <n v="2646"/>
    <n v="-2646"/>
    <n v="0"/>
    <n v="1256034.9500000002"/>
    <s v="Trsf"/>
    <s v="Trsf 17/5/22 RM14,088.50"/>
    <m/>
  </r>
  <r>
    <x v="181"/>
    <x v="10"/>
    <x v="3"/>
    <x v="242"/>
    <s v="C00000023"/>
    <x v="24"/>
    <s v="RJ Mepoxe (5kg)"/>
    <n v="8"/>
    <s v="Cash"/>
    <n v="0"/>
    <d v="2022-04-16T00:00:00"/>
    <n v="4"/>
    <n v="2022"/>
    <n v="680"/>
    <n v="-680"/>
    <n v="0"/>
    <n v="1256714.9500000002"/>
    <s v="Trsf"/>
    <s v="Trsf 17/5/22 RM14,088.50"/>
    <m/>
  </r>
  <r>
    <x v="181"/>
    <x v="10"/>
    <x v="3"/>
    <x v="242"/>
    <s v="C00000023"/>
    <x v="24"/>
    <s v="RA Talcum Powder (25kg)"/>
    <n v="5"/>
    <s v="Cash"/>
    <n v="0"/>
    <d v="2022-04-16T00:00:00"/>
    <n v="4"/>
    <n v="2022"/>
    <n v="312.5"/>
    <n v="-312.5"/>
    <n v="0"/>
    <n v="1257027.4500000002"/>
    <s v="Trsf"/>
    <s v="Trsf 17/5/22 RM14,088.50"/>
    <m/>
  </r>
  <r>
    <x v="182"/>
    <x v="10"/>
    <x v="3"/>
    <x v="243"/>
    <s v="C00000020"/>
    <x v="19"/>
    <s v="RM Pigment Smooth Cream (25kg)"/>
    <n v="1"/>
    <s v="Cash"/>
    <n v="0"/>
    <d v="2022-04-19T00:00:00"/>
    <n v="4"/>
    <n v="2022"/>
    <n v="1000"/>
    <n v="-1000"/>
    <n v="0"/>
    <n v="1258027.4500000002"/>
    <s v="Trsf"/>
    <s v="Trsf 5/10/22 RM5,000.00"/>
    <m/>
  </r>
  <r>
    <x v="182"/>
    <x v="10"/>
    <x v="3"/>
    <x v="243"/>
    <s v="C00000020"/>
    <x v="19"/>
    <s v="RM CSM 450 64m(L) 1040mm(W) (30Kg)"/>
    <n v="6"/>
    <s v="Cash"/>
    <n v="0"/>
    <d v="2022-04-19T00:00:00"/>
    <n v="4"/>
    <n v="2022"/>
    <n v="1764"/>
    <n v="-1764"/>
    <n v="0"/>
    <n v="1259791.4500000002"/>
    <s v="Trsf"/>
    <s v="Trsf 5/10/22 RM5,000.00"/>
    <m/>
  </r>
  <r>
    <x v="182"/>
    <x v="10"/>
    <x v="3"/>
    <x v="243"/>
    <s v="C00000020"/>
    <x v="19"/>
    <s v="RC Woven Roving E-800 1000mm (40Kg)"/>
    <n v="1"/>
    <s v="Cash"/>
    <n v="0"/>
    <d v="2022-04-19T00:00:00"/>
    <n v="4"/>
    <n v="2022"/>
    <n v="312"/>
    <n v="-312"/>
    <n v="0"/>
    <n v="1260103.4500000002"/>
    <s v="Trsf"/>
    <s v="Trsf 5/10/22 RM5,000.00"/>
    <m/>
  </r>
  <r>
    <x v="183"/>
    <x v="10"/>
    <x v="3"/>
    <x v="244"/>
    <s v="C00000025"/>
    <x v="26"/>
    <s v="Resin 3317AW (25Kg)"/>
    <n v="2"/>
    <s v="Cash"/>
    <n v="0"/>
    <d v="2022-04-20T00:00:00"/>
    <n v="4"/>
    <n v="2022"/>
    <n v="700"/>
    <n v="-700"/>
    <n v="0"/>
    <n v="1260803.4500000002"/>
    <s v="Trsf"/>
    <s v="Trsf PBB 20/4/22-RM1,170.00"/>
    <m/>
  </r>
  <r>
    <x v="183"/>
    <x v="10"/>
    <x v="3"/>
    <x v="244"/>
    <s v="C00000025"/>
    <x v="26"/>
    <s v="CSM 450 64m(L) 1040mm(W) (30Kg)"/>
    <n v="1"/>
    <s v="Cash"/>
    <n v="0"/>
    <d v="2022-04-20T00:00:00"/>
    <n v="4"/>
    <n v="2022"/>
    <n v="315"/>
    <n v="-315"/>
    <n v="0"/>
    <n v="1261118.4500000002"/>
    <s v="Trsf"/>
    <s v="Trsf PBB 20/4/22-RM1,170.00"/>
    <m/>
  </r>
  <r>
    <x v="183"/>
    <x v="10"/>
    <x v="3"/>
    <x v="244"/>
    <s v="C00000025"/>
    <x v="26"/>
    <s v="Mepoxe (5kg)"/>
    <n v="1"/>
    <s v="Cash"/>
    <n v="0"/>
    <d v="2022-04-20T00:00:00"/>
    <n v="4"/>
    <n v="2022"/>
    <n v="90"/>
    <n v="-90"/>
    <n v="0"/>
    <n v="1261208.4500000002"/>
    <s v="Trsf"/>
    <s v="Trsf PBB 20/4/22-RM1,170.00"/>
    <m/>
  </r>
  <r>
    <x v="183"/>
    <x v="10"/>
    <x v="3"/>
    <x v="244"/>
    <s v="C00000025"/>
    <x v="26"/>
    <s v="Talcum Powder (25kg)"/>
    <n v="1"/>
    <s v="Cash"/>
    <n v="0"/>
    <d v="2022-04-20T00:00:00"/>
    <n v="4"/>
    <n v="2022"/>
    <n v="65"/>
    <n v="-65"/>
    <n v="0"/>
    <n v="1261273.4500000002"/>
    <s v="Trsf"/>
    <s v="Trsf PBB 20/4/22-RM1,170.00"/>
    <m/>
  </r>
  <r>
    <x v="184"/>
    <x v="10"/>
    <x v="3"/>
    <x v="245"/>
    <s v="C00000004"/>
    <x v="3"/>
    <s v="RG Nor 3338W (220Kg)"/>
    <n v="5"/>
    <n v="120"/>
    <n v="120"/>
    <d v="2022-08-19T00:00:00"/>
    <n v="8"/>
    <n v="2022"/>
    <n v="10120"/>
    <n v="-10120"/>
    <n v="0"/>
    <n v="1271393.4500000002"/>
    <s v="Chq"/>
    <s v="HLB011650Cleared8/8/22-RM15,222.00"/>
    <m/>
  </r>
  <r>
    <x v="184"/>
    <x v="10"/>
    <x v="3"/>
    <x v="245"/>
    <s v="C00000004"/>
    <x v="3"/>
    <s v="RG Nor 3338NW (220Kg)"/>
    <n v="1"/>
    <n v="120"/>
    <n v="120"/>
    <d v="2022-08-19T00:00:00"/>
    <n v="8"/>
    <n v="2022"/>
    <n v="2024"/>
    <n v="-2024"/>
    <n v="0"/>
    <n v="1273417.4500000002"/>
    <s v="Chq"/>
    <s v="HLB011650Cleared8/8/22-RM15,222.00"/>
    <m/>
  </r>
  <r>
    <x v="184"/>
    <x v="10"/>
    <x v="3"/>
    <x v="245"/>
    <s v="C00000004"/>
    <x v="3"/>
    <s v="RM CSM 450 64m(L) X 1860mm(W) (54kg)"/>
    <n v="3"/>
    <n v="120"/>
    <n v="120"/>
    <d v="2022-08-19T00:00:00"/>
    <n v="8"/>
    <n v="2022"/>
    <n v="1539"/>
    <n v="-1539"/>
    <n v="0"/>
    <n v="1274956.4500000002"/>
    <s v="Chq"/>
    <s v="HLB011650Cleared8/8/22-RM15,222.00"/>
    <m/>
  </r>
  <r>
    <x v="184"/>
    <x v="10"/>
    <x v="3"/>
    <x v="245"/>
    <s v="C00000004"/>
    <x v="3"/>
    <s v="RA CSM 300 (54Kg) 1860mm"/>
    <n v="3"/>
    <n v="120"/>
    <n v="120"/>
    <d v="2022-08-19T00:00:00"/>
    <n v="8"/>
    <n v="2022"/>
    <n v="1539"/>
    <n v="-1539"/>
    <n v="0"/>
    <n v="1276495.4500000002"/>
    <s v="Chq"/>
    <s v="HLB011650Cleared8/8/22-RM15,222.00"/>
    <m/>
  </r>
  <r>
    <x v="184"/>
    <x v="10"/>
    <x v="3"/>
    <x v="246"/>
    <s v="C00000025"/>
    <x v="26"/>
    <s v="RD Steel Roller 4&quot;"/>
    <n v="1"/>
    <s v="Cash"/>
    <n v="0"/>
    <d v="2022-04-21T00:00:00"/>
    <n v="4"/>
    <n v="2022"/>
    <n v="68"/>
    <n v="-68"/>
    <n v="0"/>
    <n v="1276563.4500000002"/>
    <s v="Trsf"/>
    <s v="Trsf PBB 21/4/22"/>
    <m/>
  </r>
  <r>
    <x v="184"/>
    <x v="10"/>
    <x v="3"/>
    <x v="247"/>
    <s v="C00000001"/>
    <x v="0"/>
    <s v="RM Resin 3317AW (220Kg)"/>
    <n v="1"/>
    <s v="Cash"/>
    <n v="0"/>
    <d v="2022-04-21T00:00:00"/>
    <n v="4"/>
    <n v="2022"/>
    <n v="2068"/>
    <n v="-2068"/>
    <n v="0"/>
    <n v="1278631.4500000002"/>
    <s v="Trsf"/>
    <s v="Trsf Al Rajhi Bank 28/4/22-RM2,488.00"/>
    <m/>
  </r>
  <r>
    <x v="185"/>
    <x v="10"/>
    <x v="3"/>
    <x v="247"/>
    <s v="C00000001"/>
    <x v="0"/>
    <s v="RM Butanox M50"/>
    <n v="4"/>
    <s v="Cash"/>
    <n v="0"/>
    <d v="2022-04-22T00:00:00"/>
    <n v="4"/>
    <n v="2022"/>
    <n v="420"/>
    <n v="-420"/>
    <n v="0"/>
    <n v="1279051.4500000002"/>
    <s v="Trsf"/>
    <s v="Trsf Al Rajhi Bank 28/4/22-RM2,488.00"/>
    <m/>
  </r>
  <r>
    <x v="186"/>
    <x v="10"/>
    <x v="3"/>
    <x v="248"/>
    <s v="C00000020"/>
    <x v="19"/>
    <s v="RM Nor 3338W (220Kg)"/>
    <n v="3"/>
    <s v="Cash"/>
    <n v="0"/>
    <d v="2022-04-23T00:00:00"/>
    <n v="4"/>
    <n v="2022"/>
    <n v="6270"/>
    <n v="-6270"/>
    <n v="0"/>
    <n v="1285321.4500000002"/>
    <s v="Trsf"/>
    <s v="Trsf 5/10/22 RM5,000.00(RM1,654.80partial), Trsf 14/10/22 RM4,000.00, Trsf 17/10/22 RM4,000.00(RM615.20partial)"/>
    <m/>
  </r>
  <r>
    <x v="186"/>
    <x v="10"/>
    <x v="3"/>
    <x v="248"/>
    <s v="C00000020"/>
    <x v="19"/>
    <s v="RM CSM 450 64m(L) 1040mm(W) (30Kg)"/>
    <n v="8"/>
    <s v="Cash"/>
    <n v="0"/>
    <d v="2022-04-23T00:00:00"/>
    <n v="4"/>
    <n v="2022"/>
    <n v="2352"/>
    <n v="-2352"/>
    <n v="0"/>
    <n v="1287673.4500000002"/>
    <s v="Trsf"/>
    <s v="Trsf 17/10/22 RM4,000.00"/>
    <m/>
  </r>
  <r>
    <x v="186"/>
    <x v="10"/>
    <x v="3"/>
    <x v="248"/>
    <s v="C00000020"/>
    <x v="19"/>
    <s v="RA Woven Roving E-600 (45kg) 1120mm"/>
    <n v="4"/>
    <s v="Cash"/>
    <n v="0"/>
    <d v="2022-04-23T00:00:00"/>
    <n v="4"/>
    <n v="2022"/>
    <n v="1404"/>
    <n v="-1404"/>
    <m/>
    <n v="1289077.4500000002"/>
    <s v="Trsf"/>
    <s v="Trsf 17/10/22 RM4,000.00(RM1,032.80), Trsf 23/10/22 RM25,000.00(RM371.20partial)"/>
    <m/>
  </r>
  <r>
    <x v="186"/>
    <x v="10"/>
    <x v="3"/>
    <x v="248"/>
    <s v="C00000020"/>
    <x v="19"/>
    <s v="RA Talcum Powder (25kg)"/>
    <n v="2"/>
    <s v="Cash"/>
    <n v="0"/>
    <d v="2022-04-23T00:00:00"/>
    <n v="4"/>
    <n v="2022"/>
    <n v="125"/>
    <n v="-125"/>
    <n v="0"/>
    <n v="1289202.4500000002"/>
    <s v="Trsf"/>
    <s v="Trsf 23/10/22 RM25,000.00"/>
    <m/>
  </r>
  <r>
    <x v="186"/>
    <x v="10"/>
    <x v="3"/>
    <x v="248"/>
    <s v="C00000020"/>
    <x v="19"/>
    <s v="RM Pigment Smooth Cream (25kg)"/>
    <n v="1"/>
    <s v="Cash"/>
    <n v="0"/>
    <d v="2022-04-23T00:00:00"/>
    <n v="4"/>
    <n v="2022"/>
    <n v="1000"/>
    <n v="-1000"/>
    <n v="0"/>
    <n v="1290202.4500000002"/>
    <s v="Trsf"/>
    <s v="Trsf 23/10/22 RM25,000.00"/>
    <m/>
  </r>
  <r>
    <x v="187"/>
    <x v="10"/>
    <x v="3"/>
    <x v="249"/>
    <s v="C00000023"/>
    <x v="24"/>
    <s v="RM Nor 3338W (220Kg)"/>
    <n v="1"/>
    <s v="Cash"/>
    <n v="0"/>
    <d v="2022-04-26T00:00:00"/>
    <n v="4"/>
    <n v="2022"/>
    <n v="2090"/>
    <n v="-2090"/>
    <n v="0"/>
    <n v="1292292.4500000002"/>
    <s v="Trsf"/>
    <s v="Trsf 26/4/22-RM3,799.00"/>
    <m/>
  </r>
  <r>
    <x v="187"/>
    <x v="10"/>
    <x v="3"/>
    <x v="249"/>
    <s v="C00000023"/>
    <x v="24"/>
    <s v="RM CSM 450 64m(L) 1040mm(W) (30Kg)"/>
    <n v="3"/>
    <s v="Cash"/>
    <n v="0"/>
    <d v="2022-04-26T00:00:00"/>
    <n v="4"/>
    <n v="2022"/>
    <n v="882"/>
    <n v="-882"/>
    <n v="0"/>
    <n v="1293174.4500000002"/>
    <s v="Trsf"/>
    <s v="Trsf 26/4/22-RM3,799.00"/>
    <m/>
  </r>
  <r>
    <x v="187"/>
    <x v="10"/>
    <x v="3"/>
    <x v="249"/>
    <s v="C00000023"/>
    <x v="24"/>
    <s v="RA Woven Roving E-600 (45kg) 1120mm"/>
    <n v="2"/>
    <s v="Cash"/>
    <n v="0"/>
    <d v="2022-04-26T00:00:00"/>
    <n v="4"/>
    <n v="2022"/>
    <n v="702"/>
    <n v="-702"/>
    <n v="0"/>
    <n v="1293876.4500000002"/>
    <s v="Trsf"/>
    <s v="Trsf 26/4/22-RM3,799.00"/>
    <m/>
  </r>
  <r>
    <x v="187"/>
    <x v="10"/>
    <x v="3"/>
    <x v="249"/>
    <s v="C00000023"/>
    <x v="24"/>
    <s v="RA Talcum Powder (25kg)"/>
    <n v="2"/>
    <s v="Cash"/>
    <n v="0"/>
    <d v="2022-04-26T00:00:00"/>
    <n v="4"/>
    <n v="2022"/>
    <n v="125"/>
    <n v="-125"/>
    <n v="0"/>
    <n v="1294001.4500000002"/>
    <s v="Trsf"/>
    <s v="Trsf 26/4/22-RM3,799.00"/>
    <m/>
  </r>
  <r>
    <x v="188"/>
    <x v="10"/>
    <x v="3"/>
    <x v="250"/>
    <s v="C00000010"/>
    <x v="9"/>
    <s v="RM Resin 3338AW (220kg)"/>
    <n v="5"/>
    <n v="120"/>
    <n v="120"/>
    <d v="2022-08-25T00:00:00"/>
    <n v="8"/>
    <n v="2022"/>
    <n v="9900"/>
    <n v="-9900"/>
    <n v="0"/>
    <n v="1303901.4500000002"/>
    <s v="Trsf"/>
    <s v="Trsf 25/7/22 RM11,160.00"/>
    <m/>
  </r>
  <r>
    <x v="188"/>
    <x v="10"/>
    <x v="3"/>
    <x v="250"/>
    <s v="C00000010"/>
    <x v="9"/>
    <s v="RA Butanox M50"/>
    <n v="12"/>
    <n v="120"/>
    <n v="120"/>
    <d v="2022-08-25T00:00:00"/>
    <n v="8"/>
    <n v="2022"/>
    <n v="1260"/>
    <n v="-1260"/>
    <n v="0"/>
    <n v="1305161.4500000002"/>
    <s v="Trsf"/>
    <s v="Trsf 25/7/22 RM11,160.00"/>
    <m/>
  </r>
  <r>
    <x v="189"/>
    <x v="10"/>
    <x v="3"/>
    <x v="251"/>
    <s v="C00000021"/>
    <x v="21"/>
    <s v="RA Resin 3317AW (220Kg)"/>
    <n v="2"/>
    <s v="Cash"/>
    <n v="0"/>
    <d v="2022-04-28T00:00:00"/>
    <n v="4"/>
    <n v="2022"/>
    <n v="4136"/>
    <n v="-4136"/>
    <n v="0"/>
    <n v="1309297.4500000002"/>
    <s v="PD Chq"/>
    <s v="Chq PBB 395364, cleared180722 RM5,458.00"/>
    <m/>
  </r>
  <r>
    <x v="189"/>
    <x v="10"/>
    <x v="3"/>
    <x v="251"/>
    <s v="C00000021"/>
    <x v="21"/>
    <s v="RM CSM 450 64m(L) 1040mm(W) (30Kg)"/>
    <n v="4"/>
    <s v="Cash"/>
    <n v="0"/>
    <d v="2022-04-28T00:00:00"/>
    <n v="4"/>
    <n v="2022"/>
    <n v="1152"/>
    <n v="-1152"/>
    <n v="0"/>
    <n v="1310449.4500000002"/>
    <s v="PD Chq"/>
    <s v="Chq PBB 395364, cleared180722 RM5,458.00"/>
    <m/>
  </r>
  <r>
    <x v="189"/>
    <x v="10"/>
    <x v="3"/>
    <x v="251"/>
    <s v="C00000021"/>
    <x v="21"/>
    <s v="RJ Mepoxe (5kg)"/>
    <n v="2"/>
    <s v="Cash"/>
    <n v="0"/>
    <d v="2022-04-28T00:00:00"/>
    <n v="4"/>
    <n v="2022"/>
    <n v="170"/>
    <n v="-170"/>
    <n v="0"/>
    <n v="1310619.4500000002"/>
    <s v="PD Chq"/>
    <s v="Chq PBB 395364, cleared180722 RM5,458.00"/>
    <m/>
  </r>
  <r>
    <x v="189"/>
    <x v="10"/>
    <x v="3"/>
    <x v="252"/>
    <s v="C00000020"/>
    <x v="19"/>
    <s v="RM Nor 3338W (220Kg)"/>
    <n v="3"/>
    <s v="Cash"/>
    <n v="0"/>
    <d v="2022-04-28T00:00:00"/>
    <n v="4"/>
    <n v="2022"/>
    <n v="6270"/>
    <n v="-6270"/>
    <n v="0"/>
    <n v="1316889.4500000002"/>
    <s v="Trsf"/>
    <s v="Trsf 23/10/22 RM25,000.00"/>
    <m/>
  </r>
  <r>
    <x v="189"/>
    <x v="10"/>
    <x v="3"/>
    <x v="252"/>
    <s v="C00000020"/>
    <x v="19"/>
    <s v="RM CSM 450 64m(L) 1040mm(W) (30Kg)"/>
    <n v="9"/>
    <s v="Cash"/>
    <n v="0"/>
    <d v="2022-04-28T00:00:00"/>
    <n v="4"/>
    <n v="2022"/>
    <n v="2646"/>
    <n v="-2646"/>
    <n v="0"/>
    <n v="1319535.4500000002"/>
    <s v="Trsf"/>
    <s v="Trsf 23/10/22 RM25,000.00"/>
    <m/>
  </r>
  <r>
    <x v="189"/>
    <x v="10"/>
    <x v="3"/>
    <x v="252"/>
    <s v="C00000020"/>
    <x v="19"/>
    <s v="RA Woven Roving E-600 (45kg) 1120mm"/>
    <n v="5"/>
    <s v="Cash"/>
    <n v="0"/>
    <d v="2022-04-28T00:00:00"/>
    <n v="4"/>
    <n v="2022"/>
    <n v="1755"/>
    <n v="-1755"/>
    <n v="0"/>
    <n v="1321290.4500000002"/>
    <s v="Trsf"/>
    <s v="Trsf 23/10/22 RM25,000.00"/>
    <m/>
  </r>
  <r>
    <x v="189"/>
    <x v="10"/>
    <x v="3"/>
    <x v="252"/>
    <s v="C00000020"/>
    <x v="19"/>
    <s v="RA Talcum Powder (25kg)"/>
    <n v="3"/>
    <s v="Cash"/>
    <n v="0"/>
    <d v="2022-04-28T00:00:00"/>
    <n v="4"/>
    <n v="2022"/>
    <n v="187.5"/>
    <n v="-187.5"/>
    <n v="0"/>
    <n v="1321477.9500000002"/>
    <s v="Trsf"/>
    <s v="Trsf 23/10/22 RM25,000.00"/>
    <m/>
  </r>
  <r>
    <x v="189"/>
    <x v="10"/>
    <x v="3"/>
    <x v="252"/>
    <s v="C00000020"/>
    <x v="19"/>
    <s v="RM Pigment Smooth Cream (25kg)"/>
    <n v="1"/>
    <s v="Cash"/>
    <n v="0"/>
    <d v="2022-04-28T00:00:00"/>
    <n v="4"/>
    <n v="2022"/>
    <n v="1000"/>
    <n v="-1000"/>
    <n v="0"/>
    <n v="1322477.9500000002"/>
    <s v="Trsf"/>
    <s v="Trsf 23/10/22 RM25,000.00"/>
    <m/>
  </r>
  <r>
    <x v="189"/>
    <x v="10"/>
    <x v="3"/>
    <x v="253"/>
    <s v="C00000019"/>
    <x v="18"/>
    <s v="RA Nor 3338W (220Kg)"/>
    <n v="2"/>
    <s v="Cash"/>
    <n v="0"/>
    <d v="2022-04-28T00:00:00"/>
    <n v="4"/>
    <n v="2022"/>
    <n v="4136"/>
    <n v="-4136"/>
    <n v="0"/>
    <n v="1326613.9500000002"/>
    <s v="Trsf"/>
    <s v="Trsf 1/5/22 RM6,096.10"/>
    <m/>
  </r>
  <r>
    <x v="189"/>
    <x v="10"/>
    <x v="3"/>
    <x v="253"/>
    <s v="C00000019"/>
    <x v="18"/>
    <s v="RG CSM 450 CQ 54kg 64m(L) X 1860mm(W)"/>
    <n v="2"/>
    <s v="Cash"/>
    <n v="0"/>
    <d v="2022-04-28T00:00:00"/>
    <n v="4"/>
    <n v="2022"/>
    <n v="1047.5999999999999"/>
    <n v="-1047.5999999999999"/>
    <n v="0"/>
    <n v="1327661.5500000003"/>
    <s v="Trsf"/>
    <s v="Trsf 1/5/22 RM6,096.10"/>
    <m/>
  </r>
  <r>
    <x v="189"/>
    <x v="10"/>
    <x v="3"/>
    <x v="253"/>
    <s v="C00000019"/>
    <x v="18"/>
    <s v="RA Talcum Powder (25kg)"/>
    <n v="5"/>
    <s v="Cash"/>
    <n v="0"/>
    <d v="2022-04-28T00:00:00"/>
    <n v="4"/>
    <n v="2022"/>
    <n v="312.5"/>
    <n v="-312.5"/>
    <n v="0"/>
    <n v="1327974.0500000003"/>
    <s v="Trsf"/>
    <s v="Trsf 1/5/22 RM6,096.10"/>
    <m/>
  </r>
  <r>
    <x v="189"/>
    <x v="10"/>
    <x v="3"/>
    <x v="253"/>
    <s v="C00000019"/>
    <x v="18"/>
    <s v="RE Frekote 770NC (1 Gallon)"/>
    <n v="1"/>
    <s v="Cash"/>
    <n v="0"/>
    <d v="2022-04-28T00:00:00"/>
    <n v="4"/>
    <n v="2022"/>
    <n v="390"/>
    <n v="-390"/>
    <n v="0"/>
    <n v="1328364.0500000003"/>
    <s v="Trsf"/>
    <s v="Trsf 1/5/22 RM6,096.10"/>
    <m/>
  </r>
  <r>
    <x v="189"/>
    <x v="10"/>
    <x v="3"/>
    <x v="253"/>
    <s v="C00000019"/>
    <x v="18"/>
    <s v="RA Butanox M50"/>
    <n v="2"/>
    <s v="Cash"/>
    <n v="0"/>
    <d v="2022-04-28T00:00:00"/>
    <n v="4"/>
    <n v="2022"/>
    <n v="210"/>
    <n v="-210"/>
    <n v="0"/>
    <n v="1328574.0500000003"/>
    <s v="Trsf"/>
    <s v="Trsf 1/5/22 RM6,096.10"/>
    <m/>
  </r>
  <r>
    <x v="190"/>
    <x v="10"/>
    <x v="3"/>
    <x v="254"/>
    <s v="C00000023"/>
    <x v="24"/>
    <s v="Epoxy primer 15kg + Hardener 7.5kg "/>
    <n v="1"/>
    <s v="Cash"/>
    <n v="0"/>
    <d v="2022-04-29T00:00:00"/>
    <n v="4"/>
    <n v="2022"/>
    <n v="1350"/>
    <n v="-1350"/>
    <n v="0"/>
    <n v="1329924.0500000003"/>
    <s v="Trsf"/>
    <s v="Trsf 5/5/22 RM1,350.00"/>
    <m/>
  </r>
  <r>
    <x v="191"/>
    <x v="10"/>
    <x v="3"/>
    <x v="255"/>
    <s v="C00000020"/>
    <x v="19"/>
    <s v="RM Nor 3338W (220Kg)"/>
    <n v="4"/>
    <s v="Cash"/>
    <n v="0"/>
    <d v="2022-04-30T00:00:00"/>
    <n v="4"/>
    <n v="2022"/>
    <n v="8360"/>
    <n v="-8360"/>
    <n v="0"/>
    <n v="1338284.0500000003"/>
    <s v="Trsf"/>
    <s v="Trsf 23/10/22 RM25,000.00"/>
    <m/>
  </r>
  <r>
    <x v="191"/>
    <x v="10"/>
    <x v="3"/>
    <x v="255"/>
    <s v="C00000020"/>
    <x v="19"/>
    <s v="RM CSM 450 64m(L) 1040mm(W) (30Kg)"/>
    <n v="12"/>
    <s v="Cash"/>
    <n v="0"/>
    <d v="2022-04-30T00:00:00"/>
    <n v="4"/>
    <n v="2022"/>
    <n v="3528"/>
    <n v="-3528"/>
    <n v="0"/>
    <n v="1341812.0500000003"/>
    <s v="Trsf"/>
    <s v="Trsf 23/10/22 RM25,000.00(RM3,285.30partial), Trsf 25/10/22 RM25,000.00(RM242.70partial)"/>
    <m/>
  </r>
  <r>
    <x v="191"/>
    <x v="10"/>
    <x v="3"/>
    <x v="255"/>
    <s v="C00000020"/>
    <x v="19"/>
    <s v="RA Woven Roving E-600 (45kg) 1120mm"/>
    <n v="6"/>
    <s v="Cash"/>
    <n v="0"/>
    <d v="2022-04-30T00:00:00"/>
    <n v="4"/>
    <n v="2022"/>
    <n v="2106"/>
    <n v="-2106"/>
    <n v="0"/>
    <n v="1343918.0500000003"/>
    <s v="Trsf"/>
    <s v="Trsf 25/10/22 RM25,000.00"/>
    <m/>
  </r>
  <r>
    <x v="191"/>
    <x v="10"/>
    <x v="3"/>
    <x v="255"/>
    <s v="C00000020"/>
    <x v="19"/>
    <s v="RA Talcum Powder (25kg)"/>
    <n v="4"/>
    <s v="Cash"/>
    <n v="0"/>
    <d v="2022-04-30T00:00:00"/>
    <n v="4"/>
    <n v="2022"/>
    <n v="250"/>
    <n v="-250"/>
    <n v="0"/>
    <n v="1344168.0500000003"/>
    <s v="Trsf"/>
    <s v="Trsf 23/10/22 RM25,000.00"/>
    <m/>
  </r>
  <r>
    <x v="191"/>
    <x v="10"/>
    <x v="3"/>
    <x v="255"/>
    <s v="C00000020"/>
    <x v="19"/>
    <s v="RM Pigment Smooth Cream (25kg)"/>
    <n v="1"/>
    <s v="Cash"/>
    <n v="0"/>
    <d v="2022-04-30T00:00:00"/>
    <n v="4"/>
    <n v="2022"/>
    <n v="1000"/>
    <n v="-1000"/>
    <n v="0"/>
    <n v="1345168.0500000003"/>
    <s v="Trsf"/>
    <s v="Trsf 23/10/22 RM25,000.00"/>
    <m/>
  </r>
  <r>
    <x v="192"/>
    <x v="11"/>
    <x v="3"/>
    <x v="256"/>
    <s v="C00000020"/>
    <x v="19"/>
    <s v="RM Nor 3338W (220Kg)"/>
    <n v="4"/>
    <s v="Cash"/>
    <n v="0"/>
    <d v="2022-05-06T00:00:00"/>
    <n v="5"/>
    <n v="2022"/>
    <n v="8360"/>
    <n v="-8360"/>
    <n v="0"/>
    <n v="1353528.0500000003"/>
    <s v="Trsf"/>
    <s v="Trsf 23/10/22 RM25,000.00"/>
    <m/>
  </r>
  <r>
    <x v="192"/>
    <x v="11"/>
    <x v="3"/>
    <x v="256"/>
    <s v="C00000020"/>
    <x v="19"/>
    <s v="RM CSM 450 64m(L) 1040mm(W) (30Kg)"/>
    <n v="4"/>
    <s v="Cash"/>
    <n v="0"/>
    <d v="2022-05-06T00:00:00"/>
    <n v="5"/>
    <n v="2022"/>
    <n v="1176"/>
    <n v="-1176"/>
    <n v="0"/>
    <n v="1354704.0500000003"/>
    <s v="Trsf"/>
    <s v="Trsf 23/10/22 RM25,000.00"/>
    <m/>
  </r>
  <r>
    <x v="192"/>
    <x v="11"/>
    <x v="3"/>
    <x v="256"/>
    <s v="C00000020"/>
    <x v="19"/>
    <s v="RA Woven Roving E-600 (45kg) 1120mm"/>
    <n v="4"/>
    <s v="Cash"/>
    <n v="0"/>
    <d v="2022-05-06T00:00:00"/>
    <n v="5"/>
    <n v="2022"/>
    <n v="1404"/>
    <n v="-1404"/>
    <n v="0"/>
    <n v="1356108.0500000003"/>
    <s v="Trsf"/>
    <s v="Trsf 23/10/22 RM25,000.00"/>
    <m/>
  </r>
  <r>
    <x v="192"/>
    <x v="11"/>
    <x v="3"/>
    <x v="256"/>
    <s v="C00000020"/>
    <x v="19"/>
    <s v="RA Talcum Powder (25kg)"/>
    <n v="4"/>
    <s v="Cash"/>
    <n v="0"/>
    <d v="2022-05-06T00:00:00"/>
    <n v="5"/>
    <n v="2022"/>
    <n v="250"/>
    <n v="-250"/>
    <n v="0"/>
    <n v="1356358.0500000003"/>
    <s v="Trsf"/>
    <s v="Trsf 23/10/22 RM25,000.00"/>
    <m/>
  </r>
  <r>
    <x v="192"/>
    <x v="11"/>
    <x v="3"/>
    <x v="256"/>
    <s v="C00000020"/>
    <x v="19"/>
    <s v="RJ Mepoxe (5kg)"/>
    <n v="4"/>
    <s v="Cash"/>
    <n v="0"/>
    <d v="2022-05-06T00:00:00"/>
    <n v="5"/>
    <n v="2022"/>
    <n v="340"/>
    <n v="-340"/>
    <n v="0"/>
    <n v="1356698.0500000003"/>
    <s v="Trsf"/>
    <s v="Trsf 23/10/22 RM25,000.00"/>
    <m/>
  </r>
  <r>
    <x v="192"/>
    <x v="11"/>
    <x v="3"/>
    <x v="257"/>
    <s v="C00000023"/>
    <x v="24"/>
    <s v="Epoxy primer 15kg + Hardener 7.5kg "/>
    <n v="1"/>
    <s v="Cash"/>
    <n v="0"/>
    <d v="2022-05-06T00:00:00"/>
    <n v="5"/>
    <n v="2022"/>
    <n v="1350"/>
    <n v="-1350"/>
    <n v="0"/>
    <n v="1358048.0500000003"/>
    <s v="Trsf"/>
    <s v="Trsf 17/5/22 RM1,350.00"/>
    <m/>
  </r>
  <r>
    <x v="193"/>
    <x v="11"/>
    <x v="3"/>
    <x v="258"/>
    <s v="C00000020"/>
    <x v="19"/>
    <s v="RM Nor 3338W (220Kg)"/>
    <n v="4"/>
    <s v="Cash"/>
    <n v="0"/>
    <d v="2022-05-07T00:00:00"/>
    <n v="5"/>
    <n v="2022"/>
    <n v="8360"/>
    <n v="-8360"/>
    <n v="0"/>
    <n v="1366408.0500000003"/>
    <s v="Trsf"/>
    <s v="Trsf 23/10/22 RM25,000.00"/>
    <m/>
  </r>
  <r>
    <x v="193"/>
    <x v="11"/>
    <x v="3"/>
    <x v="258"/>
    <s v="C00000020"/>
    <x v="19"/>
    <s v="RM CSM 450 64m(L) 1040mm(W) (30Kg)"/>
    <n v="20"/>
    <s v="Cash"/>
    <n v="0"/>
    <d v="2022-05-07T00:00:00"/>
    <n v="5"/>
    <n v="2022"/>
    <n v="5880"/>
    <n v="-5880"/>
    <n v="0"/>
    <n v="1372288.0500000003"/>
    <s v="Trsf"/>
    <s v="Trsf 23/10/22 RM25,000.00(RM1,511.30partial), Trsf 11/11/22 RM3,000.00, Trsf 17/11/22 RM6,000.00(1,368.70partial)"/>
    <m/>
  </r>
  <r>
    <x v="193"/>
    <x v="11"/>
    <x v="3"/>
    <x v="258"/>
    <s v="C00000020"/>
    <x v="19"/>
    <s v="RA Woven Roving E-600 (45kg) 1120mm"/>
    <n v="5"/>
    <s v="Cash"/>
    <n v="0"/>
    <d v="2022-05-07T00:00:00"/>
    <n v="5"/>
    <n v="2022"/>
    <n v="1755"/>
    <n v="-1755"/>
    <n v="0"/>
    <n v="1374043.0500000003"/>
    <s v="Trsf"/>
    <s v="Trsf 17/11/22 RM6,000.00(RM1,755.00partial)"/>
    <m/>
  </r>
  <r>
    <x v="193"/>
    <x v="11"/>
    <x v="3"/>
    <x v="258"/>
    <s v="C00000020"/>
    <x v="19"/>
    <s v="RA Talcum Powder (25kg)"/>
    <n v="4"/>
    <s v="Cash"/>
    <n v="0"/>
    <d v="2022-05-07T00:00:00"/>
    <n v="5"/>
    <n v="2022"/>
    <n v="250"/>
    <n v="-250"/>
    <n v="0"/>
    <n v="1374293.0500000003"/>
    <s v="Trsf"/>
    <s v="Trsf 17/11/22 RM6,000.00(RM250.00partial)"/>
    <m/>
  </r>
  <r>
    <x v="194"/>
    <x v="11"/>
    <x v="3"/>
    <x v="259"/>
    <s v="C00000009"/>
    <x v="8"/>
    <s v="RM Nor 3338W (220Kg)"/>
    <n v="1"/>
    <n v="60"/>
    <n v="60"/>
    <d v="2022-07-09T00:00:00"/>
    <n v="7"/>
    <n v="2022"/>
    <n v="1980"/>
    <n v="-1980"/>
    <n v="0"/>
    <n v="1376273.0500000003"/>
    <s v="Chq"/>
    <s v="Chq HL 016785 dd 26/9/22"/>
    <m/>
  </r>
  <r>
    <x v="194"/>
    <x v="11"/>
    <x v="3"/>
    <x v="259"/>
    <s v="C00000009"/>
    <x v="8"/>
    <s v="RM Nor 3338NW (220Kg)"/>
    <n v="1"/>
    <n v="60"/>
    <n v="60"/>
    <d v="2022-07-09T00:00:00"/>
    <n v="7"/>
    <n v="2022"/>
    <n v="1980"/>
    <n v="-1980"/>
    <n v="0"/>
    <n v="1378253.0500000003"/>
    <s v="Chq"/>
    <s v="Chq HL 016785 dd 26/9/22"/>
    <m/>
  </r>
  <r>
    <x v="194"/>
    <x v="11"/>
    <x v="3"/>
    <x v="259"/>
    <s v="C00000009"/>
    <x v="8"/>
    <s v="RM CSM 450 (60Kg) 64m(L) x 2080mm(W)"/>
    <n v="2"/>
    <n v="60"/>
    <n v="60"/>
    <d v="2022-07-09T00:00:00"/>
    <n v="7"/>
    <n v="2022"/>
    <n v="1140"/>
    <n v="-1140"/>
    <n v="0"/>
    <n v="1379393.0500000003"/>
    <s v="Chq"/>
    <s v="Chq HL 016785 dd 26/9/22"/>
    <m/>
  </r>
  <r>
    <x v="195"/>
    <x v="11"/>
    <x v="3"/>
    <x v="260"/>
    <s v="C00000006"/>
    <x v="5"/>
    <s v="RA Resin 3338AW (220kg)"/>
    <n v="1"/>
    <s v="Cash"/>
    <n v="0"/>
    <d v="2022-05-11T00:00:00"/>
    <n v="5"/>
    <n v="2022"/>
    <n v="2068"/>
    <n v="-2068"/>
    <n v="0"/>
    <n v="1381461.0500000003"/>
    <s v="Chq"/>
    <s v="RHB 934936 cleared19/7/22-RM2,634.00"/>
    <m/>
  </r>
  <r>
    <x v="195"/>
    <x v="11"/>
    <x v="3"/>
    <x v="260"/>
    <s v="C00000006"/>
    <x v="5"/>
    <s v="RG CSM 300 (30Kg) 64m(L) x 1040mm(W)"/>
    <n v="1"/>
    <s v="Cash"/>
    <n v="0"/>
    <d v="2022-05-11T00:00:00"/>
    <n v="5"/>
    <n v="2022"/>
    <n v="291"/>
    <n v="-291"/>
    <n v="0"/>
    <n v="1381752.0500000003"/>
    <s v="Chq"/>
    <s v="RHB 934936 cleared19/7/22-RM2,634.00"/>
    <m/>
  </r>
  <r>
    <x v="195"/>
    <x v="11"/>
    <x v="3"/>
    <x v="260"/>
    <s v="C00000006"/>
    <x v="5"/>
    <s v="RM Pigment Super Black (5kg)"/>
    <n v="1"/>
    <s v="Cash"/>
    <n v="0"/>
    <d v="2022-05-11T00:00:00"/>
    <n v="5"/>
    <n v="2022"/>
    <n v="175"/>
    <n v="-175"/>
    <n v="0"/>
    <n v="1381927.0500000003"/>
    <s v="Chq"/>
    <s v="RHB 934936 cleared19/7/22-RM2,634.00"/>
    <m/>
  </r>
  <r>
    <x v="196"/>
    <x v="11"/>
    <x v="3"/>
    <x v="261"/>
    <s v="C00000022"/>
    <x v="23"/>
    <s v="RA Nor 3338W (220Kg)"/>
    <n v="1"/>
    <s v="Cash"/>
    <n v="0"/>
    <d v="2022-05-12T00:00:00"/>
    <n v="5"/>
    <n v="2022"/>
    <n v="2112"/>
    <n v="-2112"/>
    <n v="0"/>
    <n v="1384039.0500000003"/>
    <s v="Trsf"/>
    <s v="Trsf 28/7/22 RM3,000.00"/>
    <m/>
  </r>
  <r>
    <x v="196"/>
    <x v="11"/>
    <x v="3"/>
    <x v="261"/>
    <s v="C00000022"/>
    <x v="23"/>
    <s v="RA CSM 300 (54Kg) 1860mm"/>
    <n v="2"/>
    <s v="Cash"/>
    <n v="0"/>
    <d v="2022-05-12T00:00:00"/>
    <n v="5"/>
    <n v="2022"/>
    <n v="1058.4000000000001"/>
    <n v="-1058.4000000000001"/>
    <n v="0"/>
    <n v="1385097.4500000002"/>
    <s v="Trsf"/>
    <s v="Trsf 28/7/22 RM3,000.00(RM888.00partial), Trsf 25/9/22 RM3,000.00(RM170.40partial)"/>
    <m/>
  </r>
  <r>
    <x v="196"/>
    <x v="11"/>
    <x v="3"/>
    <x v="261"/>
    <s v="C00000022"/>
    <x v="23"/>
    <s v="RA Woven Roving E-600 (45kg) 1120mm"/>
    <n v="1"/>
    <s v="Cash"/>
    <n v="0"/>
    <d v="2022-05-12T00:00:00"/>
    <n v="5"/>
    <n v="2022"/>
    <n v="337.5"/>
    <n v="-337.5"/>
    <n v="0"/>
    <n v="1385434.9500000002"/>
    <s v="Trsf"/>
    <s v="Trsf 25/9/22 RM3,000.00, Trsd "/>
    <m/>
  </r>
  <r>
    <x v="196"/>
    <x v="11"/>
    <x v="3"/>
    <x v="261"/>
    <s v="C00000022"/>
    <x v="23"/>
    <s v="RM Pgment Opaline (10Kg)"/>
    <n v="1"/>
    <s v="Cash"/>
    <n v="0"/>
    <d v="2022-05-12T00:00:00"/>
    <n v="5"/>
    <n v="2022"/>
    <n v="450"/>
    <n v="-450"/>
    <n v="0"/>
    <n v="1385884.9500000002"/>
    <s v="Trsf"/>
    <s v="Trsf 25/9/22 RM3,000.00"/>
    <m/>
  </r>
  <r>
    <x v="196"/>
    <x v="11"/>
    <x v="3"/>
    <x v="261"/>
    <s v="C00000022"/>
    <x v="23"/>
    <s v="RM Gelcoat GPH (20Kg)"/>
    <n v="1"/>
    <s v="Cash"/>
    <n v="0"/>
    <d v="2022-05-12T00:00:00"/>
    <n v="5"/>
    <n v="2022"/>
    <n v="270"/>
    <n v="-270"/>
    <n v="0"/>
    <n v="1386154.9500000002"/>
    <s v="Trsf"/>
    <s v="Trsf 25/9/22 RM3,000.00"/>
    <m/>
  </r>
  <r>
    <x v="196"/>
    <x v="11"/>
    <x v="3"/>
    <x v="261"/>
    <s v="C00000022"/>
    <x v="23"/>
    <s v="RM Catalyst Despender"/>
    <n v="2"/>
    <s v="Cash"/>
    <n v="0"/>
    <d v="2022-05-12T00:00:00"/>
    <n v="5"/>
    <n v="2022"/>
    <n v="90"/>
    <n v="-90"/>
    <n v="0"/>
    <n v="1386244.9500000002"/>
    <s v="Trsf"/>
    <s v="Trsf 25/9/22 RM3,000.00"/>
    <m/>
  </r>
  <r>
    <x v="196"/>
    <x v="11"/>
    <x v="3"/>
    <x v="262"/>
    <s v="C00000024"/>
    <x v="25"/>
    <s v="RM Resin Nor 3317AW (220Kg)"/>
    <n v="2"/>
    <s v="Cash"/>
    <n v="0"/>
    <d v="2022-05-12T00:00:00"/>
    <n v="5"/>
    <n v="2022"/>
    <n v="4180"/>
    <n v="-4180"/>
    <n v="0"/>
    <n v="1390424.9500000002"/>
    <s v="Trsf"/>
    <s v="PIB 091987Cleared13/5/22-RM8,524.50"/>
    <m/>
  </r>
  <r>
    <x v="196"/>
    <x v="11"/>
    <x v="3"/>
    <x v="262"/>
    <s v="C00000024"/>
    <x v="25"/>
    <s v="RM CSM 450 (60Kg) 64m(L) x 2080mm(W)"/>
    <n v="3"/>
    <s v="Cash"/>
    <n v="0"/>
    <d v="2022-05-12T00:00:00"/>
    <n v="5"/>
    <n v="2022"/>
    <n v="1764"/>
    <n v="-1764"/>
    <n v="0"/>
    <n v="1392188.9500000002"/>
    <s v="Trsf"/>
    <s v="PIB 091987Cleared13/5/22-RM8,524.50"/>
    <m/>
  </r>
  <r>
    <x v="196"/>
    <x v="11"/>
    <x v="3"/>
    <x v="262"/>
    <s v="C00000024"/>
    <x v="25"/>
    <s v="RA Woven Roving E-600 (45kg) 1120mm"/>
    <n v="3"/>
    <s v="Cash"/>
    <n v="0"/>
    <d v="2022-05-12T00:00:00"/>
    <n v="5"/>
    <n v="2022"/>
    <n v="1053"/>
    <n v="-1053"/>
    <n v="0"/>
    <n v="1393241.9500000002"/>
    <s v="Trsf"/>
    <s v="PIB 091987Cleared13/5/22-RM8,524.50"/>
    <m/>
  </r>
  <r>
    <x v="196"/>
    <x v="11"/>
    <x v="3"/>
    <x v="262"/>
    <s v="C00000024"/>
    <x v="25"/>
    <s v="RA Talcum Powder (25kg)"/>
    <n v="3"/>
    <s v="Cash"/>
    <n v="0"/>
    <d v="2022-05-12T00:00:00"/>
    <n v="5"/>
    <n v="2022"/>
    <n v="187.5"/>
    <n v="-187.5"/>
    <n v="0"/>
    <n v="1393429.4500000002"/>
    <s v="Trsf"/>
    <s v="PIB 091987Cleared13/5/22-RM8,524.50"/>
    <m/>
  </r>
  <r>
    <x v="196"/>
    <x v="11"/>
    <x v="3"/>
    <x v="262"/>
    <s v="C00000024"/>
    <x v="25"/>
    <s v="RJ Mepoxe (5kg)"/>
    <n v="4"/>
    <s v="Cash"/>
    <n v="0"/>
    <d v="2022-05-12T00:00:00"/>
    <n v="5"/>
    <n v="2022"/>
    <n v="340"/>
    <n v="-340"/>
    <n v="0"/>
    <n v="1393769.4500000002"/>
    <s v="Trsf"/>
    <s v="PIB 091987Cleared13/5/22-RM8,524.50"/>
    <m/>
  </r>
  <r>
    <x v="196"/>
    <x v="11"/>
    <x v="3"/>
    <x v="262"/>
    <s v="C00000024"/>
    <x v="25"/>
    <s v="RM Pigment Smooth Cream (25kg)"/>
    <n v="1"/>
    <s v="Cash"/>
    <n v="0"/>
    <d v="2022-05-12T00:00:00"/>
    <n v="5"/>
    <n v="2022"/>
    <n v="1000"/>
    <n v="-1000"/>
    <n v="0"/>
    <n v="1394769.4500000002"/>
    <s v="Trsf"/>
    <s v="PIB 091987Cleared13/5/22-RM8,524.50"/>
    <m/>
  </r>
  <r>
    <x v="197"/>
    <x v="11"/>
    <x v="3"/>
    <x v="263"/>
    <s v="C00000006"/>
    <x v="5"/>
    <s v="RG TR104 Hi Temp Wax"/>
    <n v="2"/>
    <s v="Cash"/>
    <n v="0"/>
    <d v="2022-05-14T00:00:00"/>
    <n v="5"/>
    <n v="2022"/>
    <n v="100"/>
    <n v="-100"/>
    <n v="0"/>
    <n v="1394869.4500000002"/>
    <s v="Chq"/>
    <s v="RHB 934936 cleared19/7/22-RM2,634.00"/>
    <m/>
  </r>
  <r>
    <x v="197"/>
    <x v="11"/>
    <x v="3"/>
    <x v="264"/>
    <s v="C00000020"/>
    <x v="19"/>
    <s v="RM Resin Nor 3317AW (220Kg)"/>
    <n v="3"/>
    <s v="Cash"/>
    <n v="0"/>
    <d v="2022-05-14T00:00:00"/>
    <n v="5"/>
    <n v="2022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x v="197"/>
    <x v="11"/>
    <x v="3"/>
    <x v="264"/>
    <s v="C00000020"/>
    <x v="19"/>
    <s v="RM CSM 450 (60Kg) 64m(L) x 2080mm(W)"/>
    <n v="4"/>
    <s v="Cash"/>
    <n v="0"/>
    <d v="2022-05-14T00:00:00"/>
    <n v="5"/>
    <n v="2022"/>
    <n v="2352"/>
    <n v="-2352"/>
    <n v="0"/>
    <n v="1403491.4500000002"/>
    <s v="Trsf"/>
    <s v="Trsf 1/12/22 RM11,000.00"/>
    <m/>
  </r>
  <r>
    <x v="197"/>
    <x v="11"/>
    <x v="3"/>
    <x v="264"/>
    <s v="C00000020"/>
    <x v="19"/>
    <s v="RJ Woven Roving E-600gm 1000mm (40Kg)"/>
    <n v="5"/>
    <s v="Cash"/>
    <n v="0"/>
    <d v="2022-05-14T00:00:00"/>
    <n v="5"/>
    <n v="2022"/>
    <n v="1560"/>
    <n v="-1560"/>
    <n v="0"/>
    <n v="1405051.4500000002"/>
    <s v="Trsf"/>
    <s v="Trsf 1/12/22 RM11,000.00"/>
    <m/>
  </r>
  <r>
    <x v="197"/>
    <x v="11"/>
    <x v="3"/>
    <x v="264"/>
    <s v="C00000020"/>
    <x v="19"/>
    <s v="RA Talcum Powder (25kg)"/>
    <n v="3"/>
    <s v="Cash"/>
    <n v="0"/>
    <d v="2022-05-14T00:00:00"/>
    <n v="5"/>
    <n v="2022"/>
    <n v="187.5"/>
    <n v="-187.5"/>
    <n v="0"/>
    <n v="1405238.9500000002"/>
    <s v="Trsf"/>
    <s v="Trsf 1/12/22 RM11,000.00"/>
    <m/>
  </r>
  <r>
    <x v="198"/>
    <x v="11"/>
    <x v="3"/>
    <x v="265"/>
    <s v="C00000003"/>
    <x v="2"/>
    <s v="RA Resin 3317AW (220Kg)"/>
    <n v="3"/>
    <n v="45"/>
    <n v="45"/>
    <d v="2022-06-30T00:00:00"/>
    <n v="6"/>
    <n v="2022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x v="198"/>
    <x v="11"/>
    <x v="3"/>
    <x v="265"/>
    <s v="C00000003"/>
    <x v="2"/>
    <s v="RA Talcum Powder (25kg)"/>
    <n v="5"/>
    <n v="45"/>
    <n v="45"/>
    <d v="2022-06-30T00:00:00"/>
    <n v="6"/>
    <n v="2022"/>
    <n v="325"/>
    <n v="-325"/>
    <n v="0"/>
    <n v="1411899.9500000002"/>
    <s v="PD Chq"/>
    <s v="4/7/22cleared-RM1,336.00, RHB 00390 12/7/22cleared-RM2,000.00(partial)"/>
    <m/>
  </r>
  <r>
    <x v="198"/>
    <x v="11"/>
    <x v="3"/>
    <x v="265"/>
    <s v="C00000003"/>
    <x v="2"/>
    <s v="RA Butanox M50 (5Kg)"/>
    <n v="6"/>
    <n v="45"/>
    <n v="45"/>
    <d v="2022-06-30T00:00:00"/>
    <n v="6"/>
    <n v="2022"/>
    <n v="630"/>
    <n v="-630"/>
    <n v="0"/>
    <n v="1412529.9500000002"/>
    <s v="PD Chq"/>
    <s v="RHB 00390 12/7/22cleared-RM2,000.00(partial)"/>
    <m/>
  </r>
  <r>
    <x v="198"/>
    <x v="11"/>
    <x v="3"/>
    <x v="265"/>
    <s v="C00000003"/>
    <x v="2"/>
    <s v="RA Miracle Gloss Wax"/>
    <n v="1"/>
    <n v="45"/>
    <n v="45"/>
    <d v="2022-06-30T00:00:00"/>
    <n v="6"/>
    <n v="2022"/>
    <n v="45"/>
    <n v="-45"/>
    <n v="0"/>
    <n v="1412574.9500000002"/>
    <s v="PD Chq"/>
    <s v="RHB 00390 12/7/22cleared-RM2,000.00(partial)"/>
    <m/>
  </r>
  <r>
    <x v="199"/>
    <x v="11"/>
    <x v="3"/>
    <x v="266"/>
    <s v="C00000020"/>
    <x v="19"/>
    <s v="RM Resin Nor 3317AW (220Kg)"/>
    <n v="2"/>
    <s v="Cash"/>
    <n v="0"/>
    <d v="2022-05-18T00:00:00"/>
    <n v="5"/>
    <n v="2022"/>
    <n v="4180"/>
    <n v="-4180"/>
    <n v="0"/>
    <n v="1416754.9500000002"/>
    <s v="Trsf"/>
    <s v="Trsf 1/12/22 RM11,000.00"/>
    <m/>
  </r>
  <r>
    <x v="199"/>
    <x v="11"/>
    <x v="3"/>
    <x v="266"/>
    <s v="C00000020"/>
    <x v="19"/>
    <s v="RM CSM 450 (60Kg) 64m(L) x 2080mm(W)"/>
    <n v="2"/>
    <s v="Cash"/>
    <n v="0"/>
    <d v="2022-05-18T00:00:00"/>
    <n v="5"/>
    <n v="2022"/>
    <n v="1176"/>
    <n v="-1176"/>
    <n v="0"/>
    <n v="1417930.9500000002"/>
    <s v="Trsf"/>
    <s v="Trsf 1/12/22 RM11,000.00"/>
    <m/>
  </r>
  <r>
    <x v="199"/>
    <x v="11"/>
    <x v="3"/>
    <x v="266"/>
    <s v="C00000020"/>
    <x v="19"/>
    <s v="RJ Woven Roving E-600gm 1000mm (40Kg)"/>
    <n v="3"/>
    <s v="Cash"/>
    <n v="0"/>
    <d v="2022-05-18T00:00:00"/>
    <n v="5"/>
    <n v="2022"/>
    <n v="936"/>
    <n v="-936"/>
    <n v="0"/>
    <n v="1418866.9500000002"/>
    <s v="Trsf"/>
    <s v="Trsf 1/12/22 RM11,000.00"/>
    <m/>
  </r>
  <r>
    <x v="199"/>
    <x v="11"/>
    <x v="3"/>
    <x v="266"/>
    <s v="C00000020"/>
    <x v="19"/>
    <s v="RA Talcum Powder (25kg)"/>
    <n v="2"/>
    <s v="Cash"/>
    <n v="0"/>
    <d v="2022-05-18T00:00:00"/>
    <n v="5"/>
    <n v="2022"/>
    <n v="125"/>
    <n v="-125"/>
    <n v="0"/>
    <n v="1418991.9500000002"/>
    <s v="Trsf"/>
    <s v="Trsf 1/12/22 RM11,000.00"/>
    <m/>
  </r>
  <r>
    <x v="199"/>
    <x v="11"/>
    <x v="3"/>
    <x v="266"/>
    <s v="C00000020"/>
    <x v="19"/>
    <s v="RM Pigment Smooth Cream (25kg)"/>
    <n v="2"/>
    <s v="Cash"/>
    <n v="0"/>
    <d v="2022-05-18T00:00:00"/>
    <n v="5"/>
    <n v="2022"/>
    <n v="2000"/>
    <n v="-2000"/>
    <n v="0"/>
    <n v="1420991.9500000002"/>
    <s v="Trsf"/>
    <s v="Trsf 1/12/22 RM11,000.00(RM339.800partial), Trsf 5/12/22 RM50,000.00(RM1,660.20partial), "/>
    <m/>
  </r>
  <r>
    <x v="200"/>
    <x v="11"/>
    <x v="3"/>
    <x v="267"/>
    <s v="C00000021"/>
    <x v="21"/>
    <s v="RM Resin 3317AW (220Kg)"/>
    <n v="1"/>
    <s v="Cash"/>
    <n v="0"/>
    <d v="2022-05-19T00:00:00"/>
    <n v="5"/>
    <n v="2022"/>
    <n v="2068"/>
    <n v="-2068"/>
    <n v="0"/>
    <n v="1423059.9500000002"/>
    <s v="PD Chq"/>
    <s v="Chq PBB 395365, cleared170822 RM3,484.00"/>
    <m/>
  </r>
  <r>
    <x v="200"/>
    <x v="11"/>
    <x v="3"/>
    <x v="267"/>
    <s v="C00000021"/>
    <x v="21"/>
    <s v="RM CSM 450 64m(L) 1040mm(W) (30Kg)"/>
    <n v="3"/>
    <s v="Cash"/>
    <n v="0"/>
    <d v="2022-05-19T00:00:00"/>
    <n v="5"/>
    <n v="2022"/>
    <n v="864"/>
    <n v="-864"/>
    <n v="0"/>
    <n v="1423923.9500000002"/>
    <s v="PD Chq"/>
    <s v="Chq PBB 395365, cleared170822 RM3,484.00"/>
    <m/>
  </r>
  <r>
    <x v="200"/>
    <x v="11"/>
    <x v="3"/>
    <x v="267"/>
    <s v="C00000021"/>
    <x v="21"/>
    <s v="RA Miracle Gloss Wax No. 8 (311g/Can)"/>
    <n v="12"/>
    <s v="Cash"/>
    <n v="0"/>
    <d v="2022-05-19T00:00:00"/>
    <n v="5"/>
    <n v="2022"/>
    <n v="552"/>
    <n v="-552"/>
    <n v="0"/>
    <n v="1424475.9500000002"/>
    <s v="PD Chq"/>
    <s v="Chq PBB 395365, cleared170822 RM3,484.00"/>
    <m/>
  </r>
  <r>
    <x v="201"/>
    <x v="11"/>
    <x v="3"/>
    <x v="268"/>
    <s v="C00000020"/>
    <x v="19"/>
    <s v="RM Resin Nor 3317AW (220Kg)"/>
    <n v="4"/>
    <s v="Cash"/>
    <n v="0"/>
    <d v="2022-05-20T00:00:00"/>
    <n v="5"/>
    <n v="2022"/>
    <n v="8360"/>
    <n v="-8360"/>
    <n v="0"/>
    <n v="1432835.9500000002"/>
    <s v="Trsf"/>
    <s v="Trsf 5/12/22 RM50,000.00"/>
    <m/>
  </r>
  <r>
    <x v="201"/>
    <x v="11"/>
    <x v="3"/>
    <x v="268"/>
    <s v="C00000020"/>
    <x v="19"/>
    <s v="RM CSM 450 (60Kg) 64m(L) x 2080mm(W)"/>
    <n v="5"/>
    <s v="Cash"/>
    <n v="0"/>
    <d v="2022-05-20T00:00:00"/>
    <n v="5"/>
    <n v="2022"/>
    <n v="2940"/>
    <n v="-2940"/>
    <n v="0"/>
    <n v="1435775.9500000002"/>
    <s v="Trsf"/>
    <s v="Trsf 5/12/22 RM50,000.00"/>
    <m/>
  </r>
  <r>
    <x v="201"/>
    <x v="11"/>
    <x v="3"/>
    <x v="268"/>
    <s v="C00000020"/>
    <x v="19"/>
    <s v="RJ Woven Roving E-600gm 1000mm (40Kg)"/>
    <n v="5"/>
    <s v="Cash"/>
    <n v="0"/>
    <d v="2022-05-20T00:00:00"/>
    <n v="5"/>
    <n v="2022"/>
    <n v="1560"/>
    <n v="-1560"/>
    <n v="0"/>
    <n v="1437335.9500000002"/>
    <s v="Trsf"/>
    <s v="Trsf 5/12/22 RM50,000.00"/>
    <m/>
  </r>
  <r>
    <x v="201"/>
    <x v="11"/>
    <x v="3"/>
    <x v="268"/>
    <s v="C00000020"/>
    <x v="19"/>
    <s v="RA Talcum Powder (25kg)"/>
    <n v="4"/>
    <s v="Cash"/>
    <n v="0"/>
    <d v="2022-05-20T00:00:00"/>
    <n v="5"/>
    <n v="2022"/>
    <n v="250"/>
    <n v="-250"/>
    <n v="0"/>
    <n v="1437585.9500000002"/>
    <s v="Trsf"/>
    <s v="Trsf 5/12/22 RM50,000.00"/>
    <m/>
  </r>
  <r>
    <x v="202"/>
    <x v="11"/>
    <x v="3"/>
    <x v="269"/>
    <s v="C00000026"/>
    <x v="27"/>
    <s v="RM CSM 450 64m(L) X 1860mm(W) (54kg)"/>
    <n v="1"/>
    <s v="Cash"/>
    <n v="0"/>
    <d v="2022-05-21T00:00:00"/>
    <n v="5"/>
    <n v="2022"/>
    <n v="534.6"/>
    <n v="-534.6"/>
    <n v="0"/>
    <n v="1438120.5500000003"/>
    <s v="Trsf"/>
    <s v="Trsf 24/5/22 RM1,239.60"/>
    <m/>
  </r>
  <r>
    <x v="202"/>
    <x v="11"/>
    <x v="3"/>
    <x v="269"/>
    <s v="C00000026"/>
    <x v="27"/>
    <s v="RM Dark Gray (5Kg)"/>
    <n v="1"/>
    <s v="Cash"/>
    <n v="0"/>
    <d v="2022-05-21T00:00:00"/>
    <n v="5"/>
    <n v="2022"/>
    <n v="165"/>
    <n v="-165"/>
    <n v="0"/>
    <n v="1438285.5500000003"/>
    <s v="Trsf"/>
    <s v="Trsf 24/5/22 RM1,239.60"/>
    <m/>
  </r>
  <r>
    <x v="202"/>
    <x v="11"/>
    <x v="3"/>
    <x v="269"/>
    <s v="C00000026"/>
    <x v="27"/>
    <s v="RJ Mepoxe (5kg)"/>
    <n v="1"/>
    <s v="Cash"/>
    <n v="0"/>
    <d v="2022-05-21T00:00:00"/>
    <n v="5"/>
    <n v="2022"/>
    <n v="90"/>
    <n v="-90"/>
    <n v="0"/>
    <n v="1438375.5500000003"/>
    <s v="Trsf"/>
    <s v="Trsf 24/5/22 RM1,239.60"/>
    <m/>
  </r>
  <r>
    <x v="202"/>
    <x v="11"/>
    <x v="3"/>
    <x v="269"/>
    <s v="C00000026"/>
    <x v="27"/>
    <s v="RM Fume silica HJSIL 200(10Kg)"/>
    <n v="1"/>
    <s v="Cash"/>
    <n v="0"/>
    <d v="2022-05-21T00:00:00"/>
    <n v="5"/>
    <n v="2022"/>
    <n v="450"/>
    <n v="-450"/>
    <n v="0"/>
    <n v="1438825.5500000003"/>
    <s v="Trsf"/>
    <s v="Trsf 24/5/22 RM1,239.60"/>
    <m/>
  </r>
  <r>
    <x v="202"/>
    <x v="11"/>
    <x v="3"/>
    <x v="270"/>
    <s v="C00000020"/>
    <x v="19"/>
    <s v="RM Resin Nor 3317AW (220Kg)"/>
    <n v="4"/>
    <s v="Cash"/>
    <n v="0"/>
    <d v="2022-05-21T00:00:00"/>
    <n v="5"/>
    <n v="2022"/>
    <n v="8360"/>
    <n v="-8360"/>
    <n v="0"/>
    <n v="1447185.5500000003"/>
    <s v="Trsf"/>
    <s v="Trsf 5/12/22 RM50,000.00"/>
    <m/>
  </r>
  <r>
    <x v="202"/>
    <x v="11"/>
    <x v="3"/>
    <x v="270"/>
    <s v="C00000020"/>
    <x v="19"/>
    <s v="RM CSM 450 64m(L) 1040mm(W) (30Kg)"/>
    <n v="10"/>
    <s v="Cash"/>
    <n v="0"/>
    <d v="2022-05-21T00:00:00"/>
    <n v="5"/>
    <n v="2022"/>
    <n v="2940"/>
    <n v="-2940"/>
    <n v="0"/>
    <n v="1450125.5500000003"/>
    <s v="Trsf"/>
    <s v="Trsf 5/12/22 RM50,000.00"/>
    <m/>
  </r>
  <r>
    <x v="202"/>
    <x v="11"/>
    <x v="3"/>
    <x v="270"/>
    <s v="C00000020"/>
    <x v="19"/>
    <s v="RJ Woven Roving E-600gm 1000mm (40Kg)"/>
    <n v="5"/>
    <s v="Cash"/>
    <n v="0"/>
    <d v="2022-05-21T00:00:00"/>
    <n v="5"/>
    <n v="2022"/>
    <n v="1560"/>
    <n v="-1560"/>
    <n v="0"/>
    <n v="1451685.5500000003"/>
    <s v="Trsf"/>
    <s v="Trsf 5/12/22 RM50,000.00"/>
    <m/>
  </r>
  <r>
    <x v="202"/>
    <x v="11"/>
    <x v="3"/>
    <x v="270"/>
    <s v="C00000020"/>
    <x v="19"/>
    <s v="RA Talcum Powder (25kg)"/>
    <n v="4"/>
    <s v="Cash"/>
    <n v="0"/>
    <d v="2022-05-21T00:00:00"/>
    <n v="5"/>
    <n v="2022"/>
    <n v="250"/>
    <n v="-250"/>
    <n v="0"/>
    <n v="1451935.5500000003"/>
    <s v="Trsf"/>
    <s v="Trsf 5/12/22 RM50,000.00"/>
    <m/>
  </r>
  <r>
    <x v="203"/>
    <x v="11"/>
    <x v="3"/>
    <x v="271"/>
    <s v="C00000010"/>
    <x v="9"/>
    <s v="RM Resin 3338AW (220kg)"/>
    <n v="6"/>
    <n v="120"/>
    <n v="120"/>
    <d v="2022-09-20T00:00:00"/>
    <n v="9"/>
    <n v="2022"/>
    <n v="11880"/>
    <n v="-11880"/>
    <n v="0"/>
    <n v="1463815.5500000003"/>
    <s v="Trsf"/>
    <s v="Trsf 23/8/22 RM14,715.00"/>
    <m/>
  </r>
  <r>
    <x v="203"/>
    <x v="11"/>
    <x v="3"/>
    <x v="271"/>
    <s v="C00000010"/>
    <x v="9"/>
    <s v="RM CSM 450 64m(L) 1040mm(W) (30Kg)"/>
    <n v="5"/>
    <n v="120"/>
    <n v="120"/>
    <d v="2022-09-20T00:00:00"/>
    <n v="9"/>
    <n v="2022"/>
    <n v="1425"/>
    <n v="-1425"/>
    <n v="0"/>
    <n v="1465240.5500000003"/>
    <s v="Trsf"/>
    <s v="Trsf 23/8/22 RM14,715.00"/>
    <m/>
  </r>
  <r>
    <x v="203"/>
    <x v="11"/>
    <x v="3"/>
    <x v="271"/>
    <s v="C00000010"/>
    <x v="9"/>
    <s v="RM Talcum Powder (25kg)"/>
    <n v="10"/>
    <n v="120"/>
    <n v="120"/>
    <d v="2022-09-20T00:00:00"/>
    <n v="9"/>
    <n v="2022"/>
    <n v="550"/>
    <n v="-550"/>
    <n v="0"/>
    <n v="1465790.5500000003"/>
    <s v="Trsf"/>
    <s v="Trsf 23/8/22 RM14,715.00"/>
    <m/>
  </r>
  <r>
    <x v="203"/>
    <x v="11"/>
    <x v="3"/>
    <x v="271"/>
    <s v="C00000010"/>
    <x v="9"/>
    <s v="RA Butanox M50"/>
    <n v="4"/>
    <n v="120"/>
    <n v="120"/>
    <d v="2022-09-20T00:00:00"/>
    <n v="9"/>
    <n v="2022"/>
    <n v="420"/>
    <n v="-420"/>
    <n v="0"/>
    <n v="1466210.5500000003"/>
    <s v="Trsf"/>
    <s v="Trsf 23/8/22 RM14,715.00"/>
    <m/>
  </r>
  <r>
    <x v="203"/>
    <x v="11"/>
    <x v="3"/>
    <x v="271"/>
    <s v="C00000010"/>
    <x v="9"/>
    <s v="RM Fume silica HJSIL 200(10Kg)"/>
    <n v="1"/>
    <n v="120"/>
    <n v="120"/>
    <d v="2022-09-20T00:00:00"/>
    <n v="9"/>
    <n v="2022"/>
    <n v="440"/>
    <n v="-440"/>
    <n v="0"/>
    <n v="1466650.5500000003"/>
    <s v="Trsf"/>
    <s v="Trsf 23/8/22 RM14,715.00"/>
    <m/>
  </r>
  <r>
    <x v="203"/>
    <x v="11"/>
    <x v="3"/>
    <x v="272"/>
    <s v="C00000020"/>
    <x v="19"/>
    <s v="RM Resin Nor 3317AW (220Kg)"/>
    <n v="2"/>
    <s v="Cash"/>
    <n v="0"/>
    <d v="2022-05-23T00:00:00"/>
    <n v="5"/>
    <n v="2022"/>
    <n v="4180"/>
    <n v="-4180"/>
    <n v="0"/>
    <n v="1470830.5500000003"/>
    <s v="Trsf"/>
    <s v="Trsf 5/12/22 RM50,000.00"/>
    <m/>
  </r>
  <r>
    <x v="203"/>
    <x v="11"/>
    <x v="3"/>
    <x v="272"/>
    <s v="C00000020"/>
    <x v="19"/>
    <s v="RM CSM 450 64m(L) 1040mm(W) (30Kg)"/>
    <n v="5"/>
    <s v="Cash"/>
    <n v="0"/>
    <d v="2022-05-23T00:00:00"/>
    <n v="5"/>
    <n v="2022"/>
    <n v="1470"/>
    <n v="-1470"/>
    <n v="0"/>
    <n v="1472300.5500000003"/>
    <s v="Trsf"/>
    <s v="Trsf 5/12/22 RM50,000.00"/>
    <m/>
  </r>
  <r>
    <x v="203"/>
    <x v="11"/>
    <x v="3"/>
    <x v="272"/>
    <s v="C00000020"/>
    <x v="19"/>
    <s v="RJ Woven Roving E-600gm 1000mm (40Kg)"/>
    <n v="2"/>
    <s v="Cash"/>
    <n v="0"/>
    <d v="2022-05-23T00:00:00"/>
    <n v="5"/>
    <n v="2022"/>
    <n v="624"/>
    <n v="-624"/>
    <n v="0"/>
    <n v="1472924.5500000003"/>
    <s v="Trsf"/>
    <s v="Trsf 5/12/22 RM50,000.00"/>
    <m/>
  </r>
  <r>
    <x v="203"/>
    <x v="11"/>
    <x v="3"/>
    <x v="272"/>
    <s v="C00000020"/>
    <x v="19"/>
    <s v="RA  Woven Roing 600 1120mm (45kg)"/>
    <n v="1"/>
    <s v="Cash"/>
    <n v="0"/>
    <d v="2022-05-23T00:00:00"/>
    <n v="5"/>
    <n v="2022"/>
    <n v="351"/>
    <n v="-351"/>
    <n v="0"/>
    <n v="1473275.5500000003"/>
    <s v="Trsf"/>
    <s v="Trsf 5/12/22 RM50,000.00"/>
    <m/>
  </r>
  <r>
    <x v="203"/>
    <x v="11"/>
    <x v="3"/>
    <x v="272"/>
    <s v="C00000020"/>
    <x v="19"/>
    <s v="RM Talcum Powder (25kg)"/>
    <n v="2"/>
    <s v="Cash"/>
    <n v="0"/>
    <d v="2022-05-23T00:00:00"/>
    <n v="5"/>
    <n v="2022"/>
    <n v="125"/>
    <n v="-125"/>
    <n v="0"/>
    <n v="1473400.5500000003"/>
    <s v="Trsf"/>
    <s v="Trsf 5/12/22 RM50,000.00"/>
    <m/>
  </r>
  <r>
    <x v="203"/>
    <x v="11"/>
    <x v="3"/>
    <x v="273"/>
    <s v="C00000019"/>
    <x v="18"/>
    <s v="RM Nor 3338W (220Kg)"/>
    <n v="2"/>
    <s v="Cash"/>
    <n v="0"/>
    <d v="2022-05-23T00:00:00"/>
    <n v="5"/>
    <n v="2022"/>
    <n v="4136"/>
    <n v="-4136"/>
    <n v="0"/>
    <n v="1477536.5500000003"/>
    <s v="Trsf"/>
    <s v="Trsf 24/5/22, RM6,201.10"/>
    <m/>
  </r>
  <r>
    <x v="203"/>
    <x v="11"/>
    <x v="3"/>
    <x v="273"/>
    <s v="C00000019"/>
    <x v="18"/>
    <s v="RM CSM 450 64m(L) X 1860mm(W) (54kg)"/>
    <n v="2"/>
    <s v="Cash"/>
    <n v="0"/>
    <d v="2022-05-23T00:00:00"/>
    <n v="5"/>
    <n v="2022"/>
    <n v="1047.5999999999999"/>
    <n v="-1047.5999999999999"/>
    <n v="0"/>
    <n v="1478584.1500000004"/>
    <s v="Trsf"/>
    <s v="Trsf 24/5/22, RM6,201.10"/>
    <m/>
  </r>
  <r>
    <x v="203"/>
    <x v="11"/>
    <x v="3"/>
    <x v="273"/>
    <s v="C00000019"/>
    <x v="18"/>
    <s v="RM Talcum Powder (25kg)"/>
    <n v="3"/>
    <s v="Cash"/>
    <n v="0"/>
    <d v="2022-05-23T00:00:00"/>
    <n v="5"/>
    <n v="2022"/>
    <n v="187.5"/>
    <n v="-187.5"/>
    <n v="0"/>
    <n v="1478771.6500000004"/>
    <s v="Trsf"/>
    <s v="Trsf 24/5/22, RM6,201.10"/>
    <m/>
  </r>
  <r>
    <x v="203"/>
    <x v="11"/>
    <x v="3"/>
    <x v="273"/>
    <s v="C00000019"/>
    <x v="18"/>
    <s v="RE Frekote 770NC (1 Gallon)"/>
    <n v="1"/>
    <s v="Cash"/>
    <n v="0"/>
    <d v="2022-05-23T00:00:00"/>
    <n v="5"/>
    <n v="2022"/>
    <n v="390"/>
    <n v="-390"/>
    <n v="0"/>
    <n v="1479161.6500000004"/>
    <s v="Trsf"/>
    <s v="Trsf 24/5/22, RM6,201.10"/>
    <m/>
  </r>
  <r>
    <x v="203"/>
    <x v="11"/>
    <x v="3"/>
    <x v="273"/>
    <s v="C00000019"/>
    <x v="18"/>
    <s v="RM Fume silica HJSIL 200(10Kg)"/>
    <n v="1"/>
    <s v="Cash"/>
    <n v="0"/>
    <d v="2022-05-23T00:00:00"/>
    <n v="5"/>
    <n v="2022"/>
    <n v="440"/>
    <n v="-440"/>
    <n v="0"/>
    <n v="1479601.6500000004"/>
    <s v="Trsf"/>
    <s v="Trsf 24/5/22, RM6,201.10"/>
    <m/>
  </r>
  <r>
    <x v="204"/>
    <x v="11"/>
    <x v="3"/>
    <x v="274"/>
    <s v="C00000004"/>
    <x v="3"/>
    <s v="RM Nor 3338W (220Kg)"/>
    <n v="5"/>
    <n v="120"/>
    <n v="120"/>
    <d v="2022-09-21T00:00:00"/>
    <n v="9"/>
    <n v="2022"/>
    <n v="10120"/>
    <n v="-10120"/>
    <n v="0"/>
    <n v="1489721.6500000004"/>
    <s v="Chq"/>
    <s v="HLB012769Cleared20/09/22-RM10,120.00"/>
    <m/>
  </r>
  <r>
    <x v="205"/>
    <x v="11"/>
    <x v="3"/>
    <x v="275"/>
    <s v="C00000020"/>
    <x v="19"/>
    <s v="RM Nor 3338W (220Kg)"/>
    <n v="4"/>
    <s v="Cash"/>
    <n v="0"/>
    <d v="2022-05-25T00:00:00"/>
    <n v="5"/>
    <n v="2022"/>
    <n v="8360"/>
    <n v="-8360"/>
    <n v="0"/>
    <n v="1498081.6500000004"/>
    <s v="Trsf"/>
    <s v="Trsf 5/12/22 RM50,000.00"/>
    <m/>
  </r>
  <r>
    <x v="205"/>
    <x v="11"/>
    <x v="3"/>
    <x v="275"/>
    <s v="C00000020"/>
    <x v="19"/>
    <s v="RM CSM 450 64m(L) 1040mm(W) (30Kg)"/>
    <n v="8"/>
    <s v="Cash"/>
    <n v="0"/>
    <d v="2022-05-25T00:00:00"/>
    <n v="5"/>
    <n v="2022"/>
    <n v="2352"/>
    <n v="-2352"/>
    <n v="0"/>
    <n v="1500433.6500000004"/>
    <s v="Trsf"/>
    <s v="Trsf 5/12/22 RM50,000.00"/>
    <m/>
  </r>
  <r>
    <x v="205"/>
    <x v="11"/>
    <x v="3"/>
    <x v="275"/>
    <s v="C00000020"/>
    <x v="19"/>
    <s v="RA  Woven Roing 600 1120mm (45kg)"/>
    <n v="6"/>
    <s v="Cash"/>
    <n v="0"/>
    <d v="2022-05-25T00:00:00"/>
    <n v="5"/>
    <n v="2022"/>
    <n v="2106"/>
    <n v="-2106"/>
    <n v="0"/>
    <n v="1502539.6500000004"/>
    <s v="Trsf"/>
    <s v="Trsf 5/12/22 RM50,000.00"/>
    <m/>
  </r>
  <r>
    <x v="205"/>
    <x v="11"/>
    <x v="3"/>
    <x v="275"/>
    <s v="C00000020"/>
    <x v="19"/>
    <s v="RM Talcum Powder (25kg)"/>
    <n v="4"/>
    <s v="Cash"/>
    <n v="0"/>
    <d v="2022-05-25T00:00:00"/>
    <n v="5"/>
    <n v="2022"/>
    <n v="250"/>
    <n v="-250"/>
    <n v="0"/>
    <n v="1502789.6500000004"/>
    <s v="Trsf"/>
    <s v="Trsf 5/12/22 RM50,000.00"/>
    <m/>
  </r>
  <r>
    <x v="205"/>
    <x v="11"/>
    <x v="3"/>
    <x v="275"/>
    <s v="C00000020"/>
    <x v="19"/>
    <s v="RM Pigment Smooth Cream (25kg)"/>
    <n v="1"/>
    <s v="Cash"/>
    <n v="0"/>
    <d v="2022-05-25T00:00:00"/>
    <n v="5"/>
    <n v="2022"/>
    <n v="1000"/>
    <n v="-1000"/>
    <n v="0"/>
    <n v="1503789.6500000004"/>
    <s v="Trsf"/>
    <s v="Trsf 5/12/22 RM50,000.00"/>
    <m/>
  </r>
  <r>
    <x v="206"/>
    <x v="11"/>
    <x v="3"/>
    <x v="276"/>
    <s v="C00000021"/>
    <x v="21"/>
    <s v="RM Resin 3317AW (220Kg)"/>
    <n v="1"/>
    <s v="Cash"/>
    <n v="0"/>
    <d v="2022-05-28T00:00:00"/>
    <n v="5"/>
    <n v="2022"/>
    <n v="2068"/>
    <n v="-2068"/>
    <n v="0"/>
    <n v="1505857.6500000004"/>
    <s v="PD Chq"/>
    <s v="Chq PBB 395366, cleared090922 RM3,241.00"/>
    <m/>
  </r>
  <r>
    <x v="206"/>
    <x v="11"/>
    <x v="3"/>
    <x v="276"/>
    <s v="C00000021"/>
    <x v="21"/>
    <s v="RM CSM 450 64m(L) 1040mm(W) (30Kg)"/>
    <n v="3"/>
    <s v="Cash"/>
    <n v="0"/>
    <d v="2022-05-28T00:00:00"/>
    <n v="5"/>
    <n v="2022"/>
    <n v="864"/>
    <n v="-864"/>
    <n v="0"/>
    <n v="1506721.6500000004"/>
    <s v="PD Chq"/>
    <s v="Chq PBB 395366, cleared090922 RM3,241.00"/>
    <m/>
  </r>
  <r>
    <x v="206"/>
    <x v="11"/>
    <x v="3"/>
    <x v="276"/>
    <s v="C00000021"/>
    <x v="21"/>
    <s v="RJ Mepoxe (5kg)"/>
    <n v="1"/>
    <s v="Cash"/>
    <n v="0"/>
    <d v="2022-05-28T00:00:00"/>
    <n v="5"/>
    <n v="2022"/>
    <n v="90"/>
    <n v="-90"/>
    <n v="0"/>
    <n v="1506811.6500000004"/>
    <s v="PD Chq"/>
    <s v="Chq PBB 395366, cleared090922 RM3,241.00"/>
    <m/>
  </r>
  <r>
    <x v="206"/>
    <x v="11"/>
    <x v="3"/>
    <x v="276"/>
    <s v="C00000021"/>
    <x v="21"/>
    <s v="RA Sand Wheel 105 X 2 X 16 (30PC)"/>
    <n v="1"/>
    <s v="Cash"/>
    <n v="0"/>
    <d v="2022-05-28T00:00:00"/>
    <n v="5"/>
    <n v="2022"/>
    <n v="219"/>
    <n v="-219"/>
    <n v="0"/>
    <n v="1507030.6500000004"/>
    <s v="PD Chq"/>
    <s v="Chq PBB 395366, cleared090922 RM3,241.00"/>
    <m/>
  </r>
  <r>
    <x v="207"/>
    <x v="1"/>
    <x v="3"/>
    <x v="277"/>
    <s v="C00000020"/>
    <x v="19"/>
    <s v="RM Resin 3317AW (220Kg)"/>
    <n v="4"/>
    <s v="Cash"/>
    <n v="0"/>
    <d v="2022-06-02T00:00:00"/>
    <n v="6"/>
    <n v="2022"/>
    <n v="8360"/>
    <n v="-8360"/>
    <n v="0"/>
    <n v="1515390.6500000004"/>
    <s v="Trsf"/>
    <s v="Trsf 5/12/22 RM50,000.00(RM1,301.80partial), Trsf 22/12/22 RM10,000.00(RM7,058.20partial)"/>
    <m/>
  </r>
  <r>
    <x v="207"/>
    <x v="1"/>
    <x v="3"/>
    <x v="277"/>
    <s v="C00000020"/>
    <x v="19"/>
    <s v="RM CSM 450 64m(L) 1040mm(W) (30Kg)"/>
    <n v="6"/>
    <s v="Cash"/>
    <n v="0"/>
    <d v="2022-06-02T00:00:00"/>
    <n v="6"/>
    <n v="2022"/>
    <n v="1764"/>
    <n v="-1764"/>
    <n v="0"/>
    <n v="1517154.6500000004"/>
    <s v="Trsf"/>
    <s v="Trsf 22/12/22 RM10,000.00"/>
    <m/>
  </r>
  <r>
    <x v="207"/>
    <x v="1"/>
    <x v="3"/>
    <x v="277"/>
    <s v="C00000020"/>
    <x v="19"/>
    <s v="RA  Woven Roing 600 1120mm (45kg)"/>
    <n v="3"/>
    <s v="Cash"/>
    <n v="0"/>
    <d v="2022-06-02T00:00:00"/>
    <n v="6"/>
    <n v="2022"/>
    <n v="1053"/>
    <n v="-1053"/>
    <n v="0"/>
    <n v="1518207.6500000004"/>
    <s v="Trsf"/>
    <s v="Trsf 22/12/22 RM10,000.00"/>
    <m/>
  </r>
  <r>
    <x v="207"/>
    <x v="1"/>
    <x v="3"/>
    <x v="277"/>
    <s v="C00000020"/>
    <x v="19"/>
    <s v="RM Talcum Powder (25kg)"/>
    <n v="4"/>
    <s v="Cash"/>
    <n v="0"/>
    <d v="2022-06-02T00:00:00"/>
    <n v="6"/>
    <n v="2022"/>
    <n v="250"/>
    <n v="-250"/>
    <n v="0"/>
    <n v="1518457.6500000004"/>
    <s v="Trsf"/>
    <s v="Trsf 22/12/22 RM10,000.00(RM124,80), Trsf 23/12/22 RM10,000.00(RM125.20)"/>
    <m/>
  </r>
  <r>
    <x v="207"/>
    <x v="1"/>
    <x v="3"/>
    <x v="277"/>
    <s v="C00000020"/>
    <x v="19"/>
    <s v="RM Pigment Smooth Cream (25kg)"/>
    <n v="1"/>
    <s v="Cash"/>
    <n v="0"/>
    <d v="2022-06-02T00:00:00"/>
    <n v="6"/>
    <n v="2022"/>
    <n v="1000"/>
    <n v="-1000"/>
    <n v="0"/>
    <n v="1519457.6500000004"/>
    <s v="Trsf"/>
    <s v="Trsf 23/12/22 RM10,000.00"/>
    <m/>
  </r>
  <r>
    <x v="208"/>
    <x v="1"/>
    <x v="3"/>
    <x v="278"/>
    <s v="C00000022"/>
    <x v="23"/>
    <s v="RA Nor 3338W (220Kg)"/>
    <n v="1"/>
    <s v="Cash"/>
    <n v="0"/>
    <d v="2022-06-03T00:00:00"/>
    <n v="6"/>
    <n v="2022"/>
    <n v="2112"/>
    <n v="-2112"/>
    <n v="0"/>
    <n v="1521569.6500000004"/>
    <s v="Trsf"/>
    <s v="Trsf 25/9/22 RM3,000.00 RM1,682.10, Trsf 25/9/22 RM1,000.00 RM429.90"/>
    <m/>
  </r>
  <r>
    <x v="209"/>
    <x v="1"/>
    <x v="3"/>
    <x v="279"/>
    <s v="C00000020"/>
    <x v="19"/>
    <s v="RM Resin 3317AW (220Kg)"/>
    <n v="2"/>
    <s v="Cash"/>
    <n v="0"/>
    <d v="2022-06-04T00:00:00"/>
    <n v="6"/>
    <n v="2022"/>
    <n v="4180"/>
    <n v="-4180"/>
    <n v="0"/>
    <n v="1525749.6500000004"/>
    <s v="Trsf"/>
    <s v="Trsf 23/12/22 RM10,000.00"/>
    <m/>
  </r>
  <r>
    <x v="209"/>
    <x v="1"/>
    <x v="3"/>
    <x v="279"/>
    <s v="C00000020"/>
    <x v="19"/>
    <s v="RM CSM 450 64m(L) 1040mm(W) (30Kg)"/>
    <n v="10"/>
    <s v="Cash"/>
    <n v="0"/>
    <d v="2022-06-04T00:00:00"/>
    <n v="6"/>
    <n v="2022"/>
    <n v="2940"/>
    <n v="-2940"/>
    <n v="0"/>
    <n v="1528689.6500000004"/>
    <s v="Trsf"/>
    <s v="Trsf 23/12/22 RM10,000.00"/>
    <m/>
  </r>
  <r>
    <x v="209"/>
    <x v="1"/>
    <x v="3"/>
    <x v="279"/>
    <s v="C00000020"/>
    <x v="19"/>
    <s v="RA  Woven Roing 600 1120mm (45kg)"/>
    <n v="5"/>
    <s v="Cash"/>
    <n v="0"/>
    <d v="2022-06-04T00:00:00"/>
    <n v="6"/>
    <n v="2022"/>
    <n v="1755"/>
    <n v="-1755"/>
    <n v="0"/>
    <n v="1530444.6500000004"/>
    <s v="Trsf"/>
    <s v="Trsf 23/12/22 RM10,000.00(RM1,754.80partial), Trsf 27/12/22 RM5,000.00(RM0.20partial),"/>
    <m/>
  </r>
  <r>
    <x v="209"/>
    <x v="1"/>
    <x v="3"/>
    <x v="279"/>
    <s v="C00000020"/>
    <x v="19"/>
    <s v="RM Talcum Powder (25kg)"/>
    <n v="2"/>
    <s v="Cash"/>
    <n v="0"/>
    <d v="2022-06-04T00:00:00"/>
    <n v="6"/>
    <n v="2022"/>
    <n v="125"/>
    <n v="-125"/>
    <n v="0"/>
    <n v="1530569.6500000004"/>
    <s v="Trsf"/>
    <s v="Trsf 27/12/22 RM5,000.00"/>
    <m/>
  </r>
  <r>
    <x v="210"/>
    <x v="1"/>
    <x v="3"/>
    <x v="280"/>
    <s v="C00000001"/>
    <x v="0"/>
    <s v="RM Resin 3317AW (220Kg)"/>
    <n v="1"/>
    <s v="Cash"/>
    <n v="0"/>
    <d v="2022-06-07T00:00:00"/>
    <n v="6"/>
    <n v="2022"/>
    <n v="2068"/>
    <n v="-2068"/>
    <n v="0"/>
    <n v="1532637.6500000004"/>
    <s v="Trsf"/>
    <s v="Trsf 10/6/22 RM2,356.00"/>
    <m/>
  </r>
  <r>
    <x v="210"/>
    <x v="1"/>
    <x v="3"/>
    <x v="280"/>
    <s v="C00000001"/>
    <x v="0"/>
    <s v="RM Woven Roving E-800 1000mm (40Kg)"/>
    <n v="1"/>
    <s v="Cash"/>
    <n v="0"/>
    <d v="2022-06-07T00:00:00"/>
    <n v="6"/>
    <n v="2022"/>
    <n v="288"/>
    <n v="-288"/>
    <n v="0"/>
    <n v="1532925.6500000004"/>
    <s v="Trsf"/>
    <s v="Trsf 10/6/22 RM2,356.00"/>
    <m/>
  </r>
  <r>
    <x v="211"/>
    <x v="1"/>
    <x v="3"/>
    <x v="281"/>
    <s v="C00000010"/>
    <x v="9"/>
    <s v="RM Resin 3338AW (220kg)"/>
    <n v="5"/>
    <n v="120"/>
    <n v="120"/>
    <d v="2022-10-07T00:00:00"/>
    <n v="10"/>
    <n v="2022"/>
    <n v="9900"/>
    <n v="-9900"/>
    <n v="0"/>
    <n v="1542825.6500000004"/>
    <s v="Trsf"/>
    <s v="Trsf 23/9/22 RM31,205.00"/>
    <m/>
  </r>
  <r>
    <x v="211"/>
    <x v="1"/>
    <x v="3"/>
    <x v="281"/>
    <s v="C00000010"/>
    <x v="9"/>
    <s v="RM CSM 450 64m(L) 1040mm(W) (30Kg)"/>
    <n v="5"/>
    <n v="120"/>
    <n v="120"/>
    <d v="2022-10-07T00:00:00"/>
    <n v="10"/>
    <n v="2022"/>
    <n v="1425"/>
    <n v="-1425"/>
    <n v="0"/>
    <n v="1544250.6500000004"/>
    <s v="Trsf"/>
    <s v="Trsf 23/9/22 RM31,205.00"/>
    <m/>
  </r>
  <r>
    <x v="211"/>
    <x v="1"/>
    <x v="3"/>
    <x v="281"/>
    <s v="C00000010"/>
    <x v="9"/>
    <s v="RM Talcum Powder (25kg)"/>
    <n v="10"/>
    <n v="120"/>
    <n v="120"/>
    <d v="2022-10-07T00:00:00"/>
    <n v="10"/>
    <n v="2022"/>
    <n v="550"/>
    <n v="-550"/>
    <n v="0"/>
    <n v="1544800.6500000004"/>
    <s v="Trsf"/>
    <s v="Trsf 23/9/22 RM31,205.00"/>
    <m/>
  </r>
  <r>
    <x v="211"/>
    <x v="1"/>
    <x v="3"/>
    <x v="281"/>
    <s v="C00000010"/>
    <x v="9"/>
    <s v="RA Butanox M50"/>
    <n v="4"/>
    <n v="120"/>
    <n v="120"/>
    <d v="2022-10-07T00:00:00"/>
    <n v="10"/>
    <n v="2022"/>
    <n v="420"/>
    <n v="-420"/>
    <n v="0"/>
    <n v="1545220.6500000004"/>
    <s v="Trsf"/>
    <s v="Trsf 23/9/22 RM31,205.00"/>
    <m/>
  </r>
  <r>
    <x v="211"/>
    <x v="1"/>
    <x v="3"/>
    <x v="281"/>
    <s v="C00000010"/>
    <x v="9"/>
    <s v="RH Bosny Wax (15Kg)"/>
    <n v="1"/>
    <n v="120"/>
    <n v="120"/>
    <d v="2022-10-07T00:00:00"/>
    <n v="10"/>
    <n v="2022"/>
    <n v="395"/>
    <n v="-395"/>
    <n v="0"/>
    <n v="1545615.6500000004"/>
    <s v="Trsf"/>
    <s v="Trsf 23/9/22 RM31,205.00"/>
    <m/>
  </r>
  <r>
    <x v="211"/>
    <x v="1"/>
    <x v="3"/>
    <x v="282"/>
    <s v="C00000022"/>
    <x v="23"/>
    <s v="RA Nor 3338W (220Kg)"/>
    <n v="1"/>
    <s v="Cash"/>
    <n v="0"/>
    <d v="2022-06-09T00:00:00"/>
    <n v="6"/>
    <n v="2022"/>
    <n v="2112"/>
    <n v="-2112"/>
    <n v="0"/>
    <n v="1547727.6500000004"/>
    <s v="Trsf"/>
    <s v="Trsf 25/9/22 RM1,000.00(RM570.10),  Trsf 29/9/22 RM5,350.70(RM1,541.90)"/>
    <m/>
  </r>
  <r>
    <x v="212"/>
    <x v="1"/>
    <x v="3"/>
    <x v="283"/>
    <s v="C00000021"/>
    <x v="21"/>
    <s v="RM Resin 3317AW (220Kg)"/>
    <n v="1"/>
    <s v="Cash"/>
    <n v="0"/>
    <d v="2022-06-10T00:00:00"/>
    <n v="6"/>
    <n v="2022"/>
    <n v="2068"/>
    <n v="-2068"/>
    <n v="0"/>
    <n v="1549795.6500000004"/>
    <s v="PD Chq"/>
    <s v="Chq PBB 395367, cleared230922 RM2,746.00"/>
    <m/>
  </r>
  <r>
    <x v="212"/>
    <x v="1"/>
    <x v="3"/>
    <x v="283"/>
    <s v="C00000021"/>
    <x v="21"/>
    <s v="RM CSM 450 64m(L) 1040mm(W) (30Kg)"/>
    <n v="2"/>
    <s v="Cash"/>
    <n v="0"/>
    <d v="2022-06-10T00:00:00"/>
    <n v="6"/>
    <n v="2022"/>
    <n v="588"/>
    <n v="-588"/>
    <n v="0"/>
    <n v="1550383.6500000004"/>
    <s v="PD Chq"/>
    <s v="Chq PBB 395367, cleared230922 RM2,746.00"/>
    <m/>
  </r>
  <r>
    <x v="212"/>
    <x v="1"/>
    <x v="3"/>
    <x v="283"/>
    <s v="C00000021"/>
    <x v="21"/>
    <s v="RJ Mepoxe (5kg)"/>
    <n v="1"/>
    <s v="Cash"/>
    <n v="0"/>
    <d v="2022-06-10T00:00:00"/>
    <n v="6"/>
    <n v="2022"/>
    <n v="90"/>
    <n v="-90"/>
    <n v="0"/>
    <n v="1550473.6500000004"/>
    <s v="PD Chq"/>
    <s v="Chq PBB 395367, cleared230922 RM2,746.00"/>
    <m/>
  </r>
  <r>
    <x v="213"/>
    <x v="1"/>
    <x v="3"/>
    <x v="284"/>
    <s v="C00000020"/>
    <x v="19"/>
    <s v="RM Resin 3317AW (220Kg)"/>
    <n v="2"/>
    <s v="Cash"/>
    <n v="0"/>
    <d v="2022-06-11T00:00:00"/>
    <n v="6"/>
    <n v="2022"/>
    <n v="4180"/>
    <n v="-4180"/>
    <n v="0"/>
    <n v="1554653.6500000004"/>
    <s v="Trsf"/>
    <s v="Trsf 27/12/22 RM5,000.00"/>
    <m/>
  </r>
  <r>
    <x v="213"/>
    <x v="1"/>
    <x v="3"/>
    <x v="284"/>
    <s v="C00000020"/>
    <x v="19"/>
    <s v="RM CSM 450 64m(L) 1040mm(W) (30Kg)"/>
    <n v="1"/>
    <s v="Cash"/>
    <n v="0"/>
    <d v="2022-06-11T00:00:00"/>
    <n v="6"/>
    <n v="2022"/>
    <n v="294"/>
    <n v="-294"/>
    <n v="0"/>
    <n v="1554947.6500000004"/>
    <s v="Trsf"/>
    <s v="Trsf 27/12/22 RM5,000.00"/>
    <m/>
  </r>
  <r>
    <x v="213"/>
    <x v="1"/>
    <x v="3"/>
    <x v="284"/>
    <s v="C00000020"/>
    <x v="19"/>
    <s v="RA  Woven Roing 600 1120mm (45kg)"/>
    <n v="1"/>
    <s v="Cash"/>
    <n v="0"/>
    <d v="2022-06-11T00:00:00"/>
    <n v="6"/>
    <n v="2022"/>
    <n v="351"/>
    <n v="-351"/>
    <n v="0"/>
    <n v="1555298.6500000004"/>
    <s v="Trsf"/>
    <s v="Trsf 27/12/22 RM5,000.00"/>
    <m/>
  </r>
  <r>
    <x v="213"/>
    <x v="1"/>
    <x v="3"/>
    <x v="284"/>
    <s v="C00000020"/>
    <x v="19"/>
    <s v="RM Talcum Powder (25kg)"/>
    <n v="2"/>
    <s v="Cash"/>
    <n v="0"/>
    <d v="2022-06-11T00:00:00"/>
    <n v="6"/>
    <n v="2022"/>
    <n v="125"/>
    <n v="-125"/>
    <n v="0"/>
    <n v="1555423.6500000004"/>
    <s v="Trsf"/>
    <s v="Trsf 28/12/22 RM30,000.00(RM75.20partial), "/>
    <m/>
  </r>
  <r>
    <x v="214"/>
    <x v="1"/>
    <x v="3"/>
    <x v="285"/>
    <s v="C00000023"/>
    <x v="24"/>
    <s v="RA Resin 3317AW (25Kg)"/>
    <n v="4"/>
    <s v="Cash"/>
    <n v="0"/>
    <d v="2022-06-13T00:00:00"/>
    <n v="6"/>
    <n v="2022"/>
    <n v="1400"/>
    <n v="-1400"/>
    <n v="0"/>
    <n v="1556823.6500000004"/>
    <s v="Trsf"/>
    <s v="Trsf 14/6/22 RM2,158.00"/>
    <m/>
  </r>
  <r>
    <x v="214"/>
    <x v="1"/>
    <x v="3"/>
    <x v="285"/>
    <s v="C00000023"/>
    <x v="24"/>
    <s v="RM CSM 450 64m(L) 1040mm(W) (30Kg)"/>
    <n v="2"/>
    <s v="Cash"/>
    <n v="0"/>
    <d v="2022-06-13T00:00:00"/>
    <n v="6"/>
    <n v="2022"/>
    <n v="588"/>
    <n v="-588"/>
    <n v="0"/>
    <n v="1557411.6500000004"/>
    <s v="Trsf"/>
    <s v="Trsf 14/6/22 RM2,158.00"/>
    <m/>
  </r>
  <r>
    <x v="214"/>
    <x v="1"/>
    <x v="3"/>
    <x v="285"/>
    <s v="C00000023"/>
    <x v="24"/>
    <s v="RJ Mepoxe (5kg)"/>
    <n v="2"/>
    <s v="Cash"/>
    <n v="0"/>
    <d v="2022-06-13T00:00:00"/>
    <n v="6"/>
    <n v="2022"/>
    <n v="170"/>
    <n v="-170"/>
    <n v="0"/>
    <n v="1557581.6500000004"/>
    <s v="Trsf"/>
    <s v="Trsf 14/6/22 RM2,158.00"/>
    <m/>
  </r>
  <r>
    <x v="215"/>
    <x v="1"/>
    <x v="3"/>
    <x v="286"/>
    <s v="C00000009"/>
    <x v="8"/>
    <s v="RM Nor 3338W (220Kg)"/>
    <n v="2"/>
    <n v="60"/>
    <n v="60"/>
    <d v="2022-08-13T00:00:00"/>
    <n v="8"/>
    <n v="2022"/>
    <n v="3960"/>
    <n v="-3960"/>
    <n v="0"/>
    <n v="1561541.6500000004"/>
    <s v="Chq"/>
    <s v="Chq HL 016786 dd 27/12/22"/>
    <m/>
  </r>
  <r>
    <x v="215"/>
    <x v="1"/>
    <x v="3"/>
    <x v="287"/>
    <s v="C00000001"/>
    <x v="0"/>
    <s v="RM Resin 3317AW (220Kg)"/>
    <n v="1"/>
    <s v="Cash"/>
    <n v="0"/>
    <d v="2022-06-14T00:00:00"/>
    <n v="6"/>
    <n v="2022"/>
    <n v="2068"/>
    <n v="-2068"/>
    <n v="0"/>
    <n v="1563609.6500000004"/>
    <s v="Trsf"/>
    <s v="Trsf 23/6/22 RM3,232.00"/>
    <m/>
  </r>
  <r>
    <x v="215"/>
    <x v="1"/>
    <x v="3"/>
    <x v="287"/>
    <s v="C00000001"/>
    <x v="0"/>
    <s v="RM CSM 450 64m(L) 1040mm(W) (30Kg)"/>
    <n v="4"/>
    <s v="Cash"/>
    <n v="0"/>
    <d v="2022-06-14T00:00:00"/>
    <n v="6"/>
    <n v="2022"/>
    <n v="1164"/>
    <n v="-1164"/>
    <n v="0"/>
    <n v="1564773.6500000004"/>
    <s v="Trsf"/>
    <s v="Trsf 23/6/22 RM3,232.00"/>
    <m/>
  </r>
  <r>
    <x v="216"/>
    <x v="1"/>
    <x v="3"/>
    <x v="288"/>
    <s v="C00000020"/>
    <x v="19"/>
    <s v="RA Nor 3338W (220Kg)"/>
    <n v="1"/>
    <s v="Cash"/>
    <n v="0"/>
    <d v="2022-06-18T00:00:00"/>
    <n v="6"/>
    <n v="2022"/>
    <n v="2090"/>
    <n v="-2090"/>
    <n v="0"/>
    <n v="1566863.6500000004"/>
    <s v="Trsf"/>
    <s v="Trsf 28/12/22 RM30,000.00"/>
    <m/>
  </r>
  <r>
    <x v="216"/>
    <x v="1"/>
    <x v="3"/>
    <x v="288"/>
    <s v="C00000020"/>
    <x v="19"/>
    <s v="RM CSM 450 64m(L) 1040mm(W) (30Kg)"/>
    <n v="2"/>
    <s v="Cash"/>
    <n v="0"/>
    <d v="2022-06-18T00:00:00"/>
    <n v="6"/>
    <n v="2022"/>
    <n v="588"/>
    <n v="-588"/>
    <n v="0"/>
    <n v="1567451.6500000004"/>
    <s v="Trsf"/>
    <s v="Trsf 28/12/22 RM30,000.00"/>
    <m/>
  </r>
  <r>
    <x v="216"/>
    <x v="1"/>
    <x v="3"/>
    <x v="288"/>
    <s v="C00000020"/>
    <x v="19"/>
    <s v="RA  Woven Roing 600 1120mm (45kg)"/>
    <n v="1"/>
    <s v="Cash"/>
    <n v="0"/>
    <d v="2022-06-18T00:00:00"/>
    <n v="6"/>
    <n v="2022"/>
    <n v="351"/>
    <n v="-351"/>
    <n v="0"/>
    <n v="1567802.6500000004"/>
    <s v="Trsf"/>
    <s v="Trsf 28/12/22 RM30,000.00"/>
    <m/>
  </r>
  <r>
    <x v="216"/>
    <x v="1"/>
    <x v="3"/>
    <x v="288"/>
    <s v="C00000020"/>
    <x v="19"/>
    <s v="RM Talcum Powder (25kg)"/>
    <n v="1"/>
    <s v="Cash"/>
    <n v="0"/>
    <d v="2022-06-18T00:00:00"/>
    <n v="6"/>
    <n v="2022"/>
    <n v="62.5"/>
    <n v="-62.5"/>
    <n v="0"/>
    <n v="1567865.1500000004"/>
    <s v="Trsf"/>
    <s v="Trsf 28/12/22 RM30,000.00"/>
    <m/>
  </r>
  <r>
    <x v="216"/>
    <x v="1"/>
    <x v="3"/>
    <x v="288"/>
    <s v="C00000020"/>
    <x v="19"/>
    <s v="RM Pigment Smooth Cream (25kg)"/>
    <n v="1"/>
    <s v="Cash"/>
    <n v="0"/>
    <d v="2022-06-18T00:00:00"/>
    <n v="6"/>
    <n v="2022"/>
    <n v="1000"/>
    <n v="-1000"/>
    <n v="0"/>
    <n v="1568865.1500000004"/>
    <s v="Trsf"/>
    <s v="Trsf 28/12/22 RM30,000.00"/>
    <m/>
  </r>
  <r>
    <x v="216"/>
    <x v="1"/>
    <x v="3"/>
    <x v="288"/>
    <s v="C00000020"/>
    <x v="19"/>
    <s v="RJ Mepoxe (5kg)"/>
    <n v="4"/>
    <s v="Cash"/>
    <n v="0"/>
    <d v="2022-06-18T00:00:00"/>
    <n v="6"/>
    <n v="2022"/>
    <n v="340"/>
    <n v="-340"/>
    <n v="0"/>
    <n v="1569205.1500000004"/>
    <s v="Trsf"/>
    <s v="Trsf 28/12/22 RM30,000.00"/>
    <m/>
  </r>
  <r>
    <x v="217"/>
    <x v="1"/>
    <x v="3"/>
    <x v="289"/>
    <s v="C00000006"/>
    <x v="5"/>
    <s v="RM Nor 3338W (220Kg)"/>
    <n v="1"/>
    <s v="Cash"/>
    <n v="0"/>
    <d v="2022-06-20T00:00:00"/>
    <n v="6"/>
    <n v="2022"/>
    <n v="2068"/>
    <n v="-2068"/>
    <n v="0"/>
    <n v="1571273.1500000004"/>
    <s v="Chq"/>
    <s v="RHB 934938 cleared18/8/22-RM2,068.00"/>
    <m/>
  </r>
  <r>
    <x v="218"/>
    <x v="1"/>
    <x v="3"/>
    <x v="290"/>
    <s v="C00000021"/>
    <x v="21"/>
    <s v="RM Resin 3317AW (220Kg)"/>
    <n v="1"/>
    <s v="Cash"/>
    <n v="0"/>
    <d v="2022-06-24T00:00:00"/>
    <n v="6"/>
    <n v="2022"/>
    <n v="2090"/>
    <n v="-2090"/>
    <n v="0"/>
    <n v="1573363.1500000004"/>
    <s v="PD Chq"/>
    <s v="Chq PBB 395368, cleared061022 RM3,374.50"/>
    <m/>
  </r>
  <r>
    <x v="218"/>
    <x v="1"/>
    <x v="3"/>
    <x v="290"/>
    <s v="C00000021"/>
    <x v="21"/>
    <s v="RM CSM 450 64m(L) 1040mm(W) (30Kg)"/>
    <n v="3"/>
    <s v="Cash"/>
    <n v="0"/>
    <d v="2022-06-24T00:00:00"/>
    <n v="6"/>
    <n v="2022"/>
    <n v="882"/>
    <n v="-882"/>
    <n v="0"/>
    <n v="1574245.1500000004"/>
    <s v="PD Chq"/>
    <s v="Chq PBB 395368, cleared061022 RM3,374.50"/>
    <m/>
  </r>
  <r>
    <x v="218"/>
    <x v="1"/>
    <x v="3"/>
    <x v="290"/>
    <s v="C00000021"/>
    <x v="21"/>
    <s v="RJ Mepoxe (5kg)"/>
    <n v="1"/>
    <s v="Cash"/>
    <n v="0"/>
    <d v="2022-06-24T00:00:00"/>
    <n v="6"/>
    <n v="2022"/>
    <n v="90"/>
    <n v="-90"/>
    <n v="0"/>
    <n v="1574335.1500000004"/>
    <s v="PD Chq"/>
    <s v="Chq PBB 395368, cleared061022 RM3,374.50"/>
    <m/>
  </r>
  <r>
    <x v="218"/>
    <x v="1"/>
    <x v="3"/>
    <x v="290"/>
    <s v="C00000021"/>
    <x v="21"/>
    <s v="RM Talcum Powder (25kg)"/>
    <n v="5"/>
    <s v="Cash"/>
    <n v="0"/>
    <d v="2022-06-24T00:00:00"/>
    <n v="6"/>
    <n v="2022"/>
    <n v="312.5"/>
    <n v="-312.5"/>
    <n v="0"/>
    <n v="1574647.6500000004"/>
    <s v="PD Chq"/>
    <s v="Chq PBB 395368, cleared061022 RM3,374.50"/>
    <m/>
  </r>
  <r>
    <x v="218"/>
    <x v="1"/>
    <x v="3"/>
    <x v="291"/>
    <s v="C00000020"/>
    <x v="19"/>
    <s v="RA Nor 3338W (220Kg)"/>
    <n v="2"/>
    <s v="Cash"/>
    <n v="0"/>
    <d v="2022-06-24T00:00:00"/>
    <n v="6"/>
    <n v="2022"/>
    <n v="4180"/>
    <n v="-4180"/>
    <n v="0"/>
    <n v="1578827.6500000004"/>
    <s v="Trsf"/>
    <s v="Trsf 28/12/22 RM30,000.00"/>
    <m/>
  </r>
  <r>
    <x v="218"/>
    <x v="1"/>
    <x v="3"/>
    <x v="291"/>
    <s v="C00000020"/>
    <x v="19"/>
    <s v="RM CSM 450 64m(L) 1040mm(W) (30Kg)"/>
    <n v="3"/>
    <s v="Cash"/>
    <n v="0"/>
    <d v="2022-06-24T00:00:00"/>
    <n v="6"/>
    <n v="2022"/>
    <n v="882"/>
    <n v="-882"/>
    <n v="0"/>
    <n v="1579709.6500000004"/>
    <s v="Trsf"/>
    <s v="Trsf 28/12/22 RM30,000.00"/>
    <m/>
  </r>
  <r>
    <x v="218"/>
    <x v="1"/>
    <x v="3"/>
    <x v="291"/>
    <s v="C00000020"/>
    <x v="19"/>
    <s v="RA  Woven Roing 600 1120mm (45kg)"/>
    <n v="2"/>
    <s v="Cash"/>
    <n v="0"/>
    <d v="2022-06-24T00:00:00"/>
    <n v="6"/>
    <n v="2022"/>
    <n v="702"/>
    <n v="-702"/>
    <n v="0"/>
    <n v="1580411.6500000004"/>
    <s v="Trsf"/>
    <s v="Trsf 28/12/22 RM30,000.00"/>
    <m/>
  </r>
  <r>
    <x v="218"/>
    <x v="1"/>
    <x v="3"/>
    <x v="291"/>
    <s v="C00000020"/>
    <x v="19"/>
    <s v="RM Talcum Powder (25kg)"/>
    <n v="2"/>
    <s v="Cash"/>
    <n v="0"/>
    <d v="2022-06-24T00:00:00"/>
    <n v="6"/>
    <n v="2022"/>
    <n v="125"/>
    <n v="-125"/>
    <n v="0"/>
    <n v="1580536.6500000004"/>
    <s v="Trsf"/>
    <s v="Trsf 28/12/22 RM30,000.00"/>
    <m/>
  </r>
  <r>
    <x v="219"/>
    <x v="1"/>
    <x v="3"/>
    <x v="292"/>
    <s v="C00000019"/>
    <x v="18"/>
    <s v="RM Nor 3338W (220Kg)"/>
    <n v="2"/>
    <s v="Cash"/>
    <n v="0"/>
    <d v="2022-06-28T00:00:00"/>
    <n v="6"/>
    <n v="2022"/>
    <n v="4136"/>
    <n v="-4136"/>
    <n v="0"/>
    <n v="1584672.6500000004"/>
    <s v="Trsf"/>
    <s v="Trsf 29/6/22, RM3,000.00, Trsf 30/6/22, RM3,223.60"/>
    <m/>
  </r>
  <r>
    <x v="219"/>
    <x v="1"/>
    <x v="3"/>
    <x v="292"/>
    <s v="C00000019"/>
    <x v="18"/>
    <s v="RM CSM 450 64m(L) X 1860mm(W) (54kg)"/>
    <n v="2"/>
    <s v="Cash"/>
    <n v="0"/>
    <d v="2022-06-28T00:00:00"/>
    <n v="6"/>
    <n v="2022"/>
    <n v="1047.5999999999999"/>
    <n v="-1047.5999999999999"/>
    <n v="0"/>
    <n v="1585720.2500000005"/>
    <s v="Trsf"/>
    <s v="Trsf 29/6/22, RM3,000.00, Trsf 30/6/22, RM3,223.60"/>
    <m/>
  </r>
  <r>
    <x v="219"/>
    <x v="1"/>
    <x v="3"/>
    <x v="292"/>
    <s v="C00000019"/>
    <x v="18"/>
    <s v="RA Butanox M50 (5kg)"/>
    <n v="2"/>
    <s v="Cash"/>
    <n v="0"/>
    <d v="2022-06-28T00:00:00"/>
    <n v="6"/>
    <n v="2022"/>
    <n v="210"/>
    <n v="-210"/>
    <n v="0"/>
    <n v="1585930.2500000005"/>
    <s v="Trsf"/>
    <s v="Trsf 29/6/22, RM3,000.00, Trsf 30/6/22, RM3,223.60"/>
    <m/>
  </r>
  <r>
    <x v="219"/>
    <x v="1"/>
    <x v="3"/>
    <x v="292"/>
    <s v="C00000019"/>
    <x v="18"/>
    <s v="RE Frekote 770NC (1 Gallon)"/>
    <n v="1"/>
    <s v="Cash"/>
    <n v="0"/>
    <d v="2022-06-28T00:00:00"/>
    <n v="6"/>
    <n v="2022"/>
    <n v="390"/>
    <n v="-390"/>
    <n v="0"/>
    <n v="1586320.2500000005"/>
    <s v="Trsf"/>
    <s v="Trsf 29/6/22, RM3,000.00, Trsf 30/6/22, RM3,223.60"/>
    <m/>
  </r>
  <r>
    <x v="219"/>
    <x v="1"/>
    <x v="3"/>
    <x v="292"/>
    <s v="C00000019"/>
    <x v="18"/>
    <s v="RM Fume silica HJSIL 200(10Kg)"/>
    <n v="1"/>
    <s v="Cash"/>
    <n v="0"/>
    <d v="2022-06-28T00:00:00"/>
    <n v="6"/>
    <n v="2022"/>
    <n v="440"/>
    <n v="-440"/>
    <n v="0"/>
    <n v="1586760.2500000005"/>
    <s v="Trsf"/>
    <s v="Trsf 29/6/22, RM3,000.00, Trsf 30/6/22, RM3,223.60"/>
    <m/>
  </r>
  <r>
    <x v="220"/>
    <x v="1"/>
    <x v="3"/>
    <x v="293"/>
    <s v="C00000010"/>
    <x v="9"/>
    <s v="RM Resin 3338AW (220kg)"/>
    <n v="7"/>
    <n v="120"/>
    <n v="120"/>
    <d v="2022-10-27T00:00:00"/>
    <n v="10"/>
    <n v="2022"/>
    <n v="13860"/>
    <n v="-13860"/>
    <n v="0"/>
    <n v="1600620.2500000005"/>
    <s v="Trsf"/>
    <s v="Trsf 23/9/22 RM31,205.00"/>
    <m/>
  </r>
  <r>
    <x v="220"/>
    <x v="1"/>
    <x v="3"/>
    <x v="293"/>
    <s v="C00000010"/>
    <x v="9"/>
    <s v="RM CSM 450 64m(L) 1040mm(W) (30Kg)"/>
    <n v="10"/>
    <n v="120"/>
    <n v="120"/>
    <d v="2022-10-27T00:00:00"/>
    <n v="10"/>
    <n v="2022"/>
    <n v="2850"/>
    <n v="-2850"/>
    <n v="0"/>
    <n v="1603470.2500000005"/>
    <s v="Trsf"/>
    <s v="Trsf 23/9/22 RM31,205.00"/>
    <m/>
  </r>
  <r>
    <x v="220"/>
    <x v="1"/>
    <x v="3"/>
    <x v="293"/>
    <s v="C00000010"/>
    <x v="9"/>
    <s v="RM Talcum Powder (25kg)"/>
    <n v="10"/>
    <n v="120"/>
    <n v="120"/>
    <d v="2022-10-27T00:00:00"/>
    <n v="10"/>
    <n v="2022"/>
    <n v="550"/>
    <n v="-550"/>
    <n v="0"/>
    <n v="1604020.2500000005"/>
    <s v="Trsf"/>
    <s v="Trsf 23/9/22 RM31,205.00"/>
    <m/>
  </r>
  <r>
    <x v="220"/>
    <x v="1"/>
    <x v="3"/>
    <x v="293"/>
    <s v="C00000010"/>
    <x v="9"/>
    <s v="RA Butanox M50 (5kg)"/>
    <n v="4"/>
    <n v="120"/>
    <n v="120"/>
    <d v="2022-10-27T00:00:00"/>
    <n v="10"/>
    <n v="2022"/>
    <n v="420"/>
    <n v="-420"/>
    <n v="0"/>
    <n v="1604440.2500000005"/>
    <s v="Trsf"/>
    <s v="Trsf 23/9/22 RM31,205.00"/>
    <m/>
  </r>
  <r>
    <x v="220"/>
    <x v="1"/>
    <x v="3"/>
    <x v="293"/>
    <s v="C00000010"/>
    <x v="9"/>
    <s v="RH Bosny Wax (15Kg)"/>
    <n v="1"/>
    <n v="120"/>
    <n v="120"/>
    <d v="2022-10-27T00:00:00"/>
    <n v="10"/>
    <n v="2022"/>
    <n v="395"/>
    <n v="-395"/>
    <n v="0"/>
    <n v="1604835.2500000005"/>
    <s v="Trsf"/>
    <s v="Trsf 23/9/22 RM31,205.00"/>
    <m/>
  </r>
  <r>
    <x v="220"/>
    <x v="1"/>
    <x v="3"/>
    <x v="293"/>
    <s v="C00000010"/>
    <x v="9"/>
    <s v="RM Fume silica HJSIL 200(10Kg)"/>
    <n v="1"/>
    <n v="120"/>
    <n v="120"/>
    <d v="2022-10-27T00:00:00"/>
    <n v="10"/>
    <n v="2022"/>
    <n v="440"/>
    <n v="-440"/>
    <n v="0"/>
    <n v="1605275.2500000005"/>
    <s v="Trsf"/>
    <s v="Trsf 23/9/22 RM31,205.00"/>
    <m/>
  </r>
  <r>
    <x v="221"/>
    <x v="2"/>
    <x v="3"/>
    <x v="294"/>
    <s v="C00000009"/>
    <x v="8"/>
    <s v="RM CSM 450 64m(L) X 1860mm(W) (54kg)"/>
    <n v="3"/>
    <n v="60"/>
    <n v="60"/>
    <d v="2022-08-30T00:00:00"/>
    <n v="8"/>
    <n v="2022"/>
    <n v="1539"/>
    <n v="-1539"/>
    <n v="0"/>
    <n v="1606814.2500000005"/>
    <s v="Chq"/>
    <s v="Chq HL 016715 dd 16/11/22"/>
    <m/>
  </r>
  <r>
    <x v="222"/>
    <x v="2"/>
    <x v="3"/>
    <x v="295"/>
    <s v="C00000019"/>
    <x v="18"/>
    <s v="RM Nor 3338W (220Kg)"/>
    <n v="2"/>
    <s v="Cash"/>
    <n v="0"/>
    <d v="2022-07-12T00:00:00"/>
    <n v="7"/>
    <n v="2022"/>
    <n v="4136"/>
    <n v="-4136"/>
    <n v="0"/>
    <n v="1610950.2500000005"/>
    <s v="Trsf"/>
    <s v="Trsf 15/7/22, RM5,183.60"/>
    <m/>
  </r>
  <r>
    <x v="222"/>
    <x v="2"/>
    <x v="3"/>
    <x v="295"/>
    <s v="C00000019"/>
    <x v="18"/>
    <s v="RM CSM 450 64m(L) X 1860mm(W) (54kg)"/>
    <n v="2"/>
    <s v="Cash"/>
    <n v="0"/>
    <d v="2022-07-12T00:00:00"/>
    <n v="7"/>
    <n v="2022"/>
    <n v="1047.5999999999999"/>
    <n v="-1047.5999999999999"/>
    <n v="0"/>
    <n v="1611997.8500000006"/>
    <s v="Trsf"/>
    <s v="Trsf 15/7/22, RM5,183.60"/>
    <m/>
  </r>
  <r>
    <x v="223"/>
    <x v="2"/>
    <x v="3"/>
    <x v="296"/>
    <s v="C00000020"/>
    <x v="19"/>
    <s v="RM Resin 3317AW (220Kg)"/>
    <n v="4"/>
    <s v="Cash"/>
    <n v="0"/>
    <d v="2022-07-14T00:00:00"/>
    <n v="7"/>
    <n v="2022"/>
    <n v="8272"/>
    <n v="-8272"/>
    <n v="0"/>
    <n v="1620269.8500000006"/>
    <s v="Trsf"/>
    <s v="Trsf 28/12/22 RM30,000.00"/>
    <m/>
  </r>
  <r>
    <x v="223"/>
    <x v="2"/>
    <x v="3"/>
    <x v="296"/>
    <s v="C00000020"/>
    <x v="19"/>
    <s v="RM CSM 450 64m(L) 1040mm(W) (30Kg)"/>
    <n v="9"/>
    <s v="Cash"/>
    <n v="0"/>
    <d v="2022-07-14T00:00:00"/>
    <n v="7"/>
    <n v="2022"/>
    <n v="2646"/>
    <n v="-2646"/>
    <n v="0"/>
    <n v="1622915.8500000006"/>
    <s v="Trsf"/>
    <s v="Trsf 28/12/22 RM30,000.00"/>
    <m/>
  </r>
  <r>
    <x v="223"/>
    <x v="2"/>
    <x v="3"/>
    <x v="296"/>
    <s v="C00000020"/>
    <x v="19"/>
    <s v="RA  Woven Roing 600 1120mm (45kg)"/>
    <n v="5"/>
    <s v="Cash"/>
    <n v="0"/>
    <d v="2022-07-14T00:00:00"/>
    <n v="7"/>
    <n v="2022"/>
    <n v="1687.5"/>
    <n v="-1687.5"/>
    <n v="0"/>
    <n v="1624603.3500000006"/>
    <s v="Trsf"/>
    <s v="Trsf 28/12/22 RM30,000.00"/>
    <m/>
  </r>
  <r>
    <x v="223"/>
    <x v="2"/>
    <x v="3"/>
    <x v="296"/>
    <s v="C00000020"/>
    <x v="19"/>
    <s v="RM Talcum Powder (25kg)"/>
    <n v="4"/>
    <s v="Cash"/>
    <n v="0"/>
    <d v="2022-07-14T00:00:00"/>
    <n v="7"/>
    <n v="2022"/>
    <n v="250"/>
    <n v="-250"/>
    <n v="0"/>
    <n v="1624853.3500000006"/>
    <s v="Trsf"/>
    <s v="Trsf 28/12/22 RM30,000.00"/>
    <m/>
  </r>
  <r>
    <x v="223"/>
    <x v="2"/>
    <x v="3"/>
    <x v="297"/>
    <s v="C00000027"/>
    <x v="28"/>
    <s v="RM Resin 3317AW (220Kg)"/>
    <n v="2"/>
    <s v="Cash"/>
    <n v="0"/>
    <d v="2022-07-14T00:00:00"/>
    <n v="7"/>
    <n v="2022"/>
    <n v="4004"/>
    <n v="-4004"/>
    <n v="0"/>
    <n v="1628857.3500000006"/>
    <s v="Trsf"/>
    <s v="Bank Islam 159011 Cleared22/8/22, RM8,568.20"/>
    <m/>
  </r>
  <r>
    <x v="223"/>
    <x v="2"/>
    <x v="3"/>
    <x v="297"/>
    <s v="C00000027"/>
    <x v="28"/>
    <s v="RM CSM 450 64m(L) X 1860mm(W) (54kg)"/>
    <n v="2"/>
    <s v="Cash"/>
    <n v="0"/>
    <d v="2022-07-14T00:00:00"/>
    <n v="7"/>
    <n v="2022"/>
    <n v="1015.2"/>
    <n v="-1015.2"/>
    <n v="0"/>
    <n v="1629872.5500000005"/>
    <s v="Trsf"/>
    <s v="Bank Islam 159011 Cleared22/8/22, RM8,568.20"/>
    <m/>
  </r>
  <r>
    <x v="223"/>
    <x v="2"/>
    <x v="3"/>
    <x v="297"/>
    <s v="C00000027"/>
    <x v="28"/>
    <s v="RA  Woven Roing 600 1120mm (45kg)"/>
    <n v="3"/>
    <s v="Cash"/>
    <n v="0"/>
    <d v="2022-07-14T00:00:00"/>
    <n v="7"/>
    <n v="2022"/>
    <n v="945"/>
    <n v="-945"/>
    <n v="0"/>
    <n v="1630817.5500000005"/>
    <s v="Trsf"/>
    <s v="Bank Islam 159011 Cleared22/8/22, RM8,568.20"/>
    <m/>
  </r>
  <r>
    <x v="223"/>
    <x v="2"/>
    <x v="3"/>
    <x v="297"/>
    <s v="C00000027"/>
    <x v="28"/>
    <s v="RA/RM Pigment Super White (5Kg)"/>
    <n v="2"/>
    <s v="Cash"/>
    <n v="0"/>
    <d v="2022-07-14T00:00:00"/>
    <n v="7"/>
    <n v="2022"/>
    <n v="320"/>
    <n v="-320"/>
    <n v="0"/>
    <n v="1631137.5500000005"/>
    <s v="Trsf"/>
    <s v="Bank Islam 159011 Cleared22/8/22, RM8,568.20"/>
    <m/>
  </r>
  <r>
    <x v="223"/>
    <x v="2"/>
    <x v="3"/>
    <x v="297"/>
    <s v="C00000027"/>
    <x v="28"/>
    <s v="RJ Mepoxe (5kg)"/>
    <n v="1"/>
    <s v="Cash"/>
    <n v="0"/>
    <d v="2022-07-14T00:00:00"/>
    <n v="7"/>
    <n v="2022"/>
    <n v="90"/>
    <n v="-90"/>
    <n v="0"/>
    <n v="1631227.5500000005"/>
    <s v="Trsf"/>
    <s v="Bank Islam 159011 Cleared22/8/22, RM8,568.20"/>
    <m/>
  </r>
  <r>
    <x v="223"/>
    <x v="2"/>
    <x v="3"/>
    <x v="297"/>
    <s v="C00000027"/>
    <x v="28"/>
    <s v="RM TR104 Hi Temp Wax (12Can)"/>
    <n v="1"/>
    <s v="Cash"/>
    <n v="0"/>
    <d v="2022-07-14T00:00:00"/>
    <n v="7"/>
    <n v="2022"/>
    <n v="500"/>
    <n v="-500"/>
    <n v="0"/>
    <n v="1631727.5500000005"/>
    <s v="Trsf"/>
    <s v="Bank Islam 159011 Cleared22/8/22, RM8,568.20"/>
    <m/>
  </r>
  <r>
    <x v="223"/>
    <x v="2"/>
    <x v="3"/>
    <x v="297"/>
    <s v="C00000027"/>
    <x v="28"/>
    <s v="RM PVA (5Kg)"/>
    <n v="1"/>
    <s v="Cash"/>
    <n v="0"/>
    <d v="2022-07-14T00:00:00"/>
    <n v="7"/>
    <n v="2022"/>
    <n v="170"/>
    <n v="-170"/>
    <n v="0"/>
    <n v="1631897.5500000005"/>
    <s v="Trsf"/>
    <s v="Bank Islam 159011 Cleared22/8/22, RM8,568.20"/>
    <m/>
  </r>
  <r>
    <x v="223"/>
    <x v="2"/>
    <x v="3"/>
    <x v="297"/>
    <s v="C00000027"/>
    <x v="28"/>
    <s v="RM Gelcoat GPH (20kg)"/>
    <n v="6"/>
    <s v="Cash"/>
    <n v="0"/>
    <d v="2022-07-14T00:00:00"/>
    <n v="7"/>
    <n v="2022"/>
    <n v="1524"/>
    <n v="-1524"/>
    <n v="0"/>
    <n v="1633421.5500000005"/>
    <s v="Trsf"/>
    <s v="Bank Islam 159011 Cleared22/8/22, RM8,568.20"/>
    <m/>
  </r>
  <r>
    <x v="224"/>
    <x v="2"/>
    <x v="3"/>
    <x v="298"/>
    <s v="C00000020"/>
    <x v="19"/>
    <s v="RM Resin 3317AW (220Kg)"/>
    <n v="2"/>
    <s v="Cash"/>
    <n v="0"/>
    <d v="2022-07-18T00:00:00"/>
    <n v="7"/>
    <n v="2022"/>
    <n v="4136"/>
    <n v="-4136"/>
    <n v="0"/>
    <n v="1637557.5500000005"/>
    <s v="Trsf"/>
    <s v="Trsf 28/12/22 RM30,000.00"/>
    <m/>
  </r>
  <r>
    <x v="224"/>
    <x v="2"/>
    <x v="3"/>
    <x v="298"/>
    <s v="C00000020"/>
    <x v="19"/>
    <s v="RM CSM 450 64m(L) 1040mm(W) (30Kg)"/>
    <n v="8"/>
    <s v="Cash"/>
    <n v="0"/>
    <d v="2022-07-18T00:00:00"/>
    <n v="7"/>
    <n v="2022"/>
    <n v="2352"/>
    <n v="-2352"/>
    <n v="0"/>
    <n v="1639909.5500000005"/>
    <s v="Trsf"/>
    <s v="Trsf 28/12/22 RM30,000.00"/>
    <m/>
  </r>
  <r>
    <x v="224"/>
    <x v="2"/>
    <x v="3"/>
    <x v="298"/>
    <s v="C00000020"/>
    <x v="19"/>
    <s v="RJ Woven Roving E-600gm 1000mm (40Kg)"/>
    <n v="4"/>
    <s v="Cash"/>
    <n v="0"/>
    <d v="2022-07-18T00:00:00"/>
    <n v="7"/>
    <n v="2022"/>
    <n v="1200"/>
    <n v="-1200"/>
    <n v="0"/>
    <n v="1641109.5500000005"/>
    <s v="Trsf"/>
    <s v="Trsf 28/12/22 RM30,000.00(RM260.80), Trsf 29/12/22 RM5,000.00(RM939.20)"/>
    <m/>
  </r>
  <r>
    <x v="224"/>
    <x v="2"/>
    <x v="3"/>
    <x v="298"/>
    <s v="C00000020"/>
    <x v="19"/>
    <s v="RM Talcum Powder (25kg)"/>
    <n v="2"/>
    <s v="Cash"/>
    <n v="0"/>
    <d v="2022-07-18T00:00:00"/>
    <n v="7"/>
    <n v="2022"/>
    <n v="125"/>
    <n v="-125"/>
    <n v="0"/>
    <n v="1641234.5500000005"/>
    <s v="Trsf"/>
    <s v="Trsf 29/12/22 RM5,000.00"/>
    <m/>
  </r>
  <r>
    <x v="224"/>
    <x v="2"/>
    <x v="3"/>
    <x v="298"/>
    <s v="C00000020"/>
    <x v="19"/>
    <s v="RM Pigment Smooth Cream (25kg)"/>
    <n v="1"/>
    <s v="Cash"/>
    <n v="0"/>
    <d v="2022-07-18T00:00:00"/>
    <n v="7"/>
    <n v="2022"/>
    <n v="1000"/>
    <n v="-1000"/>
    <n v="0"/>
    <n v="1642234.5500000005"/>
    <s v="Trsf"/>
    <s v="Trsf 29/12/22 RM5,000.00"/>
    <m/>
  </r>
  <r>
    <x v="224"/>
    <x v="2"/>
    <x v="3"/>
    <x v="298"/>
    <s v="C00000020"/>
    <x v="19"/>
    <s v="RJ Mepoxe (5kg)"/>
    <n v="4"/>
    <s v="Cash"/>
    <n v="0"/>
    <d v="2022-07-18T00:00:00"/>
    <n v="7"/>
    <n v="2022"/>
    <n v="340"/>
    <n v="-340"/>
    <n v="0"/>
    <n v="1642574.5500000005"/>
    <s v="Trsf"/>
    <s v="Trsf 29/12/22 RM5,000.00"/>
    <m/>
  </r>
  <r>
    <x v="225"/>
    <x v="2"/>
    <x v="3"/>
    <x v="299"/>
    <s v="C00000020"/>
    <x v="19"/>
    <s v="RM CSM 450 64m(L) 1040mm(W) (30Kg)"/>
    <n v="2"/>
    <s v="Cash"/>
    <n v="0"/>
    <d v="2022-07-20T00:00:00"/>
    <n v="7"/>
    <n v="2022"/>
    <n v="588"/>
    <n v="-588"/>
    <n v="0"/>
    <n v="1643162.5500000005"/>
    <s v="Trsf"/>
    <s v="Trsf 29/12/22 RM5,000.00"/>
    <m/>
  </r>
  <r>
    <x v="225"/>
    <x v="2"/>
    <x v="3"/>
    <x v="299"/>
    <s v="C00000020"/>
    <x v="19"/>
    <s v="RA  Woven Roing 600 1120mm (45kg)"/>
    <n v="1"/>
    <s v="Cash"/>
    <n v="0"/>
    <d v="2022-07-20T00:00:00"/>
    <n v="7"/>
    <n v="2022"/>
    <n v="337.5"/>
    <n v="-337.5"/>
    <n v="0"/>
    <n v="1643500.0500000005"/>
    <s v="Trsf"/>
    <s v="Trsf 29/12/22 RM5,000.00"/>
    <m/>
  </r>
  <r>
    <x v="226"/>
    <x v="2"/>
    <x v="3"/>
    <x v="300"/>
    <s v="C00000020"/>
    <x v="19"/>
    <s v="RM Nor 3338W (220Kg)"/>
    <n v="2"/>
    <s v="Cash"/>
    <n v="0"/>
    <d v="2022-07-23T00:00:00"/>
    <n v="7"/>
    <n v="2022"/>
    <n v="4136"/>
    <n v="-4136"/>
    <n v="0"/>
    <n v="1647636.0500000005"/>
    <s v="Trsf"/>
    <s v="Trsf 29/12/22 RM5,000.00(RM1,670.30), Trsf 4/1/23 RM30,000.00(RM2,465.70partial)"/>
    <m/>
  </r>
  <r>
    <x v="226"/>
    <x v="2"/>
    <x v="3"/>
    <x v="300"/>
    <s v="C00000020"/>
    <x v="19"/>
    <s v="RM CSM 450 64m(L) 1040mm(W) (30Kg)"/>
    <n v="6"/>
    <s v="Cash"/>
    <n v="0"/>
    <d v="2022-07-23T00:00:00"/>
    <n v="7"/>
    <n v="2022"/>
    <n v="1764"/>
    <n v="-1764"/>
    <n v="0"/>
    <n v="1649400.0500000005"/>
    <s v="Trsf"/>
    <s v="Trsf 4/1/23 RM30,000.00"/>
    <m/>
  </r>
  <r>
    <x v="226"/>
    <x v="2"/>
    <x v="3"/>
    <x v="300"/>
    <s v="C00000020"/>
    <x v="19"/>
    <s v="RJ Woven Roving E-600gm 1000mm (40Kg)"/>
    <n v="2"/>
    <s v="Cash"/>
    <n v="0"/>
    <d v="2022-07-23T00:00:00"/>
    <n v="7"/>
    <n v="2022"/>
    <n v="600"/>
    <n v="-600"/>
    <n v="0"/>
    <n v="1650000.0500000005"/>
    <s v="Trsf"/>
    <s v="Trsf 4/1/23 RM30,000.00"/>
    <m/>
  </r>
  <r>
    <x v="226"/>
    <x v="2"/>
    <x v="3"/>
    <x v="300"/>
    <s v="C00000020"/>
    <x v="19"/>
    <s v="RM Talcum Powder (25kg)"/>
    <n v="2"/>
    <s v="Cash"/>
    <n v="0"/>
    <d v="2022-07-23T00:00:00"/>
    <n v="7"/>
    <n v="2022"/>
    <n v="125"/>
    <n v="-125"/>
    <n v="0"/>
    <n v="1650125.0500000005"/>
    <s v="Trsf"/>
    <s v="Trsf 4/1/23 RM30,000.00"/>
    <m/>
  </r>
  <r>
    <x v="226"/>
    <x v="2"/>
    <x v="3"/>
    <x v="301"/>
    <s v="C00000001"/>
    <x v="0"/>
    <s v="RM Resin 3317AW (220Kg)"/>
    <n v="2"/>
    <s v="Cash"/>
    <n v="0"/>
    <d v="2022-07-23T00:00:00"/>
    <n v="7"/>
    <n v="2022"/>
    <n v="4092"/>
    <n v="-4092"/>
    <n v="0"/>
    <n v="1654217.0500000005"/>
    <s v="Trsf"/>
    <s v="Trsf 29/7/22 RM4,092.00"/>
    <m/>
  </r>
  <r>
    <x v="227"/>
    <x v="2"/>
    <x v="3"/>
    <x v="302"/>
    <s v="C00000010"/>
    <x v="9"/>
    <s v="RM Resin 3338AW (220kg)"/>
    <n v="5"/>
    <n v="120"/>
    <n v="120"/>
    <d v="2022-11-23T00:00:00"/>
    <n v="11"/>
    <n v="2022"/>
    <n v="9900"/>
    <n v="-9900"/>
    <n v="0"/>
    <n v="1664117.0500000005"/>
    <s v="Trsf"/>
    <s v="Trsf 18/10/22 RM13,445.00"/>
    <m/>
  </r>
  <r>
    <x v="227"/>
    <x v="2"/>
    <x v="3"/>
    <x v="302"/>
    <s v="C00000010"/>
    <x v="9"/>
    <s v="RM CSM 450 64m(L) 1040mm(W) (30Kg)"/>
    <n v="10"/>
    <n v="120"/>
    <n v="120"/>
    <d v="2022-11-23T00:00:00"/>
    <n v="11"/>
    <n v="2022"/>
    <n v="2850"/>
    <n v="-2850"/>
    <n v="0"/>
    <n v="1666967.0500000005"/>
    <s v="Trsf"/>
    <s v="Trsf 18/10/22 RM13,445.00"/>
    <m/>
  </r>
  <r>
    <x v="227"/>
    <x v="2"/>
    <x v="3"/>
    <x v="302"/>
    <s v="C00000010"/>
    <x v="9"/>
    <s v="RM Talcum Powder (25kg)"/>
    <n v="5"/>
    <n v="120"/>
    <n v="120"/>
    <d v="2022-11-23T00:00:00"/>
    <n v="11"/>
    <n v="2022"/>
    <n v="275"/>
    <n v="-275"/>
    <n v="0"/>
    <n v="1667242.0500000005"/>
    <s v="Trsf"/>
    <s v="Trsf 18/10/22 RM13,445.00"/>
    <m/>
  </r>
  <r>
    <x v="227"/>
    <x v="2"/>
    <x v="3"/>
    <x v="302"/>
    <s v="C00000010"/>
    <x v="9"/>
    <s v="RA Butanox M50 (5kg)"/>
    <n v="4"/>
    <n v="120"/>
    <n v="120"/>
    <d v="2022-11-23T00:00:00"/>
    <n v="11"/>
    <n v="2022"/>
    <n v="420"/>
    <n v="-420"/>
    <n v="0"/>
    <n v="1667662.0500000005"/>
    <s v="Trsf"/>
    <s v="Trsf 18/10/22 RM13,445.00"/>
    <m/>
  </r>
  <r>
    <x v="228"/>
    <x v="2"/>
    <x v="3"/>
    <x v="303"/>
    <s v="C00000021"/>
    <x v="21"/>
    <s v="RM Resin 3317AW (220Kg)"/>
    <n v="1"/>
    <s v="Cash"/>
    <n v="0"/>
    <d v="2022-07-29T00:00:00"/>
    <n v="7"/>
    <n v="2022"/>
    <n v="2090"/>
    <n v="-2090"/>
    <n v="0"/>
    <n v="1669752.0500000005"/>
    <s v="PD Chq"/>
    <s v="Chq PBB 395369, cleared201022 RM2,180.00"/>
    <m/>
  </r>
  <r>
    <x v="228"/>
    <x v="2"/>
    <x v="3"/>
    <x v="303"/>
    <s v="C00000021"/>
    <x v="21"/>
    <s v="RJ Mepoxe (5kg)"/>
    <n v="1"/>
    <s v="Cash"/>
    <n v="0"/>
    <d v="2022-07-29T00:00:00"/>
    <n v="7"/>
    <n v="2022"/>
    <n v="90"/>
    <n v="-90"/>
    <n v="0"/>
    <n v="1669842.0500000005"/>
    <s v="PD Chq"/>
    <s v="Chq PBB 395369, cleared201022 RM2,180.00"/>
    <m/>
  </r>
  <r>
    <x v="228"/>
    <x v="2"/>
    <x v="3"/>
    <x v="304"/>
    <s v="C00000009"/>
    <x v="8"/>
    <s v="RM Nor 3338W (220Kg)"/>
    <n v="2"/>
    <n v="60"/>
    <n v="60"/>
    <d v="2022-09-27T00:00:00"/>
    <n v="9"/>
    <n v="2022"/>
    <n v="3960"/>
    <n v="-3960"/>
    <n v="0"/>
    <n v="1673802.0500000005"/>
    <s v="Chq"/>
    <s v="Chq HL 016715 dd 16/11/22"/>
    <m/>
  </r>
  <r>
    <x v="228"/>
    <x v="2"/>
    <x v="3"/>
    <x v="304"/>
    <s v="C00000009"/>
    <x v="8"/>
    <s v="RM CSM 450 Jushi 64m(L) X 1860mm(W) (67Kg)"/>
    <n v="1"/>
    <n v="60"/>
    <n v="60"/>
    <d v="2022-09-27T00:00:00"/>
    <n v="9"/>
    <n v="2022"/>
    <n v="636.5"/>
    <n v="-636.5"/>
    <n v="0"/>
    <n v="1674438.5500000005"/>
    <s v="Chq"/>
    <s v="Chq HL 016715 dd 16/11/22"/>
    <m/>
  </r>
  <r>
    <x v="229"/>
    <x v="3"/>
    <x v="3"/>
    <x v="305"/>
    <s v="C00000027"/>
    <x v="28"/>
    <s v="RM Resin 3317AW (220Kg)"/>
    <n v="3"/>
    <s v="Cash"/>
    <n v="0"/>
    <d v="2022-08-04T00:00:00"/>
    <n v="8"/>
    <n v="2022"/>
    <n v="6006"/>
    <n v="-6006"/>
    <n v="0"/>
    <n v="1680444.5500000005"/>
    <s v="Trsf"/>
    <s v="Bank Islam 0159032 Cleared28/9/22, RM12,643.00"/>
    <m/>
  </r>
  <r>
    <x v="229"/>
    <x v="3"/>
    <x v="3"/>
    <x v="305"/>
    <s v="C00000027"/>
    <x v="28"/>
    <s v="RM CSM 450 Jushi 64m(L) X 1860mm(W) (67kg)"/>
    <n v="2"/>
    <s v="Cash"/>
    <n v="0"/>
    <d v="2022-08-04T00:00:00"/>
    <n v="8"/>
    <n v="2022"/>
    <n v="1259.5999999999999"/>
    <n v="-1259.5999999999999"/>
    <n v="0"/>
    <n v="1681704.1500000006"/>
    <s v="Trsf"/>
    <s v="Bank Islamn0159032 Cleared28/9/22, RM12,643.00"/>
    <m/>
  </r>
  <r>
    <x v="229"/>
    <x v="3"/>
    <x v="3"/>
    <x v="305"/>
    <s v="C00000027"/>
    <x v="28"/>
    <s v="RA CSM 300 96m(L) X 1860mm(W) (54Kg)"/>
    <n v="2"/>
    <s v="Cash"/>
    <n v="0"/>
    <d v="2022-08-04T00:00:00"/>
    <n v="8"/>
    <n v="2022"/>
    <n v="1015.2"/>
    <n v="-1015.2"/>
    <n v="0"/>
    <n v="1682719.3500000006"/>
    <s v="Trsf"/>
    <s v="Bank Islam 0159032 Cleared28/9/22, RM12,643.00"/>
    <m/>
  </r>
  <r>
    <x v="229"/>
    <x v="3"/>
    <x v="3"/>
    <x v="305"/>
    <s v="C00000027"/>
    <x v="28"/>
    <s v="RJ Woven Roving E-600gm 1000mm (40Kg)"/>
    <n v="2"/>
    <s v="Cash"/>
    <n v="0"/>
    <d v="2022-08-04T00:00:00"/>
    <n v="8"/>
    <n v="2022"/>
    <n v="560"/>
    <n v="-560"/>
    <n v="0"/>
    <n v="1683279.3500000006"/>
    <s v="Trsf"/>
    <s v="Bank Islam 0159032 Cleared28/9/22, RM12,643.00"/>
    <m/>
  </r>
  <r>
    <x v="229"/>
    <x v="3"/>
    <x v="3"/>
    <x v="305"/>
    <s v="C00000027"/>
    <x v="28"/>
    <s v="RM Pigment Super White (5Kg)"/>
    <n v="4"/>
    <s v="Cash"/>
    <n v="0"/>
    <d v="2022-08-04T00:00:00"/>
    <n v="8"/>
    <n v="2022"/>
    <n v="640"/>
    <n v="-640"/>
    <n v="0"/>
    <n v="1683919.3500000006"/>
    <s v="Trsf"/>
    <s v="Bank Islam 0159032 Cleared28/9/22, RM12,643.00"/>
    <m/>
  </r>
  <r>
    <x v="229"/>
    <x v="3"/>
    <x v="3"/>
    <x v="305"/>
    <s v="C00000027"/>
    <x v="28"/>
    <s v="RJ Mepoxe (5kg)"/>
    <n v="1"/>
    <s v="Cash"/>
    <n v="0"/>
    <d v="2022-08-04T00:00:00"/>
    <n v="8"/>
    <n v="2022"/>
    <n v="90"/>
    <n v="-90"/>
    <n v="0"/>
    <n v="1684009.3500000006"/>
    <s v="Trsf"/>
    <s v="Bank Islam 0159032 Cleared28/9/22, RM12,643.00"/>
    <m/>
  </r>
  <r>
    <x v="229"/>
    <x v="3"/>
    <x v="3"/>
    <x v="305"/>
    <s v="C00000027"/>
    <x v="28"/>
    <s v="RM Acetone (163Kg)"/>
    <n v="1"/>
    <s v="Cash"/>
    <n v="0"/>
    <d v="2022-08-04T00:00:00"/>
    <n v="8"/>
    <n v="2022"/>
    <n v="1108.4000000000001"/>
    <n v="-1108.4000000000001"/>
    <n v="0"/>
    <n v="1685117.7500000005"/>
    <s v="Trsf"/>
    <s v="Bank Islam 0159032 Cleared28/9/22, RM12,643.00"/>
    <m/>
  </r>
  <r>
    <x v="229"/>
    <x v="3"/>
    <x v="3"/>
    <x v="305"/>
    <s v="C00000027"/>
    <x v="28"/>
    <s v="RM Fume silica HJSIL 200(10Kg)"/>
    <n v="1"/>
    <s v="Cash"/>
    <n v="0"/>
    <d v="2022-08-04T00:00:00"/>
    <n v="8"/>
    <n v="2022"/>
    <n v="440"/>
    <n v="-440"/>
    <n v="0"/>
    <n v="1685557.7500000005"/>
    <s v="Trsf"/>
    <s v="Bank Islam 0159032 Cleared28/9/22, RM12,643.00"/>
    <m/>
  </r>
  <r>
    <x v="229"/>
    <x v="3"/>
    <x v="3"/>
    <x v="305"/>
    <s v="C00000027"/>
    <x v="28"/>
    <s v="RM Gelcoat GPH (20kg)"/>
    <n v="6"/>
    <s v="Cash"/>
    <n v="0"/>
    <d v="2022-08-04T00:00:00"/>
    <n v="8"/>
    <n v="2022"/>
    <n v="1524"/>
    <n v="-1523.8"/>
    <n v="0.20000000000004547"/>
    <n v="1687081.7500000005"/>
    <s v="Trsf"/>
    <s v="Bank Islam 0159032 Cleared28/9/22, RM12,643.00"/>
    <m/>
  </r>
  <r>
    <x v="230"/>
    <x v="3"/>
    <x v="3"/>
    <x v="306"/>
    <s v="C00000020"/>
    <x v="19"/>
    <s v="RM Resin 3317AW (220Kg)"/>
    <n v="1"/>
    <s v="Cash"/>
    <n v="0"/>
    <d v="2022-08-06T00:00:00"/>
    <n v="8"/>
    <n v="2022"/>
    <n v="2068"/>
    <n v="-2068"/>
    <n v="0"/>
    <n v="1689149.7500000005"/>
    <s v="Trsf"/>
    <s v="Trsf 4/1/23 RM30,000.00"/>
    <m/>
  </r>
  <r>
    <x v="230"/>
    <x v="3"/>
    <x v="3"/>
    <x v="306"/>
    <s v="C00000020"/>
    <x v="19"/>
    <s v="RA CSM 450 GSM JUSHI 79m(L) X 1040mm(W) (37kg)"/>
    <n v="6"/>
    <s v="Cash"/>
    <n v="0"/>
    <d v="2022-08-06T00:00:00"/>
    <n v="8"/>
    <n v="2022"/>
    <n v="2175.6000000000004"/>
    <n v="-2175.6000000000004"/>
    <n v="0"/>
    <n v="1691325.3500000006"/>
    <s v="Trsf"/>
    <s v="Trsf 4/1/23 RM30,000.00"/>
    <m/>
  </r>
  <r>
    <x v="230"/>
    <x v="3"/>
    <x v="3"/>
    <x v="306"/>
    <s v="C00000020"/>
    <x v="19"/>
    <s v="RJ Woven Roving E-600gm 1000mm (40Kg)"/>
    <n v="3"/>
    <s v="Cash"/>
    <n v="0"/>
    <d v="2022-08-06T00:00:00"/>
    <n v="8"/>
    <n v="2022"/>
    <n v="900"/>
    <n v="-900"/>
    <n v="0"/>
    <n v="1692225.3500000006"/>
    <s v="Trsf"/>
    <s v="Trsf 4/1/23 RM30,000.00"/>
    <m/>
  </r>
  <r>
    <x v="230"/>
    <x v="3"/>
    <x v="3"/>
    <x v="306"/>
    <s v="C00000020"/>
    <x v="19"/>
    <s v="RM Talcum Powder (25kg)"/>
    <n v="2"/>
    <s v="Cash"/>
    <n v="0"/>
    <d v="2022-08-06T00:00:00"/>
    <n v="8"/>
    <n v="2022"/>
    <n v="125"/>
    <n v="-125"/>
    <n v="0"/>
    <n v="1692350.3500000006"/>
    <s v="Trsf"/>
    <s v="Trsf 4/1/23 RM30,000.00"/>
    <m/>
  </r>
  <r>
    <x v="230"/>
    <x v="3"/>
    <x v="3"/>
    <x v="307"/>
    <s v="C00000001"/>
    <x v="0"/>
    <s v="RM Woven Roving E-800 1000mm (40Kg)"/>
    <n v="3"/>
    <s v="Cash"/>
    <n v="0"/>
    <d v="2022-08-06T00:00:00"/>
    <n v="8"/>
    <n v="2022"/>
    <n v="864"/>
    <n v="-864"/>
    <n v="0"/>
    <n v="1693214.3500000006"/>
    <s v="Trsf"/>
    <s v="Trsf 13/8/22 RM864.00"/>
    <m/>
  </r>
  <r>
    <x v="231"/>
    <x v="3"/>
    <x v="3"/>
    <x v="308"/>
    <s v="C00000026"/>
    <x v="27"/>
    <s v="RM Resin 3317AW (220Kg)"/>
    <n v="1"/>
    <s v="Cash"/>
    <n v="0"/>
    <d v="2022-08-09T00:00:00"/>
    <n v="8"/>
    <n v="2022"/>
    <n v="2068"/>
    <n v="-2068"/>
    <n v="0"/>
    <n v="1695282.3500000006"/>
    <s v="Trsf"/>
    <s v="Trsf 9/8/22 RM2,068.00"/>
    <m/>
  </r>
  <r>
    <x v="232"/>
    <x v="3"/>
    <x v="3"/>
    <x v="309"/>
    <s v="C00000020"/>
    <x v="19"/>
    <s v="RM Nor 3338W (220Kg)"/>
    <n v="1"/>
    <s v="Cash"/>
    <n v="0"/>
    <d v="2022-08-12T00:00:00"/>
    <n v="8"/>
    <n v="2022"/>
    <n v="2068"/>
    <n v="-2068"/>
    <n v="0"/>
    <n v="1697350.3500000006"/>
    <s v="Trsf"/>
    <s v="Trsf 4/1/23 RM30,000.00"/>
    <m/>
  </r>
  <r>
    <x v="232"/>
    <x v="3"/>
    <x v="3"/>
    <x v="309"/>
    <s v="C00000020"/>
    <x v="19"/>
    <s v="RM CSM 450 64m(L) 1040mm(W) (30Kg)"/>
    <n v="3"/>
    <s v="Cash"/>
    <n v="0"/>
    <d v="2022-08-12T00:00:00"/>
    <n v="8"/>
    <n v="2022"/>
    <n v="882"/>
    <n v="-882"/>
    <n v="0"/>
    <n v="1698232.3500000006"/>
    <s v="Trsf"/>
    <s v="Trsf 4/1/23 RM30,000.00"/>
    <m/>
  </r>
  <r>
    <x v="232"/>
    <x v="3"/>
    <x v="3"/>
    <x v="309"/>
    <s v="C00000020"/>
    <x v="19"/>
    <s v="RJ Woven Roving E-600gm 1000mm (40Kg)"/>
    <n v="1"/>
    <s v="Cash"/>
    <n v="0"/>
    <d v="2022-08-12T00:00:00"/>
    <n v="8"/>
    <n v="2022"/>
    <n v="300"/>
    <n v="-300"/>
    <n v="0"/>
    <n v="1698532.3500000006"/>
    <s v="Trsf"/>
    <s v="Trsf 4/1/23 RM30,000.00"/>
    <m/>
  </r>
  <r>
    <x v="232"/>
    <x v="3"/>
    <x v="3"/>
    <x v="309"/>
    <s v="C00000020"/>
    <x v="19"/>
    <s v="RM Talcum Powder (25kg)"/>
    <n v="1"/>
    <s v="Cash"/>
    <n v="0"/>
    <d v="2022-08-12T00:00:00"/>
    <n v="8"/>
    <n v="2022"/>
    <n v="62.5"/>
    <n v="-62.5"/>
    <n v="0"/>
    <n v="1698594.8500000006"/>
    <s v="Trsf"/>
    <s v="Trsf 4/1/23 RM30,000.00"/>
    <m/>
  </r>
  <r>
    <x v="232"/>
    <x v="3"/>
    <x v="3"/>
    <x v="309"/>
    <s v="C00000020"/>
    <x v="19"/>
    <s v="RM Pigment Smooth Cream (25kg)"/>
    <n v="1"/>
    <s v="Cash"/>
    <n v="0"/>
    <d v="2022-08-12T00:00:00"/>
    <n v="8"/>
    <n v="2022"/>
    <n v="1000"/>
    <n v="-1000"/>
    <n v="0"/>
    <n v="1699594.8500000006"/>
    <s v="Trsf"/>
    <s v="Trsf 4/1/23 RM30,000.00"/>
    <m/>
  </r>
  <r>
    <x v="233"/>
    <x v="3"/>
    <x v="3"/>
    <x v="310"/>
    <e v="#N/A"/>
    <x v="29"/>
    <s v="-"/>
    <n v="0"/>
    <e v="#N/A"/>
    <e v="#N/A"/>
    <e v="#N/A"/>
    <e v="#N/A"/>
    <e v="#N/A"/>
    <n v="0"/>
    <m/>
    <n v="0"/>
    <n v="1699594.8500000006"/>
    <e v="#N/A"/>
    <m/>
    <m/>
  </r>
  <r>
    <x v="233"/>
    <x v="3"/>
    <x v="3"/>
    <x v="311"/>
    <s v="C00000004"/>
    <x v="3"/>
    <s v="RM Resin Nor 3338W (220Kg)"/>
    <n v="5"/>
    <n v="120"/>
    <n v="120"/>
    <d v="2022-12-13T00:00:00"/>
    <n v="12"/>
    <n v="2022"/>
    <n v="9570"/>
    <n v="-9570"/>
    <n v="0"/>
    <n v="1709164.8500000006"/>
    <s v="Chq"/>
    <s v="HLB014947Cleared21/11/22-RM16,536.70"/>
    <m/>
  </r>
  <r>
    <x v="233"/>
    <x v="3"/>
    <x v="3"/>
    <x v="311"/>
    <s v="C00000004"/>
    <x v="3"/>
    <s v="RM Resin 268BQTN (225Kg)"/>
    <n v="1"/>
    <n v="120"/>
    <n v="120"/>
    <d v="2022-12-13T00:00:00"/>
    <n v="12"/>
    <n v="2022"/>
    <n v="1957.5"/>
    <n v="-1957.5"/>
    <n v="0"/>
    <n v="1711122.3500000006"/>
    <s v="Chq"/>
    <s v="HLB014947Cleared21/11/22-RM16,536.70"/>
    <m/>
  </r>
  <r>
    <x v="233"/>
    <x v="3"/>
    <x v="3"/>
    <x v="311"/>
    <s v="C00000004"/>
    <x v="3"/>
    <s v="RM CSM 450 Jushi 64m(L) X 1860mm(W) (67kg)"/>
    <n v="4"/>
    <n v="120"/>
    <n v="120"/>
    <d v="2022-12-13T00:00:00"/>
    <n v="12"/>
    <n v="2022"/>
    <n v="2358.4"/>
    <n v="-2358.4"/>
    <n v="0"/>
    <n v="1713480.7500000005"/>
    <s v="Chq"/>
    <s v="HLB014947Cleared21/11/22-RM16,536.70"/>
    <m/>
  </r>
  <r>
    <x v="233"/>
    <x v="3"/>
    <x v="3"/>
    <x v="311"/>
    <s v="C00000004"/>
    <x v="3"/>
    <s v="RA CSM 300 TWL 54Kg 96m(L) X 1860mm(W)"/>
    <n v="4"/>
    <n v="120"/>
    <n v="120"/>
    <d v="2022-12-13T00:00:00"/>
    <n v="12"/>
    <n v="2022"/>
    <n v="1900.8"/>
    <n v="-1900.8"/>
    <n v="0"/>
    <n v="1715381.5500000005"/>
    <s v="Chq"/>
    <s v="HLB014947Cleared21/11/22-RM16,536.70"/>
    <m/>
  </r>
  <r>
    <x v="233"/>
    <x v="3"/>
    <x v="3"/>
    <x v="311"/>
    <s v="C00000004"/>
    <x v="3"/>
    <s v="RJ Mepoxe (5kg)"/>
    <n v="4"/>
    <n v="120"/>
    <n v="120"/>
    <d v="2022-12-13T00:00:00"/>
    <n v="12"/>
    <n v="2022"/>
    <n v="360"/>
    <n v="-360"/>
    <n v="0"/>
    <n v="1715741.5500000005"/>
    <s v="Chq"/>
    <s v="HLB014947Cleared21/11/22-RM16,536.70"/>
    <m/>
  </r>
  <r>
    <x v="233"/>
    <x v="3"/>
    <x v="3"/>
    <x v="311"/>
    <s v="C00000004"/>
    <x v="3"/>
    <s v="RM Cobalt 10% (5Kg)"/>
    <n v="1"/>
    <n v="120"/>
    <n v="120"/>
    <d v="2022-12-13T00:00:00"/>
    <n v="12"/>
    <n v="2022"/>
    <n v="390"/>
    <n v="-390"/>
    <n v="0"/>
    <n v="1716131.5500000005"/>
    <s v="Chq"/>
    <s v="HLB014947Cleared21/11/22-RM16,536.70"/>
    <m/>
  </r>
  <r>
    <x v="233"/>
    <x v="3"/>
    <x v="3"/>
    <x v="312"/>
    <s v="C00000003"/>
    <x v="2"/>
    <s v="RA Resin 3317AW (220Kg)"/>
    <n v="3"/>
    <n v="45"/>
    <n v="45"/>
    <d v="2022-09-29T00:00:00"/>
    <n v="9"/>
    <n v="2022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x v="233"/>
    <x v="3"/>
    <x v="3"/>
    <x v="312"/>
    <s v="C00000003"/>
    <x v="2"/>
    <s v="RA Talcum Powder (25kg)"/>
    <n v="3"/>
    <n v="45"/>
    <n v="45"/>
    <d v="2022-09-29T00:00:00"/>
    <n v="9"/>
    <n v="2022"/>
    <n v="195"/>
    <n v="-195"/>
    <n v="0"/>
    <n v="1722662.5500000005"/>
    <s v="PD Chq"/>
    <s v="RHB 00461 11/10/22cleared-RM1,521.00(partial)"/>
    <m/>
  </r>
  <r>
    <x v="233"/>
    <x v="3"/>
    <x v="3"/>
    <x v="312"/>
    <s v="C00000003"/>
    <x v="2"/>
    <s v="RA Butanox M50 (5Kg)"/>
    <n v="6"/>
    <n v="45"/>
    <n v="45"/>
    <d v="2022-09-29T00:00:00"/>
    <n v="9"/>
    <n v="2022"/>
    <n v="630"/>
    <n v="-630"/>
    <n v="0"/>
    <n v="1723292.5500000005"/>
    <s v="PD Chq"/>
    <s v="RHB 00461 11/10/22cleared-RM1,521.00(partial)"/>
    <m/>
  </r>
  <r>
    <x v="233"/>
    <x v="3"/>
    <x v="3"/>
    <x v="312"/>
    <s v="C00000003"/>
    <x v="2"/>
    <s v="RA Miracle Gloss Wax"/>
    <n v="1"/>
    <n v="45"/>
    <n v="45"/>
    <d v="2022-09-29T00:00:00"/>
    <n v="9"/>
    <n v="2022"/>
    <n v="45"/>
    <n v="-45"/>
    <n v="0"/>
    <n v="1723337.5500000005"/>
    <s v="PD Chq"/>
    <s v="RHB 00461 11/10/22cleared-RM1,521.00(partial)"/>
    <m/>
  </r>
  <r>
    <x v="233"/>
    <x v="3"/>
    <x v="3"/>
    <x v="312"/>
    <s v="C00000003"/>
    <x v="2"/>
    <s v="RA CSM 300 TWL 54Kg 96m(L) X 1860mm(W)"/>
    <n v="1"/>
    <n v="45"/>
    <n v="45"/>
    <d v="2022-09-29T00:00:00"/>
    <n v="9"/>
    <n v="2022"/>
    <n v="315"/>
    <n v="-315"/>
    <n v="0"/>
    <n v="1723652.5500000005"/>
    <s v="PD Chq"/>
    <s v="RHB 00461 11/10/22cleared-RM1,521.00(partial)"/>
    <m/>
  </r>
  <r>
    <x v="234"/>
    <x v="3"/>
    <x v="3"/>
    <x v="313"/>
    <s v="C00000021"/>
    <x v="21"/>
    <s v="RM Resin 3317AW (220Kg)"/>
    <n v="1"/>
    <s v="Cash"/>
    <n v="0"/>
    <d v="2022-08-16T00:00:00"/>
    <n v="8"/>
    <n v="2022"/>
    <n v="2002"/>
    <n v="-2002"/>
    <n v="0"/>
    <n v="1725654.5500000005"/>
    <s v="PD Chq"/>
    <s v="Chq PBB 395370, cleared311022 RM3,459.00"/>
    <m/>
  </r>
  <r>
    <x v="234"/>
    <x v="3"/>
    <x v="3"/>
    <x v="313"/>
    <s v="C00000021"/>
    <x v="21"/>
    <s v="RA CSM 450 Jushi 64m(L) x 1040mm(W) (37Kg)"/>
    <n v="3"/>
    <s v="Cash"/>
    <n v="0"/>
    <d v="2022-08-16T00:00:00"/>
    <n v="8"/>
    <n v="2022"/>
    <n v="1054.5"/>
    <n v="-1054.5"/>
    <n v="0"/>
    <n v="1726709.0500000005"/>
    <s v="PD Chq"/>
    <s v="Chq PBB 395370, cleared311022 RM3,459.00"/>
    <m/>
  </r>
  <r>
    <x v="234"/>
    <x v="3"/>
    <x v="3"/>
    <x v="313"/>
    <s v="C00000021"/>
    <x v="21"/>
    <s v="RJ Mepoxe (5kg)"/>
    <n v="1"/>
    <s v="Cash"/>
    <n v="0"/>
    <d v="2022-08-16T00:00:00"/>
    <n v="8"/>
    <n v="2022"/>
    <n v="90"/>
    <n v="-90"/>
    <n v="0"/>
    <n v="1726799.0500000005"/>
    <s v="PD Chq"/>
    <s v="Chq PBB 395370, cleared311022 RM3,459.00"/>
    <m/>
  </r>
  <r>
    <x v="234"/>
    <x v="3"/>
    <x v="3"/>
    <x v="313"/>
    <s v="C00000021"/>
    <x v="21"/>
    <s v="RA Talcum Powder (25kg)"/>
    <n v="5"/>
    <s v="Cash"/>
    <n v="0"/>
    <d v="2022-08-16T00:00:00"/>
    <n v="8"/>
    <n v="2022"/>
    <n v="312.5"/>
    <n v="-312.5"/>
    <n v="0"/>
    <n v="1727111.5500000005"/>
    <s v="PD Chq"/>
    <s v="Chq PBB 395370, cleared311022 RM3,459.00"/>
    <m/>
  </r>
  <r>
    <x v="235"/>
    <x v="3"/>
    <x v="3"/>
    <x v="314"/>
    <s v="C00000027"/>
    <x v="28"/>
    <s v="RM Resin 3317AW (220Kg)"/>
    <n v="2"/>
    <s v="Cash"/>
    <n v="0"/>
    <d v="2022-08-23T00:00:00"/>
    <n v="8"/>
    <n v="2022"/>
    <n v="4004"/>
    <n v="-4004"/>
    <n v="0"/>
    <n v="1731115.5500000005"/>
    <s v="Trsf"/>
    <s v="Bank Islam 0159046 Cleared27/10/22, RM11,846.00"/>
    <m/>
  </r>
  <r>
    <x v="235"/>
    <x v="3"/>
    <x v="3"/>
    <x v="314"/>
    <s v="C00000027"/>
    <x v="28"/>
    <s v="RM Pigment Super White (5Kg)"/>
    <n v="4"/>
    <s v="Cash"/>
    <n v="0"/>
    <d v="2022-08-23T00:00:00"/>
    <n v="8"/>
    <n v="2022"/>
    <n v="640"/>
    <n v="-640"/>
    <n v="0"/>
    <n v="1731755.5500000005"/>
    <s v="Trsf"/>
    <s v="Bank Islam 0159046 Cleared27/10/22, RM11,846.00"/>
    <m/>
  </r>
  <r>
    <x v="235"/>
    <x v="3"/>
    <x v="3"/>
    <x v="314"/>
    <s v="C00000027"/>
    <x v="28"/>
    <s v="RJ Mepoxe (5kg)"/>
    <n v="2"/>
    <s v="Cash"/>
    <n v="0"/>
    <d v="2022-08-23T00:00:00"/>
    <n v="8"/>
    <n v="2022"/>
    <n v="180"/>
    <n v="-180"/>
    <n v="0"/>
    <n v="1731935.5500000005"/>
    <s v="Trsf"/>
    <s v="Bank Islam 0159046 Cleared27/10/22, RM11,846.00"/>
    <m/>
  </r>
  <r>
    <x v="235"/>
    <x v="3"/>
    <x v="3"/>
    <x v="314"/>
    <s v="C00000027"/>
    <x v="28"/>
    <s v="RM Gelcoat GPH (20kg)"/>
    <n v="4"/>
    <s v="Cash"/>
    <n v="0"/>
    <d v="2022-08-23T00:00:00"/>
    <n v="8"/>
    <n v="2022"/>
    <n v="1016"/>
    <n v="-1016"/>
    <n v="0"/>
    <n v="1732951.5500000005"/>
    <s v="Trsf"/>
    <s v="Bank Islam 0159046 Cleared27/10/22, RM11,846.00"/>
    <m/>
  </r>
  <r>
    <x v="235"/>
    <x v="3"/>
    <x v="3"/>
    <x v="315"/>
    <s v="C00000020"/>
    <x v="19"/>
    <s v="RM Nor 3338W (220Kg)"/>
    <n v="2"/>
    <s v="Cash"/>
    <n v="0"/>
    <d v="2022-08-23T00:00:00"/>
    <n v="8"/>
    <n v="2022"/>
    <n v="4092"/>
    <n v="-4092"/>
    <n v="0"/>
    <n v="1737043.5500000005"/>
    <s v="Trsf"/>
    <s v="Trsf 4/1/23 RM30,000.00"/>
    <m/>
  </r>
  <r>
    <x v="235"/>
    <x v="3"/>
    <x v="3"/>
    <x v="315"/>
    <s v="C00000020"/>
    <x v="19"/>
    <s v="RA CSM 450 Jushi 64m(L) x 1040mm(W) (37Kg)"/>
    <n v="5"/>
    <s v="Cash"/>
    <n v="0"/>
    <d v="2022-08-23T00:00:00"/>
    <n v="8"/>
    <n v="2022"/>
    <n v="1757.5"/>
    <n v="-1757.5"/>
    <n v="0"/>
    <n v="1738801.0500000005"/>
    <s v="Trsf"/>
    <s v="Trsf 4/1/23 RM30,000.00"/>
    <m/>
  </r>
  <r>
    <x v="235"/>
    <x v="3"/>
    <x v="3"/>
    <x v="315"/>
    <s v="C00000020"/>
    <x v="19"/>
    <s v="RJ Woven Roving E-600gm 1000mm (40Kg)"/>
    <n v="3"/>
    <s v="Cash"/>
    <n v="0"/>
    <d v="2022-08-23T00:00:00"/>
    <n v="8"/>
    <n v="2022"/>
    <n v="864"/>
    <n v="-864"/>
    <n v="0"/>
    <n v="1739665.0500000005"/>
    <s v="Trsf"/>
    <s v="Trsf 4/1/23 RM30,000.00"/>
    <m/>
  </r>
  <r>
    <x v="235"/>
    <x v="3"/>
    <x v="3"/>
    <x v="315"/>
    <s v="C00000020"/>
    <x v="19"/>
    <s v="RM Talcum Powder (25kg)"/>
    <n v="2"/>
    <s v="Cash"/>
    <n v="0"/>
    <d v="2022-08-23T00:00:00"/>
    <n v="8"/>
    <n v="2022"/>
    <n v="125"/>
    <n v="-125"/>
    <n v="0"/>
    <n v="1739790.0500000005"/>
    <s v="Trsf"/>
    <s v="Trsf 4/1/23 RM30,000.00"/>
    <m/>
  </r>
  <r>
    <x v="235"/>
    <x v="3"/>
    <x v="3"/>
    <x v="316"/>
    <s v="C00000009"/>
    <x v="8"/>
    <s v="RM Gelcoat GPH (20kg)"/>
    <n v="3"/>
    <n v="60"/>
    <n v="60"/>
    <d v="2022-10-22T00:00:00"/>
    <n v="10"/>
    <n v="2022"/>
    <n v="762"/>
    <n v="-762"/>
    <n v="0"/>
    <n v="1740552.0500000005"/>
    <s v="Chq"/>
    <s v="Chq HL 017917 dd 17/1/23"/>
    <m/>
  </r>
  <r>
    <x v="236"/>
    <x v="3"/>
    <x v="3"/>
    <x v="317"/>
    <s v="C00000010"/>
    <x v="9"/>
    <s v="RM Resin 3338AW (220kg)"/>
    <n v="6"/>
    <n v="120"/>
    <n v="120"/>
    <d v="2022-12-23T00:00:00"/>
    <n v="12"/>
    <n v="2022"/>
    <n v="11616"/>
    <n v="-11616"/>
    <n v="0"/>
    <n v="1752168.0500000005"/>
    <s v="Trsf"/>
    <s v="Trsf 25/11/22 RM15,671.00"/>
    <m/>
  </r>
  <r>
    <x v="236"/>
    <x v="3"/>
    <x v="3"/>
    <x v="317"/>
    <s v="C00000010"/>
    <x v="9"/>
    <s v="RA CSM 450 64m(L) 1040mm(W) (30Kg)"/>
    <n v="10"/>
    <n v="120"/>
    <n v="120"/>
    <d v="2022-12-23T00:00:00"/>
    <n v="12"/>
    <n v="2022"/>
    <n v="2670"/>
    <n v="-2670"/>
    <n v="0"/>
    <n v="1754838.0500000005"/>
    <s v="Trsf"/>
    <s v="Trsf 25/11/22 RM15,671.00"/>
    <m/>
  </r>
  <r>
    <x v="236"/>
    <x v="3"/>
    <x v="3"/>
    <x v="317"/>
    <s v="C00000010"/>
    <x v="9"/>
    <s v="RM Talcum Powder (25kg)"/>
    <n v="10"/>
    <n v="120"/>
    <n v="120"/>
    <d v="2022-12-23T00:00:00"/>
    <n v="12"/>
    <n v="2022"/>
    <n v="550"/>
    <n v="-550"/>
    <n v="0"/>
    <n v="1755388.0500000005"/>
    <s v="Trsf"/>
    <s v="Trsf 25/11/22 RM15,671.00"/>
    <m/>
  </r>
  <r>
    <x v="236"/>
    <x v="3"/>
    <x v="3"/>
    <x v="317"/>
    <s v="C00000010"/>
    <x v="9"/>
    <s v="RM Fume silica HJSIL 200(10Kg)"/>
    <n v="1"/>
    <n v="120"/>
    <n v="120"/>
    <d v="2022-12-23T00:00:00"/>
    <n v="12"/>
    <n v="2022"/>
    <n v="440"/>
    <n v="-440"/>
    <n v="0"/>
    <n v="1755828.0500000005"/>
    <s v="Trsf"/>
    <s v="Trsf 25/11/22 RM15,671.00"/>
    <m/>
  </r>
  <r>
    <x v="236"/>
    <x v="3"/>
    <x v="3"/>
    <x v="317"/>
    <s v="C00000010"/>
    <x v="9"/>
    <s v="RH Bosny Wax (15Kg)"/>
    <n v="1"/>
    <n v="120"/>
    <n v="120"/>
    <d v="2022-12-23T00:00:00"/>
    <n v="12"/>
    <n v="2022"/>
    <n v="395"/>
    <n v="-395"/>
    <n v="0"/>
    <n v="1756223.0500000005"/>
    <s v="Trsf"/>
    <s v="Trsf 25/11/22 RM15,671.00"/>
    <m/>
  </r>
  <r>
    <x v="236"/>
    <x v="3"/>
    <x v="3"/>
    <x v="318"/>
    <s v="C00000027"/>
    <x v="28"/>
    <s v="RM Resin 3317AW (220Kg)"/>
    <n v="3"/>
    <s v="Cash"/>
    <n v="0"/>
    <d v="2022-08-25T00:00:00"/>
    <n v="8"/>
    <n v="2022"/>
    <n v="6006"/>
    <n v="-6006"/>
    <n v="0"/>
    <n v="1762229.0500000005"/>
    <s v="Trsf"/>
    <s v="Bank Islam 0159046 Cleared27/10/22, RM11,846.00"/>
    <m/>
  </r>
  <r>
    <x v="236"/>
    <x v="3"/>
    <x v="3"/>
    <x v="319"/>
    <s v="C00000019"/>
    <x v="18"/>
    <s v="RM Nor 3338W (220Kg)"/>
    <n v="2"/>
    <s v="Cash"/>
    <n v="0"/>
    <d v="2022-08-25T00:00:00"/>
    <n v="8"/>
    <n v="2022"/>
    <n v="4092"/>
    <n v="-4092"/>
    <n v="0"/>
    <n v="1766321.0500000005"/>
    <s v="Trsf"/>
    <s v="Trsf 09/09/22 RM3,000.00, Trsf 23/09/22 RM1,000.00, Trsf 4/10/22 RM1,000.00(RM92.00partial)"/>
    <m/>
  </r>
  <r>
    <x v="236"/>
    <x v="3"/>
    <x v="3"/>
    <x v="319"/>
    <s v="C00000019"/>
    <x v="18"/>
    <s v="RM CSM 450 Jushi 64m(L) X 1860mm(W) (67kg)"/>
    <n v="2"/>
    <s v="Cash"/>
    <n v="0"/>
    <d v="2022-08-25T00:00:00"/>
    <n v="8"/>
    <n v="2022"/>
    <n v="1299.8"/>
    <n v="-1299.8"/>
    <n v="0"/>
    <n v="1767620.8500000006"/>
    <s v="Trsf"/>
    <s v="Trsf 4/10/22 RM1,000.00(RM908.00(partial), Trsf 7/10/22 RM1,136.80(RM391.80)"/>
    <m/>
  </r>
  <r>
    <x v="236"/>
    <x v="3"/>
    <x v="3"/>
    <x v="319"/>
    <s v="C00000019"/>
    <x v="18"/>
    <s v="RA Butanox M50 (5kg)"/>
    <n v="1"/>
    <s v="Cash"/>
    <n v="0"/>
    <d v="2022-08-25T00:00:00"/>
    <n v="8"/>
    <n v="2022"/>
    <n v="105"/>
    <n v="-105"/>
    <n v="0"/>
    <n v="1767725.8500000006"/>
    <s v="Trsf"/>
    <s v="Trsf 7/10/22 RM1,136.80(RM105.00)"/>
    <m/>
  </r>
  <r>
    <x v="236"/>
    <x v="3"/>
    <x v="3"/>
    <x v="319"/>
    <s v="C00000019"/>
    <x v="18"/>
    <s v="RE Frekote 770NC (1 Gallon)"/>
    <n v="1"/>
    <s v="Cash"/>
    <n v="0"/>
    <d v="2022-08-25T00:00:00"/>
    <n v="8"/>
    <n v="2022"/>
    <n v="390"/>
    <n v="-390"/>
    <n v="0"/>
    <n v="1768115.8500000006"/>
    <s v="Trsf"/>
    <s v="Trsf 7/10/22 RM1,136.80(RM390.00)"/>
    <m/>
  </r>
  <r>
    <x v="237"/>
    <x v="3"/>
    <x v="3"/>
    <x v="319"/>
    <s v="C00000019"/>
    <x v="18"/>
    <s v="RA Talcum Powder (25kg)"/>
    <n v="4"/>
    <s v="Cash"/>
    <n v="0"/>
    <d v="2022-08-26T00:00:00"/>
    <n v="8"/>
    <n v="2022"/>
    <n v="250"/>
    <n v="-250"/>
    <n v="0"/>
    <n v="1768365.8500000006"/>
    <s v="Trsf"/>
    <s v="Trsf 7/10/22 RM1,136.80(RM250.00)"/>
    <m/>
  </r>
  <r>
    <x v="238"/>
    <x v="4"/>
    <x v="3"/>
    <x v="320"/>
    <s v="C00000020"/>
    <x v="19"/>
    <s v="RM Nor 3338W (220Kg)"/>
    <n v="3"/>
    <s v="Cash"/>
    <n v="0"/>
    <d v="2022-09-02T00:00:00"/>
    <n v="9"/>
    <n v="2022"/>
    <n v="5742"/>
    <n v="-5742"/>
    <n v="0"/>
    <n v="1774107.8500000006"/>
    <s v="Trsf"/>
    <s v="Trsf 4/1/23 RM30,000.00"/>
    <m/>
  </r>
  <r>
    <x v="238"/>
    <x v="4"/>
    <x v="3"/>
    <x v="320"/>
    <s v="C00000020"/>
    <x v="19"/>
    <s v="RM CSM 450 Jushi 64m(L) X 1860mm(W) (67kg)"/>
    <n v="4"/>
    <s v="Cash"/>
    <n v="0"/>
    <d v="2022-09-02T00:00:00"/>
    <n v="9"/>
    <n v="2022"/>
    <n v="2358.4"/>
    <n v="-2358.4"/>
    <n v="0"/>
    <n v="1776466.2500000005"/>
    <s v="Trsf"/>
    <s v="Trsf 4/1/23 RM30,000.00"/>
    <m/>
  </r>
  <r>
    <x v="238"/>
    <x v="4"/>
    <x v="3"/>
    <x v="320"/>
    <s v="C00000020"/>
    <x v="19"/>
    <s v="RJ Woven Roving E-600gm 1000mm (40Kg)"/>
    <n v="4"/>
    <s v="Cash"/>
    <n v="0"/>
    <d v="2022-09-02T00:00:00"/>
    <n v="9"/>
    <n v="2022"/>
    <n v="1056"/>
    <n v="-1056"/>
    <n v="0"/>
    <n v="1777522.2500000005"/>
    <s v="Trsf"/>
    <s v="Trsf 4/1/22 RM30,000.00(RM525.30partial), Trsf 5/1/23 RM5,000.00(RM530.70partial)"/>
    <m/>
  </r>
  <r>
    <x v="238"/>
    <x v="4"/>
    <x v="3"/>
    <x v="320"/>
    <s v="C00000020"/>
    <x v="19"/>
    <s v="RA Talcum Powder (25kg)"/>
    <n v="3"/>
    <s v="Cash"/>
    <n v="0"/>
    <d v="2022-09-02T00:00:00"/>
    <n v="9"/>
    <n v="2022"/>
    <n v="187.5"/>
    <n v="-187.5"/>
    <n v="0"/>
    <n v="1777709.7500000005"/>
    <s v="Trsf"/>
    <s v="Trsf 5/1/23 RM5,000.00"/>
    <m/>
  </r>
  <r>
    <x v="239"/>
    <x v="4"/>
    <x v="3"/>
    <x v="321"/>
    <s v="C00000009"/>
    <x v="8"/>
    <s v="RM Nor 3338W (220Kg)"/>
    <n v="2"/>
    <n v="60"/>
    <n v="60"/>
    <d v="2022-11-04T00:00:00"/>
    <n v="11"/>
    <n v="2022"/>
    <n v="3784"/>
    <n v="-3784"/>
    <n v="0"/>
    <n v="1781493.7500000005"/>
    <s v="Chq"/>
    <s v="Chq HL 017917 dd 17/1/23"/>
    <m/>
  </r>
  <r>
    <x v="240"/>
    <x v="4"/>
    <x v="3"/>
    <x v="322"/>
    <s v="C00000020"/>
    <x v="19"/>
    <s v="RM Resin 3317AW (220Kg)"/>
    <n v="3"/>
    <s v="Cash"/>
    <n v="0"/>
    <d v="2022-09-06T00:00:00"/>
    <n v="9"/>
    <n v="2022"/>
    <n v="5742"/>
    <n v="-5742"/>
    <n v="0"/>
    <n v="1787235.7500000005"/>
    <s v="Trsf"/>
    <s v="Trsf 5/1/23 RM5,000.00(RM4,281.80), Trsf 6/1/23 RM5,000.00(RM1,460.20partial)"/>
    <m/>
  </r>
  <r>
    <x v="240"/>
    <x v="4"/>
    <x v="3"/>
    <x v="322"/>
    <s v="C00000020"/>
    <x v="19"/>
    <s v="RM CSM 450 Jushi 64m(L) X 1860mm(W) (67kg)"/>
    <n v="6"/>
    <s v="Cash"/>
    <n v="0"/>
    <d v="2022-09-06T00:00:00"/>
    <n v="9"/>
    <n v="2022"/>
    <n v="3537.6000000000004"/>
    <n v="-3537.6000000000004"/>
    <n v="0"/>
    <n v="1790773.3500000006"/>
    <s v="Trsf"/>
    <s v="Trsf 6/1/23 RM5,000.00"/>
    <m/>
  </r>
  <r>
    <x v="240"/>
    <x v="4"/>
    <x v="3"/>
    <x v="322"/>
    <s v="C00000020"/>
    <x v="19"/>
    <s v="RJ Woven Roving E-600gm 1000mm (40Kg)"/>
    <n v="6"/>
    <s v="Cash"/>
    <n v="0"/>
    <d v="2022-09-06T00:00:00"/>
    <n v="9"/>
    <n v="2022"/>
    <n v="1584"/>
    <n v="-1584"/>
    <n v="0"/>
    <n v="1792357.3500000006"/>
    <s v="Trsf"/>
    <s v="Trsf 6/1/23 RM5,000.00(RM2.20partial), Trsf 6/1/23 RM10,000.00(RM1,581.80)"/>
    <m/>
  </r>
  <r>
    <x v="240"/>
    <x v="4"/>
    <x v="3"/>
    <x v="322"/>
    <s v="C00000020"/>
    <x v="19"/>
    <s v="RA Talcum Powder (25kg)"/>
    <n v="4"/>
    <s v="Cash"/>
    <n v="0"/>
    <d v="2022-09-06T00:00:00"/>
    <n v="9"/>
    <n v="2022"/>
    <n v="250"/>
    <n v="-250"/>
    <n v="0"/>
    <n v="1792607.3500000006"/>
    <s v="Trsf"/>
    <s v="Trsf 6/1/23 RM10,000.00"/>
    <m/>
  </r>
  <r>
    <x v="240"/>
    <x v="4"/>
    <x v="3"/>
    <x v="322"/>
    <s v="C00000020"/>
    <x v="19"/>
    <s v="RJ Mepoxe (5kg)"/>
    <n v="4"/>
    <s v="Cash"/>
    <n v="0"/>
    <d v="2022-09-06T00:00:00"/>
    <n v="9"/>
    <n v="2022"/>
    <n v="340"/>
    <n v="-340"/>
    <n v="0"/>
    <n v="1792947.3500000006"/>
    <s v="Trsf"/>
    <s v="Trsf 6/1/23 RM10,000.00"/>
    <m/>
  </r>
  <r>
    <x v="241"/>
    <x v="4"/>
    <x v="3"/>
    <x v="323"/>
    <s v="C00000029"/>
    <x v="30"/>
    <s v="RJ Mepoxe (5kg)"/>
    <n v="4"/>
    <s v="Cash"/>
    <n v="0"/>
    <d v="2022-09-09T00:00:00"/>
    <n v="9"/>
    <n v="2022"/>
    <n v="340"/>
    <n v="-340"/>
    <n v="0"/>
    <n v="1793287.3500000006"/>
    <s v="Trsf"/>
    <s v="Trsf 10/09/22 RM2,452.00"/>
    <m/>
  </r>
  <r>
    <x v="241"/>
    <x v="4"/>
    <x v="3"/>
    <x v="323"/>
    <s v="C00000029"/>
    <x v="30"/>
    <s v="RA CSM 450 64m(L) 1040mm(W) (30Kg)"/>
    <n v="8"/>
    <s v="Cash"/>
    <n v="0"/>
    <d v="2022-09-09T00:00:00"/>
    <n v="9"/>
    <n v="2022"/>
    <n v="2112"/>
    <n v="-2112"/>
    <n v="0"/>
    <n v="1795399.3500000006"/>
    <s v="Trsf"/>
    <s v="Trsf 10/09/22 RM2,452.00"/>
    <m/>
  </r>
  <r>
    <x v="241"/>
    <x v="4"/>
    <x v="3"/>
    <x v="324"/>
    <s v="C00000020"/>
    <x v="19"/>
    <s v="RM Resin 3317AW (220Kg)"/>
    <n v="1"/>
    <s v="Cash"/>
    <n v="0"/>
    <d v="2022-09-09T00:00:00"/>
    <n v="9"/>
    <n v="2022"/>
    <n v="1914"/>
    <n v="-1914"/>
    <n v="0"/>
    <n v="1797313.3500000006"/>
    <s v="Trsf"/>
    <s v="Trsf 6/1/23 RM10,000.00"/>
    <m/>
  </r>
  <r>
    <x v="241"/>
    <x v="4"/>
    <x v="3"/>
    <x v="325"/>
    <s v="C00000021"/>
    <x v="21"/>
    <s v="RM Resin 3317AW (220Kg)"/>
    <n v="1"/>
    <s v="Cash"/>
    <n v="0"/>
    <d v="2022-09-09T00:00:00"/>
    <n v="9"/>
    <n v="2022"/>
    <n v="1936"/>
    <n v="-1936"/>
    <n v="0"/>
    <n v="1799249.3500000006"/>
    <s v="PD Chq"/>
    <s v="Chq PBB 395371, cleared161122 RM2,251.00"/>
    <m/>
  </r>
  <r>
    <x v="241"/>
    <x v="4"/>
    <x v="3"/>
    <x v="325"/>
    <s v="C00000021"/>
    <x v="21"/>
    <s v="RJ Mepoxe (5kg)"/>
    <n v="1"/>
    <s v="Cash"/>
    <n v="0"/>
    <d v="2022-09-09T00:00:00"/>
    <n v="9"/>
    <n v="2022"/>
    <n v="90"/>
    <n v="-90"/>
    <n v="0"/>
    <n v="1799339.3500000006"/>
    <s v="PD Chq"/>
    <s v="Chq PBB 395371, cleared161122 RM2,251.00"/>
    <m/>
  </r>
  <r>
    <x v="241"/>
    <x v="4"/>
    <x v="3"/>
    <x v="325"/>
    <s v="C00000021"/>
    <x v="21"/>
    <s v="RA Sand Wheel 105 X 2 X 16 (30PC)"/>
    <n v="1"/>
    <s v="Cash"/>
    <n v="0"/>
    <d v="2022-09-09T00:00:00"/>
    <n v="9"/>
    <n v="2022"/>
    <n v="225"/>
    <n v="-225"/>
    <n v="0"/>
    <n v="1799564.3500000006"/>
    <s v="PD Chq"/>
    <s v="Chq PBB 395371, cleared161122 RM2,251.00"/>
    <m/>
  </r>
  <r>
    <x v="242"/>
    <x v="4"/>
    <x v="3"/>
    <x v="326"/>
    <s v="C00000020"/>
    <x v="19"/>
    <s v="RM Nor 3338W (220Kg)"/>
    <n v="4"/>
    <s v="Cash"/>
    <n v="0"/>
    <d v="2022-09-13T00:00:00"/>
    <n v="9"/>
    <n v="2022"/>
    <n v="7392"/>
    <n v="-7392"/>
    <n v="0"/>
    <n v="1806956.3500000006"/>
    <s v="Trsf"/>
    <s v="Trsf 6/1/23 RM10,000.00(RM5,914.20), Trsf 20/1/23 RM20,000.00(RM1,477.80)"/>
    <m/>
  </r>
  <r>
    <x v="242"/>
    <x v="4"/>
    <x v="3"/>
    <x v="326"/>
    <s v="C00000020"/>
    <x v="19"/>
    <s v="RM CSM 450 Jushi 64m(L) X 1860mm(W) (67kg)"/>
    <n v="5"/>
    <s v="Cash"/>
    <n v="0"/>
    <d v="2022-09-13T00:00:00"/>
    <n v="9"/>
    <n v="2022"/>
    <n v="2881"/>
    <n v="-2881"/>
    <n v="0"/>
    <n v="1809837.3500000006"/>
    <s v="Trsf"/>
    <s v="Trsf 20/1/23 RM20,000.00"/>
    <m/>
  </r>
  <r>
    <x v="242"/>
    <x v="4"/>
    <x v="3"/>
    <x v="326"/>
    <s v="C00000020"/>
    <x v="19"/>
    <s v="RJ Woven Roving E-600gm 1000mm (40Kg)"/>
    <n v="5"/>
    <s v="Cash"/>
    <n v="0"/>
    <d v="2022-09-13T00:00:00"/>
    <n v="9"/>
    <n v="2022"/>
    <n v="1300"/>
    <n v="-1300"/>
    <n v="0"/>
    <n v="1811137.3500000006"/>
    <s v="Trsf"/>
    <s v="Trsf 20/1/23 RM20,000.00"/>
    <m/>
  </r>
  <r>
    <x v="242"/>
    <x v="4"/>
    <x v="3"/>
    <x v="326"/>
    <s v="C00000020"/>
    <x v="19"/>
    <s v="RA Talcum Powder (25kg)"/>
    <n v="4"/>
    <s v="Cash"/>
    <n v="0"/>
    <d v="2022-09-13T00:00:00"/>
    <n v="9"/>
    <n v="2022"/>
    <n v="250"/>
    <n v="-250"/>
    <n v="0"/>
    <n v="1811387.3500000006"/>
    <s v="Trsf"/>
    <s v="Trsf 20/1/23 RM20,000.00"/>
    <m/>
  </r>
  <r>
    <x v="242"/>
    <x v="4"/>
    <x v="3"/>
    <x v="326"/>
    <s v="C00000020"/>
    <x v="19"/>
    <s v="RJ Mepoxe (5kg)"/>
    <n v="4"/>
    <s v="Cash"/>
    <n v="0"/>
    <d v="2022-09-13T00:00:00"/>
    <n v="9"/>
    <n v="2022"/>
    <n v="340"/>
    <n v="-340"/>
    <n v="0"/>
    <n v="1811727.3500000006"/>
    <s v="Trsf"/>
    <s v="Trsf 20/1/23 RM20,000.00"/>
    <m/>
  </r>
  <r>
    <x v="242"/>
    <x v="4"/>
    <x v="3"/>
    <x v="326"/>
    <s v="C00000020"/>
    <x v="19"/>
    <s v="RM Pigment Smooth Cream (25kg)"/>
    <n v="1"/>
    <s v="Cash"/>
    <n v="0"/>
    <d v="2022-09-13T00:00:00"/>
    <n v="9"/>
    <n v="2022"/>
    <n v="1000"/>
    <n v="-1000"/>
    <n v="0"/>
    <n v="1812727.3500000006"/>
    <s v="Trsf"/>
    <s v="Trsf 20/1/23 RM20,000.00"/>
    <m/>
  </r>
  <r>
    <x v="242"/>
    <x v="4"/>
    <x v="3"/>
    <x v="327"/>
    <s v="C00000020"/>
    <x v="19"/>
    <s v="RM Nor 3338W (220Kg)"/>
    <n v="4"/>
    <s v="Cash"/>
    <n v="0"/>
    <d v="2022-09-13T00:00:00"/>
    <n v="9"/>
    <n v="2022"/>
    <n v="7392"/>
    <n v="-7392"/>
    <n v="0"/>
    <n v="1820119.3500000006"/>
    <s v="Trsf"/>
    <s v="Trsf 20/1/23 RM20,000.00"/>
    <m/>
  </r>
  <r>
    <x v="242"/>
    <x v="4"/>
    <x v="3"/>
    <x v="327"/>
    <s v="C00000020"/>
    <x v="19"/>
    <s v="RM CSM 450 Jushi 64m(L) X 1860mm(W) (67kg)"/>
    <n v="5"/>
    <s v="Cash"/>
    <n v="0"/>
    <d v="2022-09-13T00:00:00"/>
    <n v="9"/>
    <n v="2022"/>
    <n v="2881"/>
    <n v="-2881"/>
    <n v="0"/>
    <n v="1823000.3500000006"/>
    <s v="Trsf"/>
    <s v="Trsf 20/1/23 RM20,000.00"/>
    <m/>
  </r>
  <r>
    <x v="242"/>
    <x v="4"/>
    <x v="3"/>
    <x v="327"/>
    <s v="C00000020"/>
    <x v="19"/>
    <s v="RJ Woven Roving E-600gm 1000mm (40Kg)"/>
    <n v="5"/>
    <s v="Cash"/>
    <n v="0"/>
    <d v="2022-09-13T00:00:00"/>
    <n v="9"/>
    <n v="2022"/>
    <n v="1300"/>
    <n v="-1300"/>
    <n v="0"/>
    <n v="1824300.3500000006"/>
    <s v="Trsf"/>
    <s v="Trsf 20/1/23 RM20,000.00"/>
    <m/>
  </r>
  <r>
    <x v="242"/>
    <x v="4"/>
    <x v="3"/>
    <x v="327"/>
    <s v="C00000020"/>
    <x v="19"/>
    <s v="RA Talcum Powder (25kg)"/>
    <n v="4"/>
    <s v="Cash"/>
    <n v="0"/>
    <d v="2022-09-13T00:00:00"/>
    <n v="9"/>
    <n v="2022"/>
    <n v="250"/>
    <n v="-250"/>
    <n v="0"/>
    <n v="1824550.3500000006"/>
    <s v="Trsf"/>
    <s v="Trsf 20/1/23 RM20,000.00"/>
    <m/>
  </r>
  <r>
    <x v="243"/>
    <x v="4"/>
    <x v="3"/>
    <x v="328"/>
    <s v="C00000001"/>
    <x v="0"/>
    <s v="RM Vinyl Ester Resin (20Kg)"/>
    <n v="4"/>
    <s v="Cash"/>
    <n v="0"/>
    <d v="2022-09-14T00:00:00"/>
    <n v="9"/>
    <n v="2022"/>
    <n v="1840"/>
    <n v="-1840"/>
    <n v="0"/>
    <n v="1826390.3500000006"/>
    <s v="Trsf"/>
    <s v="Trsf 3/10/22 RM1,840.00"/>
    <m/>
  </r>
  <r>
    <x v="244"/>
    <x v="4"/>
    <x v="3"/>
    <x v="329"/>
    <s v="C00000021"/>
    <x v="21"/>
    <s v="RM Resin 3317AW (220Kg)"/>
    <n v="1"/>
    <s v="Cash"/>
    <n v="0"/>
    <d v="2022-09-15T00:00:00"/>
    <n v="9"/>
    <n v="2022"/>
    <n v="1936"/>
    <n v="-1936"/>
    <n v="0"/>
    <n v="1828326.3500000006"/>
    <s v="PD Chq"/>
    <s v="Chq PBB 395372, cleared121222 RM3,655.70"/>
    <m/>
  </r>
  <r>
    <x v="244"/>
    <x v="4"/>
    <x v="3"/>
    <x v="329"/>
    <s v="C00000021"/>
    <x v="21"/>
    <s v="RA CSM 450 Jushi 64m(L) x 1040mm(W) (37Kg)"/>
    <n v="4"/>
    <s v="Cash"/>
    <n v="0"/>
    <d v="2022-09-15T00:00:00"/>
    <n v="9"/>
    <n v="2022"/>
    <n v="1317.2"/>
    <n v="-1317.2"/>
    <n v="0"/>
    <n v="1829643.5500000005"/>
    <s v="PD Chq"/>
    <s v="Chq PBB 395372, cleared121222 RM3,655.70"/>
    <m/>
  </r>
  <r>
    <x v="244"/>
    <x v="4"/>
    <x v="3"/>
    <x v="329"/>
    <s v="C00000021"/>
    <x v="21"/>
    <s v="RJ Mepoxe (5kg)"/>
    <n v="1"/>
    <s v="Cash"/>
    <n v="0"/>
    <d v="2022-09-15T00:00:00"/>
    <n v="9"/>
    <n v="2022"/>
    <n v="90"/>
    <n v="-90"/>
    <n v="0"/>
    <n v="1829733.5500000005"/>
    <s v="PD Chq"/>
    <s v="Chq PBB 395372, cleared121222 RM3,655.70"/>
    <m/>
  </r>
  <r>
    <x v="244"/>
    <x v="4"/>
    <x v="3"/>
    <x v="329"/>
    <s v="C00000021"/>
    <x v="21"/>
    <s v="RA Talcum Powder (25kg)"/>
    <n v="5"/>
    <s v="Cash"/>
    <n v="0"/>
    <d v="2022-09-15T00:00:00"/>
    <n v="9"/>
    <n v="2022"/>
    <n v="312.5"/>
    <n v="-312.5"/>
    <n v="0"/>
    <n v="1830046.0500000005"/>
    <s v="PD Chq"/>
    <s v="Chq PBB 395372, cleared121222 RM3,655.70"/>
    <m/>
  </r>
  <r>
    <x v="245"/>
    <x v="4"/>
    <x v="3"/>
    <x v="330"/>
    <s v="C00000019"/>
    <x v="18"/>
    <s v="RM Nor 3338W (220Kg)"/>
    <n v="1"/>
    <s v="Cash"/>
    <n v="0"/>
    <d v="2022-09-23T00:00:00"/>
    <n v="9"/>
    <n v="2022"/>
    <n v="1936"/>
    <n v="-1936"/>
    <n v="0"/>
    <n v="1831982.0500000005"/>
    <s v="Trsf"/>
    <s v="Trsf 2/11/22 RM3,546.10"/>
    <m/>
  </r>
  <r>
    <x v="245"/>
    <x v="4"/>
    <x v="3"/>
    <x v="330"/>
    <s v="C00000019"/>
    <x v="18"/>
    <s v="RM CSM 450 Jushi 64m(L) X 1860mm(W) (67kg)"/>
    <n v="2"/>
    <s v="Cash"/>
    <n v="0"/>
    <d v="2022-09-23T00:00:00"/>
    <n v="9"/>
    <n v="2022"/>
    <n v="1192.5999999999999"/>
    <n v="-1192.5999999999999"/>
    <n v="0"/>
    <n v="1833174.6500000006"/>
    <s v="Trsf"/>
    <s v="Trsf 2/11/22 RM3,546.10"/>
    <m/>
  </r>
  <r>
    <x v="245"/>
    <x v="4"/>
    <x v="3"/>
    <x v="330"/>
    <s v="C00000019"/>
    <x v="18"/>
    <s v="RA Butanox M50 (5kg)"/>
    <n v="1"/>
    <s v="Cash"/>
    <n v="0"/>
    <d v="2022-09-23T00:00:00"/>
    <n v="9"/>
    <n v="2022"/>
    <n v="105"/>
    <n v="-105"/>
    <n v="0"/>
    <n v="1833279.6500000006"/>
    <s v="Trsf"/>
    <s v="Trsf 2/11/22 RM3,546.10"/>
    <m/>
  </r>
  <r>
    <x v="245"/>
    <x v="4"/>
    <x v="3"/>
    <x v="330"/>
    <s v="C00000019"/>
    <x v="18"/>
    <s v="RA Talcum Powder (25kg)"/>
    <n v="5"/>
    <s v="Cash"/>
    <n v="0"/>
    <d v="2022-09-23T00:00:00"/>
    <n v="9"/>
    <n v="2022"/>
    <n v="312.5"/>
    <n v="-312.5"/>
    <n v="0"/>
    <n v="1833592.1500000006"/>
    <s v="Trsf"/>
    <s v="Trsf 2/11/22 RM3,546.10"/>
    <m/>
  </r>
  <r>
    <x v="246"/>
    <x v="4"/>
    <x v="3"/>
    <x v="331"/>
    <s v="C00000010"/>
    <x v="9"/>
    <s v="RA Resin 3338AW (220kg)"/>
    <n v="5"/>
    <n v="120"/>
    <n v="120"/>
    <d v="2023-01-22T00:00:00"/>
    <n v="1"/>
    <n v="2023"/>
    <n v="9130"/>
    <n v="-9130"/>
    <n v="0"/>
    <n v="1842722.1500000006"/>
    <s v="Trsf"/>
    <s v="Trsf 23/12/22, RM11,757.50"/>
    <m/>
  </r>
  <r>
    <x v="246"/>
    <x v="4"/>
    <x v="3"/>
    <x v="331"/>
    <s v="C00000010"/>
    <x v="9"/>
    <s v="RA CSM 450 64m(L) 1040mm(W) (30Kg)"/>
    <n v="5"/>
    <n v="120"/>
    <n v="120"/>
    <d v="2023-01-22T00:00:00"/>
    <n v="1"/>
    <n v="2023"/>
    <n v="1260"/>
    <n v="-1260"/>
    <n v="0"/>
    <n v="1843982.1500000006"/>
    <s v="Trsf"/>
    <s v="Trsf 23/12/22, RM11,757.50"/>
    <m/>
  </r>
  <r>
    <x v="246"/>
    <x v="4"/>
    <x v="3"/>
    <x v="331"/>
    <s v="C00000010"/>
    <x v="9"/>
    <s v="RA Talcum Powder (25kg)"/>
    <n v="5"/>
    <n v="120"/>
    <n v="120"/>
    <d v="2023-01-22T00:00:00"/>
    <n v="1"/>
    <n v="2023"/>
    <n v="287.5"/>
    <n v="-287.5"/>
    <n v="0"/>
    <n v="1844269.6500000006"/>
    <s v="Trsf"/>
    <s v="Trsf 23/12/22, RM11,757.50"/>
    <m/>
  </r>
  <r>
    <x v="246"/>
    <x v="4"/>
    <x v="3"/>
    <x v="331"/>
    <s v="C00000010"/>
    <x v="9"/>
    <s v="RM Fume Silica HJSIL 200(10Kg)"/>
    <n v="1"/>
    <n v="120"/>
    <n v="120"/>
    <d v="2023-01-22T00:00:00"/>
    <n v="1"/>
    <n v="2023"/>
    <n v="440"/>
    <n v="-440"/>
    <n v="0"/>
    <n v="1844709.6500000006"/>
    <s v="Trsf"/>
    <s v="Trsf 23/12/22, RM11,757.50"/>
    <m/>
  </r>
  <r>
    <x v="246"/>
    <x v="4"/>
    <x v="3"/>
    <x v="331"/>
    <s v="C00000010"/>
    <x v="9"/>
    <s v="RM Butanox M50 (5kg)"/>
    <n v="4"/>
    <n v="120"/>
    <n v="120"/>
    <d v="2023-01-22T00:00:00"/>
    <n v="1"/>
    <n v="2023"/>
    <n v="420"/>
    <n v="-420"/>
    <n v="0"/>
    <n v="1845129.6500000006"/>
    <s v="Trsf"/>
    <s v="Trsf 23/12/22, RM11,757.50"/>
    <m/>
  </r>
  <r>
    <x v="246"/>
    <x v="4"/>
    <x v="3"/>
    <x v="331"/>
    <s v="C00000010"/>
    <x v="9"/>
    <s v="RD Brush 3&quot; (12Pc)"/>
    <n v="4"/>
    <n v="120"/>
    <n v="120"/>
    <d v="2023-01-22T00:00:00"/>
    <n v="1"/>
    <n v="2023"/>
    <n v="220"/>
    <n v="-220"/>
    <n v="0"/>
    <n v="1845349.6500000006"/>
    <s v="Trsf"/>
    <s v="Trsf 23/12/22, RM11,757.50"/>
    <m/>
  </r>
  <r>
    <x v="247"/>
    <x v="4"/>
    <x v="3"/>
    <x v="332"/>
    <s v="C00000021"/>
    <x v="21"/>
    <s v="RA Resin 3317AW (220Kg)"/>
    <n v="1"/>
    <s v="Cash"/>
    <n v="0"/>
    <d v="2022-09-26T00:00:00"/>
    <n v="9"/>
    <n v="2022"/>
    <n v="1936"/>
    <n v="-1936"/>
    <n v="0"/>
    <n v="1847285.6500000006"/>
    <s v="PD Chq"/>
    <s v="Chq PBB 395373, cleared301222 RM3,595.60"/>
    <m/>
  </r>
  <r>
    <x v="247"/>
    <x v="4"/>
    <x v="3"/>
    <x v="332"/>
    <s v="C00000021"/>
    <x v="21"/>
    <s v="RA CSM 450 Jushi 64m(L) x 1040mm(W) (37Kg)"/>
    <n v="2"/>
    <s v="Cash"/>
    <n v="0"/>
    <d v="2022-09-26T00:00:00"/>
    <n v="9"/>
    <n v="2022"/>
    <n v="658.6"/>
    <n v="-658.6"/>
    <n v="0"/>
    <n v="1847944.2500000007"/>
    <s v="PD Chq"/>
    <s v="Chq PBB 395373, cleared301222 RM3,595.60"/>
    <m/>
  </r>
  <r>
    <x v="247"/>
    <x v="4"/>
    <x v="3"/>
    <x v="332"/>
    <s v="C00000021"/>
    <x v="21"/>
    <s v="RJ Butonox M50 (5kg)"/>
    <n v="1"/>
    <s v="Cash"/>
    <n v="0"/>
    <d v="2022-09-26T00:00:00"/>
    <n v="9"/>
    <n v="2022"/>
    <n v="100"/>
    <n v="-100"/>
    <n v="0"/>
    <n v="1848044.2500000007"/>
    <s v="PD Chq"/>
    <s v="Chq PBB 395373, cleared301222 RM3,595.60"/>
    <m/>
  </r>
  <r>
    <x v="247"/>
    <x v="4"/>
    <x v="3"/>
    <x v="332"/>
    <s v="C00000021"/>
    <x v="21"/>
    <s v="RA Talcum Powder (25kg)"/>
    <n v="10"/>
    <s v="Cash"/>
    <n v="0"/>
    <d v="2022-09-26T00:00:00"/>
    <n v="9"/>
    <n v="2022"/>
    <n v="625"/>
    <n v="-625"/>
    <n v="0"/>
    <n v="1848669.2500000007"/>
    <s v="PD Chq"/>
    <s v="Chq PBB 395373, cleared301222 RM3,595.60"/>
    <m/>
  </r>
  <r>
    <x v="247"/>
    <x v="4"/>
    <x v="3"/>
    <x v="332"/>
    <s v="C00000021"/>
    <x v="21"/>
    <s v="RM TR104 Hi Temp Wax"/>
    <n v="6"/>
    <s v="Cash"/>
    <n v="0"/>
    <d v="2022-09-26T00:00:00"/>
    <n v="9"/>
    <n v="2022"/>
    <n v="276"/>
    <n v="-276"/>
    <n v="0"/>
    <n v="1848945.2500000007"/>
    <s v="PD Chq"/>
    <s v="Chq PBB 395373, cleared301222 RM3,595.60"/>
    <m/>
  </r>
  <r>
    <x v="247"/>
    <x v="4"/>
    <x v="3"/>
    <x v="333"/>
    <s v="C00000022"/>
    <x v="23"/>
    <s v="RA Nor 3338W (220Kg)"/>
    <n v="1"/>
    <s v="Cash"/>
    <n v="0"/>
    <d v="2022-09-26T00:00:00"/>
    <n v="9"/>
    <n v="2022"/>
    <n v="2024"/>
    <n v="-2024"/>
    <n v="0"/>
    <n v="1850969.2500000007"/>
    <s v="Trsf"/>
    <s v="Trsf 29/9/22 RM5,350.70"/>
    <m/>
  </r>
  <r>
    <x v="247"/>
    <x v="4"/>
    <x v="3"/>
    <x v="333"/>
    <s v="C00000022"/>
    <x v="23"/>
    <s v="RM CSM 450 Jushi 64m(L) X 1860mm(W) (67kg)"/>
    <n v="1"/>
    <s v="Cash"/>
    <n v="0"/>
    <d v="2022-09-26T00:00:00"/>
    <n v="9"/>
    <n v="2022"/>
    <n v="629.79999999999995"/>
    <n v="-629.79999999999995"/>
    <n v="0"/>
    <n v="1851599.0500000007"/>
    <s v="Trsf"/>
    <s v="Trsf 29/9/22 RM5,350.70"/>
    <m/>
  </r>
  <r>
    <x v="247"/>
    <x v="4"/>
    <x v="3"/>
    <x v="333"/>
    <s v="C00000022"/>
    <x v="23"/>
    <s v="RJ Woven Roving E-600 (42kg) 1120mm"/>
    <n v="1"/>
    <s v="Cash"/>
    <n v="0"/>
    <d v="2022-09-26T00:00:00"/>
    <n v="9"/>
    <n v="2022"/>
    <n v="315"/>
    <n v="-315"/>
    <n v="0"/>
    <n v="1851914.0500000007"/>
    <s v="Trsf"/>
    <s v="Trsf 29/9/22 RM5,350.70"/>
    <m/>
  </r>
  <r>
    <x v="247"/>
    <x v="4"/>
    <x v="3"/>
    <x v="334"/>
    <s v="C00000022"/>
    <x v="23"/>
    <s v="RJ Butonox M50 (5kg)"/>
    <n v="1"/>
    <s v="Cash"/>
    <n v="0"/>
    <d v="2022-09-26T00:00:00"/>
    <n v="9"/>
    <n v="2022"/>
    <n v="105"/>
    <n v="-105"/>
    <n v="0"/>
    <n v="1852019.0500000007"/>
    <s v="Trsf"/>
    <s v="Trsf 29/9/22 RM5,350.70"/>
    <m/>
  </r>
  <r>
    <x v="247"/>
    <x v="4"/>
    <x v="3"/>
    <x v="334"/>
    <s v="C00000022"/>
    <x v="23"/>
    <s v="RA CSM 300 (30Kg) 64m(L) x 1040mm(W)"/>
    <n v="1"/>
    <s v="Cash"/>
    <n v="0"/>
    <d v="2022-09-26T00:00:00"/>
    <n v="9"/>
    <n v="2022"/>
    <n v="285"/>
    <n v="-285"/>
    <n v="0"/>
    <n v="1852304.0500000007"/>
    <s v="Trsf"/>
    <s v="Trsf 29/9/22 RM5,350.70"/>
    <m/>
  </r>
  <r>
    <x v="247"/>
    <x v="4"/>
    <x v="3"/>
    <x v="334"/>
    <s v="C00000022"/>
    <x v="23"/>
    <s v="RE Frekote 770NC (1 Gallon)"/>
    <n v="1"/>
    <s v="Cash"/>
    <n v="0"/>
    <d v="2022-09-26T00:00:00"/>
    <n v="9"/>
    <n v="2022"/>
    <n v="450"/>
    <n v="-450"/>
    <n v="0"/>
    <n v="1852754.0500000007"/>
    <s v="Trsf"/>
    <s v="Trsf 29/9/22 RM5,350.70"/>
    <m/>
  </r>
  <r>
    <x v="248"/>
    <x v="4"/>
    <x v="3"/>
    <x v="335"/>
    <s v="C00000027"/>
    <x v="28"/>
    <s v="RM Resin 3317AW (220Kg)"/>
    <n v="3"/>
    <s v="Cash"/>
    <n v="0"/>
    <d v="2022-09-28T00:00:00"/>
    <n v="9"/>
    <n v="2022"/>
    <n v="6006"/>
    <n v="-6006"/>
    <n v="0"/>
    <n v="1858760.0500000007"/>
    <s v="Trsf"/>
    <s v="Bank Islam 161778 Cleared23/2/23, RM11,266.80"/>
    <m/>
  </r>
  <r>
    <x v="248"/>
    <x v="4"/>
    <x v="3"/>
    <x v="335"/>
    <s v="C00000027"/>
    <x v="28"/>
    <s v="RM CSM 450 Jushi 64m(L) X 1860mm(W) (67kg)"/>
    <n v="2"/>
    <s v="Cash"/>
    <n v="0"/>
    <d v="2022-09-28T00:00:00"/>
    <n v="9"/>
    <n v="2022"/>
    <n v="1259.5999999999999"/>
    <n v="-1259.5999999999999"/>
    <n v="0"/>
    <n v="1860019.6500000008"/>
    <s v="Trsf"/>
    <s v="Bank Islam 161778 Cleared23/2/23, RM11,266.80"/>
    <m/>
  </r>
  <r>
    <x v="248"/>
    <x v="4"/>
    <x v="3"/>
    <x v="335"/>
    <s v="C00000027"/>
    <x v="28"/>
    <s v="RA CSM 300 96m(L) X 1860mm(W) (54Kg)"/>
    <n v="2"/>
    <s v="Cash"/>
    <n v="0"/>
    <d v="2022-09-28T00:00:00"/>
    <n v="9"/>
    <n v="2022"/>
    <n v="1015.2"/>
    <n v="-1015.2"/>
    <n v="0"/>
    <n v="1861034.8500000008"/>
    <s v="Trsf"/>
    <s v="Bank Islam 161778 Cleared23/2/23, RM11,266.80"/>
    <m/>
  </r>
  <r>
    <x v="248"/>
    <x v="4"/>
    <x v="3"/>
    <x v="335"/>
    <s v="C00000027"/>
    <x v="28"/>
    <s v="RA Woven Roing 600 1120mm (45kg)"/>
    <n v="2"/>
    <s v="Cash"/>
    <n v="0"/>
    <d v="2022-09-28T00:00:00"/>
    <n v="9"/>
    <n v="2022"/>
    <n v="630"/>
    <n v="-630"/>
    <n v="0"/>
    <n v="1861664.8500000008"/>
    <s v="Trsf"/>
    <s v="Bank Islam 161778 Cleared23/2/23, RM11,266.80"/>
    <m/>
  </r>
  <r>
    <x v="248"/>
    <x v="4"/>
    <x v="3"/>
    <x v="335"/>
    <s v="C00000027"/>
    <x v="28"/>
    <s v="RM Pigment Super White (5Kg)"/>
    <n v="4"/>
    <s v="Cash"/>
    <n v="0"/>
    <d v="2022-09-28T00:00:00"/>
    <n v="9"/>
    <n v="2022"/>
    <n v="640"/>
    <n v="-640"/>
    <n v="0"/>
    <n v="1862304.8500000008"/>
    <s v="Trsf"/>
    <s v="Bank Islam 161778 Cleared23/2/23, RM11,266.80"/>
    <m/>
  </r>
  <r>
    <x v="248"/>
    <x v="4"/>
    <x v="3"/>
    <x v="335"/>
    <s v="C00000027"/>
    <x v="28"/>
    <s v="RJ Mepoxe (5kg)"/>
    <n v="1"/>
    <s v="Cash"/>
    <n v="0"/>
    <d v="2022-09-28T00:00:00"/>
    <n v="9"/>
    <n v="2022"/>
    <n v="90"/>
    <n v="-90"/>
    <n v="0"/>
    <n v="1862394.8500000008"/>
    <s v="Trsf"/>
    <s v="Bank Islam 161778 Cleared23/2/23, RM11,266.80"/>
    <m/>
  </r>
  <r>
    <x v="248"/>
    <x v="4"/>
    <x v="3"/>
    <x v="335"/>
    <s v="C00000027"/>
    <x v="28"/>
    <s v="RM PVA (5Kg)"/>
    <n v="1"/>
    <s v="Cash"/>
    <n v="0"/>
    <d v="2022-09-28T00:00:00"/>
    <n v="9"/>
    <n v="2022"/>
    <n v="170"/>
    <n v="-170"/>
    <n v="0"/>
    <n v="1862564.8500000008"/>
    <s v="Trsf"/>
    <s v="Bank Islam 161778 Cleared23/2/23, RM11,266.80"/>
    <m/>
  </r>
  <r>
    <x v="248"/>
    <x v="4"/>
    <x v="3"/>
    <x v="335"/>
    <s v="C00000027"/>
    <x v="28"/>
    <s v="RM Fume Silica HJSIL 200(10Kg)"/>
    <n v="1"/>
    <s v="Cash"/>
    <n v="0"/>
    <d v="2022-09-28T00:00:00"/>
    <n v="9"/>
    <n v="2022"/>
    <n v="440"/>
    <n v="-440"/>
    <n v="0"/>
    <n v="1863004.8500000008"/>
    <s v="Trsf"/>
    <s v="Bank Islam 161778 Cleared23/2/23, RM11,266.80"/>
    <m/>
  </r>
  <r>
    <x v="248"/>
    <x v="4"/>
    <x v="3"/>
    <x v="335"/>
    <s v="C00000027"/>
    <x v="28"/>
    <s v="RM Gelcoat GPH (20kg)"/>
    <n v="4"/>
    <s v="Cash"/>
    <n v="0"/>
    <d v="2022-09-28T00:00:00"/>
    <n v="9"/>
    <n v="2022"/>
    <n v="1016"/>
    <n v="-1016"/>
    <n v="0"/>
    <n v="1864020.8500000008"/>
    <s v="Trsf"/>
    <s v="Bank Islam 161778 Cleared23/2/23, RM11,266.80"/>
    <m/>
  </r>
  <r>
    <x v="248"/>
    <x v="4"/>
    <x v="3"/>
    <x v="336"/>
    <s v="C00000029"/>
    <x v="30"/>
    <s v="RA Resin 3317AW (220Kg)"/>
    <n v="1"/>
    <s v="Cash"/>
    <n v="0"/>
    <d v="2022-09-28T00:00:00"/>
    <n v="9"/>
    <n v="2022"/>
    <n v="1848"/>
    <n v="-1848"/>
    <n v="0"/>
    <n v="1865868.8500000008"/>
    <s v="Trsf"/>
    <s v="Trsf 28/09/22 RM1,995.50"/>
    <m/>
  </r>
  <r>
    <x v="248"/>
    <x v="4"/>
    <x v="3"/>
    <x v="336"/>
    <s v="C00000029"/>
    <x v="30"/>
    <s v="RJ Mepoxe (5kg)"/>
    <n v="1"/>
    <s v="Cash"/>
    <n v="0"/>
    <d v="2022-09-28T00:00:00"/>
    <n v="9"/>
    <n v="2022"/>
    <n v="85"/>
    <n v="-85"/>
    <n v="0"/>
    <n v="1865953.8500000008"/>
    <s v="Trsf"/>
    <s v="Trsf 28/09/22 RM1,995.50"/>
    <m/>
  </r>
  <r>
    <x v="248"/>
    <x v="4"/>
    <x v="3"/>
    <x v="336"/>
    <s v="C00000029"/>
    <x v="30"/>
    <s v="RA Talcum Powder (25kg)"/>
    <n v="1"/>
    <s v="Cash"/>
    <n v="0"/>
    <d v="2022-09-28T00:00:00"/>
    <n v="9"/>
    <n v="2022"/>
    <n v="62.5"/>
    <n v="-62.5"/>
    <n v="0"/>
    <n v="1866016.3500000008"/>
    <s v="Trsf"/>
    <s v="Trsf 28/09/22 RM1,995.50"/>
    <m/>
  </r>
  <r>
    <x v="249"/>
    <x v="5"/>
    <x v="3"/>
    <x v="337"/>
    <s v="C00000010"/>
    <x v="9"/>
    <s v="RA Resin 3338AW (220kg)"/>
    <n v="5"/>
    <n v="120"/>
    <n v="120"/>
    <d v="2023-01-29T00:00:00"/>
    <n v="1"/>
    <n v="2023"/>
    <n v="9130"/>
    <n v="-9130"/>
    <n v="0"/>
    <n v="1875146.3500000008"/>
    <s v="Trsf"/>
    <s v="Trsf 19/1/23, RM24,940.00"/>
    <m/>
  </r>
  <r>
    <x v="249"/>
    <x v="5"/>
    <x v="3"/>
    <x v="337"/>
    <s v="C00000010"/>
    <x v="9"/>
    <s v="RA CSM 450 64m(L) 1040mm(W) (30Kg)"/>
    <n v="10"/>
    <n v="120"/>
    <n v="120"/>
    <d v="2023-01-29T00:00:00"/>
    <n v="1"/>
    <n v="2023"/>
    <n v="2520"/>
    <n v="-2520"/>
    <n v="0"/>
    <n v="1877666.3500000008"/>
    <s v="Trsf"/>
    <s v="Trsf 19/1/23, RM24,940.00"/>
    <m/>
  </r>
  <r>
    <x v="249"/>
    <x v="5"/>
    <x v="3"/>
    <x v="337"/>
    <s v="C00000010"/>
    <x v="9"/>
    <s v="RA Talcum Powder (25kg)"/>
    <n v="10"/>
    <n v="120"/>
    <n v="120"/>
    <d v="2023-01-29T00:00:00"/>
    <n v="1"/>
    <n v="2023"/>
    <n v="575"/>
    <n v="-575"/>
    <n v="0"/>
    <n v="1878241.3500000008"/>
    <s v="Trsf"/>
    <s v="Trsf 19/1/23, RM24,940.00"/>
    <m/>
  </r>
  <r>
    <x v="249"/>
    <x v="5"/>
    <x v="3"/>
    <x v="337"/>
    <s v="C00000010"/>
    <x v="9"/>
    <s v="RM Fume Silica HJSIL 200(10Kg)"/>
    <n v="1"/>
    <n v="120"/>
    <n v="120"/>
    <d v="2023-01-29T00:00:00"/>
    <n v="1"/>
    <n v="2023"/>
    <n v="420"/>
    <n v="-420"/>
    <n v="0"/>
    <n v="1878661.3500000008"/>
    <s v="Trsf"/>
    <s v="Trsf 19/1/23, RM24,940.00"/>
    <m/>
  </r>
  <r>
    <x v="249"/>
    <x v="5"/>
    <x v="3"/>
    <x v="337"/>
    <s v="C00000010"/>
    <x v="9"/>
    <s v="RM Butanox M50 (5kg)"/>
    <n v="4"/>
    <n v="120"/>
    <n v="120"/>
    <d v="2023-01-29T00:00:00"/>
    <n v="1"/>
    <n v="2023"/>
    <n v="420"/>
    <n v="-420"/>
    <n v="0"/>
    <n v="1879081.3500000008"/>
    <s v="Trsf"/>
    <s v="Trsf 19/1/23, RM24,940.00"/>
    <m/>
  </r>
  <r>
    <x v="250"/>
    <x v="5"/>
    <x v="3"/>
    <x v="338"/>
    <s v="C00000020"/>
    <x v="19"/>
    <s v="RM Nor 3338W (220Kg)"/>
    <n v="15"/>
    <s v="Cash"/>
    <n v="0"/>
    <d v="2022-10-03T00:00:00"/>
    <n v="10"/>
    <n v="2022"/>
    <n v="27060"/>
    <n v="-27060"/>
    <n v="0"/>
    <n v="1906141.3500000008"/>
    <s v="Trsf"/>
    <s v="Trsf 20/1/23 RM20,000.00(RM928.20), Trsf 7/2/23 RM9,700.00, Trsf 9/2/23 RM11,000.00, Trsf 13/2/23 RM9,500.00(RM5,431.80)"/>
    <m/>
  </r>
  <r>
    <x v="250"/>
    <x v="5"/>
    <x v="3"/>
    <x v="338"/>
    <s v="C00000020"/>
    <x v="19"/>
    <s v="RA CSM 450 79m(L) x 1040mm(W) (30Kg)"/>
    <n v="45"/>
    <s v="Cash"/>
    <n v="0"/>
    <d v="2022-10-03T00:00:00"/>
    <n v="10"/>
    <n v="2022"/>
    <n v="11340"/>
    <n v="-11340"/>
    <n v="0"/>
    <n v="1917481.3500000008"/>
    <s v="Trsf"/>
    <s v="Trsf 13/2/23 RM9,500.00(RM4,068.20),  Trsf 18/2/23 RM6,000.00, Trsf 24/2/23 RM22,000.00(RM1,271.80)"/>
    <m/>
  </r>
  <r>
    <x v="250"/>
    <x v="5"/>
    <x v="3"/>
    <x v="338"/>
    <s v="C00000020"/>
    <x v="19"/>
    <s v="RA Woven Roving 600 1120mm (45kg)"/>
    <n v="22"/>
    <s v="Cash"/>
    <n v="0"/>
    <d v="2022-10-03T00:00:00"/>
    <n v="10"/>
    <n v="2022"/>
    <n v="6435"/>
    <n v="-6435"/>
    <n v="0"/>
    <n v="1923916.3500000008"/>
    <s v="Trsf"/>
    <s v="Trsf 24/2/23 RM22,000.00"/>
    <m/>
  </r>
  <r>
    <x v="250"/>
    <x v="5"/>
    <x v="3"/>
    <x v="338"/>
    <s v="C00000020"/>
    <x v="19"/>
    <s v="RA Talcum Powder (25kg)"/>
    <n v="15"/>
    <s v="Cash"/>
    <n v="0"/>
    <d v="2022-10-03T00:00:00"/>
    <n v="10"/>
    <n v="2022"/>
    <n v="937.5"/>
    <n v="-937.5"/>
    <n v="0"/>
    <n v="1924853.8500000008"/>
    <s v="Trsf"/>
    <s v="Trsf 24/2/23 RM22,000.00"/>
    <m/>
  </r>
  <r>
    <x v="250"/>
    <x v="5"/>
    <x v="3"/>
    <x v="338"/>
    <s v="C00000020"/>
    <x v="19"/>
    <s v="RM Pigment Paste Smooth Cream M19 (25kg)"/>
    <n v="2"/>
    <s v="Cash"/>
    <n v="0"/>
    <d v="2022-10-03T00:00:00"/>
    <n v="10"/>
    <n v="2022"/>
    <n v="2000"/>
    <n v="-2000"/>
    <n v="0"/>
    <n v="1926853.8500000008"/>
    <s v="Trsf"/>
    <s v="Trsf 24/2/23 RM22,000.00"/>
    <m/>
  </r>
  <r>
    <x v="250"/>
    <x v="5"/>
    <x v="3"/>
    <x v="338"/>
    <s v="C00000020"/>
    <x v="19"/>
    <s v="RJ Butanox M50 (5kg)"/>
    <n v="4"/>
    <s v="Cash"/>
    <n v="0"/>
    <d v="2022-10-03T00:00:00"/>
    <n v="10"/>
    <n v="2022"/>
    <n v="400"/>
    <n v="-400"/>
    <n v="0"/>
    <n v="1927253.8500000008"/>
    <s v="Trsf"/>
    <s v="Trsf 24/2/23 RM22,000.00"/>
    <m/>
  </r>
  <r>
    <x v="251"/>
    <x v="5"/>
    <x v="3"/>
    <x v="339"/>
    <s v="C00000021"/>
    <x v="21"/>
    <s v="RA Resin 3317AW (220Kg)"/>
    <n v="1"/>
    <s v="Cash"/>
    <n v="0"/>
    <d v="2022-10-01T00:00:00"/>
    <n v="10"/>
    <n v="2022"/>
    <n v="1936"/>
    <n v="-1936"/>
    <n v="0"/>
    <n v="1929189.8500000008"/>
    <s v="PD Chq"/>
    <s v="Chq PBB 395374, cleared160123 RM2,636.50"/>
    <m/>
  </r>
  <r>
    <x v="251"/>
    <x v="5"/>
    <x v="3"/>
    <x v="339"/>
    <s v="C00000021"/>
    <x v="21"/>
    <s v="RJ Butonox M50 (5kg)"/>
    <n v="1"/>
    <s v="Cash"/>
    <n v="0"/>
    <d v="2022-10-01T00:00:00"/>
    <n v="10"/>
    <n v="2022"/>
    <n v="100"/>
    <n v="-100"/>
    <n v="0"/>
    <n v="1929289.8500000008"/>
    <s v="PD Chq"/>
    <s v="Chq PBB 395374, cleared160123 RM2,636.50"/>
    <m/>
  </r>
  <r>
    <x v="251"/>
    <x v="5"/>
    <x v="3"/>
    <x v="339"/>
    <s v="C00000021"/>
    <x v="21"/>
    <s v="RA Talcum Powder (25kg)"/>
    <n v="5"/>
    <s v="Cash"/>
    <n v="0"/>
    <d v="2022-10-01T00:00:00"/>
    <n v="10"/>
    <n v="2022"/>
    <n v="312.5"/>
    <n v="-312.5"/>
    <n v="0"/>
    <n v="1929602.3500000008"/>
    <s v="PD Chq"/>
    <s v="Chq PBB 395374, cleared160123 RM2,636.50"/>
    <m/>
  </r>
  <r>
    <x v="251"/>
    <x v="5"/>
    <x v="3"/>
    <x v="339"/>
    <s v="C00000021"/>
    <x v="21"/>
    <s v="RA Miracle Gloss Wax No. 8 (311g/Can)"/>
    <n v="6"/>
    <s v="Cash"/>
    <n v="0"/>
    <d v="2022-10-01T00:00:00"/>
    <n v="10"/>
    <n v="2022"/>
    <n v="288"/>
    <n v="-288"/>
    <n v="0"/>
    <n v="1929890.3500000008"/>
    <s v="PD Chq"/>
    <s v="Chq PBB 395374, cleared160123 RM2,636.50"/>
    <m/>
  </r>
  <r>
    <x v="252"/>
    <x v="5"/>
    <x v="3"/>
    <x v="340"/>
    <s v="C00000003"/>
    <x v="2"/>
    <s v="RA Resin 3317AW (220Kg)"/>
    <n v="1"/>
    <n v="45"/>
    <n v="45"/>
    <d v="2022-11-16T00:00:00"/>
    <n v="11"/>
    <n v="2022"/>
    <n v="2024"/>
    <n v="-2024"/>
    <n v="0"/>
    <n v="1931914.3500000008"/>
    <s v="PD Chq"/>
    <s v="RHB 00552 12/12/22cleared-RM1,800.00, RHB 00553 19/12/22cleared-RM1,800.00(RM224.00partial)"/>
    <m/>
  </r>
  <r>
    <x v="252"/>
    <x v="5"/>
    <x v="3"/>
    <x v="340"/>
    <s v="C00000003"/>
    <x v="2"/>
    <s v="RA Talcum Powder (25kg)"/>
    <n v="3"/>
    <n v="45"/>
    <n v="45"/>
    <d v="2022-11-16T00:00:00"/>
    <n v="11"/>
    <n v="2022"/>
    <n v="195"/>
    <n v="-195"/>
    <n v="0"/>
    <n v="1932109.3500000008"/>
    <s v="PD Chq"/>
    <s v="RHB 00553 19/12/22cleared-RM1,800.00(RM195.00partial)"/>
    <m/>
  </r>
  <r>
    <x v="252"/>
    <x v="5"/>
    <x v="3"/>
    <x v="340"/>
    <s v="C00000003"/>
    <x v="2"/>
    <s v="RA Butanox M50 (5Kg)"/>
    <n v="6"/>
    <n v="45"/>
    <n v="45"/>
    <d v="2022-11-16T00:00:00"/>
    <n v="11"/>
    <n v="2022"/>
    <n v="630"/>
    <n v="-630"/>
    <n v="0"/>
    <n v="1932739.3500000008"/>
    <s v="PD Chq"/>
    <s v="RHB 00553 19/12/22cleared-RM1,800.00(RM630.00partial)"/>
    <m/>
  </r>
  <r>
    <x v="252"/>
    <x v="5"/>
    <x v="3"/>
    <x v="341"/>
    <s v="C00000003"/>
    <x v="2"/>
    <s v="RA Resin 3317AW (220Kg)"/>
    <n v="2"/>
    <n v="45"/>
    <n v="45"/>
    <d v="2022-11-16T00:00:00"/>
    <n v="11"/>
    <n v="2022"/>
    <n v="4048"/>
    <n v="-4048"/>
    <n v="0"/>
    <n v="1936787.3500000008"/>
    <s v="PD Chq"/>
    <s v="RHB 00553 19/12/22cleared-RM1,800.00(RM751.00partial), RHB 00554 27/12/22cleared-RM1,800.00, RHB 00557 3/1/23cleared-RM1,497.00"/>
    <m/>
  </r>
  <r>
    <x v="253"/>
    <x v="5"/>
    <x v="3"/>
    <x v="342"/>
    <s v="C00000006"/>
    <x v="5"/>
    <s v="RM Nor 3338W (220Kg)"/>
    <n v="1"/>
    <s v="Cash"/>
    <n v="0"/>
    <d v="2022-10-11T00:00:00"/>
    <n v="10"/>
    <n v="2022"/>
    <n v="1958"/>
    <n v="-1958"/>
    <n v="0"/>
    <n v="1938745.3500000008"/>
    <s v="Chq"/>
    <s v="RHB 934959 cleared24/11/22-RM2,237.00"/>
    <m/>
  </r>
  <r>
    <x v="253"/>
    <x v="5"/>
    <x v="3"/>
    <x v="342"/>
    <s v="C00000006"/>
    <x v="5"/>
    <s v="RA CSM 300 (30Kg) 64m(L) x 1040mm(W)"/>
    <n v="1"/>
    <s v="Cash"/>
    <n v="0"/>
    <d v="2022-10-11T00:00:00"/>
    <n v="10"/>
    <n v="2022"/>
    <n v="279"/>
    <n v="-279"/>
    <n v="0"/>
    <n v="1939024.3500000008"/>
    <s v="Chq"/>
    <s v="RHB 934959 cleared24/11/22-RM2,237.00"/>
    <m/>
  </r>
  <r>
    <x v="253"/>
    <x v="5"/>
    <x v="3"/>
    <x v="343"/>
    <s v="C00000019"/>
    <x v="18"/>
    <s v="RM Nor 3338W (220Kg)"/>
    <n v="1"/>
    <s v="Cash"/>
    <n v="0"/>
    <d v="2022-10-11T00:00:00"/>
    <n v="10"/>
    <n v="2022"/>
    <n v="1936"/>
    <n v="-1936"/>
    <n v="0"/>
    <n v="1940960.3500000008"/>
    <s v="Trsf"/>
    <s v="Trsf 8/11/22 RM1,500.00, Trsf 14/11/22 RM1,637.30"/>
    <m/>
  </r>
  <r>
    <x v="253"/>
    <x v="5"/>
    <x v="3"/>
    <x v="343"/>
    <s v="C00000019"/>
    <x v="18"/>
    <s v="RM CSM 450 Jushi 64m(L) X 1860mm(W) (67kg)"/>
    <n v="1"/>
    <s v="Cash"/>
    <n v="0"/>
    <d v="2022-10-11T00:00:00"/>
    <n v="10"/>
    <n v="2022"/>
    <n v="596.29999999999995"/>
    <n v="-596.29999999999995"/>
    <n v="0"/>
    <n v="1941556.6500000008"/>
    <s v="Trsf"/>
    <s v="Trsf 8/11/22 RM1,500.00, Trsf 14/11/22 RM1,637.30"/>
    <m/>
  </r>
  <r>
    <x v="253"/>
    <x v="5"/>
    <x v="3"/>
    <x v="343"/>
    <s v="C00000019"/>
    <x v="18"/>
    <s v="RM TR104 Hi Temp Wax"/>
    <n v="1"/>
    <s v="Cash"/>
    <n v="0"/>
    <d v="2022-10-11T00:00:00"/>
    <n v="10"/>
    <n v="2022"/>
    <n v="50"/>
    <n v="-50"/>
    <n v="0"/>
    <n v="1941606.6500000008"/>
    <s v="Trsf"/>
    <s v="Trsf 8/11/22 RM1,500.00, Trsf 14/11/22 RM1,637.30"/>
    <m/>
  </r>
  <r>
    <x v="253"/>
    <x v="5"/>
    <x v="3"/>
    <x v="343"/>
    <s v="C00000019"/>
    <x v="18"/>
    <s v="RA Butanox M50 (5kg)"/>
    <n v="1"/>
    <s v="Cash"/>
    <n v="0"/>
    <d v="2022-10-11T00:00:00"/>
    <n v="10"/>
    <n v="2022"/>
    <n v="105"/>
    <n v="-105"/>
    <n v="0"/>
    <n v="1941711.6500000008"/>
    <s v="Trsf"/>
    <s v="Trsf 8/11/22 RM1,500.00, Trsf 14/11/22 RM1,637.30"/>
    <m/>
  </r>
  <r>
    <x v="253"/>
    <x v="5"/>
    <x v="3"/>
    <x v="343"/>
    <s v="C00000019"/>
    <x v="18"/>
    <s v="RE Frekote 770NC (1 Gallon)"/>
    <n v="1"/>
    <s v="Cash"/>
    <n v="0"/>
    <d v="2022-10-11T00:00:00"/>
    <n v="10"/>
    <n v="2022"/>
    <n v="450"/>
    <n v="-450"/>
    <n v="0"/>
    <n v="1942161.6500000008"/>
    <s v="Trsf"/>
    <s v="Trsf 8/11/22 RM1,500.00, Trsf 14/11/22 RM1,637.30"/>
    <m/>
  </r>
  <r>
    <x v="254"/>
    <x v="5"/>
    <x v="3"/>
    <x v="344"/>
    <s v="C00000020"/>
    <x v="19"/>
    <s v="RM Nor 3338W (220Kg)"/>
    <n v="3"/>
    <s v="Cash"/>
    <n v="0"/>
    <d v="2022-10-13T00:00:00"/>
    <n v="10"/>
    <n v="2022"/>
    <n v="5412"/>
    <n v="-5412"/>
    <n v="0"/>
    <n v="1947573.6500000008"/>
    <s v="Trsf"/>
    <s v="Trsf 24/2/23 RM22,000.00"/>
    <m/>
  </r>
  <r>
    <x v="254"/>
    <x v="5"/>
    <x v="3"/>
    <x v="344"/>
    <s v="C00000020"/>
    <x v="19"/>
    <s v="RA CSM 450 79m(L) x 1040mm(W) (30Kg)"/>
    <n v="7"/>
    <s v="Cash"/>
    <n v="0"/>
    <d v="2022-10-13T00:00:00"/>
    <n v="10"/>
    <n v="2022"/>
    <n v="1764"/>
    <n v="-1764"/>
    <n v="0"/>
    <n v="1949337.6500000008"/>
    <s v="Trsf"/>
    <s v="Trsf 24/2/23 RM22,000.00"/>
    <m/>
  </r>
  <r>
    <x v="254"/>
    <x v="5"/>
    <x v="3"/>
    <x v="344"/>
    <s v="C00000020"/>
    <x v="19"/>
    <s v="RM CSM 450 Jushi 64m(L) X 1860mm(W) (67kg)"/>
    <n v="1"/>
    <s v="Cash"/>
    <n v="0"/>
    <d v="2022-10-13T00:00:00"/>
    <n v="10"/>
    <n v="2022"/>
    <n v="562.79999999999995"/>
    <n v="-562.79999999999995"/>
    <n v="0"/>
    <n v="1949900.4500000009"/>
    <s v="Trsf"/>
    <s v="Trsf 24/2/23 RM22,000.00"/>
    <m/>
  </r>
  <r>
    <x v="254"/>
    <x v="5"/>
    <x v="3"/>
    <x v="344"/>
    <s v="C00000020"/>
    <x v="19"/>
    <s v="RJ Woven Roving E-600gm 1000mm (40Kg)"/>
    <n v="4"/>
    <s v="Cash"/>
    <n v="0"/>
    <d v="2022-10-13T00:00:00"/>
    <n v="10"/>
    <n v="2022"/>
    <n v="1040"/>
    <n v="-1040"/>
    <n v="0"/>
    <n v="1950940.4500000009"/>
    <s v="Trsf"/>
    <s v="Trsf 24/2/23 RM22,000.00"/>
    <m/>
  </r>
  <r>
    <x v="254"/>
    <x v="5"/>
    <x v="3"/>
    <x v="344"/>
    <s v="C00000020"/>
    <x v="19"/>
    <s v="RA Talcum Powder (25kg)"/>
    <n v="3"/>
    <s v="Cash"/>
    <n v="0"/>
    <d v="2022-10-13T00:00:00"/>
    <n v="10"/>
    <n v="2022"/>
    <n v="187.5"/>
    <n v="-187.5"/>
    <n v="0"/>
    <n v="1951127.9500000009"/>
    <s v="Trsf"/>
    <s v="Trsf 24/2/23 RM22,000.00"/>
    <m/>
  </r>
  <r>
    <x v="254"/>
    <x v="5"/>
    <x v="3"/>
    <x v="344"/>
    <s v="C00000020"/>
    <x v="19"/>
    <s v="RM Pigment Paste Smooth Cream M19 (25kg)"/>
    <n v="1"/>
    <s v="Cash"/>
    <n v="0"/>
    <d v="2022-10-13T00:00:00"/>
    <n v="10"/>
    <n v="2022"/>
    <n v="1000"/>
    <n v="-1000"/>
    <n v="0"/>
    <n v="1952127.9500000009"/>
    <s v="Trsf"/>
    <s v="Trsf 24/2/23 RM22,000.00"/>
    <m/>
  </r>
  <r>
    <x v="254"/>
    <x v="5"/>
    <x v="3"/>
    <x v="344"/>
    <s v="C00000020"/>
    <x v="19"/>
    <s v="RJ Butanox M50 (5kg)"/>
    <n v="2"/>
    <s v="Cash"/>
    <n v="0"/>
    <d v="2022-10-13T00:00:00"/>
    <n v="10"/>
    <n v="2022"/>
    <n v="200"/>
    <n v="-200"/>
    <n v="0"/>
    <n v="1952327.9500000009"/>
    <s v="Trsf"/>
    <s v="Trsf 24/2/23 RM22,000.00"/>
    <m/>
  </r>
  <r>
    <x v="254"/>
    <x v="5"/>
    <x v="3"/>
    <x v="345"/>
    <s v="C00000021"/>
    <x v="21"/>
    <s v="RA Resin 3317AW (220Kg)"/>
    <n v="1"/>
    <s v="Cash"/>
    <n v="0"/>
    <d v="2022-10-13T00:00:00"/>
    <n v="10"/>
    <n v="2022"/>
    <n v="1936"/>
    <n v="-1936"/>
    <n v="0"/>
    <n v="1954263.9500000009"/>
    <s v="PD Chq"/>
    <s v="Chq PBB 395375, cleared160123 RM2,570.00"/>
    <m/>
  </r>
  <r>
    <x v="254"/>
    <x v="5"/>
    <x v="3"/>
    <x v="345"/>
    <s v="C00000021"/>
    <x v="21"/>
    <s v="RA CSM 450 79m(L) x 1040mm(W) (30Kg)"/>
    <n v="2"/>
    <s v="Cash"/>
    <n v="0"/>
    <d v="2022-10-13T00:00:00"/>
    <n v="10"/>
    <n v="2022"/>
    <n v="534"/>
    <n v="-534"/>
    <n v="0"/>
    <n v="1954797.9500000009"/>
    <s v="PD Chq"/>
    <s v="Chq PBB 395375, cleared160123 RM2,570.00"/>
    <m/>
  </r>
  <r>
    <x v="254"/>
    <x v="5"/>
    <x v="3"/>
    <x v="345"/>
    <s v="C00000021"/>
    <x v="21"/>
    <s v="RJ Butonox M50 (5kg)"/>
    <n v="1"/>
    <s v="Cash"/>
    <n v="0"/>
    <d v="2022-10-13T00:00:00"/>
    <n v="10"/>
    <n v="2022"/>
    <n v="100"/>
    <n v="-100"/>
    <n v="0"/>
    <n v="1954897.9500000009"/>
    <s v="PD Chq"/>
    <s v="Chq PBB 395375, cleared160123 RM2,570.00"/>
    <m/>
  </r>
  <r>
    <x v="255"/>
    <x v="5"/>
    <x v="3"/>
    <x v="346"/>
    <s v="C00000010"/>
    <x v="9"/>
    <s v="RA Resin 3338AW (220kg)"/>
    <n v="5"/>
    <n v="120"/>
    <n v="120"/>
    <d v="2023-02-12T00:00:00"/>
    <n v="2"/>
    <n v="2023"/>
    <n v="9020"/>
    <n v="-9020"/>
    <n v="0"/>
    <n v="1963917.9500000009"/>
    <s v="Trsf"/>
    <s v="Trsf 19/1/23, RM24,940.00"/>
    <m/>
  </r>
  <r>
    <x v="255"/>
    <x v="5"/>
    <x v="3"/>
    <x v="346"/>
    <s v="C00000010"/>
    <x v="9"/>
    <s v="RA CSM 450 64m(L) 1040mm(W) (30Kg)"/>
    <n v="5"/>
    <n v="120"/>
    <n v="120"/>
    <d v="2023-02-12T00:00:00"/>
    <n v="2"/>
    <n v="2023"/>
    <n v="1245"/>
    <n v="-1245"/>
    <n v="0"/>
    <n v="1965162.9500000009"/>
    <s v="Trsf"/>
    <s v="Trsf 19/1/23, RM24,940.00"/>
    <m/>
  </r>
  <r>
    <x v="255"/>
    <x v="5"/>
    <x v="3"/>
    <x v="346"/>
    <s v="C00000010"/>
    <x v="9"/>
    <s v="RA Talcum Powder (25kg)"/>
    <n v="10"/>
    <n v="120"/>
    <n v="120"/>
    <d v="2023-02-12T00:00:00"/>
    <n v="2"/>
    <n v="2023"/>
    <n v="575"/>
    <n v="-575"/>
    <n v="0"/>
    <n v="1965737.9500000009"/>
    <s v="Trsf"/>
    <s v="Trsf 19/1/23, RM24,940.00"/>
    <m/>
  </r>
  <r>
    <x v="255"/>
    <x v="5"/>
    <x v="3"/>
    <x v="346"/>
    <s v="C00000010"/>
    <x v="9"/>
    <s v="RM Butanox M50 (5kg)"/>
    <n v="4"/>
    <n v="120"/>
    <n v="120"/>
    <d v="2023-02-12T00:00:00"/>
    <n v="2"/>
    <n v="2023"/>
    <n v="420"/>
    <n v="-420"/>
    <n v="0"/>
    <n v="1966157.9500000009"/>
    <s v="Trsf"/>
    <s v="Trsf 19/1/23, RM24,940.00"/>
    <m/>
  </r>
  <r>
    <x v="255"/>
    <x v="5"/>
    <x v="3"/>
    <x v="346"/>
    <s v="C00000010"/>
    <x v="9"/>
    <s v="RD Brush 3&quot; (12Pc)"/>
    <n v="4"/>
    <n v="120"/>
    <n v="120"/>
    <d v="2023-02-12T00:00:00"/>
    <n v="2"/>
    <n v="2023"/>
    <n v="220"/>
    <n v="-220"/>
    <n v="0"/>
    <n v="1966377.9500000009"/>
    <s v="Trsf"/>
    <s v="Trsf 19/1/23, RM24,940.00"/>
    <m/>
  </r>
  <r>
    <x v="256"/>
    <x v="5"/>
    <x v="3"/>
    <x v="347"/>
    <s v="C00000026"/>
    <x v="27"/>
    <s v="RM Resin 3317AW (220Kg)"/>
    <n v="1"/>
    <s v="Cash"/>
    <n v="0"/>
    <d v="2022-10-17T00:00:00"/>
    <n v="10"/>
    <n v="2022"/>
    <n v="1958"/>
    <n v="-1958"/>
    <n v="0"/>
    <n v="1968335.9500000009"/>
    <s v="Trsf"/>
    <s v="Trsf 19/10/22 RM3,000.00, Trsf 20/10/22 RM600.00 "/>
    <m/>
  </r>
  <r>
    <x v="256"/>
    <x v="5"/>
    <x v="3"/>
    <x v="347"/>
    <s v="C00000026"/>
    <x v="27"/>
    <s v="RM CSM 450 Jushi 64m(L) X 1860mm(W) (67kg)"/>
    <n v="1"/>
    <s v="Cash"/>
    <n v="0"/>
    <d v="2022-10-17T00:00:00"/>
    <n v="10"/>
    <n v="2022"/>
    <n v="603"/>
    <n v="-603"/>
    <n v="0"/>
    <n v="1968938.9500000009"/>
    <s v="Trsf"/>
    <s v="Trsf 19/10/22 RM3,000.00, Trsf 20/10/22 RM600.00 "/>
    <m/>
  </r>
  <r>
    <x v="256"/>
    <x v="5"/>
    <x v="3"/>
    <x v="347"/>
    <s v="C00000026"/>
    <x v="27"/>
    <s v="RM Gelcoat GPH (20kg)"/>
    <n v="1"/>
    <s v="Cash"/>
    <n v="0"/>
    <d v="2022-10-17T00:00:00"/>
    <n v="10"/>
    <n v="2022"/>
    <n v="254"/>
    <n v="-254"/>
    <n v="0"/>
    <n v="1969192.9500000009"/>
    <s v="Trsf"/>
    <s v="Trsf 19/10/22 RM3,000.00, Trsf 20/10/22 RM600.00 "/>
    <m/>
  </r>
  <r>
    <x v="256"/>
    <x v="5"/>
    <x v="3"/>
    <x v="347"/>
    <s v="C00000026"/>
    <x v="27"/>
    <s v="RD Brush 2&quot; (12Pc)"/>
    <n v="1"/>
    <s v="Cash"/>
    <n v="0"/>
    <d v="2022-10-17T00:00:00"/>
    <n v="10"/>
    <n v="2022"/>
    <n v="55"/>
    <n v="-55"/>
    <n v="0"/>
    <n v="1969247.9500000009"/>
    <s v="Trsf"/>
    <s v="Trsf 19/10/22 RM3,000.00, Trsf 20/10/22 RM600.00 "/>
    <m/>
  </r>
  <r>
    <x v="256"/>
    <x v="5"/>
    <x v="3"/>
    <x v="347"/>
    <s v="C00000026"/>
    <x v="27"/>
    <s v="RM Pigment Super White (5Kg)"/>
    <n v="1"/>
    <s v="Cash"/>
    <n v="0"/>
    <d v="2022-10-17T00:00:00"/>
    <n v="10"/>
    <n v="2022"/>
    <n v="160"/>
    <n v="-160"/>
    <n v="0"/>
    <n v="1969407.9500000009"/>
    <s v="Trsf"/>
    <s v="Trsf 19/10/22 RM3,000.00, Trsf 20/10/22 RM600.00 "/>
    <m/>
  </r>
  <r>
    <x v="256"/>
    <x v="5"/>
    <x v="3"/>
    <x v="347"/>
    <s v="C00000026"/>
    <x v="27"/>
    <s v="RM Pigment Orange (5Kg)"/>
    <n v="1"/>
    <s v="Cash"/>
    <n v="0"/>
    <d v="2022-10-17T00:00:00"/>
    <n v="10"/>
    <n v="2022"/>
    <n v="240"/>
    <n v="-240"/>
    <n v="0"/>
    <n v="1969647.9500000009"/>
    <s v="Trsf"/>
    <s v="Trsf 19/10/22 RM3,000.00, Trsf 20/10/22 RM600.00 "/>
    <m/>
  </r>
  <r>
    <x v="256"/>
    <x v="5"/>
    <x v="3"/>
    <x v="347"/>
    <s v="C00000026"/>
    <x v="27"/>
    <s v="RM Butanox M50 (5kg)"/>
    <n v="1"/>
    <s v="Cash"/>
    <n v="0"/>
    <d v="2022-10-17T00:00:00"/>
    <n v="10"/>
    <n v="2022"/>
    <n v="105"/>
    <n v="-105"/>
    <n v="0"/>
    <n v="1969752.9500000009"/>
    <s v="Trsf"/>
    <s v="Trsf 19/10/22 RM3,000.00, Trsf 20/10/22 RM600.00 "/>
    <m/>
  </r>
  <r>
    <x v="256"/>
    <x v="5"/>
    <x v="3"/>
    <x v="347"/>
    <s v="C00000026"/>
    <x v="27"/>
    <s v="RA Talcum Powder (25kg)"/>
    <n v="2"/>
    <s v="Cash"/>
    <n v="0"/>
    <d v="2022-10-17T00:00:00"/>
    <n v="10"/>
    <n v="2022"/>
    <n v="125"/>
    <n v="-125"/>
    <n v="0"/>
    <n v="1969877.9500000009"/>
    <s v="Trsf"/>
    <s v="Trsf 19/10/22 RM3,000.00, Trsf 20/10/22 RM600.00 "/>
    <m/>
  </r>
  <r>
    <x v="256"/>
    <x v="5"/>
    <x v="3"/>
    <x v="347"/>
    <s v="C00000026"/>
    <x v="27"/>
    <s v="RM TR104 Hi Temp Wax"/>
    <n v="2"/>
    <s v="Cash"/>
    <n v="0"/>
    <d v="2022-10-17T00:00:00"/>
    <n v="10"/>
    <n v="2022"/>
    <n v="100"/>
    <n v="-100"/>
    <n v="0"/>
    <n v="1969977.9500000009"/>
    <s v="Trsf"/>
    <s v="Trsf 19/10/22 RM3,000.00, Trsf 20/10/22 RM600.00 "/>
    <m/>
  </r>
  <r>
    <x v="256"/>
    <x v="5"/>
    <x v="3"/>
    <x v="348"/>
    <s v="C00000010"/>
    <x v="9"/>
    <s v="RH Bosny Wax (15Kg)"/>
    <n v="1"/>
    <n v="120"/>
    <n v="120"/>
    <d v="2023-02-14T00:00:00"/>
    <n v="2"/>
    <n v="2023"/>
    <n v="395"/>
    <n v="-395"/>
    <n v="0"/>
    <n v="1970372.9500000009"/>
    <s v="Trsf"/>
    <s v="Trsf 19/1/23, RM24,940.00"/>
    <m/>
  </r>
  <r>
    <x v="257"/>
    <x v="5"/>
    <x v="3"/>
    <x v="349"/>
    <s v="C00000009"/>
    <x v="8"/>
    <s v="RM CSM 450 Jushi 64m(L) X 1860mm(W) (67kg)"/>
    <n v="2"/>
    <n v="60"/>
    <n v="60"/>
    <d v="2022-12-17T00:00:00"/>
    <n v="12"/>
    <n v="2022"/>
    <n v="1085.4000000000001"/>
    <n v="-1085.4000000000001"/>
    <n v="0"/>
    <n v="1971458.3500000008"/>
    <s v="Chq"/>
    <s v="Chq HL 019025 dd 27/3/23"/>
    <m/>
  </r>
  <r>
    <x v="257"/>
    <x v="5"/>
    <x v="3"/>
    <x v="349"/>
    <s v="C00000009"/>
    <x v="8"/>
    <s v="RA CSM 300 96m(L) X 1860mm(W) (54Kg)"/>
    <n v="2"/>
    <n v="60"/>
    <n v="60"/>
    <d v="2022-12-17T00:00:00"/>
    <n v="12"/>
    <n v="2022"/>
    <n v="874.8"/>
    <n v="-874.8"/>
    <n v="0"/>
    <n v="1972333.1500000008"/>
    <s v="Chq"/>
    <s v="Chq HL 019025 dd 27/3/23"/>
    <m/>
  </r>
  <r>
    <x v="258"/>
    <x v="5"/>
    <x v="3"/>
    <x v="350"/>
    <s v="C00000004"/>
    <x v="3"/>
    <s v="RM Nor 3338W (220Kg)"/>
    <n v="6"/>
    <n v="120"/>
    <n v="120"/>
    <d v="2023-02-17T00:00:00"/>
    <n v="2"/>
    <n v="2023"/>
    <n v="10824"/>
    <n v="-10824"/>
    <n v="0"/>
    <n v="1983157.1500000008"/>
    <s v="Chq"/>
    <s v="HLB016114Cleared22/2/23-RM15,677.20"/>
    <m/>
  </r>
  <r>
    <x v="258"/>
    <x v="5"/>
    <x v="3"/>
    <x v="350"/>
    <s v="C00000004"/>
    <x v="3"/>
    <s v="RM Nor 3338NW (220Kg)"/>
    <n v="1"/>
    <n v="120"/>
    <n v="120"/>
    <d v="2023-02-17T00:00:00"/>
    <n v="2"/>
    <n v="2023"/>
    <n v="1804"/>
    <n v="-1804"/>
    <n v="0"/>
    <n v="1984961.1500000008"/>
    <s v="Chq"/>
    <s v="HLB016114Cleared22/2/23-RM15,677.20"/>
    <m/>
  </r>
  <r>
    <x v="258"/>
    <x v="5"/>
    <x v="3"/>
    <x v="350"/>
    <s v="C00000004"/>
    <x v="3"/>
    <s v="RM CSM 450 64m(L) X 1860mm(W) (54kg)"/>
    <n v="3"/>
    <n v="120"/>
    <n v="120"/>
    <d v="2023-02-17T00:00:00"/>
    <n v="2"/>
    <n v="2023"/>
    <n v="1344.6"/>
    <n v="-1344.6"/>
    <n v="0"/>
    <n v="1986305.7500000009"/>
    <s v="Chq"/>
    <s v="HLB016114Cleared22/2/23-RM15,677.20"/>
    <m/>
  </r>
  <r>
    <x v="258"/>
    <x v="5"/>
    <x v="3"/>
    <x v="350"/>
    <s v="C00000004"/>
    <x v="3"/>
    <s v="RM CSM 300 96m(L) X 1860mm(W) (54Kg)"/>
    <n v="3"/>
    <n v="120"/>
    <n v="120"/>
    <d v="2023-02-17T00:00:00"/>
    <n v="2"/>
    <n v="2023"/>
    <n v="1344.6"/>
    <n v="-1344.6"/>
    <n v="0"/>
    <n v="1987650.350000001"/>
    <s v="Chq"/>
    <s v="HLB016114Cleared22/2/23-RM15,677.20"/>
    <m/>
  </r>
  <r>
    <x v="258"/>
    <x v="5"/>
    <x v="3"/>
    <x v="350"/>
    <s v="C00000004"/>
    <x v="3"/>
    <s v="RJ Mepoxe (5kg)"/>
    <n v="4"/>
    <n v="120"/>
    <n v="120"/>
    <d v="2023-02-17T00:00:00"/>
    <n v="2"/>
    <n v="2023"/>
    <n v="360"/>
    <n v="-360"/>
    <n v="0"/>
    <n v="1988010.350000001"/>
    <s v="Chq"/>
    <s v="HLB016114Cleared22/2/23-RM15,677.20"/>
    <m/>
  </r>
  <r>
    <x v="259"/>
    <x v="5"/>
    <x v="3"/>
    <x v="351"/>
    <s v="C00000001"/>
    <x v="0"/>
    <s v="RM Resin 3317AW (220Kg)"/>
    <n v="1"/>
    <s v="Cash"/>
    <n v="0"/>
    <d v="2022-10-21T00:00:00"/>
    <n v="10"/>
    <n v="2022"/>
    <n v="1936"/>
    <n v="-1936"/>
    <n v="0"/>
    <n v="1989946.350000001"/>
    <s v="Trsf"/>
    <s v="Trsf 1/11/22 RM3,004.00"/>
    <m/>
  </r>
  <r>
    <x v="259"/>
    <x v="5"/>
    <x v="3"/>
    <x v="351"/>
    <s v="C00000001"/>
    <x v="0"/>
    <s v="RM CSM 450 64m(L) 1040mm(W) (30Kg)"/>
    <n v="4"/>
    <s v="Cash"/>
    <n v="0"/>
    <d v="2022-10-21T00:00:00"/>
    <n v="10"/>
    <n v="2022"/>
    <n v="1068"/>
    <n v="-1068"/>
    <n v="0"/>
    <n v="1991014.350000001"/>
    <s v="Trsf"/>
    <s v="Trsf 1/11/22 RM3,004.00"/>
    <m/>
  </r>
  <r>
    <x v="260"/>
    <x v="5"/>
    <x v="3"/>
    <x v="352"/>
    <s v="C00000020"/>
    <x v="19"/>
    <s v="RM Resin 3317AW (220Kg)"/>
    <n v="2"/>
    <s v="Cash"/>
    <n v="0"/>
    <d v="2022-10-22T00:00:00"/>
    <n v="10"/>
    <n v="2022"/>
    <n v="3608"/>
    <n v="-3608"/>
    <n v="0"/>
    <n v="1994622.350000001"/>
    <s v="Trsf"/>
    <s v="Trsf 21/10/22 RM7,590.50"/>
    <m/>
  </r>
  <r>
    <x v="260"/>
    <x v="5"/>
    <x v="3"/>
    <x v="352"/>
    <s v="C00000020"/>
    <x v="19"/>
    <s v="RA CSM 450 79m(L) x 1040mm(W) (30Kg)"/>
    <n v="10"/>
    <s v="Cash"/>
    <n v="0"/>
    <d v="2022-10-22T00:00:00"/>
    <n v="10"/>
    <n v="2022"/>
    <n v="2520"/>
    <n v="-2520"/>
    <n v="0"/>
    <n v="1997142.350000001"/>
    <s v="Trsf"/>
    <s v="Trsf 21/10/22 RM7,590.50"/>
    <m/>
  </r>
  <r>
    <x v="260"/>
    <x v="5"/>
    <x v="3"/>
    <x v="352"/>
    <s v="C00000020"/>
    <x v="19"/>
    <s v="RA  Woven Roing 600 1120mm (45kg)"/>
    <n v="5"/>
    <s v="Cash"/>
    <n v="0"/>
    <d v="2022-10-22T00:00:00"/>
    <n v="10"/>
    <n v="2022"/>
    <n v="1462.5"/>
    <n v="-1462.5"/>
    <n v="0"/>
    <n v="1998604.850000001"/>
    <s v="Trsf"/>
    <s v="Trsf 21/10/22 RM7,590.50"/>
    <m/>
  </r>
  <r>
    <x v="260"/>
    <x v="5"/>
    <x v="3"/>
    <x v="353"/>
    <s v="C00000021"/>
    <x v="21"/>
    <s v="RA Resin 3317AW (220Kg)"/>
    <n v="1"/>
    <s v="Cash"/>
    <n v="0"/>
    <d v="2022-10-22T00:00:00"/>
    <n v="10"/>
    <n v="2022"/>
    <n v="1936"/>
    <n v="-1936"/>
    <n v="0"/>
    <n v="2000540.850000001"/>
    <s v="PD Chq"/>
    <s v="Chq PBB 395376, cleared070223 RM2,837.00"/>
    <m/>
  </r>
  <r>
    <x v="260"/>
    <x v="5"/>
    <x v="3"/>
    <x v="353"/>
    <s v="C00000021"/>
    <x v="21"/>
    <s v="RA CSM 450 79m(L) x 1040mm(W) (30Kg)"/>
    <n v="3"/>
    <s v="Cash"/>
    <n v="0"/>
    <d v="2022-10-22T00:00:00"/>
    <n v="10"/>
    <n v="2022"/>
    <n v="801"/>
    <n v="-801"/>
    <n v="0"/>
    <n v="2001341.850000001"/>
    <s v="PD Chq"/>
    <s v="Chq PBB 395376, cleared070223 RM2,837.00"/>
    <m/>
  </r>
  <r>
    <x v="260"/>
    <x v="5"/>
    <x v="3"/>
    <x v="353"/>
    <s v="C00000021"/>
    <x v="21"/>
    <s v="RJ Butonox M50 (5kg)"/>
    <n v="1"/>
    <s v="Cash"/>
    <n v="0"/>
    <d v="2022-10-22T00:00:00"/>
    <n v="10"/>
    <n v="2022"/>
    <n v="100"/>
    <n v="-100"/>
    <n v="0"/>
    <n v="2001441.850000001"/>
    <s v="PD Chq"/>
    <s v="Chq PBB 395376, cleared070223 RM2,837.00"/>
    <m/>
  </r>
  <r>
    <x v="261"/>
    <x v="5"/>
    <x v="3"/>
    <x v="354"/>
    <s v="C00000020"/>
    <x v="19"/>
    <s v="RA Talcum Powder (25kg)"/>
    <n v="4"/>
    <s v="Cash"/>
    <n v="0"/>
    <d v="2022-10-27T00:00:00"/>
    <n v="10"/>
    <n v="2022"/>
    <n v="250"/>
    <n v="-250"/>
    <n v="0"/>
    <n v="2001691.850000001"/>
    <s v="Trsf"/>
    <s v="Trsf 27/10/22 RM250.00"/>
    <m/>
  </r>
  <r>
    <x v="262"/>
    <x v="5"/>
    <x v="3"/>
    <x v="355"/>
    <s v="C00000020"/>
    <x v="19"/>
    <s v="RM Nor 3338W (220Kg)"/>
    <n v="15"/>
    <s v="Cash"/>
    <n v="0"/>
    <d v="2022-10-31T00:00:00"/>
    <n v="10"/>
    <n v="2022"/>
    <n v="27060"/>
    <n v="-27060"/>
    <n v="0"/>
    <n v="2028751.850000001"/>
    <s v="Trsf"/>
    <s v="Trsf 24/2/23 RM22,000.00(RM789.40), Trsf 27/2/23 RM11,000.00, Trsf 23/3/23 RM10,000.00, Trsf 29/3/23 RM34,000.00(RM5,270.60)"/>
    <m/>
  </r>
  <r>
    <x v="262"/>
    <x v="5"/>
    <x v="3"/>
    <x v="355"/>
    <s v="C00000020"/>
    <x v="19"/>
    <s v="RA CSM 450 79m(L) x 1040mm(W) (30Kg)"/>
    <n v="45"/>
    <s v="Cash"/>
    <n v="0"/>
    <d v="2022-10-31T00:00:00"/>
    <n v="10"/>
    <n v="2022"/>
    <n v="11340"/>
    <n v="-11340"/>
    <n v="0"/>
    <n v="2040091.850000001"/>
    <s v="Trsf"/>
    <s v="Trsf 29/3/23 RM34,000.00"/>
    <m/>
  </r>
  <r>
    <x v="262"/>
    <x v="5"/>
    <x v="3"/>
    <x v="355"/>
    <s v="C00000020"/>
    <x v="19"/>
    <s v="RA Woven Roving 600 1120mm (45kg)"/>
    <n v="7"/>
    <s v="Cash"/>
    <n v="0"/>
    <d v="2022-10-31T00:00:00"/>
    <n v="10"/>
    <n v="2022"/>
    <n v="2047.5"/>
    <n v="-2047.5"/>
    <n v="0"/>
    <n v="2042139.350000001"/>
    <s v="Trsf"/>
    <s v="Trsf 29/3/23 RM34,000.00"/>
    <m/>
  </r>
  <r>
    <x v="262"/>
    <x v="5"/>
    <x v="3"/>
    <x v="355"/>
    <s v="C00000020"/>
    <x v="19"/>
    <s v="RA Woven Roving 600 1000mm (40kg)"/>
    <n v="15"/>
    <s v="Cash"/>
    <n v="0"/>
    <d v="2022-10-31T00:00:00"/>
    <n v="10"/>
    <n v="2022"/>
    <n v="3900"/>
    <n v="-3900"/>
    <n v="0"/>
    <n v="2046039.350000001"/>
    <s v="Trsf"/>
    <s v="Trsf 29/3/23 RM34,000.00"/>
    <m/>
  </r>
  <r>
    <x v="262"/>
    <x v="5"/>
    <x v="3"/>
    <x v="355"/>
    <s v="C00000020"/>
    <x v="19"/>
    <s v="RA Talcum Powder (25kg)"/>
    <n v="15"/>
    <s v="Cash"/>
    <n v="0"/>
    <d v="2022-10-31T00:00:00"/>
    <n v="10"/>
    <n v="2022"/>
    <n v="937.5"/>
    <n v="-937.5"/>
    <n v="0"/>
    <n v="2046976.850000001"/>
    <s v="Trsf"/>
    <s v="Trsf 29/3/23 RM34,000.00"/>
    <m/>
  </r>
  <r>
    <x v="262"/>
    <x v="5"/>
    <x v="3"/>
    <x v="355"/>
    <s v="C00000020"/>
    <x v="19"/>
    <s v="RM Pigment Paste Smooth Cream M19 (25kg)"/>
    <n v="2"/>
    <s v="Cash"/>
    <n v="0"/>
    <d v="2022-10-31T00:00:00"/>
    <n v="10"/>
    <n v="2022"/>
    <n v="2000"/>
    <n v="-2000"/>
    <n v="0"/>
    <n v="2048976.850000001"/>
    <s v="Trsf"/>
    <s v="Trsf 29/3/23 RM34,000.00"/>
    <m/>
  </r>
  <r>
    <x v="262"/>
    <x v="5"/>
    <x v="3"/>
    <x v="355"/>
    <s v="C00000020"/>
    <x v="19"/>
    <s v="RJ Butanox M50 (5kg)"/>
    <n v="4"/>
    <s v="Cash"/>
    <n v="0"/>
    <d v="2022-10-31T00:00:00"/>
    <n v="10"/>
    <n v="2022"/>
    <n v="400"/>
    <n v="-400"/>
    <n v="0"/>
    <n v="2049376.850000001"/>
    <s v="Trsf"/>
    <s v="Trsf 29/3/23 RM34,000.00"/>
    <m/>
  </r>
  <r>
    <x v="262"/>
    <x v="5"/>
    <x v="3"/>
    <x v="356"/>
    <s v="C00000021"/>
    <x v="21"/>
    <s v="RA Resin 3317AW (220Kg)"/>
    <n v="1"/>
    <s v="Cash"/>
    <n v="0"/>
    <d v="2022-10-31T00:00:00"/>
    <n v="10"/>
    <n v="2022"/>
    <n v="1936"/>
    <n v="-1936"/>
    <n v="0"/>
    <n v="2051312.850000001"/>
    <s v="PD Chq"/>
    <s v="Chq PBB 395377, cleared160223 RM3,095.00)"/>
    <m/>
  </r>
  <r>
    <x v="262"/>
    <x v="5"/>
    <x v="3"/>
    <x v="356"/>
    <s v="C00000021"/>
    <x v="21"/>
    <s v="RM CSM 450 64m(L) 1040mm(W) (30Kg)"/>
    <n v="3"/>
    <s v="Cash"/>
    <n v="0"/>
    <d v="2022-10-31T00:00:00"/>
    <n v="10"/>
    <n v="2022"/>
    <n v="801"/>
    <n v="-801"/>
    <n v="0"/>
    <n v="2052113.850000001"/>
    <s v="PD Chq"/>
    <s v="Chq PBB 395377, cleared160223 RM3,095.00)"/>
    <m/>
  </r>
  <r>
    <x v="262"/>
    <x v="5"/>
    <x v="3"/>
    <x v="356"/>
    <s v="C00000021"/>
    <x v="21"/>
    <s v="RJ Butanox M50 (5kg)"/>
    <n v="1"/>
    <s v="Cash"/>
    <n v="0"/>
    <d v="2022-10-31T00:00:00"/>
    <n v="10"/>
    <n v="2022"/>
    <n v="100"/>
    <n v="-100"/>
    <n v="0"/>
    <n v="2052213.850000001"/>
    <s v="PD Chq"/>
    <s v="Chq PBB 395377, cleared160223 RM3,095.00)"/>
    <m/>
  </r>
  <r>
    <x v="262"/>
    <x v="5"/>
    <x v="3"/>
    <x v="356"/>
    <s v="C00000021"/>
    <x v="21"/>
    <s v="RM Gelcoat GSH (20Kg)"/>
    <n v="1"/>
    <s v="Cash"/>
    <n v="0"/>
    <d v="2022-10-31T00:00:00"/>
    <n v="10"/>
    <n v="2022"/>
    <n v="258"/>
    <n v="-258"/>
    <n v="0"/>
    <n v="2052471.850000001"/>
    <s v="PD Chq"/>
    <s v="Chq PBB 395377, cleared160223 RM3,095.00)"/>
    <m/>
  </r>
  <r>
    <x v="263"/>
    <x v="6"/>
    <x v="3"/>
    <x v="357"/>
    <s v="C00000004"/>
    <x v="3"/>
    <s v="RM Nor 3338W (220Kg)"/>
    <n v="5"/>
    <n v="120"/>
    <n v="120"/>
    <d v="2023-03-01T00:00:00"/>
    <n v="3"/>
    <n v="2023"/>
    <n v="9020"/>
    <n v="-9020"/>
    <n v="0"/>
    <n v="2061491.850000001"/>
    <s v="Chq"/>
    <s v="HLB016115Cleared22/2/23-RM10,824.00"/>
    <m/>
  </r>
  <r>
    <x v="263"/>
    <x v="6"/>
    <x v="3"/>
    <x v="357"/>
    <s v="C00000004"/>
    <x v="3"/>
    <s v="RM Nor 3338NW (220Kg)"/>
    <n v="1"/>
    <n v="120"/>
    <n v="120"/>
    <d v="2023-03-01T00:00:00"/>
    <n v="3"/>
    <n v="2023"/>
    <n v="1804"/>
    <n v="-1804"/>
    <n v="0"/>
    <n v="2063295.850000001"/>
    <s v="Chq"/>
    <s v="HLB016115Cleared22/2/23-RM10,824.00"/>
    <m/>
  </r>
  <r>
    <x v="263"/>
    <x v="6"/>
    <x v="3"/>
    <x v="358"/>
    <s v="C00000010"/>
    <x v="9"/>
    <s v="RA Resin 3338AW (220kg)"/>
    <n v="5"/>
    <n v="120"/>
    <n v="120"/>
    <d v="2023-03-01T00:00:00"/>
    <n v="3"/>
    <n v="2023"/>
    <n v="9020"/>
    <n v="-9020"/>
    <n v="0"/>
    <n v="2072315.850000001"/>
    <s v="Trsf"/>
    <s v="Trsf 24/2/23, RM22,670.50"/>
    <m/>
  </r>
  <r>
    <x v="263"/>
    <x v="6"/>
    <x v="3"/>
    <x v="358"/>
    <s v="C00000010"/>
    <x v="9"/>
    <s v="RA CSM 450 64m(L) 1040mm(W) (30Kg)"/>
    <n v="5"/>
    <n v="120"/>
    <n v="120"/>
    <d v="2023-03-01T00:00:00"/>
    <n v="3"/>
    <n v="2023"/>
    <n v="1245"/>
    <n v="-1245"/>
    <n v="0"/>
    <n v="2073560.850000001"/>
    <s v="Trsf"/>
    <s v="Trsf 24/2/23, RM22,670.50"/>
    <m/>
  </r>
  <r>
    <x v="263"/>
    <x v="6"/>
    <x v="3"/>
    <x v="358"/>
    <s v="C00000010"/>
    <x v="9"/>
    <s v="RA Talcum Powder (25kg)"/>
    <n v="10"/>
    <n v="120"/>
    <n v="120"/>
    <d v="2023-03-01T00:00:00"/>
    <n v="3"/>
    <n v="2023"/>
    <n v="575"/>
    <n v="-575"/>
    <n v="0"/>
    <n v="2074135.850000001"/>
    <s v="Trsf"/>
    <s v="Trsf 24/2/23, RM22,670.50"/>
    <m/>
  </r>
  <r>
    <x v="263"/>
    <x v="6"/>
    <x v="3"/>
    <x v="358"/>
    <s v="C00000010"/>
    <x v="9"/>
    <s v="RM Butanox M50 (5kg)"/>
    <n v="4"/>
    <n v="120"/>
    <n v="120"/>
    <d v="2023-03-01T00:00:00"/>
    <n v="3"/>
    <n v="2023"/>
    <n v="420"/>
    <n v="-420"/>
    <n v="0"/>
    <n v="2074555.850000001"/>
    <s v="Trsf"/>
    <s v="Trsf 24/2/23, RM22,670.50"/>
    <m/>
  </r>
  <r>
    <x v="264"/>
    <x v="6"/>
    <x v="3"/>
    <x v="359"/>
    <s v="C00000009"/>
    <x v="8"/>
    <s v="RM Nor 3338W (220Kg)"/>
    <n v="2"/>
    <n v="60"/>
    <n v="60"/>
    <d v="2023-01-02T00:00:00"/>
    <n v="1"/>
    <n v="2023"/>
    <n v="3608"/>
    <n v="-3608"/>
    <n v="0"/>
    <n v="2078163.850000001"/>
    <s v="Chq"/>
    <s v="Chq HL 019025 dd 27/3/23"/>
    <m/>
  </r>
  <r>
    <x v="264"/>
    <x v="6"/>
    <x v="3"/>
    <x v="359"/>
    <s v="C00000009"/>
    <x v="8"/>
    <s v="RM CSM 450 64m(L) X 1860mm(W) (54kg)"/>
    <n v="1"/>
    <n v="60"/>
    <n v="60"/>
    <d v="2023-01-02T00:00:00"/>
    <n v="1"/>
    <n v="2023"/>
    <n v="437.4"/>
    <n v="-437.4"/>
    <n v="0"/>
    <n v="2078601.2500000009"/>
    <s v="Chq"/>
    <s v="Chq HL 019025 dd 27/3/23"/>
    <m/>
  </r>
  <r>
    <x v="264"/>
    <x v="6"/>
    <x v="3"/>
    <x v="359"/>
    <s v="C00000009"/>
    <x v="8"/>
    <s v="RA CSM 300 96m(L) X 1860mm(W) (54Kg)"/>
    <n v="1"/>
    <n v="60"/>
    <n v="60"/>
    <d v="2023-01-02T00:00:00"/>
    <n v="1"/>
    <n v="2023"/>
    <n v="437.4"/>
    <n v="-437.4"/>
    <n v="0"/>
    <n v="2079038.6500000008"/>
    <s v="Chq"/>
    <s v="Chq HL 019025 dd 27/3/23"/>
    <m/>
  </r>
  <r>
    <x v="265"/>
    <x v="6"/>
    <x v="3"/>
    <x v="360"/>
    <s v="C00000020"/>
    <x v="19"/>
    <s v="RJ Mepoxe (5kg)"/>
    <n v="4"/>
    <s v="Cash"/>
    <n v="0"/>
    <d v="2022-11-04T00:00:00"/>
    <n v="11"/>
    <n v="2022"/>
    <n v="360"/>
    <n v="-360"/>
    <n v="0"/>
    <n v="2079398.6500000008"/>
    <s v="Trsf"/>
    <s v="Trsf 4/11/22 RM403.80"/>
    <m/>
  </r>
  <r>
    <x v="265"/>
    <x v="6"/>
    <x v="3"/>
    <x v="360"/>
    <s v="C00000020"/>
    <x v="19"/>
    <s v="Transportation fee "/>
    <n v="1"/>
    <s v="Cash"/>
    <n v="0"/>
    <d v="2022-11-04T00:00:00"/>
    <n v="11"/>
    <n v="2022"/>
    <n v="43.8"/>
    <n v="-43.8"/>
    <n v="0"/>
    <n v="2079442.4500000009"/>
    <s v="Trsf"/>
    <s v="Trsf 4/11/22 RM403.80"/>
    <m/>
  </r>
  <r>
    <x v="266"/>
    <x v="6"/>
    <x v="3"/>
    <x v="361"/>
    <s v="C00000031"/>
    <x v="31"/>
    <s v="RM Nor 3338W (20Kg)"/>
    <n v="1"/>
    <s v="Cash"/>
    <n v="0"/>
    <d v="2022-11-05T00:00:00"/>
    <n v="11"/>
    <n v="2022"/>
    <n v="260"/>
    <n v="-260"/>
    <n v="0"/>
    <n v="2079702.4500000009"/>
    <s v="Trsf"/>
    <s v="Bank in Cash RM892.60 - 9/11/22"/>
    <m/>
  </r>
  <r>
    <x v="266"/>
    <x v="6"/>
    <x v="3"/>
    <x v="361"/>
    <s v="C00000031"/>
    <x v="31"/>
    <s v="RM CSM 450 64m(L) X 1860mm(W) (54kg)"/>
    <n v="1"/>
    <s v="Cash"/>
    <n v="0"/>
    <d v="2022-11-05T00:00:00"/>
    <n v="11"/>
    <n v="2022"/>
    <n v="534.6"/>
    <n v="-534.6"/>
    <n v="0"/>
    <n v="2080237.050000001"/>
    <s v="Trsf"/>
    <s v="Bank in Cash RM892.60 - 9/11/22"/>
    <m/>
  </r>
  <r>
    <x v="266"/>
    <x v="6"/>
    <x v="3"/>
    <x v="361"/>
    <s v="C00000031"/>
    <x v="31"/>
    <s v="RJ Mepoxe (5kg)"/>
    <n v="1"/>
    <s v="Cash"/>
    <n v="0"/>
    <d v="2022-11-05T00:00:00"/>
    <n v="11"/>
    <n v="2022"/>
    <n v="98"/>
    <n v="-98"/>
    <n v="0"/>
    <n v="2080335.050000001"/>
    <s v="Trsf"/>
    <s v="Bank in Cash RM892.60 - 9/11/22"/>
    <m/>
  </r>
  <r>
    <x v="267"/>
    <x v="6"/>
    <x v="3"/>
    <x v="362"/>
    <s v="C00000022"/>
    <x v="23"/>
    <s v="RM Acetone (163Kg)"/>
    <n v="1"/>
    <s v="Cash"/>
    <n v="0"/>
    <d v="2022-11-07T00:00:00"/>
    <n v="11"/>
    <n v="2022"/>
    <n v="1141"/>
    <n v="-1141"/>
    <n v="0"/>
    <n v="2081476.050000001"/>
    <s v="Trsf"/>
    <s v="Trsf 20/12/22 RM1,409.00"/>
    <m/>
  </r>
  <r>
    <x v="267"/>
    <x v="6"/>
    <x v="3"/>
    <x v="362"/>
    <s v="C00000022"/>
    <x v="23"/>
    <s v="RM Pigment Super Black (5Kg)"/>
    <n v="1"/>
    <s v="Cash"/>
    <n v="0"/>
    <d v="2022-11-07T00:00:00"/>
    <n v="11"/>
    <n v="2022"/>
    <n v="175"/>
    <n v="-175"/>
    <n v="0"/>
    <n v="2081651.050000001"/>
    <s v="Trsf"/>
    <s v="Trsf 20/12/22 RM1,409.00"/>
    <m/>
  </r>
  <r>
    <x v="268"/>
    <x v="6"/>
    <x v="3"/>
    <x v="363"/>
    <s v="C00000030"/>
    <x v="32"/>
    <s v="RM Resin 3338W (22.50kg)"/>
    <n v="4"/>
    <s v="Cash"/>
    <n v="0"/>
    <d v="2022-11-08T00:00:00"/>
    <n v="11"/>
    <n v="2022"/>
    <n v="1170"/>
    <n v="-1170"/>
    <n v="0"/>
    <n v="2082821.050000001"/>
    <s v="Trsf"/>
    <s v="Trsf 9/11/22 RM4,373.00"/>
    <m/>
  </r>
  <r>
    <x v="268"/>
    <x v="6"/>
    <x v="3"/>
    <x v="363"/>
    <s v="C00000030"/>
    <x v="32"/>
    <s v="RM VE Resin (22.50kg)"/>
    <n v="4"/>
    <s v="Cash"/>
    <n v="0"/>
    <d v="2022-11-08T00:00:00"/>
    <n v="11"/>
    <n v="2022"/>
    <n v="2250"/>
    <n v="-2250"/>
    <n v="0"/>
    <n v="2085071.050000001"/>
    <s v="Trsf"/>
    <s v="Trsf 9/11/22 RM4,373.00"/>
    <m/>
  </r>
  <r>
    <x v="268"/>
    <x v="6"/>
    <x v="3"/>
    <x v="363"/>
    <s v="C00000030"/>
    <x v="32"/>
    <s v="RM CSM 450 GSM 1040mm (30kg)"/>
    <n v="3"/>
    <s v="Cash"/>
    <n v="0"/>
    <d v="2022-11-08T00:00:00"/>
    <n v="11"/>
    <n v="2022"/>
    <n v="855"/>
    <n v="-855"/>
    <n v="0"/>
    <n v="2085926.050000001"/>
    <s v="Trsf"/>
    <s v="Trsf 9/11/22 RM4,373.00"/>
    <m/>
  </r>
  <r>
    <x v="268"/>
    <x v="6"/>
    <x v="3"/>
    <x v="363"/>
    <s v="C00000030"/>
    <x v="32"/>
    <s v="RA Mepoxe (5kg)"/>
    <n v="1"/>
    <s v="Cash"/>
    <n v="0"/>
    <d v="2022-11-08T00:00:00"/>
    <n v="11"/>
    <n v="2022"/>
    <n v="98"/>
    <n v="-98"/>
    <n v="0"/>
    <n v="2086024.050000001"/>
    <s v="Trsf"/>
    <s v="Trsf 9/11/22 RM4,373.00"/>
    <m/>
  </r>
  <r>
    <x v="269"/>
    <x v="6"/>
    <x v="3"/>
    <x v="364"/>
    <s v="C00000021"/>
    <x v="21"/>
    <s v="RA Resin 3317AW (220Kg)"/>
    <n v="1"/>
    <s v="Cash"/>
    <n v="0"/>
    <d v="2022-11-09T00:00:00"/>
    <n v="11"/>
    <n v="2022"/>
    <n v="1936"/>
    <n v="-1936"/>
    <n v="0"/>
    <n v="2087960.050000001"/>
    <s v="PD Chq"/>
    <s v="Chq PBB 395378, cleared100323 RM3,094.00)"/>
    <m/>
  </r>
  <r>
    <x v="269"/>
    <x v="6"/>
    <x v="3"/>
    <x v="364"/>
    <s v="C00000021"/>
    <x v="21"/>
    <s v="RM CSM 450 64m(L) 1040mm(W) (30Kg)"/>
    <n v="4"/>
    <s v="Cash"/>
    <n v="0"/>
    <d v="2022-11-09T00:00:00"/>
    <n v="11"/>
    <n v="2022"/>
    <n v="1068"/>
    <n v="-1068"/>
    <n v="0"/>
    <n v="2089028.050000001"/>
    <s v="PD Chq"/>
    <s v="Chq PBB 395378, cleared100323 RM3,094.00)"/>
    <m/>
  </r>
  <r>
    <x v="269"/>
    <x v="6"/>
    <x v="3"/>
    <x v="364"/>
    <s v="C00000021"/>
    <x v="21"/>
    <s v="RJ Mepoxe (5kg)"/>
    <n v="1"/>
    <s v="Cash"/>
    <n v="0"/>
    <d v="2022-11-09T00:00:00"/>
    <n v="11"/>
    <n v="2022"/>
    <n v="90"/>
    <n v="-90"/>
    <n v="0"/>
    <n v="2089118.050000001"/>
    <s v="PD Chq"/>
    <s v="Chq PBB 395378, cleared100323 RM3,094.00)"/>
    <m/>
  </r>
  <r>
    <x v="270"/>
    <x v="6"/>
    <x v="3"/>
    <x v="365"/>
    <s v="C00000020"/>
    <x v="19"/>
    <s v="RM Nor 3338W (220Kg)"/>
    <n v="5"/>
    <s v="Cash"/>
    <n v="0"/>
    <d v="2022-11-11T00:00:00"/>
    <n v="11"/>
    <n v="2022"/>
    <n v="9020"/>
    <n v="-9020"/>
    <n v="0"/>
    <n v="2098138.0500000007"/>
    <s v="Trsf"/>
    <s v="Trsf 29/3/23 RM34,000.00(RM8,104.40), Trsf 14/4/23 RM5,000.00(RM915.60)"/>
    <m/>
  </r>
  <r>
    <x v="270"/>
    <x v="6"/>
    <x v="3"/>
    <x v="365"/>
    <s v="C00000020"/>
    <x v="19"/>
    <s v="RA CSM 450 79m(L) x 1040mm(W) (30Kg)"/>
    <n v="12"/>
    <s v="Cash"/>
    <n v="0"/>
    <d v="2022-11-11T00:00:00"/>
    <n v="11"/>
    <n v="2022"/>
    <n v="3024"/>
    <n v="-3024"/>
    <n v="0"/>
    <n v="2101162.0500000007"/>
    <s v="Trsf"/>
    <s v="Trsf 14/4/23 RM5,000.00(RM3,024.00)"/>
    <m/>
  </r>
  <r>
    <x v="270"/>
    <x v="6"/>
    <x v="3"/>
    <x v="365"/>
    <s v="C00000020"/>
    <x v="19"/>
    <s v="RA Woven Roving 600 1120mm (45kg)"/>
    <n v="4"/>
    <s v="Cash"/>
    <n v="0"/>
    <d v="2022-11-11T00:00:00"/>
    <n v="11"/>
    <n v="2022"/>
    <n v="1170"/>
    <n v="-1170"/>
    <n v="0"/>
    <n v="2102332.0500000007"/>
    <s v="Trsf"/>
    <s v="Trsf 14/4/23 RM5,000.00(RM1,060.40), Trsf 17/4/23 RM15,000.00(RM109.60)"/>
    <m/>
  </r>
  <r>
    <x v="270"/>
    <x v="6"/>
    <x v="3"/>
    <x v="365"/>
    <s v="C00000020"/>
    <x v="19"/>
    <s v="RA Talcum Powder (25kg)"/>
    <n v="5"/>
    <s v="Cash"/>
    <n v="0"/>
    <d v="2022-11-11T00:00:00"/>
    <n v="11"/>
    <n v="2022"/>
    <n v="312.5"/>
    <n v="-312.5"/>
    <n v="0"/>
    <n v="2102644.5500000007"/>
    <s v="Trsf"/>
    <s v="Trsf 17/4/23 RM15,000.00(RM312.50)"/>
    <m/>
  </r>
  <r>
    <x v="270"/>
    <x v="6"/>
    <x v="3"/>
    <x v="365"/>
    <s v="C00000020"/>
    <x v="19"/>
    <s v="RM Pigment Paste Smooth Cream M19 (25kg)"/>
    <n v="1"/>
    <s v="Cash"/>
    <n v="0"/>
    <d v="2022-11-11T00:00:00"/>
    <n v="11"/>
    <n v="2022"/>
    <n v="1000"/>
    <n v="-1000"/>
    <n v="0"/>
    <n v="2103644.5500000007"/>
    <s v="Trsf"/>
    <s v="Trsf 17/4/23 RM15,000.00(RM1,000.00)"/>
    <m/>
  </r>
  <r>
    <x v="270"/>
    <x v="6"/>
    <x v="3"/>
    <x v="365"/>
    <s v="C00000020"/>
    <x v="19"/>
    <s v="RJ Mepoxe (5kg)"/>
    <n v="4"/>
    <s v="Cash"/>
    <n v="0"/>
    <d v="2022-11-11T00:00:00"/>
    <n v="11"/>
    <n v="2022"/>
    <n v="360"/>
    <n v="-360"/>
    <n v="0"/>
    <n v="2104004.5500000007"/>
    <s v="Trsf"/>
    <s v="Trsf 17/4/23 RM15,000.00(RM360.00)"/>
    <m/>
  </r>
  <r>
    <x v="271"/>
    <x v="6"/>
    <x v="3"/>
    <x v="366"/>
    <s v="C00000027"/>
    <x v="28"/>
    <s v="RM Resin 3317AW (220Kg)"/>
    <n v="4"/>
    <s v="Cash"/>
    <n v="0"/>
    <d v="2022-11-14T00:00:00"/>
    <n v="11"/>
    <n v="2022"/>
    <n v="7920"/>
    <n v="-7920"/>
    <n v="0"/>
    <n v="2111924.5500000007"/>
    <s v="Trsf"/>
    <s v="Bank Islam 164701 Cleared 4/4/23, RM14,564.60"/>
    <m/>
  </r>
  <r>
    <x v="271"/>
    <x v="6"/>
    <x v="3"/>
    <x v="366"/>
    <s v="C00000027"/>
    <x v="28"/>
    <s v="RM CSM 450 64m(L) X 1860mm(W) (54kg)"/>
    <n v="2"/>
    <s v="Cash"/>
    <n v="0"/>
    <d v="2022-11-14T00:00:00"/>
    <n v="11"/>
    <n v="2022"/>
    <n v="993.6"/>
    <n v="-993.6"/>
    <n v="0"/>
    <n v="2112918.1500000008"/>
    <s v="Trsf"/>
    <s v="Bank Islam 164701 Cleared 4/4/23, RM14,564.60"/>
    <m/>
  </r>
  <r>
    <x v="271"/>
    <x v="6"/>
    <x v="3"/>
    <x v="366"/>
    <s v="C00000027"/>
    <x v="28"/>
    <s v="RM CSM 300 96m(L) X 1860mm(W) (54Kg)"/>
    <n v="2"/>
    <s v="Cash"/>
    <n v="0"/>
    <d v="2022-11-14T00:00:00"/>
    <n v="11"/>
    <n v="2022"/>
    <n v="993.6"/>
    <n v="-993.6"/>
    <n v="0"/>
    <n v="2113911.7500000009"/>
    <s v="Trsf"/>
    <s v="Bank Islam 164701 Cleared 4/4/23, RM14,564.60"/>
    <m/>
  </r>
  <r>
    <x v="271"/>
    <x v="6"/>
    <x v="3"/>
    <x v="366"/>
    <s v="C00000027"/>
    <x v="28"/>
    <s v="RA Woven Roing 600 1120mm (45kg)"/>
    <n v="1"/>
    <s v="Cash"/>
    <n v="0"/>
    <d v="2022-11-14T00:00:00"/>
    <n v="11"/>
    <n v="2022"/>
    <n v="315"/>
    <n v="-315"/>
    <n v="0"/>
    <n v="2114226.7500000009"/>
    <s v="Trsf"/>
    <s v="Bank Islam 164701 Cleared 4/4/23, RM14,564.60"/>
    <m/>
  </r>
  <r>
    <x v="271"/>
    <x v="6"/>
    <x v="3"/>
    <x v="366"/>
    <s v="C00000027"/>
    <x v="28"/>
    <s v="RM Pigment Super White (5Kg)"/>
    <n v="4"/>
    <s v="Cash"/>
    <n v="0"/>
    <d v="2022-11-14T00:00:00"/>
    <n v="11"/>
    <n v="2022"/>
    <n v="640"/>
    <n v="-640"/>
    <n v="0"/>
    <n v="2114866.7500000009"/>
    <s v="Trsf"/>
    <s v="Bank Islam 164701 Cleared 4/4/23, RM14,564.60"/>
    <m/>
  </r>
  <r>
    <x v="271"/>
    <x v="6"/>
    <x v="3"/>
    <x v="366"/>
    <s v="C00000027"/>
    <x v="28"/>
    <s v="RJ Mepoxe (5kg)"/>
    <n v="4"/>
    <s v="Cash"/>
    <n v="0"/>
    <d v="2022-11-14T00:00:00"/>
    <n v="11"/>
    <n v="2022"/>
    <n v="360"/>
    <n v="-360"/>
    <n v="0"/>
    <n v="2115226.7500000009"/>
    <s v="Trsf"/>
    <s v="Bank Islam 164701 Cleared 4/4/23, RM14,564.60"/>
    <m/>
  </r>
  <r>
    <x v="271"/>
    <x v="6"/>
    <x v="3"/>
    <x v="366"/>
    <s v="C00000027"/>
    <x v="28"/>
    <s v="RM TR104 Hi Temp Wax (12Can)"/>
    <n v="6"/>
    <s v="Cash"/>
    <n v="0"/>
    <d v="2022-11-14T00:00:00"/>
    <n v="11"/>
    <n v="2022"/>
    <n v="270"/>
    <n v="-270"/>
    <n v="0"/>
    <n v="2115496.7500000009"/>
    <s v="Trsf"/>
    <s v="Bank Islam 164701 Cleared 4/4/23, RM14,564.60"/>
    <m/>
  </r>
  <r>
    <x v="271"/>
    <x v="6"/>
    <x v="3"/>
    <x v="366"/>
    <s v="C00000027"/>
    <x v="28"/>
    <s v="RM Fume Silica HJSIL 200(10Kg)"/>
    <n v="1"/>
    <s v="Cash"/>
    <n v="0"/>
    <d v="2022-11-14T00:00:00"/>
    <n v="11"/>
    <n v="2022"/>
    <n v="440"/>
    <n v="-440"/>
    <n v="0"/>
    <n v="2115936.7500000009"/>
    <s v="Trsf"/>
    <s v="Bank Islam 164701 Cleared 4/4/23, RM14,564.60"/>
    <m/>
  </r>
  <r>
    <x v="271"/>
    <x v="6"/>
    <x v="3"/>
    <x v="366"/>
    <s v="C00000027"/>
    <x v="28"/>
    <s v="RM Gelcoat GPH (20kg)"/>
    <n v="6"/>
    <s v="Cash"/>
    <n v="0"/>
    <d v="2022-11-14T00:00:00"/>
    <n v="11"/>
    <n v="2022"/>
    <n v="1524"/>
    <n v="-1524"/>
    <n v="0"/>
    <n v="2117460.7500000009"/>
    <s v="Trsf"/>
    <s v="Bank Islam 164701 Cleared 4/4/23, RM14,564.60"/>
    <m/>
  </r>
  <r>
    <x v="271"/>
    <x v="6"/>
    <x v="3"/>
    <x v="366"/>
    <s v="C00000027"/>
    <x v="28"/>
    <s v="RM Acetone (163Kg)"/>
    <n v="1"/>
    <s v="Cash"/>
    <n v="0"/>
    <d v="2022-11-14T00:00:00"/>
    <n v="11"/>
    <n v="2022"/>
    <n v="1108.4000000000001"/>
    <n v="-1108.4000000000001"/>
    <n v="0"/>
    <n v="2118569.1500000008"/>
    <s v="Trsf"/>
    <s v="Bank Islam 164701 Cleared 4/4/23, RM14,564.60"/>
    <m/>
  </r>
  <r>
    <x v="272"/>
    <x v="6"/>
    <x v="3"/>
    <x v="367"/>
    <s v="C00000019"/>
    <x v="18"/>
    <s v="RM Nor 3338W (220Kg)"/>
    <n v="2"/>
    <s v="Cash"/>
    <n v="0"/>
    <d v="2022-11-15T00:00:00"/>
    <n v="11"/>
    <n v="2022"/>
    <n v="3872"/>
    <n v="-3872"/>
    <n v="0"/>
    <n v="2122441.1500000008"/>
    <s v="Trsf"/>
    <s v="Trsf 14/12/22 RM1,500.00, Trsf 21/12/22 RM1,500.00,  Trsf 15/1/23 RM2,000.00(RM872.00)"/>
    <m/>
  </r>
  <r>
    <x v="272"/>
    <x v="6"/>
    <x v="3"/>
    <x v="367"/>
    <s v="C00000019"/>
    <x v="18"/>
    <s v="RM CSM 450 64m(L) X 1860mm(W) (54kg)"/>
    <n v="2"/>
    <s v="Cash"/>
    <n v="0"/>
    <d v="2022-11-15T00:00:00"/>
    <n v="11"/>
    <n v="2022"/>
    <n v="961.2"/>
    <n v="-961.2"/>
    <n v="0"/>
    <n v="2123402.350000001"/>
    <s v="Trsf"/>
    <s v="Trsf 15/1/23 RM2,000.00"/>
    <m/>
  </r>
  <r>
    <x v="272"/>
    <x v="6"/>
    <x v="3"/>
    <x v="367"/>
    <s v="C00000019"/>
    <x v="18"/>
    <s v="RE Frekote 770NC (1 Gallon)"/>
    <n v="1"/>
    <s v="Cash"/>
    <n v="0"/>
    <d v="2022-11-15T00:00:00"/>
    <n v="11"/>
    <n v="2022"/>
    <n v="450"/>
    <n v="-450"/>
    <n v="0"/>
    <n v="2123852.350000001"/>
    <s v="Trsf"/>
    <s v="Trsf 15/1/23 RM2,000.00(RM166.80),  Trsf 20/1/23 RM2,000.00(RM283.20)"/>
    <m/>
  </r>
  <r>
    <x v="273"/>
    <x v="6"/>
    <x v="3"/>
    <x v="368"/>
    <s v="C00000019"/>
    <x v="18"/>
    <s v="RA Butanox M50 (5kg)"/>
    <n v="1"/>
    <s v="Cash"/>
    <n v="0"/>
    <d v="2022-11-17T00:00:00"/>
    <n v="11"/>
    <n v="2022"/>
    <n v="105"/>
    <n v="-105"/>
    <n v="0"/>
    <n v="2123957.350000001"/>
    <s v="Trsf"/>
    <s v="Trsf 20/1/23 RM2,000.00"/>
    <m/>
  </r>
  <r>
    <x v="274"/>
    <x v="6"/>
    <x v="3"/>
    <x v="369"/>
    <s v="C00000001"/>
    <x v="0"/>
    <s v="RM Resin 3317AW (220Kg)"/>
    <n v="1"/>
    <s v="Cash"/>
    <n v="0"/>
    <d v="2022-11-22T00:00:00"/>
    <n v="11"/>
    <n v="2022"/>
    <n v="1936"/>
    <n v="-1936"/>
    <n v="0"/>
    <n v="2125893.350000001"/>
    <s v="Trsf"/>
    <s v="Trsf 2/12/22"/>
    <m/>
  </r>
  <r>
    <x v="274"/>
    <x v="6"/>
    <x v="3"/>
    <x v="370"/>
    <s v="C00000031"/>
    <x v="31"/>
    <s v="RM Nor 3338W (20Kg)"/>
    <n v="3"/>
    <s v="Cash"/>
    <n v="0"/>
    <d v="2022-11-22T00:00:00"/>
    <n v="11"/>
    <n v="2022"/>
    <n v="780"/>
    <n v="-780"/>
    <n v="0"/>
    <n v="2126673.350000001"/>
    <s v="Trsf"/>
    <s v="Bank in Cash RM780.00 - 23/11/22"/>
    <m/>
  </r>
  <r>
    <x v="274"/>
    <x v="6"/>
    <x v="3"/>
    <x v="371"/>
    <s v="C00000020"/>
    <x v="19"/>
    <s v="RM Nor 3338W (220Kg)"/>
    <n v="6"/>
    <s v="Cash"/>
    <n v="0"/>
    <d v="2022-11-22T00:00:00"/>
    <n v="11"/>
    <n v="2022"/>
    <n v="10824"/>
    <n v="-10824"/>
    <n v="0"/>
    <n v="2137497.350000001"/>
    <s v="Trsf"/>
    <s v="Trsf 17/4/23 RM15,000.00(RM10,824.00)"/>
    <m/>
  </r>
  <r>
    <x v="274"/>
    <x v="6"/>
    <x v="3"/>
    <x v="371"/>
    <s v="C00000020"/>
    <x v="19"/>
    <s v="RA CSM 450 79m(L) x 1040mm(W) (30Kg)"/>
    <n v="12"/>
    <s v="Cash"/>
    <n v="0"/>
    <d v="2022-11-22T00:00:00"/>
    <n v="11"/>
    <n v="2022"/>
    <n v="3024"/>
    <n v="-3024"/>
    <n v="0"/>
    <n v="2140521.350000001"/>
    <s v="Trsf"/>
    <s v="Trsf 17/4/23 RM15,000.00(RM2,393.90), Trsf 20/4/23 RM10,000.00(RM630.10)"/>
    <m/>
  </r>
  <r>
    <x v="274"/>
    <x v="6"/>
    <x v="3"/>
    <x v="371"/>
    <s v="C00000020"/>
    <x v="19"/>
    <s v="RM Woven Roving 600 1000mm (40Kg)"/>
    <n v="6"/>
    <s v="Cash"/>
    <n v="0"/>
    <d v="2022-11-22T00:00:00"/>
    <n v="11"/>
    <n v="2022"/>
    <n v="1560"/>
    <n v="-1560"/>
    <n v="0"/>
    <n v="2142081.350000001"/>
    <s v="Trsf"/>
    <s v="Trsf 20/4/23 RM10,000.00(RM1,560.00)"/>
    <m/>
  </r>
  <r>
    <x v="274"/>
    <x v="6"/>
    <x v="3"/>
    <x v="371"/>
    <s v="C00000020"/>
    <x v="19"/>
    <s v="RA Talcum Powder (25Kg)"/>
    <n v="6"/>
    <s v="Cash"/>
    <n v="0"/>
    <d v="2022-11-22T00:00:00"/>
    <n v="11"/>
    <n v="2022"/>
    <n v="375"/>
    <n v="-375"/>
    <n v="0"/>
    <n v="2142456.350000001"/>
    <s v="Trsf"/>
    <s v="Trsf 20/4/23 RM10,000.00(RM375.00)"/>
    <m/>
  </r>
  <r>
    <x v="274"/>
    <x v="6"/>
    <x v="3"/>
    <x v="371"/>
    <s v="C00000020"/>
    <x v="19"/>
    <s v="RM Pigment Paste Smooth Cream M19 (25Kg)"/>
    <n v="1"/>
    <s v="Cash"/>
    <n v="0"/>
    <d v="2022-11-22T00:00:00"/>
    <n v="11"/>
    <n v="2022"/>
    <n v="1000"/>
    <n v="-1000"/>
    <n v="0"/>
    <n v="2143456.350000001"/>
    <s v="Trsf"/>
    <s v="Trsf 20/4/23 RM10,000.00(RM1,000.00)"/>
    <m/>
  </r>
  <r>
    <x v="274"/>
    <x v="6"/>
    <x v="3"/>
    <x v="371"/>
    <s v="C00000020"/>
    <x v="19"/>
    <s v="RM MEKP-9 (3.6Kg)"/>
    <n v="6"/>
    <s v="Cash"/>
    <n v="0"/>
    <d v="2022-11-22T00:00:00"/>
    <n v="11"/>
    <n v="2022"/>
    <n v="453.59999999999997"/>
    <n v="-453.59999999999997"/>
    <n v="0"/>
    <n v="2143909.9500000011"/>
    <s v="Trsf"/>
    <s v="Trsf 20/4/23 RM10,000.00(RM453.60)"/>
    <m/>
  </r>
  <r>
    <x v="275"/>
    <x v="6"/>
    <x v="3"/>
    <x v="372"/>
    <s v="C00000003"/>
    <x v="2"/>
    <s v="RA Resin 3317AW (220Kg)"/>
    <n v="3"/>
    <n v="45"/>
    <n v="45"/>
    <d v="2023-01-13T00:00:00"/>
    <n v="1"/>
    <n v="2023"/>
    <n v="5808"/>
    <n v="-5808"/>
    <n v="0"/>
    <n v="2149717.9500000011"/>
    <s v="PD Chq"/>
    <s v="RHB 00570 16/1/23cleared-RM2,000.00, RHB 00571 25/1/23cleared-RM2,000.00, RHB 00572 30/1/23cleared-RM2,000.00"/>
    <m/>
  </r>
  <r>
    <x v="275"/>
    <x v="6"/>
    <x v="3"/>
    <x v="372"/>
    <s v="C00000003"/>
    <x v="2"/>
    <s v="RA CSM 300 (30Kg) 64m(L) x 1040mm(W)"/>
    <n v="1"/>
    <n v="45"/>
    <n v="45"/>
    <d v="2023-01-13T00:00:00"/>
    <n v="1"/>
    <n v="2023"/>
    <n v="306"/>
    <n v="-306"/>
    <n v="0"/>
    <n v="2150023.9500000011"/>
    <s v="PD Chq"/>
    <s v="RHB 00570 16/1/23cleared-RM2,000.00, RHB 00571 25/1/23cleared-RM2,000.00, RHB 00572 30/1/23cleared-RM2,000.00(RM192.00), RHB 00573 13/2/23cleared-RM1,219.00(RM114.00)"/>
    <m/>
  </r>
  <r>
    <x v="275"/>
    <x v="6"/>
    <x v="3"/>
    <x v="372"/>
    <s v="C00000003"/>
    <x v="2"/>
    <s v="RA Talcum Powder (25kg)"/>
    <n v="5"/>
    <n v="45"/>
    <n v="45"/>
    <d v="2023-01-13T00:00:00"/>
    <n v="1"/>
    <n v="2023"/>
    <n v="325"/>
    <n v="-325"/>
    <n v="0"/>
    <n v="2150348.9500000011"/>
    <s v="PD Chq"/>
    <s v="RHB 00573 13/2/23cleared-RM1,219.00(RM325.00)"/>
    <m/>
  </r>
  <r>
    <x v="275"/>
    <x v="6"/>
    <x v="3"/>
    <x v="372"/>
    <s v="C00000003"/>
    <x v="2"/>
    <s v="RA Butanox M50 (5Kg)"/>
    <n v="6"/>
    <n v="45"/>
    <n v="45"/>
    <d v="2023-01-13T00:00:00"/>
    <n v="1"/>
    <n v="2023"/>
    <n v="630"/>
    <n v="-630"/>
    <n v="0"/>
    <n v="2150978.9500000011"/>
    <s v="PD Chq"/>
    <s v="RHB 00573 13/2/23cleared-RM1,219.00(RM630.00)"/>
    <m/>
  </r>
  <r>
    <x v="275"/>
    <x v="6"/>
    <x v="3"/>
    <x v="372"/>
    <s v="C00000003"/>
    <x v="2"/>
    <s v="RM TR104 Hi Temp Wax"/>
    <n v="3"/>
    <n v="45"/>
    <n v="45"/>
    <d v="2023-01-13T00:00:00"/>
    <n v="1"/>
    <n v="2023"/>
    <n v="150"/>
    <n v="-150"/>
    <n v="0"/>
    <n v="2151128.9500000011"/>
    <s v="PD Chq"/>
    <s v="RHB 00573 13/2/23cleared-RM1,219.00(RM150.00)"/>
    <m/>
  </r>
  <r>
    <x v="275"/>
    <x v="6"/>
    <x v="3"/>
    <x v="373"/>
    <s v="C00000010"/>
    <x v="9"/>
    <s v="RA Resin 3338AW (220kg)"/>
    <n v="5"/>
    <n v="120"/>
    <n v="120"/>
    <d v="2023-03-29T00:00:00"/>
    <n v="3"/>
    <n v="2023"/>
    <n v="9020"/>
    <n v="-9020"/>
    <n v="0"/>
    <n v="2160148.9500000011"/>
    <s v="Trsf"/>
    <s v="Trsf 24/2/23, RM22,670.50"/>
    <m/>
  </r>
  <r>
    <x v="275"/>
    <x v="6"/>
    <x v="3"/>
    <x v="373"/>
    <s v="C00000010"/>
    <x v="9"/>
    <s v="RA CSM 450 64m(L) 1040mm(W) (30Kg)"/>
    <n v="5"/>
    <n v="120"/>
    <n v="120"/>
    <d v="2023-03-29T00:00:00"/>
    <n v="3"/>
    <n v="2023"/>
    <n v="1245"/>
    <n v="-1245"/>
    <n v="0"/>
    <n v="2161393.9500000011"/>
    <s v="Trsf"/>
    <s v="Trsf 24/2/23, RM22,670.50"/>
    <m/>
  </r>
  <r>
    <x v="275"/>
    <x v="6"/>
    <x v="3"/>
    <x v="373"/>
    <s v="C00000010"/>
    <x v="9"/>
    <s v="RM Talcum Powder (25kg)"/>
    <n v="5"/>
    <n v="120"/>
    <n v="120"/>
    <d v="2023-03-29T00:00:00"/>
    <n v="3"/>
    <n v="2023"/>
    <n v="287.5"/>
    <n v="-287.5"/>
    <n v="0"/>
    <n v="2161681.4500000011"/>
    <s v="Trsf"/>
    <s v="Trsf 24/2/23, RM22,670.50"/>
    <m/>
  </r>
  <r>
    <x v="275"/>
    <x v="6"/>
    <x v="3"/>
    <x v="373"/>
    <s v="C00000010"/>
    <x v="9"/>
    <s v="RA Butanox M50 (5kg)"/>
    <n v="4"/>
    <n v="120"/>
    <n v="120"/>
    <d v="2023-03-29T00:00:00"/>
    <n v="3"/>
    <n v="2023"/>
    <n v="420"/>
    <n v="-420"/>
    <n v="0"/>
    <n v="2162101.4500000011"/>
    <s v="Trsf"/>
    <s v="Trsf 24/2/23, RM22,670.50"/>
    <m/>
  </r>
  <r>
    <x v="275"/>
    <x v="6"/>
    <x v="3"/>
    <x v="373"/>
    <s v="C00000010"/>
    <x v="9"/>
    <s v="RM Brush 3&quot; (12Pc)"/>
    <n v="4"/>
    <n v="120"/>
    <n v="120"/>
    <d v="2023-03-29T00:00:00"/>
    <n v="3"/>
    <n v="2023"/>
    <n v="200"/>
    <n v="-200"/>
    <n v="0"/>
    <n v="2162301.4500000011"/>
    <s v="Trsf"/>
    <s v="Trsf 24/2/23, RM22,670.50"/>
    <m/>
  </r>
  <r>
    <x v="275"/>
    <x v="6"/>
    <x v="3"/>
    <x v="373"/>
    <s v="C00000010"/>
    <x v="9"/>
    <s v="RM Gelcoat GPH (20kg)"/>
    <n v="1"/>
    <n v="120"/>
    <n v="120"/>
    <d v="2023-03-29T00:00:00"/>
    <n v="3"/>
    <n v="2023"/>
    <n v="238"/>
    <n v="-238"/>
    <n v="0"/>
    <n v="2162539.4500000011"/>
    <s v="Trsf"/>
    <s v="Trsf 24/2/23, RM22,670.50"/>
    <m/>
  </r>
  <r>
    <x v="276"/>
    <x v="6"/>
    <x v="3"/>
    <x v="374"/>
    <s v="C00000032"/>
    <x v="33"/>
    <s v="RM Nor 3338W (20Kg)"/>
    <n v="1"/>
    <s v="Cash"/>
    <n v="0"/>
    <d v="2022-11-30T00:00:00"/>
    <n v="11"/>
    <n v="2022"/>
    <n v="260"/>
    <n v="-260"/>
    <n v="0"/>
    <n v="2162799.4500000011"/>
    <s v="Trsf"/>
    <s v="Bank in Cash RM260.00 - 30/11/22"/>
    <m/>
  </r>
  <r>
    <x v="276"/>
    <x v="6"/>
    <x v="3"/>
    <x v="375"/>
    <s v="C00000033"/>
    <x v="34"/>
    <s v="RM Nor 3338W (20Kg)"/>
    <n v="1"/>
    <s v="Cash"/>
    <n v="0"/>
    <d v="2022-11-30T00:00:00"/>
    <n v="11"/>
    <n v="2022"/>
    <n v="260"/>
    <n v="-260"/>
    <n v="0"/>
    <n v="2163059.4500000011"/>
    <s v="Trsf"/>
    <s v="Bank in Cash RM375.00 - 30/11/22"/>
    <m/>
  </r>
  <r>
    <x v="276"/>
    <x v="6"/>
    <x v="3"/>
    <x v="375"/>
    <s v="C00000033"/>
    <x v="34"/>
    <s v="RA Butanox M50 (5kg)"/>
    <n v="1"/>
    <s v="Cash"/>
    <n v="0"/>
    <d v="2022-11-30T00:00:00"/>
    <n v="11"/>
    <n v="2022"/>
    <n v="115"/>
    <n v="-115"/>
    <n v="0"/>
    <n v="2163174.4500000011"/>
    <s v="Trsf"/>
    <s v="Bank in Cash RM375.00 - 30/11/22"/>
    <m/>
  </r>
  <r>
    <x v="277"/>
    <x v="0"/>
    <x v="3"/>
    <x v="376"/>
    <s v="C00000031"/>
    <x v="31"/>
    <s v="RM TR104 Hi Temp Wax"/>
    <n v="1"/>
    <s v="Cash"/>
    <n v="0"/>
    <d v="2022-12-01T00:00:00"/>
    <n v="12"/>
    <n v="2022"/>
    <n v="60"/>
    <n v="-60"/>
    <n v="0"/>
    <n v="2163234.4500000011"/>
    <s v="Trsf"/>
    <m/>
    <m/>
  </r>
  <r>
    <x v="277"/>
    <x v="0"/>
    <x v="3"/>
    <x v="377"/>
    <s v="C00000022"/>
    <x v="23"/>
    <s v="RA CSM 300  64m(L) x 1040mm(W) (30Kg)"/>
    <n v="3"/>
    <s v="Cash"/>
    <n v="0"/>
    <d v="2022-12-01T00:00:00"/>
    <n v="12"/>
    <n v="2022"/>
    <n v="855"/>
    <n v="-855"/>
    <n v="0"/>
    <n v="2164089.4500000011"/>
    <s v="Trsf"/>
    <s v="Trsf 5/1/23 RM905.00"/>
    <m/>
  </r>
  <r>
    <x v="278"/>
    <x v="0"/>
    <x v="3"/>
    <x v="378"/>
    <s v="C00000020"/>
    <x v="19"/>
    <s v="RA Nor 3338W (220Kg)"/>
    <n v="2"/>
    <s v="Cash"/>
    <n v="0"/>
    <d v="2022-12-02T00:00:00"/>
    <n v="12"/>
    <n v="2022"/>
    <n v="3608"/>
    <n v="-3608"/>
    <n v="0"/>
    <n v="2167697.4500000011"/>
    <s v="Trsf"/>
    <s v="Trsf 20/4/23 RM10,000.00(RM3,608.00)"/>
    <m/>
  </r>
  <r>
    <x v="278"/>
    <x v="0"/>
    <x v="3"/>
    <x v="378"/>
    <s v="C00000020"/>
    <x v="19"/>
    <s v="RA CSM 450 79m(L) x 1040mm(W) (30Kg)"/>
    <n v="3"/>
    <s v="Cash"/>
    <n v="0"/>
    <d v="2022-12-02T00:00:00"/>
    <n v="12"/>
    <n v="2022"/>
    <n v="756"/>
    <n v="-756"/>
    <n v="0"/>
    <n v="2168453.4500000011"/>
    <s v="Trsf"/>
    <s v="Trsf 20/4/23 RM10,000.00(RM756.00)"/>
    <m/>
  </r>
  <r>
    <x v="278"/>
    <x v="0"/>
    <x v="3"/>
    <x v="378"/>
    <s v="C00000020"/>
    <x v="19"/>
    <s v="RM Talcum Powder (25Kg)"/>
    <n v="2"/>
    <s v="Cash"/>
    <n v="0"/>
    <d v="2022-12-02T00:00:00"/>
    <n v="12"/>
    <n v="2022"/>
    <n v="125"/>
    <n v="-125"/>
    <n v="0"/>
    <n v="2168578.4500000011"/>
    <s v="Trsf"/>
    <s v="Trsf 20/4/23 RM10,000.00(RM125.00)"/>
    <m/>
  </r>
  <r>
    <x v="278"/>
    <x v="0"/>
    <x v="3"/>
    <x v="379"/>
    <s v="C00000020"/>
    <x v="19"/>
    <s v="RA Nor 3338W (220Kg)"/>
    <n v="1"/>
    <s v="Cash"/>
    <n v="0"/>
    <d v="2022-12-02T00:00:00"/>
    <n v="12"/>
    <n v="2022"/>
    <n v="1804"/>
    <n v="-1804"/>
    <n v="0"/>
    <n v="2170382.4500000011"/>
    <s v="Trsf"/>
    <s v="Trsf 20/4/23 RM10,000.00(RM1,492.30), Trsf 27/4/23 RM10,000.00(RM311.70)"/>
    <m/>
  </r>
  <r>
    <x v="278"/>
    <x v="0"/>
    <x v="3"/>
    <x v="379"/>
    <s v="C00000020"/>
    <x v="19"/>
    <s v="RA CSM 450 79m(L) x 1040mm(W) (30Kg)"/>
    <n v="3"/>
    <s v="Cash"/>
    <n v="0"/>
    <d v="2022-12-02T00:00:00"/>
    <n v="12"/>
    <n v="2022"/>
    <n v="756"/>
    <n v="-756"/>
    <n v="0"/>
    <n v="2171138.4500000011"/>
    <s v="Trsf"/>
    <s v="Trsf 27/4/23 RM10,000.00(RM756.00)"/>
    <m/>
  </r>
  <r>
    <x v="278"/>
    <x v="0"/>
    <x v="3"/>
    <x v="379"/>
    <s v="C00000020"/>
    <x v="19"/>
    <s v="RA Woven Roving 600 1020mm (45Kg)"/>
    <n v="1"/>
    <s v="Cash"/>
    <n v="0"/>
    <d v="2022-12-02T00:00:00"/>
    <n v="12"/>
    <n v="2022"/>
    <n v="292.5"/>
    <n v="-292.5"/>
    <n v="0"/>
    <n v="2171430.9500000011"/>
    <s v="Trsf"/>
    <s v="Trsf 27/4/23 RM10,000.00(RM292.50)"/>
    <m/>
  </r>
  <r>
    <x v="278"/>
    <x v="0"/>
    <x v="3"/>
    <x v="379"/>
    <s v="C00000020"/>
    <x v="19"/>
    <s v="RM Talcum Powder (25Kg)"/>
    <n v="1"/>
    <s v="Cash"/>
    <n v="0"/>
    <d v="2022-12-02T00:00:00"/>
    <n v="12"/>
    <n v="2022"/>
    <n v="62.5"/>
    <n v="-62.5"/>
    <n v="0"/>
    <n v="2171493.4500000011"/>
    <s v="Trsf"/>
    <s v="Trsf 27/4/23 RM10,000.00(RM62.50)"/>
    <m/>
  </r>
  <r>
    <x v="278"/>
    <x v="0"/>
    <x v="3"/>
    <x v="379"/>
    <s v="C00000020"/>
    <x v="19"/>
    <s v="RM Pigment Paste Smooth Cream M19 (25Kg)"/>
    <n v="1"/>
    <s v="Cash"/>
    <n v="0"/>
    <d v="2022-12-02T00:00:00"/>
    <n v="12"/>
    <n v="2022"/>
    <n v="1000"/>
    <n v="-1000"/>
    <n v="0"/>
    <n v="2172493.4500000011"/>
    <s v="Trsf"/>
    <s v="Trsf 27/4/23 RM10,000.00(RM1,000.00)"/>
    <m/>
  </r>
  <r>
    <x v="279"/>
    <x v="0"/>
    <x v="3"/>
    <x v="380"/>
    <s v="C00000009"/>
    <x v="8"/>
    <s v="RA Nor 3338W (220Kg)"/>
    <n v="1"/>
    <n v="60"/>
    <n v="60"/>
    <d v="2023-02-01T00:00:00"/>
    <n v="2"/>
    <n v="2023"/>
    <n v="1804"/>
    <n v="-1804"/>
    <n v="0"/>
    <n v="2174297.4500000011"/>
    <s v="Chq"/>
    <s v="Chq HL 020172 Cleared 12/6/23 RM4,632.80"/>
    <m/>
  </r>
  <r>
    <x v="279"/>
    <x v="0"/>
    <x v="3"/>
    <x v="380"/>
    <s v="C00000009"/>
    <x v="8"/>
    <s v="RM Nor 3338NW (220Kg)"/>
    <n v="1"/>
    <n v="60"/>
    <n v="60"/>
    <d v="2023-02-01T00:00:00"/>
    <n v="2"/>
    <n v="2023"/>
    <n v="1804"/>
    <n v="-1804"/>
    <n v="0"/>
    <n v="2176101.4500000011"/>
    <s v="Chq"/>
    <s v="Chq HL 020172 Cleared 12/6/23 RM4,632.80"/>
    <m/>
  </r>
  <r>
    <x v="279"/>
    <x v="0"/>
    <x v="3"/>
    <x v="380"/>
    <s v="C00000009"/>
    <x v="8"/>
    <s v="RM CSM 450 64m(L) X 1860mm(W) (54kg)"/>
    <n v="2"/>
    <n v="60"/>
    <n v="60"/>
    <d v="2023-02-01T00:00:00"/>
    <n v="2"/>
    <n v="2023"/>
    <n v="874.8"/>
    <n v="-874.8"/>
    <n v="0"/>
    <n v="2176976.2500000009"/>
    <s v="Chq"/>
    <s v="Chq HL 020172 Cleared 12/6/23 RM4,632.80"/>
    <m/>
  </r>
  <r>
    <x v="279"/>
    <x v="0"/>
    <x v="3"/>
    <x v="380"/>
    <s v="C00000009"/>
    <x v="8"/>
    <s v="RM Pigment Super Black (5Kg)"/>
    <n v="1"/>
    <n v="60"/>
    <n v="60"/>
    <d v="2023-02-01T00:00:00"/>
    <n v="2"/>
    <n v="2023"/>
    <n v="150"/>
    <n v="-150"/>
    <n v="0"/>
    <n v="2177126.2500000009"/>
    <s v="Chq"/>
    <s v="Chq HL 020172 Cleared 12/6/23 RM4,632.80"/>
    <m/>
  </r>
  <r>
    <x v="279"/>
    <x v="0"/>
    <x v="3"/>
    <x v="381"/>
    <s v="C00000020"/>
    <x v="19"/>
    <s v="RA Nor 3338W (220Kg)"/>
    <n v="3"/>
    <s v="Cash"/>
    <n v="0"/>
    <d v="2022-12-03T00:00:00"/>
    <n v="12"/>
    <n v="2022"/>
    <n v="5412"/>
    <n v="-5412"/>
    <n v="0"/>
    <n v="2182538.2500000009"/>
    <s v="Trsf"/>
    <s v="Trsf 27/4/23 RM10,000.00(RM5,412.00)"/>
    <m/>
  </r>
  <r>
    <x v="279"/>
    <x v="0"/>
    <x v="3"/>
    <x v="381"/>
    <s v="C00000020"/>
    <x v="19"/>
    <s v="RA CSM 450 79m(L) x 1040mm(W) (30Kg)"/>
    <n v="3"/>
    <s v="Cash"/>
    <n v="0"/>
    <d v="2022-12-03T00:00:00"/>
    <n v="12"/>
    <n v="2022"/>
    <n v="756"/>
    <n v="-756"/>
    <n v="0"/>
    <n v="2183294.2500000009"/>
    <s v="Trsf"/>
    <s v="Trsf 27/4/23 RM10,000.00(RM756.00)"/>
    <m/>
  </r>
  <r>
    <x v="279"/>
    <x v="0"/>
    <x v="3"/>
    <x v="381"/>
    <s v="C00000020"/>
    <x v="19"/>
    <s v="RA Woven Roving 600 1000mm (40Kg)"/>
    <n v="4"/>
    <s v="Cash"/>
    <n v="0"/>
    <d v="2022-12-03T00:00:00"/>
    <n v="12"/>
    <n v="2022"/>
    <n v="1040"/>
    <n v="-1040"/>
    <n v="0"/>
    <n v="2184334.2500000009"/>
    <s v="Trsf"/>
    <s v="Trsf 27/4/23 RM10,000.00(RM1,40.00)"/>
    <m/>
  </r>
  <r>
    <x v="279"/>
    <x v="0"/>
    <x v="3"/>
    <x v="381"/>
    <s v="C00000020"/>
    <x v="19"/>
    <s v="RM Talcum Powder (25Kg)"/>
    <n v="3"/>
    <s v="Cash"/>
    <n v="0"/>
    <d v="2022-12-03T00:00:00"/>
    <n v="12"/>
    <n v="2022"/>
    <n v="187.5"/>
    <n v="-187.5"/>
    <n v="0"/>
    <n v="2184521.7500000009"/>
    <s v="Trsf"/>
    <s v="Trsf 27/4/23 RM10,000.00(RM187.50)"/>
    <m/>
  </r>
  <r>
    <x v="280"/>
    <x v="0"/>
    <x v="3"/>
    <x v="382"/>
    <s v="C00000022"/>
    <x v="23"/>
    <s v="RM Steel Roller 4&quot; 10mm"/>
    <n v="1"/>
    <s v="Cash"/>
    <n v="0"/>
    <d v="2022-12-05T00:00:00"/>
    <n v="12"/>
    <n v="2022"/>
    <n v="45"/>
    <n v="-45"/>
    <n v="0"/>
    <n v="2184566.7500000009"/>
    <s v="Trsf"/>
    <s v="Trsf 20/12/22 RM1,409.00"/>
    <m/>
  </r>
  <r>
    <x v="280"/>
    <x v="0"/>
    <x v="3"/>
    <x v="382"/>
    <s v="C00000022"/>
    <x v="23"/>
    <s v="RM Steel Roller 4&quot; 16mm"/>
    <n v="1"/>
    <s v="Cash"/>
    <n v="0"/>
    <d v="2022-12-05T00:00:00"/>
    <n v="12"/>
    <n v="2022"/>
    <n v="48"/>
    <n v="-48"/>
    <n v="0"/>
    <n v="2184614.7500000009"/>
    <s v="Trsf"/>
    <s v="Trsf 20/12/22 RM1,409.00"/>
    <m/>
  </r>
  <r>
    <x v="281"/>
    <x v="0"/>
    <x v="3"/>
    <x v="383"/>
    <s v="C00000021"/>
    <x v="21"/>
    <s v="RM Resin 3317AW (220Kg)"/>
    <n v="1"/>
    <s v="Cash"/>
    <n v="0"/>
    <d v="2022-12-06T00:00:00"/>
    <n v="12"/>
    <n v="2022"/>
    <n v="1936"/>
    <n v="-1936"/>
    <n v="0"/>
    <n v="2186550.7500000009"/>
    <s v="PD Chq"/>
    <s v="Chq PBB 395379, cleared240323 RM3,067.00)"/>
    <m/>
  </r>
  <r>
    <x v="281"/>
    <x v="0"/>
    <x v="3"/>
    <x v="383"/>
    <s v="C00000021"/>
    <x v="21"/>
    <s v="RM CSM 450 64m(L) 1040mm(W) (30Kg)"/>
    <n v="3"/>
    <s v="Cash"/>
    <n v="0"/>
    <d v="2022-12-06T00:00:00"/>
    <n v="12"/>
    <n v="2022"/>
    <n v="801"/>
    <n v="-801"/>
    <n v="0"/>
    <n v="2187351.7500000009"/>
    <s v="PD Chq"/>
    <s v="Chq PBB 395379, cleared240323 RM3,067.00)"/>
    <m/>
  </r>
  <r>
    <x v="281"/>
    <x v="0"/>
    <x v="3"/>
    <x v="383"/>
    <s v="C00000021"/>
    <x v="21"/>
    <s v="RA Butanox M50 (5kg)"/>
    <n v="1"/>
    <s v="Cash"/>
    <n v="0"/>
    <d v="2022-12-06T00:00:00"/>
    <n v="12"/>
    <n v="2022"/>
    <n v="105"/>
    <n v="-105"/>
    <n v="0"/>
    <n v="2187456.7500000009"/>
    <s v="PD Chq"/>
    <s v="Chq PBB 395379, cleared240323 RM3,067.00)"/>
    <m/>
  </r>
  <r>
    <x v="281"/>
    <x v="0"/>
    <x v="3"/>
    <x v="383"/>
    <s v="C00000021"/>
    <x v="21"/>
    <s v="RA Sand Wheel 105 X 2 X 16 (30PC)"/>
    <n v="1"/>
    <s v="Cash"/>
    <n v="0"/>
    <d v="2022-12-06T00:00:00"/>
    <n v="12"/>
    <n v="2022"/>
    <n v="225"/>
    <n v="-225"/>
    <n v="0"/>
    <n v="2187681.7500000009"/>
    <s v="PD Chq"/>
    <s v="Chq PBB 395379, cleared240323 RM3,067.00)"/>
    <m/>
  </r>
  <r>
    <x v="282"/>
    <x v="0"/>
    <x v="3"/>
    <x v="384"/>
    <s v="C00000022"/>
    <x v="23"/>
    <s v="RA Nor 3338W (220Kg)"/>
    <n v="1"/>
    <s v="Cash"/>
    <n v="0"/>
    <d v="2022-12-07T00:00:00"/>
    <n v="12"/>
    <n v="2022"/>
    <n v="2024"/>
    <n v="-2024"/>
    <n v="0"/>
    <n v="2189705.7500000009"/>
    <s v="Trsf"/>
    <s v="Trsf 20/1/23 RM1,500.00,  Trsf 28/2/23 RM2,500.00(RM524.00)"/>
    <m/>
  </r>
  <r>
    <x v="283"/>
    <x v="0"/>
    <x v="3"/>
    <x v="385"/>
    <s v="C00000020"/>
    <x v="19"/>
    <s v="RM Nor 3338W (220Kg)"/>
    <n v="10"/>
    <s v="Cash"/>
    <n v="0"/>
    <d v="2022-12-09T00:00:00"/>
    <n v="12"/>
    <n v="2022"/>
    <n v="18040"/>
    <n v="-18040"/>
    <n v="0"/>
    <n v="2207745.7500000009"/>
    <s v="Trsf"/>
    <s v="Trsf 27/4/23 RM10,000.00(RM181.80), Trsf 28/4/23 RM20,000.00(RM17,858.20)"/>
    <m/>
  </r>
  <r>
    <x v="283"/>
    <x v="0"/>
    <x v="3"/>
    <x v="385"/>
    <s v="C00000020"/>
    <x v="19"/>
    <s v="RM Resin 3317AW (220Kg)"/>
    <n v="5"/>
    <s v="Cash"/>
    <n v="0"/>
    <d v="2022-12-09T00:00:00"/>
    <n v="12"/>
    <n v="2022"/>
    <n v="9020"/>
    <n v="-9020"/>
    <n v="0"/>
    <n v="2216765.7500000009"/>
    <s v="Trsf"/>
    <s v="Trsf 28/4/23 RM20,000.00(RM2,141.80), Trsf 5/5/23 RM11,000.00(RM6,878.20)"/>
    <m/>
  </r>
  <r>
    <x v="283"/>
    <x v="0"/>
    <x v="3"/>
    <x v="385"/>
    <s v="C00000020"/>
    <x v="19"/>
    <s v="RA CSM 450 79m(L) x 1040mm(W) (30Kg)"/>
    <n v="51"/>
    <s v="Cash"/>
    <n v="0"/>
    <d v="2022-12-09T00:00:00"/>
    <n v="12"/>
    <n v="2022"/>
    <n v="12852"/>
    <n v="-12852"/>
    <n v="0"/>
    <n v="2229617.7500000009"/>
    <s v="Trsf"/>
    <s v="Trsf 5/5/23 RM11,000.00(RM4,121.80), Trsf 6/5/23 RM4,000.00, Trsf 31/5/23 RM5,000.00(RM4,730.20)"/>
    <m/>
  </r>
  <r>
    <x v="283"/>
    <x v="0"/>
    <x v="3"/>
    <x v="385"/>
    <s v="C00000020"/>
    <x v="19"/>
    <s v="RA Woven Roving 600 1120mm (45kg)"/>
    <n v="2"/>
    <s v="Cash"/>
    <n v="0"/>
    <d v="2022-12-09T00:00:00"/>
    <n v="12"/>
    <n v="2022"/>
    <n v="585"/>
    <n v="-585"/>
    <n v="0"/>
    <n v="2230202.7500000009"/>
    <s v="Trsf"/>
    <s v="Trsf 31/5/23 RM5,000.00(RM269.80), Trsf 16/6/23 RM20,000.00(315.20)"/>
    <m/>
  </r>
  <r>
    <x v="283"/>
    <x v="0"/>
    <x v="3"/>
    <x v="385"/>
    <s v="C00000020"/>
    <x v="19"/>
    <s v="RM Woven Roving 600 1000mm (40kg)"/>
    <n v="20"/>
    <s v="Cash"/>
    <n v="0"/>
    <d v="2022-12-09T00:00:00"/>
    <n v="12"/>
    <n v="2022"/>
    <n v="5200"/>
    <n v="-5200"/>
    <n v="0"/>
    <n v="2235402.7500000009"/>
    <s v="Trsf"/>
    <s v="Trsf 16/6/23 RM20,000.00"/>
    <m/>
  </r>
  <r>
    <x v="283"/>
    <x v="0"/>
    <x v="3"/>
    <x v="385"/>
    <s v="C00000020"/>
    <x v="19"/>
    <s v="RA Talcum Powder (25kg)"/>
    <n v="15"/>
    <s v="Cash"/>
    <n v="0"/>
    <d v="2022-12-09T00:00:00"/>
    <n v="12"/>
    <n v="2022"/>
    <n v="937.5"/>
    <n v="-937.5"/>
    <n v="0"/>
    <n v="2236340.2500000009"/>
    <s v="Trsf"/>
    <s v="Trsf 16/6/23 RM20,000.00"/>
    <m/>
  </r>
  <r>
    <x v="283"/>
    <x v="0"/>
    <x v="3"/>
    <x v="385"/>
    <s v="C00000020"/>
    <x v="19"/>
    <s v="RM Pigment Paste Smooth Cream M19 (25kg)"/>
    <n v="2"/>
    <s v="Cash"/>
    <n v="0"/>
    <d v="2022-12-09T00:00:00"/>
    <n v="12"/>
    <n v="2022"/>
    <n v="2000"/>
    <n v="-2000"/>
    <n v="0"/>
    <n v="2238340.2500000009"/>
    <s v="Trsf"/>
    <s v="Trsf 16/6/23 RM20,000.00"/>
    <m/>
  </r>
  <r>
    <x v="283"/>
    <x v="0"/>
    <x v="3"/>
    <x v="385"/>
    <s v="C00000020"/>
    <x v="19"/>
    <s v="RM MEKP-9 (3.6Kg)"/>
    <n v="6"/>
    <s v="Cash"/>
    <n v="0"/>
    <d v="2022-12-09T00:00:00"/>
    <n v="12"/>
    <n v="2022"/>
    <n v="453.59999999999997"/>
    <n v="-453.59999999999997"/>
    <n v="0"/>
    <n v="2238793.850000001"/>
    <s v="Trsf"/>
    <s v="Trsf 16/6/23 RM20,000.00"/>
    <m/>
  </r>
  <r>
    <x v="284"/>
    <x v="0"/>
    <x v="3"/>
    <x v="386"/>
    <s v="C00000021"/>
    <x v="21"/>
    <s v="RM Resin 3317AW (220Kg)"/>
    <n v="1"/>
    <s v="Cash"/>
    <n v="0"/>
    <d v="2022-12-13T00:00:00"/>
    <n v="12"/>
    <n v="2022"/>
    <n v="1936"/>
    <n v="-1936"/>
    <n v="0"/>
    <n v="2240729.850000001"/>
    <s v="PD Chq"/>
    <s v="Chq PBB 395380, cleared040423 RM2,842.00"/>
    <m/>
  </r>
  <r>
    <x v="284"/>
    <x v="0"/>
    <x v="3"/>
    <x v="386"/>
    <s v="C00000021"/>
    <x v="21"/>
    <s v="RM CSM 450 64m(L) 1040mm(W) (30Kg)"/>
    <n v="3"/>
    <s v="Cash"/>
    <n v="0"/>
    <d v="2022-12-13T00:00:00"/>
    <n v="12"/>
    <n v="2022"/>
    <n v="801"/>
    <n v="-801"/>
    <n v="0"/>
    <n v="2241530.850000001"/>
    <s v="PD Chq"/>
    <s v="Chq PBB 395380, cleared040423 RM2,842.00"/>
    <m/>
  </r>
  <r>
    <x v="284"/>
    <x v="0"/>
    <x v="3"/>
    <x v="386"/>
    <s v="C00000021"/>
    <x v="21"/>
    <s v="RA Butanox M50 (5kg)"/>
    <n v="1"/>
    <s v="Cash"/>
    <n v="0"/>
    <d v="2022-12-13T00:00:00"/>
    <n v="12"/>
    <n v="2022"/>
    <n v="105"/>
    <n v="-105"/>
    <n v="0"/>
    <n v="2241635.850000001"/>
    <s v="PD Chq"/>
    <s v="Chq PBB 395380, cleared040423 RM2,842.00"/>
    <m/>
  </r>
  <r>
    <x v="285"/>
    <x v="0"/>
    <x v="3"/>
    <x v="387"/>
    <s v="C00000026"/>
    <x v="27"/>
    <s v="RM Resin 3317AW (220Kg)"/>
    <n v="1"/>
    <s v="Cash"/>
    <n v="0"/>
    <d v="2022-12-14T00:00:00"/>
    <n v="12"/>
    <n v="2022"/>
    <n v="1958"/>
    <n v="-1958"/>
    <n v="0"/>
    <n v="2243593.850000001"/>
    <s v="Trsf"/>
    <s v="Trsf 16/12/22 RM2,063.00"/>
    <m/>
  </r>
  <r>
    <x v="285"/>
    <x v="0"/>
    <x v="3"/>
    <x v="387"/>
    <s v="C00000026"/>
    <x v="27"/>
    <s v="RM Butanox M50 (5kg)"/>
    <n v="1"/>
    <s v="Cash"/>
    <n v="0"/>
    <d v="2022-12-14T00:00:00"/>
    <n v="12"/>
    <n v="2022"/>
    <n v="105"/>
    <n v="-105"/>
    <n v="0"/>
    <n v="2243698.850000001"/>
    <s v="Trsf"/>
    <s v="Trsf 16/12/22 RM2,063.00"/>
    <m/>
  </r>
  <r>
    <x v="286"/>
    <x v="0"/>
    <x v="3"/>
    <x v="388"/>
    <s v="C00000020"/>
    <x v="19"/>
    <s v="RM Nor 3338W (220Kg)"/>
    <n v="9"/>
    <s v="Cash"/>
    <n v="0"/>
    <d v="2022-12-22T00:00:00"/>
    <n v="12"/>
    <n v="2022"/>
    <n v="16236"/>
    <n v="-16236"/>
    <n v="0"/>
    <n v="2259934.850000001"/>
    <s v="Trsf"/>
    <s v="Trsf 16/6/23 RM20,000.00(RM11,093.70), Trsf 1/7/23 RM200.00(RM200.00), Trsf 6/7/23 RM20,000.00(RM4,942.30)"/>
    <m/>
  </r>
  <r>
    <x v="286"/>
    <x v="0"/>
    <x v="3"/>
    <x v="388"/>
    <s v="C00000020"/>
    <x v="19"/>
    <s v="RM Resin 3317AW (220Kg)"/>
    <n v="6"/>
    <s v="Cash"/>
    <n v="0"/>
    <d v="2022-12-22T00:00:00"/>
    <n v="12"/>
    <n v="2022"/>
    <n v="10824"/>
    <n v="-10824"/>
    <n v="0"/>
    <n v="2270758.850000001"/>
    <s v="Trsf"/>
    <s v="Trsf 6/7/23 RM20,000.00(RM10,824.00)"/>
    <m/>
  </r>
  <r>
    <x v="286"/>
    <x v="0"/>
    <x v="3"/>
    <x v="388"/>
    <s v="C00000020"/>
    <x v="19"/>
    <s v="RA CSM 450 79m(L) x 1040mm(W) (30Kg)"/>
    <n v="42"/>
    <s v="Cash"/>
    <n v="0"/>
    <d v="2022-12-22T00:00:00"/>
    <n v="12"/>
    <n v="2022"/>
    <n v="10584"/>
    <n v="-10584"/>
    <n v="0"/>
    <n v="2281342.850000001"/>
    <s v="Trsf"/>
    <s v="Trsf 6/7/23 RM20,000.00(RM4,233.70), Trsf 14/7/23 RM10,000.00(RM6,350.30)"/>
    <m/>
  </r>
  <r>
    <x v="286"/>
    <x v="0"/>
    <x v="3"/>
    <x v="388"/>
    <s v="C00000020"/>
    <x v="19"/>
    <s v="RM Woven Roving 600 1000mm (40kg)"/>
    <n v="20"/>
    <s v="Cash"/>
    <n v="0"/>
    <d v="2022-12-22T00:00:00"/>
    <n v="12"/>
    <n v="2022"/>
    <n v="5200"/>
    <n v="-5200"/>
    <n v="0"/>
    <n v="2286542.850000001"/>
    <s v="Trsf"/>
    <s v="Trsf 14/7/23 RM10,000.00(RM3,649.70), Trsf 26/7/23 RM8,000.00(RM1,550.30)"/>
    <m/>
  </r>
  <r>
    <x v="286"/>
    <x v="0"/>
    <x v="3"/>
    <x v="388"/>
    <s v="C00000020"/>
    <x v="19"/>
    <s v="RA Talcum Powder (25kg)"/>
    <n v="15"/>
    <s v="Cash"/>
    <n v="0"/>
    <d v="2022-12-22T00:00:00"/>
    <n v="12"/>
    <n v="2022"/>
    <n v="937.5"/>
    <n v="-937.5"/>
    <n v="0"/>
    <n v="2287480.350000001"/>
    <s v="Trsf"/>
    <s v="Trsf 26/7/23 RM8,000.00(RM937.50)"/>
    <m/>
  </r>
  <r>
    <x v="286"/>
    <x v="0"/>
    <x v="3"/>
    <x v="388"/>
    <s v="C00000020"/>
    <x v="19"/>
    <s v="RM Pigment Paste Smooth Cream M19 (25kg)"/>
    <n v="3"/>
    <s v="Cash"/>
    <n v="0"/>
    <d v="2022-12-22T00:00:00"/>
    <n v="12"/>
    <n v="2022"/>
    <n v="3000"/>
    <n v="-3000"/>
    <n v="0"/>
    <n v="2290480.350000001"/>
    <s v="Trsf"/>
    <s v="Trsf 26/7/23 RM8,000.00(RM3,000.00)"/>
    <m/>
  </r>
  <r>
    <x v="286"/>
    <x v="0"/>
    <x v="3"/>
    <x v="388"/>
    <s v="C00000020"/>
    <x v="19"/>
    <s v="RM Butanox M50 (5kg)"/>
    <n v="8"/>
    <s v="Cash"/>
    <n v="0"/>
    <d v="2022-12-22T00:00:00"/>
    <n v="12"/>
    <n v="2022"/>
    <n v="840"/>
    <n v="-840"/>
    <n v="0"/>
    <n v="2291320.350000001"/>
    <s v="Trsf"/>
    <s v="Trsf 26/7/23 RMRM8,000.00(RM840.00)"/>
    <m/>
  </r>
  <r>
    <x v="286"/>
    <x v="0"/>
    <x v="3"/>
    <x v="388"/>
    <s v="C00000020"/>
    <x v="19"/>
    <s v="Transport fee for DO00000389-1"/>
    <n v="1"/>
    <s v="Cash"/>
    <n v="0"/>
    <d v="2022-12-22T00:00:00"/>
    <n v="12"/>
    <n v="2022"/>
    <n v="65"/>
    <n v="-65"/>
    <n v="0"/>
    <n v="2291385.350000001"/>
    <s v="Trsf"/>
    <s v="Trsf 26/7/23 RM8,000.00(RM65.00)"/>
    <m/>
  </r>
  <r>
    <x v="287"/>
    <x v="0"/>
    <x v="3"/>
    <x v="389"/>
    <s v="C00000001"/>
    <x v="0"/>
    <s v="RM Resin 3317AW (220Kg)"/>
    <n v="1"/>
    <s v="Cash"/>
    <n v="0"/>
    <d v="2022-12-20T00:00:00"/>
    <n v="12"/>
    <n v="2022"/>
    <n v="1892"/>
    <n v="-1892"/>
    <n v="0"/>
    <n v="2293277.350000001"/>
    <s v="Trsf"/>
    <s v="Trsf 23/12/22, RM3,332.00"/>
    <m/>
  </r>
  <r>
    <x v="287"/>
    <x v="0"/>
    <x v="3"/>
    <x v="389"/>
    <s v="C00000001"/>
    <x v="0"/>
    <s v="RA CSM 450 79m(L) x 1040mm(W) (30Kg)"/>
    <n v="4"/>
    <s v="Cash"/>
    <n v="0"/>
    <d v="2022-12-20T00:00:00"/>
    <n v="12"/>
    <n v="2022"/>
    <n v="1020"/>
    <n v="-1020"/>
    <n v="0"/>
    <n v="2294297.350000001"/>
    <s v="Trsf"/>
    <s v="Trsf 23/12/22, RM3,332.00"/>
    <m/>
  </r>
  <r>
    <x v="287"/>
    <x v="0"/>
    <x v="3"/>
    <x v="389"/>
    <s v="C00000001"/>
    <x v="0"/>
    <s v="RA Butanox M50 (5kg)"/>
    <n v="4"/>
    <s v="Cash"/>
    <n v="0"/>
    <d v="2022-12-20T00:00:00"/>
    <n v="12"/>
    <n v="2022"/>
    <n v="420"/>
    <n v="-420"/>
    <n v="0"/>
    <n v="2294717.350000001"/>
    <s v="Trsf"/>
    <s v="Trsf 23/12/22, RM3,332.00"/>
    <m/>
  </r>
  <r>
    <x v="286"/>
    <x v="0"/>
    <x v="3"/>
    <x v="390"/>
    <s v="C00000022"/>
    <x v="23"/>
    <s v="RM Pgment Paste Riviera Blue B5 (1Kg)"/>
    <n v="1"/>
    <s v="Cash"/>
    <n v="0"/>
    <d v="2022-12-22T00:00:00"/>
    <n v="12"/>
    <n v="2022"/>
    <n v="50"/>
    <n v="-50"/>
    <n v="0"/>
    <n v="2294767.350000001"/>
    <s v="Trsf"/>
    <s v="Trsf 5/1/23 RM905.00"/>
    <m/>
  </r>
  <r>
    <x v="288"/>
    <x v="0"/>
    <x v="3"/>
    <x v="391"/>
    <s v="C00000019"/>
    <x v="18"/>
    <s v="RM Nor 3338W (220Kg)"/>
    <n v="2"/>
    <s v="Cash"/>
    <n v="0"/>
    <d v="2022-12-23T00:00:00"/>
    <n v="12"/>
    <n v="2022"/>
    <n v="3784"/>
    <n v="-3784"/>
    <n v="0"/>
    <n v="2298551.350000001"/>
    <s v="Trsf"/>
    <s v="Trsf 20/1/23 RM2,000.00(RM1,611.80), Trsf 24/2/23 RM1,500.00, Trsf 2/3/23 RM1,500.00(RM672.20)"/>
    <m/>
  </r>
  <r>
    <x v="288"/>
    <x v="0"/>
    <x v="3"/>
    <x v="391"/>
    <s v="C00000019"/>
    <x v="18"/>
    <s v="RM CSM 450 CQ 54kg 64m(L) X 1860mm(W)"/>
    <n v="2"/>
    <s v="Cash"/>
    <n v="0"/>
    <d v="2022-12-23T00:00:00"/>
    <n v="12"/>
    <n v="2022"/>
    <n v="939.6"/>
    <n v="-939.59999999999991"/>
    <n v="0"/>
    <n v="2299490.9500000011"/>
    <s v="Trsf"/>
    <s v="Trsf 2/3/23 RM1,500.00(RM827.80), Trsf 7/4/23 RM2,000.00(RM111.80)"/>
    <m/>
  </r>
  <r>
    <x v="288"/>
    <x v="0"/>
    <x v="3"/>
    <x v="391"/>
    <s v="C00000019"/>
    <x v="18"/>
    <s v="RA Talcum Powder (25kg)"/>
    <n v="5"/>
    <s v="Cash"/>
    <n v="0"/>
    <d v="2022-12-23T00:00:00"/>
    <n v="12"/>
    <n v="2022"/>
    <n v="312.5"/>
    <n v="-312.5"/>
    <n v="0"/>
    <n v="2299803.4500000011"/>
    <s v="Trsf"/>
    <s v="Trsf 7/4/23 RM2,000.00"/>
    <m/>
  </r>
  <r>
    <x v="288"/>
    <x v="0"/>
    <x v="3"/>
    <x v="391"/>
    <s v="C00000019"/>
    <x v="18"/>
    <s v="RA Butanox M50"/>
    <n v="2"/>
    <s v="Cash"/>
    <n v="0"/>
    <d v="2022-12-23T00:00:00"/>
    <n v="12"/>
    <n v="2022"/>
    <n v="210"/>
    <n v="-210"/>
    <n v="0"/>
    <n v="2300013.4500000011"/>
    <s v="Trsf"/>
    <s v="Trsf 7/4/23 RM2,000.00"/>
    <m/>
  </r>
  <r>
    <x v="288"/>
    <x v="0"/>
    <x v="3"/>
    <x v="391"/>
    <s v="C00000019"/>
    <x v="18"/>
    <s v="RM Aerosil (Silica Fume) (10Kg)"/>
    <n v="1"/>
    <s v="Cash"/>
    <n v="0"/>
    <d v="2022-12-23T00:00:00"/>
    <n v="12"/>
    <n v="2022"/>
    <n v="440"/>
    <n v="-440"/>
    <n v="0"/>
    <n v="2300453.4500000011"/>
    <s v="Trsf"/>
    <s v="Trsf 7/4/23 RM2,000.00"/>
    <m/>
  </r>
  <r>
    <x v="288"/>
    <x v="0"/>
    <x v="3"/>
    <x v="391"/>
    <s v="C00000019"/>
    <x v="18"/>
    <s v="RE Frekote 770NC (1 Gallon)"/>
    <n v="1"/>
    <s v="Cash"/>
    <n v="0"/>
    <d v="2022-12-23T00:00:00"/>
    <n v="12"/>
    <n v="2022"/>
    <n v="450"/>
    <n v="-450"/>
    <n v="0"/>
    <n v="2300903.4500000011"/>
    <s v="Trsf"/>
    <s v="Trsf 7/4/23 RM2,000.00"/>
    <m/>
  </r>
  <r>
    <x v="289"/>
    <x v="0"/>
    <x v="3"/>
    <x v="392"/>
    <s v="C00000021"/>
    <x v="21"/>
    <s v="RM Resin 3317AW (220Kg)"/>
    <n v="1"/>
    <s v="Cash"/>
    <n v="0"/>
    <d v="2022-12-24T00:00:00"/>
    <n v="12"/>
    <n v="2022"/>
    <n v="1936"/>
    <n v="-1936"/>
    <n v="0"/>
    <n v="2302839.4500000011"/>
    <s v="PD Chq"/>
    <s v="Chq PBB 395381, cleared120423 RM2,842.00"/>
    <m/>
  </r>
  <r>
    <x v="289"/>
    <x v="0"/>
    <x v="3"/>
    <x v="392"/>
    <s v="C00000021"/>
    <x v="21"/>
    <s v="RM CSM 450 64m(L) 1040mm(W) (30Kg)"/>
    <n v="3"/>
    <s v="Cash"/>
    <n v="0"/>
    <d v="2022-12-24T00:00:00"/>
    <n v="12"/>
    <n v="2022"/>
    <n v="801"/>
    <n v="-801"/>
    <n v="0"/>
    <n v="2303640.4500000011"/>
    <s v="PD Chq"/>
    <s v="Chq PBB 395381, cleared120423 RM2,842.00"/>
    <m/>
  </r>
  <r>
    <x v="289"/>
    <x v="0"/>
    <x v="3"/>
    <x v="392"/>
    <s v="C00000021"/>
    <x v="21"/>
    <s v="RA Butanox M50 (5kg)"/>
    <n v="1"/>
    <s v="Cash"/>
    <n v="0"/>
    <d v="2022-12-24T00:00:00"/>
    <n v="12"/>
    <n v="2022"/>
    <n v="105"/>
    <n v="-105"/>
    <n v="0"/>
    <n v="2303745.4500000011"/>
    <s v="PD Chq"/>
    <s v="Chq PBB 395381, cleared120423 RM2,842.00"/>
    <m/>
  </r>
  <r>
    <x v="290"/>
    <x v="0"/>
    <x v="3"/>
    <x v="393"/>
    <s v="C00000010"/>
    <x v="9"/>
    <s v="RM Resin 3338AW (220kg)"/>
    <n v="6"/>
    <n v="120"/>
    <n v="120"/>
    <d v="2023-04-26T00:00:00"/>
    <n v="4"/>
    <n v="2023"/>
    <n v="10032"/>
    <n v="-10032"/>
    <n v="0"/>
    <n v="2313777.4500000011"/>
    <s v="Trsf"/>
    <s v="Trsf 27/3/23, RM14,227.00"/>
    <m/>
  </r>
  <r>
    <x v="290"/>
    <x v="0"/>
    <x v="3"/>
    <x v="393"/>
    <s v="C00000010"/>
    <x v="9"/>
    <s v="RA CSM 450 64m(L) 1040mm(W) (30Kg)"/>
    <n v="10"/>
    <n v="120"/>
    <n v="120"/>
    <d v="2023-04-26T00:00:00"/>
    <n v="4"/>
    <n v="2023"/>
    <n v="2250"/>
    <n v="-2250"/>
    <n v="0"/>
    <n v="2316027.4500000011"/>
    <s v="Trsf"/>
    <s v="Trsf 27/3/23, RM14,227.00"/>
    <m/>
  </r>
  <r>
    <x v="290"/>
    <x v="0"/>
    <x v="3"/>
    <x v="393"/>
    <s v="C00000010"/>
    <x v="9"/>
    <s v="RA Talcum Powder (25kg)"/>
    <n v="10"/>
    <n v="120"/>
    <n v="120"/>
    <d v="2023-04-26T00:00:00"/>
    <n v="4"/>
    <n v="2023"/>
    <n v="575"/>
    <n v="-575"/>
    <n v="0"/>
    <n v="2316602.4500000011"/>
    <s v="Trsf"/>
    <s v="Trsf 27/3/23, RM14,227.00"/>
    <m/>
  </r>
  <r>
    <x v="290"/>
    <x v="0"/>
    <x v="3"/>
    <x v="393"/>
    <s v="C00000010"/>
    <x v="9"/>
    <s v="RA Butanox M50 (5kg)"/>
    <n v="4"/>
    <n v="120"/>
    <n v="120"/>
    <d v="2023-04-26T00:00:00"/>
    <n v="4"/>
    <n v="2023"/>
    <n v="420"/>
    <n v="-420"/>
    <n v="0"/>
    <n v="2317022.4500000011"/>
    <s v="Trsf"/>
    <s v="Trsf 27/3/23, RM14,227.00"/>
    <m/>
  </r>
  <r>
    <x v="290"/>
    <x v="0"/>
    <x v="3"/>
    <x v="393"/>
    <s v="C00000010"/>
    <x v="9"/>
    <s v="RM Brush 3&quot; (12Pc)"/>
    <n v="4"/>
    <n v="120"/>
    <n v="120"/>
    <d v="2023-04-26T00:00:00"/>
    <n v="4"/>
    <n v="2023"/>
    <n v="200"/>
    <n v="-200"/>
    <n v="0"/>
    <n v="2317222.4500000011"/>
    <s v="Trsf"/>
    <s v="Trsf 27/3/23, RM14,227.00"/>
    <m/>
  </r>
  <r>
    <x v="290"/>
    <x v="0"/>
    <x v="3"/>
    <x v="393"/>
    <s v="C00000010"/>
    <x v="9"/>
    <s v="RN Bosny Wax (12Kg)"/>
    <n v="1"/>
    <n v="120"/>
    <n v="120"/>
    <d v="2023-04-26T00:00:00"/>
    <n v="4"/>
    <n v="2023"/>
    <n v="330"/>
    <n v="-330"/>
    <n v="0"/>
    <n v="2317552.4500000011"/>
    <s v="Trsf"/>
    <s v="Trsf 27/3/23, RM14,227.00"/>
    <m/>
  </r>
  <r>
    <x v="290"/>
    <x v="0"/>
    <x v="3"/>
    <x v="393"/>
    <s v="C00000010"/>
    <x v="9"/>
    <s v="RM Fume Silica HJSIL 200(10Kg)"/>
    <n v="1"/>
    <n v="120"/>
    <n v="120"/>
    <d v="2023-04-26T00:00:00"/>
    <n v="4"/>
    <n v="2023"/>
    <n v="420"/>
    <n v="-420"/>
    <n v="0"/>
    <n v="2317972.4500000011"/>
    <s v="Trsf"/>
    <s v="Trsf 27/3/23, RM14,227.00"/>
    <m/>
  </r>
  <r>
    <x v="291"/>
    <x v="0"/>
    <x v="3"/>
    <x v="394"/>
    <s v="C00000020"/>
    <x v="19"/>
    <s v="RA CSM 450 79m(L) x 1040mm(W) (30Kg)"/>
    <n v="4"/>
    <s v="Cash"/>
    <n v="0"/>
    <d v="2022-12-28T00:00:00"/>
    <n v="12"/>
    <n v="2022"/>
    <n v="1008"/>
    <n v="-1008"/>
    <n v="0"/>
    <n v="2318980.4500000011"/>
    <s v="Trsf"/>
    <s v="Trsf 28/12/22 "/>
    <m/>
  </r>
  <r>
    <x v="292"/>
    <x v="0"/>
    <x v="3"/>
    <x v="395"/>
    <s v="C00000020"/>
    <x v="19"/>
    <s v="RM Resin 3317AW (220Kg)"/>
    <n v="7"/>
    <s v="Cash"/>
    <n v="0"/>
    <d v="2022-12-30T00:00:00"/>
    <n v="12"/>
    <n v="2022"/>
    <n v="12628"/>
    <n v="-12628"/>
    <n v="0"/>
    <n v="2331608.4500000011"/>
    <s v="Trsf"/>
    <s v="Trsf 26/7/23 RM8,000.00(RM1,607.20), Trsf 27/7/23 RM7,310.00(RM7,310.00), Trsf 4/8/23 RM5,858.00(RM3,710.80)"/>
    <m/>
  </r>
  <r>
    <x v="292"/>
    <x v="0"/>
    <x v="3"/>
    <x v="395"/>
    <s v="C00000020"/>
    <x v="19"/>
    <s v="RM CSM 450 79m(L) x 1040mm(W) (30Kg)"/>
    <n v="20"/>
    <s v="Cash"/>
    <n v="0"/>
    <d v="2022-12-30T00:00:00"/>
    <n v="12"/>
    <n v="2022"/>
    <n v="5040"/>
    <n v="-5040"/>
    <n v="0"/>
    <n v="2336648.4500000011"/>
    <s v="Trsf"/>
    <s v="Trsf 4/8/23 RM5,858.00(RM2,147.20), Trsf 7/8/23 RM6,110.00(RM2,892.80)"/>
    <m/>
  </r>
  <r>
    <x v="292"/>
    <x v="0"/>
    <x v="3"/>
    <x v="395"/>
    <s v="C00000020"/>
    <x v="19"/>
    <s v="RM Woven Roving 600 1000mm (40kg)"/>
    <n v="9"/>
    <s v="Cash"/>
    <n v="0"/>
    <d v="2022-12-30T00:00:00"/>
    <n v="12"/>
    <n v="2022"/>
    <n v="2340"/>
    <n v="-2340"/>
    <n v="0"/>
    <n v="2338988.4500000011"/>
    <s v="Trsf"/>
    <s v="Trsf 7/8/23 RM6,110.00(RM2,340.00)"/>
    <m/>
  </r>
  <r>
    <x v="292"/>
    <x v="0"/>
    <x v="3"/>
    <x v="395"/>
    <s v="C00000020"/>
    <x v="19"/>
    <s v="RA Talcum Powder (25Kg)"/>
    <n v="5"/>
    <s v="Cash"/>
    <n v="0"/>
    <d v="2022-12-30T00:00:00"/>
    <n v="12"/>
    <n v="2022"/>
    <n v="312.5"/>
    <n v="-312.5"/>
    <n v="0"/>
    <n v="2339300.9500000011"/>
    <s v="Trsf"/>
    <s v="Trsf 7/8/23 RM6,110.00(RM312.50)"/>
    <m/>
  </r>
  <r>
    <x v="292"/>
    <x v="0"/>
    <x v="3"/>
    <x v="395"/>
    <s v="C00000020"/>
    <x v="19"/>
    <s v="RM Pigment Paste Smooth Cream M19 (25Kg)"/>
    <n v="1"/>
    <s v="Cash"/>
    <n v="0"/>
    <d v="2022-12-30T00:00:00"/>
    <n v="12"/>
    <n v="2022"/>
    <n v="1000"/>
    <n v="-1000"/>
    <n v="0"/>
    <n v="2340300.9500000011"/>
    <s v="Trsf"/>
    <s v="Trsf 7/8/23 RM6,110.00(RM564.70), Trsf 15/8/23 RM5,552.00(RM435.30)"/>
    <m/>
  </r>
  <r>
    <x v="292"/>
    <x v="0"/>
    <x v="3"/>
    <x v="395"/>
    <s v="C00000020"/>
    <x v="19"/>
    <s v="RM Butanox M50 (5kg)"/>
    <n v="4"/>
    <s v="Cash"/>
    <n v="0"/>
    <d v="2022-12-30T00:00:00"/>
    <n v="12"/>
    <n v="2022"/>
    <n v="420"/>
    <n v="-420"/>
    <n v="0"/>
    <n v="2340720.9500000011"/>
    <s v="Trsf"/>
    <s v="Trsf 15/8/23 RM5,552.00(RM420.00)"/>
    <m/>
  </r>
  <r>
    <x v="293"/>
    <x v="7"/>
    <x v="4"/>
    <x v="396"/>
    <s v="C00000020"/>
    <x v="19"/>
    <s v="RM Resin 3338AW (220kg)"/>
    <n v="10"/>
    <s v="Cash"/>
    <n v="0"/>
    <d v="2023-01-05T00:00:00"/>
    <n v="1"/>
    <n v="2023"/>
    <n v="17380"/>
    <n v="-17380"/>
    <n v="0"/>
    <n v="2358100.9500000011"/>
    <s v="Trsf"/>
    <s v="Trsf 15/8/23 RM5,552.00(RM4,696.70), Trsf 23/8/23 RM9,000.00(RM9,000.00), Trsf 29/8/23 RM7,000.00(RM3,683.30), "/>
    <m/>
  </r>
  <r>
    <x v="293"/>
    <x v="7"/>
    <x v="4"/>
    <x v="396"/>
    <s v="C00000020"/>
    <x v="19"/>
    <s v="RM CSM 450 79m(L) x 1040mm(W) (30Kg)"/>
    <n v="30"/>
    <s v="Cash"/>
    <n v="0"/>
    <d v="2023-01-05T00:00:00"/>
    <n v="1"/>
    <n v="2023"/>
    <n v="7020"/>
    <n v="-7020"/>
    <n v="0"/>
    <n v="2365120.9500000011"/>
    <s v="Trsf"/>
    <s v="Trsf 29/8/23 RM7,000.00(RM3,316.70), Trsf 30/8/23 RM5,500.00(RM3,703.30)"/>
    <m/>
  </r>
  <r>
    <x v="293"/>
    <x v="7"/>
    <x v="4"/>
    <x v="396"/>
    <s v="C00000020"/>
    <x v="19"/>
    <s v="RJ Woven Roving E-600gm 1000mm (42Kg)"/>
    <n v="15"/>
    <s v="Cash"/>
    <n v="0"/>
    <d v="2023-01-05T00:00:00"/>
    <n v="1"/>
    <n v="2023"/>
    <n v="4095"/>
    <n v="-4095"/>
    <n v="0"/>
    <n v="2369215.9500000011"/>
    <s v="Trsf"/>
    <s v="Trsf 30/8/23 RM5,500.00(RM1,796.70), Trsf 1/9/23 RM6,200.00(RM2,298.30)"/>
    <m/>
  </r>
  <r>
    <x v="293"/>
    <x v="7"/>
    <x v="4"/>
    <x v="396"/>
    <s v="C00000020"/>
    <x v="19"/>
    <s v="RA Talcum Powder (25Kg)"/>
    <n v="10"/>
    <s v="Cash"/>
    <n v="0"/>
    <d v="2023-01-05T00:00:00"/>
    <n v="1"/>
    <n v="2023"/>
    <n v="625"/>
    <n v="-625"/>
    <n v="0"/>
    <n v="2369840.9500000011"/>
    <s v="Trsf"/>
    <s v="Trsf 1/9/23 RM6,200.00(RM625.00)"/>
    <m/>
  </r>
  <r>
    <x v="293"/>
    <x v="7"/>
    <x v="4"/>
    <x v="396"/>
    <s v="C00000020"/>
    <x v="19"/>
    <s v="RJ Mepoxe (5kg)"/>
    <n v="4"/>
    <s v="Cash"/>
    <n v="0"/>
    <d v="2023-01-05T00:00:00"/>
    <n v="1"/>
    <n v="2023"/>
    <n v="380"/>
    <n v="-380"/>
    <n v="0"/>
    <n v="2370220.9500000011"/>
    <s v="Trsf"/>
    <s v="Trsf 1/9/23 RM6,200.00(RM380.00)"/>
    <m/>
  </r>
  <r>
    <x v="293"/>
    <x v="7"/>
    <x v="4"/>
    <x v="396"/>
    <s v="C00000020"/>
    <x v="19"/>
    <s v="RM Pigment Paste Smooth Cream M19 (25Kg)"/>
    <n v="2"/>
    <s v="Cash"/>
    <n v="0"/>
    <d v="2023-01-05T00:00:00"/>
    <n v="1"/>
    <n v="2023"/>
    <n v="2000"/>
    <n v="-2000"/>
    <n v="0"/>
    <n v="2372220.9500000011"/>
    <s v="Trsf"/>
    <s v="Trsf 1/9/23 RM6,200.00(RM2,000.00)"/>
    <m/>
  </r>
  <r>
    <x v="294"/>
    <x v="7"/>
    <x v="4"/>
    <x v="397"/>
    <s v="C00000023"/>
    <x v="24"/>
    <s v="RM Resin 3317AW (220Kg)"/>
    <n v="2"/>
    <s v="Cash"/>
    <n v="0"/>
    <d v="2023-01-06T00:00:00"/>
    <n v="1"/>
    <n v="2023"/>
    <n v="3476"/>
    <n v="-3476"/>
    <n v="0"/>
    <n v="2375696.9500000011"/>
    <s v="Trsf"/>
    <s v="Trsf 6/1/23 RM3,190.50,  Trsf 16/1/23 RM3,190.00"/>
    <m/>
  </r>
  <r>
    <x v="294"/>
    <x v="7"/>
    <x v="4"/>
    <x v="397"/>
    <s v="C00000023"/>
    <x v="24"/>
    <s v="RM CSM 450 64m(L) 1040mm(W) (30Kg)"/>
    <n v="8"/>
    <s v="Cash"/>
    <n v="0"/>
    <d v="2023-01-06T00:00:00"/>
    <n v="1"/>
    <n v="2023"/>
    <n v="1872"/>
    <n v="-1872"/>
    <n v="0"/>
    <n v="2377568.9500000011"/>
    <s v="Trsf"/>
    <s v="Trsf 6/1/23 RM3,190.50,  Trsf 16/1/23 RM3,190.00"/>
    <m/>
  </r>
  <r>
    <x v="294"/>
    <x v="7"/>
    <x v="4"/>
    <x v="397"/>
    <s v="C00000023"/>
    <x v="24"/>
    <s v="RJ Mepoxe (5kg)"/>
    <n v="6"/>
    <s v="Cash"/>
    <n v="0"/>
    <d v="2023-01-06T00:00:00"/>
    <n v="1"/>
    <n v="2023"/>
    <n v="570"/>
    <n v="-570"/>
    <n v="0"/>
    <n v="2378138.9500000011"/>
    <s v="Trsf"/>
    <s v="Trsf 6/1/23 RM3,190.50,  Trsf 16/1/23 RM3,190.00"/>
    <m/>
  </r>
  <r>
    <x v="294"/>
    <x v="7"/>
    <x v="4"/>
    <x v="397"/>
    <s v="C00000023"/>
    <x v="24"/>
    <s v="RM Talcum Powder (25Kg)"/>
    <n v="1"/>
    <s v="Cash"/>
    <n v="0"/>
    <d v="2023-01-06T00:00:00"/>
    <n v="1"/>
    <n v="2023"/>
    <n v="62.5"/>
    <n v="-62.5"/>
    <n v="0"/>
    <n v="2378201.4500000011"/>
    <s v="Trsf"/>
    <s v="Trsf 6/1/23 RM3,190.50,  Trsf 16/1/23 RM3,190.00"/>
    <m/>
  </r>
  <r>
    <x v="294"/>
    <x v="7"/>
    <x v="4"/>
    <x v="397"/>
    <s v="C00000023"/>
    <x v="24"/>
    <s v="RM Pigment Paste Smooth Cream M19 (5Kg)"/>
    <n v="2"/>
    <s v="Cash"/>
    <n v="0"/>
    <d v="2023-01-06T00:00:00"/>
    <n v="1"/>
    <n v="2023"/>
    <n v="400"/>
    <n v="-400"/>
    <n v="0"/>
    <n v="2378601.4500000011"/>
    <s v="Trsf"/>
    <s v="Trsf 6/1/23 RM3,190.50,  Trsf 16/1/23 RM3,190.00"/>
    <m/>
  </r>
  <r>
    <x v="295"/>
    <x v="7"/>
    <x v="4"/>
    <x v="398"/>
    <s v="C00000020"/>
    <x v="19"/>
    <s v="RM Resin 3317AW (220Kg)"/>
    <n v="3"/>
    <s v="Cash"/>
    <n v="0"/>
    <d v="2023-01-07T00:00:00"/>
    <n v="1"/>
    <n v="2023"/>
    <n v="5214"/>
    <n v="-5214"/>
    <n v="0"/>
    <n v="2383815.4500000011"/>
    <s v="Trsf"/>
    <s v="Trsf 1/9/23 RM6,200.00(RM896.70), Trsf 11/9/23 RM6,000.00(RM4,317.30)"/>
    <m/>
  </r>
  <r>
    <x v="295"/>
    <x v="7"/>
    <x v="4"/>
    <x v="398"/>
    <s v="C00000020"/>
    <x v="19"/>
    <s v="RM CSM 450 79m(L) x 1040mm(W) (30Kg)"/>
    <n v="10"/>
    <s v="Cash"/>
    <n v="0"/>
    <d v="2023-01-07T00:00:00"/>
    <n v="1"/>
    <n v="2023"/>
    <n v="2340"/>
    <n v="-2340"/>
    <n v="0"/>
    <n v="2386155.4500000011"/>
    <s v="Trsf"/>
    <s v="Trsf 11/9/23 RM6,000.00(RM1,682.70), Trsf 12/9/23 RM5,500.00(RM657.30)"/>
    <m/>
  </r>
  <r>
    <x v="295"/>
    <x v="7"/>
    <x v="4"/>
    <x v="398"/>
    <s v="C00000020"/>
    <x v="19"/>
    <s v="RJ Woven Roving E-600gm 1000mm (42Kg)"/>
    <n v="4"/>
    <s v="Cash"/>
    <n v="0"/>
    <d v="2023-01-07T00:00:00"/>
    <n v="1"/>
    <n v="2023"/>
    <n v="1092"/>
    <n v="-1092"/>
    <n v="0"/>
    <n v="2387247.4500000011"/>
    <s v="Trsf"/>
    <s v="Trsf 12/9/23 RM5,500.00(RM1,092.00)"/>
    <m/>
  </r>
  <r>
    <x v="295"/>
    <x v="7"/>
    <x v="4"/>
    <x v="398"/>
    <s v="C00000020"/>
    <x v="19"/>
    <s v="RJ Mepoxe (5kg)"/>
    <n v="4"/>
    <s v="Cash"/>
    <n v="0"/>
    <d v="2023-01-07T00:00:00"/>
    <n v="1"/>
    <n v="2023"/>
    <n v="380"/>
    <n v="-380"/>
    <n v="0"/>
    <n v="2387627.4500000011"/>
    <s v="Trsf"/>
    <s v="Trsf 12/9/23 RM5,500.00(RM380.00)"/>
    <m/>
  </r>
  <r>
    <x v="295"/>
    <x v="7"/>
    <x v="4"/>
    <x v="398"/>
    <s v="C00000020"/>
    <x v="19"/>
    <s v="RM Talcum Powder (25Kg)"/>
    <n v="3"/>
    <s v="Cash"/>
    <n v="0"/>
    <d v="2023-01-07T00:00:00"/>
    <n v="1"/>
    <n v="2023"/>
    <n v="187.5"/>
    <n v="-187.5"/>
    <n v="0"/>
    <n v="2387814.9500000011"/>
    <s v="Trsf"/>
    <s v="Trsf 12/9/23 RM5,500.00(RM187.50)"/>
    <m/>
  </r>
  <r>
    <x v="296"/>
    <x v="7"/>
    <x v="4"/>
    <x v="399"/>
    <s v="C00000021"/>
    <x v="21"/>
    <s v="RM Resin 3317AW (220Kg)"/>
    <n v="1"/>
    <s v="Cash"/>
    <n v="0"/>
    <d v="2023-01-09T00:00:00"/>
    <n v="1"/>
    <n v="2023"/>
    <n v="1870"/>
    <n v="-1870"/>
    <n v="0"/>
    <n v="2389684.9500000011"/>
    <s v="PD Chq"/>
    <s v="Chq PBB 395384, cleared180423 RM3,373.50"/>
    <m/>
  </r>
  <r>
    <x v="296"/>
    <x v="7"/>
    <x v="4"/>
    <x v="399"/>
    <s v="C00000021"/>
    <x v="21"/>
    <s v="RM CSM 450 64m(L) 1040mm(W) (30Kg)"/>
    <n v="2"/>
    <s v="Cash"/>
    <n v="0"/>
    <d v="2023-01-09T00:00:00"/>
    <n v="1"/>
    <n v="2023"/>
    <n v="510"/>
    <n v="-510"/>
    <n v="0"/>
    <n v="2390194.9500000011"/>
    <s v="PD Chq"/>
    <s v="Chq PBB 395384, cleared180423 RM3,373.50"/>
    <m/>
  </r>
  <r>
    <x v="296"/>
    <x v="7"/>
    <x v="4"/>
    <x v="399"/>
    <s v="C00000021"/>
    <x v="21"/>
    <s v="RA Butanox M50 (5kg)"/>
    <n v="1"/>
    <s v="Cash"/>
    <n v="0"/>
    <d v="2023-01-09T00:00:00"/>
    <n v="1"/>
    <n v="2023"/>
    <n v="105"/>
    <n v="-105"/>
    <n v="0"/>
    <n v="2390299.9500000011"/>
    <s v="PD Chq"/>
    <s v="Chq PBB 395384, cleared180423 RM3,373.50"/>
    <m/>
  </r>
  <r>
    <x v="296"/>
    <x v="7"/>
    <x v="4"/>
    <x v="399"/>
    <s v="C00000021"/>
    <x v="21"/>
    <s v="RA Miracle Gloss Wax No. 8 (311g/Can)"/>
    <n v="12"/>
    <s v="Cash"/>
    <n v="0"/>
    <d v="2023-01-09T00:00:00"/>
    <n v="1"/>
    <n v="2023"/>
    <n v="576"/>
    <n v="-576"/>
    <n v="0"/>
    <n v="2390875.9500000011"/>
    <s v="PD Chq"/>
    <s v="Chq PBB 395384, cleared180423 RM3,373.50"/>
    <m/>
  </r>
  <r>
    <x v="296"/>
    <x v="7"/>
    <x v="4"/>
    <x v="399"/>
    <s v="C00000021"/>
    <x v="21"/>
    <s v="RM Talcum Powder (25Kg)"/>
    <n v="5"/>
    <s v="Cash"/>
    <n v="0"/>
    <d v="2023-01-09T00:00:00"/>
    <n v="1"/>
    <n v="2023"/>
    <n v="312.5"/>
    <n v="-312.5"/>
    <n v="0"/>
    <n v="2391188.4500000011"/>
    <s v="PD Chq"/>
    <s v="Chq PBB 395384, cleared180423 RM3,373.50"/>
    <m/>
  </r>
  <r>
    <x v="296"/>
    <x v="7"/>
    <x v="4"/>
    <x v="400"/>
    <s v="C00000023"/>
    <x v="24"/>
    <s v="RM Resin 3317AW (220Kg)"/>
    <n v="1"/>
    <s v="Cash"/>
    <n v="0"/>
    <d v="2023-01-09T00:00:00"/>
    <n v="1"/>
    <n v="2023"/>
    <n v="1738"/>
    <n v="-1738"/>
    <n v="0"/>
    <n v="2392926.4500000011"/>
    <s v="Trsf"/>
    <s v="Trsf 9/1/23 RM2,936.50"/>
    <m/>
  </r>
  <r>
    <x v="296"/>
    <x v="7"/>
    <x v="4"/>
    <x v="400"/>
    <s v="C00000023"/>
    <x v="24"/>
    <s v="RA CSM 450 64m(L) 1040mm(W) (30Kg)"/>
    <n v="4"/>
    <s v="Cash"/>
    <n v="0"/>
    <d v="2023-01-09T00:00:00"/>
    <n v="1"/>
    <n v="2023"/>
    <n v="936"/>
    <n v="-936"/>
    <n v="0"/>
    <n v="2393862.4500000011"/>
    <s v="Trsf"/>
    <s v="Trsf 9/1/23 RM2,936.50"/>
    <m/>
  </r>
  <r>
    <x v="296"/>
    <x v="7"/>
    <x v="4"/>
    <x v="400"/>
    <s v="C00000023"/>
    <x v="24"/>
    <s v="RM Talcum Powder (25Kg)"/>
    <n v="1"/>
    <s v="Cash"/>
    <n v="0"/>
    <d v="2023-01-09T00:00:00"/>
    <n v="1"/>
    <n v="2023"/>
    <n v="62.5"/>
    <n v="-62.5"/>
    <n v="0"/>
    <n v="2393924.9500000011"/>
    <s v="Trsf"/>
    <s v="Trsf 9/1/23 RM2,936.50"/>
    <m/>
  </r>
  <r>
    <x v="296"/>
    <x v="7"/>
    <x v="4"/>
    <x v="400"/>
    <s v="C00000023"/>
    <x v="24"/>
    <s v="RM Pigment Paste Smooth Cream M19 (5Kg)"/>
    <n v="1"/>
    <s v="Cash"/>
    <n v="0"/>
    <d v="2023-01-09T00:00:00"/>
    <n v="1"/>
    <n v="2023"/>
    <n v="200"/>
    <n v="-200"/>
    <n v="0"/>
    <n v="2394124.9500000011"/>
    <s v="Trsf"/>
    <s v="Trsf 9/1/23 RM2,936.50"/>
    <m/>
  </r>
  <r>
    <x v="296"/>
    <x v="7"/>
    <x v="4"/>
    <x v="401"/>
    <s v="C00000020"/>
    <x v="19"/>
    <s v="RM Pigment Paste Smooth Cream M19 (20Kg)"/>
    <n v="1"/>
    <s v="Cash"/>
    <n v="0"/>
    <d v="2023-01-09T00:00:00"/>
    <n v="1"/>
    <n v="2023"/>
    <n v="800"/>
    <n v="-800"/>
    <n v="0"/>
    <n v="2394924.9500000011"/>
    <s v="Trsf"/>
    <s v="Trsf 12/9/23 RM5,500.00(RM800.00)"/>
    <m/>
  </r>
  <r>
    <x v="297"/>
    <x v="7"/>
    <x v="4"/>
    <x v="402"/>
    <s v="C00000001"/>
    <x v="0"/>
    <s v="RM Resin 3317AW (220Kg)"/>
    <n v="1"/>
    <s v="Cash"/>
    <n v="0"/>
    <d v="2023-01-11T00:00:00"/>
    <n v="1"/>
    <n v="2023"/>
    <n v="1804"/>
    <n v="-1804"/>
    <n v="0"/>
    <n v="2396728.9500000011"/>
    <s v="Trsf"/>
    <s v="Trsf 12/1/23, RM1,804.00"/>
    <m/>
  </r>
  <r>
    <x v="297"/>
    <x v="7"/>
    <x v="4"/>
    <x v="403"/>
    <s v="C00000014"/>
    <x v="13"/>
    <s v="RA Resin 3338AW (220kg)"/>
    <n v="1"/>
    <s v="Cash"/>
    <n v="0"/>
    <d v="2023-01-11T00:00:00"/>
    <n v="1"/>
    <n v="2023"/>
    <n v="1738"/>
    <n v="-1738"/>
    <n v="0"/>
    <n v="2398466.9500000011"/>
    <s v="Cash"/>
    <s v="Cash 13/1/23 RM2,132.50"/>
    <m/>
  </r>
  <r>
    <x v="297"/>
    <x v="7"/>
    <x v="4"/>
    <x v="403"/>
    <s v="C00000014"/>
    <x v="13"/>
    <s v="RM CSM 450 79m(L) x 1040mm(W) (30Kg)"/>
    <n v="1"/>
    <s v="Cash"/>
    <n v="0"/>
    <d v="2023-01-11T00:00:00"/>
    <n v="1"/>
    <n v="2023"/>
    <n v="237"/>
    <n v="-237"/>
    <n v="0"/>
    <n v="2398703.9500000011"/>
    <s v="Cash"/>
    <s v="Cash 13/1/23 RM2,132.50"/>
    <m/>
  </r>
  <r>
    <x v="297"/>
    <x v="7"/>
    <x v="4"/>
    <x v="403"/>
    <s v="C00000014"/>
    <x v="13"/>
    <s v="RJ Mepoxe (5kg)"/>
    <n v="1"/>
    <s v="Cash"/>
    <n v="0"/>
    <d v="2023-01-11T00:00:00"/>
    <n v="1"/>
    <n v="2023"/>
    <n v="95"/>
    <n v="-95"/>
    <n v="0"/>
    <n v="2398798.9500000011"/>
    <s v="Cash"/>
    <s v="Cash 13/1/23 RM2,132.50"/>
    <m/>
  </r>
  <r>
    <x v="297"/>
    <x v="7"/>
    <x v="4"/>
    <x v="403"/>
    <s v="C00000014"/>
    <x v="13"/>
    <s v="RM Talcum Powder (25Kg)"/>
    <n v="1"/>
    <s v="Cash"/>
    <n v="0"/>
    <d v="2023-01-11T00:00:00"/>
    <n v="1"/>
    <n v="2023"/>
    <n v="62.5"/>
    <n v="-62.5"/>
    <n v="0"/>
    <n v="2398861.4500000011"/>
    <s v="Cash"/>
    <s v="Cash 13/1/23 RM2,132.50"/>
    <m/>
  </r>
  <r>
    <x v="297"/>
    <x v="7"/>
    <x v="4"/>
    <x v="404"/>
    <s v="C00000023"/>
    <x v="24"/>
    <s v="RA Resin 3338W (220kg)"/>
    <n v="1"/>
    <s v="Cash"/>
    <n v="0"/>
    <d v="2023-01-11T00:00:00"/>
    <n v="1"/>
    <n v="2023"/>
    <n v="1738"/>
    <n v="-1738"/>
    <n v="0"/>
    <n v="2400599.4500000011"/>
    <s v="Trsf"/>
    <s v="Trsf 11/1/23 RM2,440.00"/>
    <m/>
  </r>
  <r>
    <x v="297"/>
    <x v="7"/>
    <x v="4"/>
    <x v="404"/>
    <s v="C00000023"/>
    <x v="24"/>
    <s v="RA CSM 450 64m(L) 1040mm(W) (30Kg)"/>
    <n v="3"/>
    <s v="Cash"/>
    <n v="0"/>
    <d v="2023-01-11T00:00:00"/>
    <n v="1"/>
    <n v="2023"/>
    <n v="702"/>
    <n v="-702"/>
    <n v="0"/>
    <n v="2401301.4500000011"/>
    <s v="Trsf"/>
    <s v="Trsf 11/1/23 RM2,440.00"/>
    <m/>
  </r>
  <r>
    <x v="298"/>
    <x v="7"/>
    <x v="4"/>
    <x v="405"/>
    <s v="C00000010"/>
    <x v="9"/>
    <s v="RA Resin 3338W (220kg)"/>
    <n v="6"/>
    <n v="120"/>
    <n v="120"/>
    <d v="2023-05-12T00:00:00"/>
    <n v="5"/>
    <n v="2023"/>
    <n v="9768"/>
    <n v="-9768"/>
    <n v="0"/>
    <n v="2411069.4500000011"/>
    <s v="Trsf"/>
    <s v="Trsf 2/5/23 RM31,397.00"/>
    <m/>
  </r>
  <r>
    <x v="298"/>
    <x v="7"/>
    <x v="4"/>
    <x v="405"/>
    <s v="C00000010"/>
    <x v="9"/>
    <s v="RA CSM 450 64m(L) 1040mm(W) (30Kg)"/>
    <n v="10"/>
    <n v="120"/>
    <n v="120"/>
    <d v="2023-05-12T00:00:00"/>
    <n v="5"/>
    <n v="2023"/>
    <n v="2070"/>
    <n v="-2070"/>
    <n v="0"/>
    <n v="2413139.4500000011"/>
    <s v="Trsf"/>
    <s v="Trsf 2/5/23 RM31,397.00"/>
    <m/>
  </r>
  <r>
    <x v="298"/>
    <x v="7"/>
    <x v="4"/>
    <x v="405"/>
    <s v="C00000010"/>
    <x v="9"/>
    <s v="RM Talcum Powder (25kg)"/>
    <n v="10"/>
    <n v="120"/>
    <n v="120"/>
    <d v="2023-05-12T00:00:00"/>
    <n v="5"/>
    <n v="2023"/>
    <n v="575"/>
    <n v="-575"/>
    <n v="0"/>
    <n v="2413714.4500000011"/>
    <s v="Trsf"/>
    <s v="Trsf 2/5/23 RM31,397.00"/>
    <m/>
  </r>
  <r>
    <x v="298"/>
    <x v="7"/>
    <x v="4"/>
    <x v="405"/>
    <s v="C00000010"/>
    <x v="9"/>
    <s v="RA Butanox M50 (5kg)"/>
    <n v="8"/>
    <n v="120"/>
    <n v="120"/>
    <d v="2023-05-12T00:00:00"/>
    <n v="5"/>
    <n v="2023"/>
    <n v="840"/>
    <n v="-840"/>
    <n v="0"/>
    <n v="2414554.4500000011"/>
    <s v="Trsf"/>
    <s v="Trsf 2/5/23 RM31,397.00"/>
    <m/>
  </r>
  <r>
    <x v="298"/>
    <x v="7"/>
    <x v="4"/>
    <x v="405"/>
    <s v="C00000010"/>
    <x v="9"/>
    <s v="RM Brush 3&quot; (12Pc)"/>
    <n v="4"/>
    <n v="120"/>
    <n v="120"/>
    <d v="2023-05-12T00:00:00"/>
    <n v="5"/>
    <n v="2023"/>
    <n v="200"/>
    <n v="-200"/>
    <n v="0"/>
    <n v="2414754.4500000011"/>
    <s v="Trsf"/>
    <s v="Trsf 2/5/23 RM31,397.00"/>
    <m/>
  </r>
  <r>
    <x v="298"/>
    <x v="7"/>
    <x v="4"/>
    <x v="405"/>
    <s v="C00000010"/>
    <x v="9"/>
    <s v="RH Bosny Wax (15Kg)"/>
    <n v="1"/>
    <n v="120"/>
    <n v="120"/>
    <d v="2023-05-12T00:00:00"/>
    <n v="5"/>
    <n v="2023"/>
    <n v="395"/>
    <n v="-395"/>
    <n v="0"/>
    <n v="2415149.4500000011"/>
    <s v="Trsf"/>
    <s v="Trsf 2/5/23 RM31,397.00"/>
    <m/>
  </r>
  <r>
    <x v="298"/>
    <x v="7"/>
    <x v="4"/>
    <x v="405"/>
    <s v="C00000010"/>
    <x v="9"/>
    <s v="RM Fume Silica HJSIL 200(10Kg)"/>
    <n v="1"/>
    <n v="120"/>
    <n v="120"/>
    <d v="2023-05-12T00:00:00"/>
    <n v="5"/>
    <n v="2023"/>
    <n v="420"/>
    <n v="-420"/>
    <n v="0"/>
    <n v="2415569.4500000011"/>
    <s v="Trsf"/>
    <s v="Trsf 2/5/23 RM31,397.00"/>
    <m/>
  </r>
  <r>
    <x v="298"/>
    <x v="7"/>
    <x v="4"/>
    <x v="406"/>
    <s v="C00000020"/>
    <x v="19"/>
    <s v="RA Resin 3338W (220kg)"/>
    <n v="5"/>
    <s v="Cash"/>
    <n v="0"/>
    <d v="2023-01-12T00:00:00"/>
    <n v="1"/>
    <n v="2023"/>
    <n v="8690"/>
    <n v="-8690"/>
    <n v="0"/>
    <n v="2424259.4500000011"/>
    <s v="Trsf"/>
    <s v="Trsf 12/9/23 RM5,500.00(RM2,383.20), Trsf 15/9/23 RM5,800.00(RM5,800.00), Trsf 21/9/23 RM6,700.00(RM506.80)"/>
    <m/>
  </r>
  <r>
    <x v="298"/>
    <x v="7"/>
    <x v="4"/>
    <x v="406"/>
    <s v="C00000020"/>
    <x v="19"/>
    <s v="RA CSM 450 64m(L) 1040mm(W) (30Kg)"/>
    <n v="15"/>
    <s v="Cash"/>
    <n v="0"/>
    <d v="2023-01-12T00:00:00"/>
    <n v="1"/>
    <n v="2023"/>
    <n v="3510"/>
    <n v="-3510"/>
    <n v="0"/>
    <n v="2427769.4500000011"/>
    <s v="Trsf"/>
    <s v="Trsf 21/9/23 RM6,700.00(RM3,510.00)"/>
    <m/>
  </r>
  <r>
    <x v="298"/>
    <x v="7"/>
    <x v="4"/>
    <x v="406"/>
    <s v="C00000020"/>
    <x v="19"/>
    <s v="RJ Woven Roving E-600gm 1000mm (42Kg)"/>
    <n v="6"/>
    <s v="Cash"/>
    <n v="0"/>
    <d v="2023-01-12T00:00:00"/>
    <n v="1"/>
    <n v="2023"/>
    <n v="1638"/>
    <n v="-1638"/>
    <n v="0"/>
    <n v="2429407.4500000011"/>
    <s v="Trsf"/>
    <s v="Trsf 21/9/23 RM6,700.00(RM1,638.00)"/>
    <m/>
  </r>
  <r>
    <x v="298"/>
    <x v="7"/>
    <x v="4"/>
    <x v="406"/>
    <s v="C00000020"/>
    <x v="19"/>
    <s v="RM Pigment Paste Smooth Cream M19 (25Kg)"/>
    <n v="1"/>
    <s v="Cash"/>
    <n v="0"/>
    <d v="2023-01-12T00:00:00"/>
    <n v="1"/>
    <n v="2023"/>
    <n v="1000"/>
    <n v="-1000"/>
    <n v="0"/>
    <n v="2430407.4500000011"/>
    <s v="Trsf"/>
    <s v="Trsf 21/9/23 RM6,700.00(RM1,000.00)"/>
    <m/>
  </r>
  <r>
    <x v="298"/>
    <x v="7"/>
    <x v="4"/>
    <x v="406"/>
    <s v="C00000020"/>
    <x v="19"/>
    <s v="RM Talcum Powder (25Kg)"/>
    <n v="5"/>
    <s v="Cash"/>
    <n v="0"/>
    <d v="2023-01-12T00:00:00"/>
    <n v="1"/>
    <n v="2023"/>
    <n v="312.5"/>
    <n v="-312.5"/>
    <n v="0"/>
    <n v="2430719.9500000011"/>
    <s v="Trsf"/>
    <s v="Trsf 21/9/23 RM6,700.00(RM45.20), Trsf 27/9/23 RM23,000.00(RM267.30)"/>
    <m/>
  </r>
  <r>
    <x v="298"/>
    <x v="7"/>
    <x v="4"/>
    <x v="406"/>
    <s v="C00000020"/>
    <x v="19"/>
    <s v="RA Butanox M50 (5kg)"/>
    <n v="4"/>
    <s v="Cash"/>
    <n v="0"/>
    <d v="2023-01-12T00:00:00"/>
    <n v="1"/>
    <n v="2023"/>
    <n v="420"/>
    <n v="-420"/>
    <n v="0"/>
    <n v="2431139.9500000011"/>
    <s v="Trsf"/>
    <s v="Trsf 27/9/23 RM23,000.00(RM420.00) "/>
    <m/>
  </r>
  <r>
    <x v="298"/>
    <x v="7"/>
    <x v="4"/>
    <x v="407"/>
    <s v="C00000022"/>
    <x v="23"/>
    <s v="RM Gelcoat GPH (20Kg)"/>
    <n v="1"/>
    <s v="Cash"/>
    <n v="0"/>
    <d v="2023-01-12T00:00:00"/>
    <n v="1"/>
    <n v="2023"/>
    <n v="256"/>
    <n v="-256"/>
    <n v="0"/>
    <n v="2431395.9500000011"/>
    <s v="Trsf"/>
    <s v="Trsf 28/2/23 RM2,500.00(RM256.00)"/>
    <m/>
  </r>
  <r>
    <x v="299"/>
    <x v="7"/>
    <x v="4"/>
    <x v="408"/>
    <s v="C00000023"/>
    <x v="24"/>
    <s v="RA Resin 3338W (220kg)"/>
    <n v="1"/>
    <s v="Cash"/>
    <n v="0"/>
    <d v="2023-01-13T00:00:00"/>
    <n v="1"/>
    <n v="2023"/>
    <n v="1738"/>
    <n v="-1738"/>
    <n v="0"/>
    <n v="2433133.9500000011"/>
    <s v="Trsf"/>
    <s v="Trsf 13/1/23 RM1,800.50"/>
    <m/>
  </r>
  <r>
    <x v="299"/>
    <x v="7"/>
    <x v="4"/>
    <x v="408"/>
    <s v="C00000023"/>
    <x v="24"/>
    <s v="RM Talcum Powder (25Kg)"/>
    <n v="1"/>
    <s v="Cash"/>
    <n v="0"/>
    <d v="2023-01-13T00:00:00"/>
    <n v="1"/>
    <n v="2023"/>
    <n v="62.5"/>
    <n v="-62.5"/>
    <n v="0"/>
    <n v="2433196.4500000011"/>
    <s v="Trsf"/>
    <s v="Trsf 13/1/23 RM1,800.50"/>
    <m/>
  </r>
  <r>
    <x v="300"/>
    <x v="7"/>
    <x v="4"/>
    <x v="409"/>
    <s v="C00000029"/>
    <x v="30"/>
    <s v="RA Talcum Powder (25kg)"/>
    <n v="4"/>
    <s v="Cash"/>
    <n v="0"/>
    <d v="2023-01-14T00:00:00"/>
    <n v="1"/>
    <n v="2023"/>
    <n v="250"/>
    <n v="-250"/>
    <n v="0"/>
    <n v="2433446.4500000011"/>
    <s v="Trsf"/>
    <s v="Trsf 14/1/23 RM250.00"/>
    <m/>
  </r>
  <r>
    <x v="300"/>
    <x v="7"/>
    <x v="4"/>
    <x v="410"/>
    <s v="C00000020"/>
    <x v="19"/>
    <s v="RM Resin 3317AW (220Kg)"/>
    <n v="5"/>
    <s v="Cash"/>
    <n v="0"/>
    <d v="2023-01-14T00:00:00"/>
    <n v="1"/>
    <n v="2023"/>
    <n v="8690"/>
    <n v="-8690"/>
    <n v="0"/>
    <n v="2442136.4500000011"/>
    <s v="Trsf"/>
    <s v="Trsf 27/9/23 RM23,000.00(RM8.690.00)"/>
    <m/>
  </r>
  <r>
    <x v="300"/>
    <x v="7"/>
    <x v="4"/>
    <x v="410"/>
    <s v="C00000020"/>
    <x v="19"/>
    <s v="RA CSM 450 64m(L) 1040mm(W) (30Kg)"/>
    <n v="15"/>
    <s v="Cash"/>
    <n v="0"/>
    <d v="2023-01-14T00:00:00"/>
    <n v="1"/>
    <n v="2023"/>
    <n v="3510"/>
    <n v="-3510"/>
    <n v="0"/>
    <n v="2445646.4500000011"/>
    <s v="Trsf"/>
    <s v="Trsf 27/9/23 RM23,000.00(RM3,510.00)"/>
    <m/>
  </r>
  <r>
    <x v="300"/>
    <x v="7"/>
    <x v="4"/>
    <x v="410"/>
    <s v="C00000020"/>
    <x v="19"/>
    <s v="RJ Woven Roving E-600gm 1000mm (42Kg)"/>
    <n v="6"/>
    <s v="Cash"/>
    <n v="0"/>
    <d v="2023-01-14T00:00:00"/>
    <n v="1"/>
    <n v="2023"/>
    <n v="1638"/>
    <n v="-1638"/>
    <n v="0"/>
    <n v="2447284.4500000011"/>
    <s v="Trsf"/>
    <s v="Trsf 27/9/23 RM23,000.00(RM1,638.00)"/>
    <m/>
  </r>
  <r>
    <x v="300"/>
    <x v="7"/>
    <x v="4"/>
    <x v="410"/>
    <s v="C00000020"/>
    <x v="19"/>
    <s v="RM Talcum Powder (25Kg)"/>
    <n v="5"/>
    <s v="Cash"/>
    <n v="0"/>
    <d v="2023-01-14T00:00:00"/>
    <n v="1"/>
    <n v="2023"/>
    <n v="312.5"/>
    <n v="-312.5"/>
    <n v="0"/>
    <n v="2447596.9500000011"/>
    <s v="Trsf"/>
    <s v="Trsf 27/9/23 RM23,000.00(RM312.50)"/>
    <m/>
  </r>
  <r>
    <x v="301"/>
    <x v="7"/>
    <x v="4"/>
    <x v="411"/>
    <s v="C00000021"/>
    <x v="21"/>
    <s v="RM Resin 3317AW (220Kg)"/>
    <n v="1"/>
    <s v="Cash"/>
    <n v="0"/>
    <d v="2023-01-16T00:00:00"/>
    <n v="1"/>
    <n v="2023"/>
    <n v="1936"/>
    <n v="-1936"/>
    <n v="0"/>
    <n v="2449532.9500000011"/>
    <s v="PD Chq"/>
    <s v="Chq PBB 395385, cleared260423 RM2,832.00"/>
    <m/>
  </r>
  <r>
    <x v="301"/>
    <x v="7"/>
    <x v="4"/>
    <x v="411"/>
    <s v="C00000021"/>
    <x v="21"/>
    <s v="RM CSM 450 64m(L) 1040mm(W) (30Kg)"/>
    <n v="3"/>
    <s v="Cash"/>
    <n v="0"/>
    <d v="2023-01-16T00:00:00"/>
    <n v="1"/>
    <n v="2023"/>
    <n v="801"/>
    <n v="-801"/>
    <n v="0"/>
    <n v="2450333.9500000011"/>
    <s v="PD Chq"/>
    <s v="Chq PBB 395385, cleared260423 RM2,832.00"/>
    <m/>
  </r>
  <r>
    <x v="301"/>
    <x v="7"/>
    <x v="4"/>
    <x v="411"/>
    <s v="C00000021"/>
    <x v="21"/>
    <s v="RJ Mepoxe (5kg)"/>
    <n v="1"/>
    <s v="Cash"/>
    <n v="0"/>
    <d v="2023-01-16T00:00:00"/>
    <n v="1"/>
    <n v="2023"/>
    <n v="95"/>
    <n v="-95"/>
    <n v="0"/>
    <n v="2450428.9500000011"/>
    <s v="PD Chq"/>
    <s v="Chq PBB 395385, cleared260423 RM2,832.00"/>
    <m/>
  </r>
  <r>
    <x v="302"/>
    <x v="7"/>
    <x v="4"/>
    <x v="412"/>
    <s v="C00000022"/>
    <x v="23"/>
    <s v="RA Nor 3338W (220Kg)"/>
    <n v="1"/>
    <s v="Cash"/>
    <n v="0"/>
    <d v="2023-01-18T00:00:00"/>
    <n v="1"/>
    <n v="2023"/>
    <n v="1936"/>
    <n v="-1936"/>
    <n v="0"/>
    <n v="2452364.9500000011"/>
    <s v="Trsf"/>
    <s v="Trsf 28/2/23 RM2,500.00(RM1,720.00),  Trsf 29/3/23 RM1,500.00(RM216.00)"/>
    <m/>
  </r>
  <r>
    <x v="302"/>
    <x v="7"/>
    <x v="4"/>
    <x v="413"/>
    <s v="C00000010"/>
    <x v="9"/>
    <s v="RA Resin 3338W (220kg)"/>
    <n v="8"/>
    <n v="120"/>
    <n v="120"/>
    <d v="2023-05-18T00:00:00"/>
    <n v="5"/>
    <n v="2023"/>
    <n v="13024"/>
    <n v="-13024"/>
    <n v="0"/>
    <n v="2465388.9500000011"/>
    <s v="Trsf"/>
    <s v="Trsf 2/5/23 RM31,397.00"/>
    <m/>
  </r>
  <r>
    <x v="302"/>
    <x v="7"/>
    <x v="4"/>
    <x v="413"/>
    <s v="C00000010"/>
    <x v="9"/>
    <s v="RA CSM 450 64m(L) 1040mm(W) (30Kg)"/>
    <n v="10"/>
    <n v="120"/>
    <n v="120"/>
    <d v="2023-05-18T00:00:00"/>
    <n v="5"/>
    <n v="2023"/>
    <n v="2070"/>
    <n v="-2070"/>
    <n v="0"/>
    <n v="2467458.9500000011"/>
    <s v="Trsf"/>
    <s v="Trsf 2/5/23 RM31,397.00"/>
    <m/>
  </r>
  <r>
    <x v="302"/>
    <x v="7"/>
    <x v="4"/>
    <x v="413"/>
    <s v="C00000010"/>
    <x v="9"/>
    <s v="RM Talcum Powder (25kg)"/>
    <n v="10"/>
    <n v="120"/>
    <n v="120"/>
    <d v="2023-05-18T00:00:00"/>
    <n v="5"/>
    <n v="2023"/>
    <n v="575"/>
    <n v="-575"/>
    <n v="0"/>
    <n v="2468033.9500000011"/>
    <s v="Trsf"/>
    <s v="Trsf 2/5/23 RM31,397.00"/>
    <m/>
  </r>
  <r>
    <x v="302"/>
    <x v="7"/>
    <x v="4"/>
    <x v="413"/>
    <s v="C00000010"/>
    <x v="9"/>
    <s v="RA Butanox M50 (5kg)"/>
    <n v="8"/>
    <n v="120"/>
    <n v="120"/>
    <d v="2023-05-18T00:00:00"/>
    <n v="5"/>
    <n v="2023"/>
    <n v="840"/>
    <n v="-840"/>
    <n v="0"/>
    <n v="2468873.9500000011"/>
    <s v="Trsf"/>
    <s v="Trsf 2/5/23 RM31,397.00"/>
    <m/>
  </r>
  <r>
    <x v="302"/>
    <x v="7"/>
    <x v="4"/>
    <x v="413"/>
    <s v="C00000010"/>
    <x v="9"/>
    <s v="RM Brush 3&quot; (12Pc)"/>
    <n v="4"/>
    <n v="120"/>
    <n v="120"/>
    <d v="2023-05-18T00:00:00"/>
    <n v="5"/>
    <n v="2023"/>
    <n v="200"/>
    <n v="-200"/>
    <n v="0"/>
    <n v="2469073.9500000011"/>
    <s v="Trsf"/>
    <s v="Trsf 2/5/23 RM31,397.00"/>
    <m/>
  </r>
  <r>
    <x v="302"/>
    <x v="7"/>
    <x v="4"/>
    <x v="413"/>
    <s v="C00000010"/>
    <x v="9"/>
    <s v="RM Fume Silica HJSIL 200(10Kg)"/>
    <n v="1"/>
    <n v="120"/>
    <n v="120"/>
    <d v="2023-05-18T00:00:00"/>
    <n v="5"/>
    <n v="2023"/>
    <n v="420"/>
    <n v="-420"/>
    <n v="0"/>
    <n v="2469493.9500000011"/>
    <s v="Trsf"/>
    <s v="Trsf 29/5/23 RM10,765.00"/>
    <m/>
  </r>
  <r>
    <x v="303"/>
    <x v="7"/>
    <x v="4"/>
    <x v="414"/>
    <s v="C00000020"/>
    <x v="19"/>
    <s v="RA Nor 3338W (220Kg)"/>
    <n v="5"/>
    <s v="Cash"/>
    <n v="0"/>
    <d v="2023-01-19T00:00:00"/>
    <n v="1"/>
    <n v="2023"/>
    <n v="8690"/>
    <n v="-8690"/>
    <n v="0"/>
    <n v="2478183.9500000011"/>
    <s v="Trsf"/>
    <s v="Trsf 27/9/23 RM23,000.00(RM8,162.20), Trsf 1/10/23 RM14,500.00(RM527.80)"/>
    <m/>
  </r>
  <r>
    <x v="303"/>
    <x v="7"/>
    <x v="4"/>
    <x v="414"/>
    <s v="C00000020"/>
    <x v="19"/>
    <s v="RA CSM 450 64m(L) 1040mm(W) (30Kg)"/>
    <n v="15"/>
    <s v="Cash"/>
    <n v="0"/>
    <d v="2023-01-19T00:00:00"/>
    <n v="1"/>
    <n v="2023"/>
    <n v="3510"/>
    <n v="-3510"/>
    <n v="0"/>
    <n v="2481693.9500000011"/>
    <s v="Trsf"/>
    <s v="Trsf 1/10/23 RM14,500.00(RM3,510.00)"/>
    <m/>
  </r>
  <r>
    <x v="303"/>
    <x v="7"/>
    <x v="4"/>
    <x v="414"/>
    <s v="C00000020"/>
    <x v="19"/>
    <s v="RJ Woven Roving E-600gm 1000mm (42Kg)"/>
    <n v="5"/>
    <s v="Cash"/>
    <n v="0"/>
    <d v="2023-01-19T00:00:00"/>
    <n v="1"/>
    <n v="2023"/>
    <n v="1365"/>
    <n v="-1365"/>
    <n v="0"/>
    <n v="2483058.9500000011"/>
    <s v="Trsf"/>
    <s v="Trsf 1/10/23 RM14,500.00(RM1,365.00)"/>
    <m/>
  </r>
  <r>
    <x v="303"/>
    <x v="7"/>
    <x v="4"/>
    <x v="414"/>
    <s v="C00000020"/>
    <x v="19"/>
    <s v="RM Pigment Paste Smooth Cream M19 (25Kg)"/>
    <n v="1"/>
    <s v="Cash"/>
    <n v="0"/>
    <d v="2023-01-19T00:00:00"/>
    <n v="1"/>
    <n v="2023"/>
    <n v="1000"/>
    <n v="-1000"/>
    <n v="0"/>
    <n v="2484058.9500000011"/>
    <s v="Trsf"/>
    <s v="Trsf 1/10/23 RM14,500.00(RM1,000.00)"/>
    <m/>
  </r>
  <r>
    <x v="304"/>
    <x v="7"/>
    <x v="4"/>
    <x v="415"/>
    <s v="C00000019"/>
    <x v="18"/>
    <s v="RM Nor 3338W (220Kg)"/>
    <n v="2"/>
    <s v="Cash"/>
    <n v="0"/>
    <d v="2023-01-20T00:00:00"/>
    <n v="1"/>
    <n v="2023"/>
    <n v="3476"/>
    <n v="-3476"/>
    <n v="0"/>
    <n v="2487534.9500000011"/>
    <s v="Trsf"/>
    <s v="Trsf 7/4/23 RM2,000.00(RM475.70), Trsf 24/4/23 RM1,000.00, Trsf 26/4/23 RM1,500.00, Trsf 7/5/23 RM2,000.00(RM500.30)"/>
    <m/>
  </r>
  <r>
    <x v="304"/>
    <x v="7"/>
    <x v="4"/>
    <x v="415"/>
    <s v="C00000019"/>
    <x v="18"/>
    <s v="RM CSM 450 CQ 54kg 64m(L) X 1860mm(W)"/>
    <n v="3"/>
    <s v="Cash"/>
    <n v="0"/>
    <d v="2023-01-20T00:00:00"/>
    <n v="1"/>
    <n v="2023"/>
    <n v="1263.5999999999999"/>
    <n v="-1263.5999999999999"/>
    <n v="0"/>
    <n v="2488798.5500000012"/>
    <s v="Trsf"/>
    <s v="Trsf 7/5/23 RM2,000.00(RM1,263.60)"/>
    <m/>
  </r>
  <r>
    <x v="304"/>
    <x v="7"/>
    <x v="4"/>
    <x v="415"/>
    <s v="C00000019"/>
    <x v="18"/>
    <s v="RA Talcum Powder (25kg)"/>
    <n v="5"/>
    <s v="Cash"/>
    <n v="0"/>
    <d v="2023-01-20T00:00:00"/>
    <n v="1"/>
    <n v="2023"/>
    <n v="312.5"/>
    <n v="-312.5"/>
    <n v="0"/>
    <n v="2489111.0500000012"/>
    <s v="Trsf"/>
    <s v="Trsf 7/5/23 RM2,000.00(RM236.10), Trsf 11/5/23 RM1,000.00(RM76.40)"/>
    <m/>
  </r>
  <r>
    <x v="304"/>
    <x v="7"/>
    <x v="4"/>
    <x v="415"/>
    <s v="C00000019"/>
    <x v="18"/>
    <s v="RA Butanox M50"/>
    <n v="2"/>
    <s v="Cash"/>
    <n v="0"/>
    <d v="2023-01-20T00:00:00"/>
    <n v="1"/>
    <n v="2023"/>
    <n v="210"/>
    <n v="-210"/>
    <n v="0"/>
    <n v="2489321.0500000012"/>
    <s v="Trsf"/>
    <s v="Trsf 11/5/23 RM1,000.00(RM210.00)"/>
    <m/>
  </r>
  <r>
    <x v="304"/>
    <x v="7"/>
    <x v="4"/>
    <x v="415"/>
    <s v="C00000019"/>
    <x v="18"/>
    <s v="RM Aerosil (Silica Fume) (10Kg)"/>
    <n v="1"/>
    <s v="Cash"/>
    <n v="0"/>
    <d v="2023-01-20T00:00:00"/>
    <n v="1"/>
    <n v="2023"/>
    <n v="440"/>
    <n v="-440"/>
    <n v="0"/>
    <n v="2489761.0500000012"/>
    <s v="Trsf"/>
    <s v="Trsf 11/5/23 RM1,000.00(RM440.00)"/>
    <m/>
  </r>
  <r>
    <x v="304"/>
    <x v="7"/>
    <x v="4"/>
    <x v="415"/>
    <s v="C00000019"/>
    <x v="18"/>
    <s v="RE Frekote 770NC (1 Gallon)"/>
    <n v="1"/>
    <s v="Cash"/>
    <n v="0"/>
    <d v="2023-01-20T00:00:00"/>
    <n v="1"/>
    <n v="2023"/>
    <n v="450"/>
    <n v="-450"/>
    <n v="0"/>
    <n v="2490211.0500000012"/>
    <s v="Trsf"/>
    <s v="Trsf 11/5/23 RM1,000.00(RM273.60), Trsf 18/5/23 RM1,000.00(RM176.40)"/>
    <m/>
  </r>
  <r>
    <x v="305"/>
    <x v="7"/>
    <x v="4"/>
    <x v="416"/>
    <s v="C00000009"/>
    <x v="8"/>
    <s v="RA Nor 3338W (220Kg)"/>
    <n v="2"/>
    <n v="60"/>
    <n v="60"/>
    <d v="2023-03-28T00:00:00"/>
    <n v="3"/>
    <n v="2023"/>
    <n v="3256"/>
    <n v="-3256"/>
    <n v="0"/>
    <n v="2493467.0500000012"/>
    <s v="Chq"/>
    <s v="Chq HL 020281 dd 26/4/23"/>
    <m/>
  </r>
  <r>
    <x v="305"/>
    <x v="7"/>
    <x v="4"/>
    <x v="416"/>
    <s v="C00000009"/>
    <x v="8"/>
    <s v="RM Nor 3338NW (220Kg)"/>
    <n v="1"/>
    <n v="60"/>
    <n v="60"/>
    <d v="2023-03-28T00:00:00"/>
    <n v="3"/>
    <n v="2023"/>
    <n v="1628"/>
    <n v="-1628"/>
    <n v="0"/>
    <n v="2495095.0500000012"/>
    <s v="Chq"/>
    <s v="Chq HL 020281 dd 26/4/23"/>
    <m/>
  </r>
  <r>
    <x v="305"/>
    <x v="7"/>
    <x v="4"/>
    <x v="416"/>
    <s v="C00000009"/>
    <x v="8"/>
    <s v="RM Gelcoat GPH (20kg)"/>
    <n v="3"/>
    <n v="60"/>
    <n v="60"/>
    <d v="2023-03-28T00:00:00"/>
    <n v="3"/>
    <n v="2023"/>
    <n v="732"/>
    <n v="-732"/>
    <n v="0"/>
    <n v="2495827.0500000012"/>
    <s v="Chq"/>
    <s v="Chq HL 020281 dd 26/4/23"/>
    <m/>
  </r>
  <r>
    <x v="305"/>
    <x v="7"/>
    <x v="4"/>
    <x v="417"/>
    <s v="C00000034"/>
    <x v="35"/>
    <s v="RA Nor 3338NonWax (220Kg)"/>
    <n v="1"/>
    <s v="Cash"/>
    <n v="0"/>
    <d v="2023-01-27T00:00:00"/>
    <n v="1"/>
    <n v="2023"/>
    <n v="1738"/>
    <n v="-1738"/>
    <n v="0"/>
    <n v="2497565.0500000012"/>
    <s v="Trsf"/>
    <s v="Trsf 27/1/23 RM2,917.80"/>
    <m/>
  </r>
  <r>
    <x v="305"/>
    <x v="7"/>
    <x v="4"/>
    <x v="417"/>
    <s v="C00000034"/>
    <x v="35"/>
    <s v="RM CSM 450 64m(L) 1040mm(W) (30Kg)"/>
    <n v="2"/>
    <s v="Cash"/>
    <n v="0"/>
    <d v="2023-01-27T00:00:00"/>
    <n v="1"/>
    <n v="2023"/>
    <n v="438"/>
    <n v="-438"/>
    <n v="0"/>
    <n v="2498003.0500000012"/>
    <s v="Trsf"/>
    <s v="Trsf 27/1/23 RM2,917.80"/>
    <m/>
  </r>
  <r>
    <x v="305"/>
    <x v="7"/>
    <x v="4"/>
    <x v="417"/>
    <s v="C00000034"/>
    <x v="35"/>
    <s v="RA CSM 300 64m(L) 1040mm(W) (30Kg)"/>
    <n v="1"/>
    <s v="Cash"/>
    <n v="0"/>
    <d v="2023-01-27T00:00:00"/>
    <n v="1"/>
    <n v="2023"/>
    <n v="219"/>
    <n v="-219"/>
    <n v="0"/>
    <n v="2498222.0500000012"/>
    <s v="Trsf"/>
    <s v="Trsf 27/1/23 RM2,917.80"/>
    <m/>
  </r>
  <r>
    <x v="305"/>
    <x v="7"/>
    <x v="4"/>
    <x v="417"/>
    <s v="C00000034"/>
    <x v="35"/>
    <s v="RJ Woven Roving E-600gm 1000mm (42Kg) (offer price)*"/>
    <n v="2"/>
    <s v="Cash"/>
    <n v="0"/>
    <d v="2023-01-27T00:00:00"/>
    <n v="1"/>
    <n v="2023"/>
    <n v="394.8"/>
    <n v="-394.8"/>
    <n v="0"/>
    <n v="2498616.850000001"/>
    <s v="Trsf"/>
    <s v="Trsf 27/1/23 RM2,917.80"/>
    <m/>
  </r>
  <r>
    <x v="305"/>
    <x v="7"/>
    <x v="4"/>
    <x v="417"/>
    <s v="C00000034"/>
    <x v="35"/>
    <s v="RM Pigment Pearl Grey (2Kg)"/>
    <n v="1"/>
    <s v="Cash"/>
    <n v="0"/>
    <d v="2023-01-27T00:00:00"/>
    <n v="1"/>
    <n v="2023"/>
    <n v="64"/>
    <n v="-64"/>
    <n v="0"/>
    <n v="2498680.850000001"/>
    <s v="Trsf"/>
    <s v="Trsf 27/1/23 RM2,917.80"/>
    <m/>
  </r>
  <r>
    <x v="305"/>
    <x v="7"/>
    <x v="4"/>
    <x v="417"/>
    <s v="C00000034"/>
    <x v="35"/>
    <s v="RM Pigment Light Grey (2Kg)"/>
    <n v="1"/>
    <s v="Cash"/>
    <n v="0"/>
    <d v="2023-01-27T00:00:00"/>
    <n v="1"/>
    <n v="2023"/>
    <n v="64"/>
    <n v="-64"/>
    <n v="0"/>
    <n v="2498744.850000001"/>
    <s v="Trsf"/>
    <s v="Trsf 27/1/23 RM2,917.80"/>
    <m/>
  </r>
  <r>
    <x v="306"/>
    <x v="7"/>
    <x v="4"/>
    <x v="418"/>
    <s v="C00000020"/>
    <x v="19"/>
    <s v="RA Resin 3338W (220kg)"/>
    <n v="5"/>
    <s v="Cash"/>
    <n v="0"/>
    <d v="2023-01-30T00:00:00"/>
    <n v="1"/>
    <n v="2023"/>
    <n v="8690"/>
    <n v="-8690"/>
    <n v="0"/>
    <n v="2507434.850000001"/>
    <s v="Trsf"/>
    <s v="Trsf 1/10/23 RM14,500.00(RM8,097.20), Trsf 6/10/23 RM6,400.00(RM592.80) "/>
    <m/>
  </r>
  <r>
    <x v="306"/>
    <x v="7"/>
    <x v="4"/>
    <x v="418"/>
    <s v="C00000020"/>
    <x v="19"/>
    <s v="RM CSM 450 64m(L) 1040mm(W) (30Kg)"/>
    <n v="3"/>
    <s v="Cash"/>
    <n v="0"/>
    <d v="2023-01-30T00:00:00"/>
    <n v="1"/>
    <n v="2023"/>
    <n v="702"/>
    <n v="-702"/>
    <n v="0"/>
    <n v="2508136.850000001"/>
    <s v="Trsf"/>
    <s v="Trsf 6/10/23 RM6,400.00(RM702.00) "/>
    <m/>
  </r>
  <r>
    <x v="306"/>
    <x v="7"/>
    <x v="4"/>
    <x v="418"/>
    <s v="C00000020"/>
    <x v="19"/>
    <s v="RM CSM 450 64m(L) X 1860mm(W) (54kg)"/>
    <n v="4"/>
    <s v="Cash"/>
    <n v="0"/>
    <d v="2023-01-30T00:00:00"/>
    <n v="1"/>
    <n v="2023"/>
    <n v="1684.8"/>
    <n v="-1684.8"/>
    <n v="0"/>
    <n v="2509821.6500000008"/>
    <s v="Trsf"/>
    <s v="Trsf 6/10/23 RM6,400.00(RM1,684.80) "/>
    <m/>
  </r>
  <r>
    <x v="306"/>
    <x v="7"/>
    <x v="4"/>
    <x v="418"/>
    <s v="C00000020"/>
    <x v="19"/>
    <s v="RJ Woven Roving E-600gm 1000mm (42Kg)"/>
    <n v="7"/>
    <s v="Cash"/>
    <n v="0"/>
    <d v="2023-01-30T00:00:00"/>
    <n v="1"/>
    <n v="2023"/>
    <n v="1911"/>
    <n v="-1911"/>
    <n v="0"/>
    <n v="2511732.6500000008"/>
    <s v="Trsf"/>
    <s v="Trsf 6/10/23 RM6,400.00(RM1,911.00) "/>
    <m/>
  </r>
  <r>
    <x v="306"/>
    <x v="7"/>
    <x v="4"/>
    <x v="418"/>
    <s v="C00000020"/>
    <x v="19"/>
    <s v="RM Pigment Paste Smooth Cream M19 (25Kg)"/>
    <n v="1"/>
    <s v="Cash"/>
    <n v="0"/>
    <d v="2023-01-30T00:00:00"/>
    <n v="1"/>
    <n v="2023"/>
    <n v="1000"/>
    <n v="-1000"/>
    <n v="0"/>
    <n v="2512732.6500000008"/>
    <s v="Trsf"/>
    <s v="Trsf 6/10/23 RM6,400.00(RM1,000.00) "/>
    <m/>
  </r>
  <r>
    <x v="306"/>
    <x v="7"/>
    <x v="4"/>
    <x v="418"/>
    <s v="C00000020"/>
    <x v="19"/>
    <s v="RM Talcum Powder (25Kg)"/>
    <n v="4"/>
    <s v="Cash"/>
    <n v="0"/>
    <d v="2023-01-30T00:00:00"/>
    <n v="1"/>
    <n v="2023"/>
    <n v="250"/>
    <n v="-250"/>
    <n v="0"/>
    <n v="2512982.6500000008"/>
    <s v="Trsf"/>
    <s v="Trsf 6/10/23 RM6,400.00(RM250.00) "/>
    <m/>
  </r>
  <r>
    <x v="306"/>
    <x v="7"/>
    <x v="4"/>
    <x v="418"/>
    <s v="C00000020"/>
    <x v="19"/>
    <s v="RJ Mepoxe (5kg)"/>
    <n v="4"/>
    <s v="Cash"/>
    <n v="0"/>
    <d v="2023-01-30T00:00:00"/>
    <n v="1"/>
    <n v="2023"/>
    <n v="380"/>
    <n v="-380"/>
    <n v="0"/>
    <n v="2513362.6500000008"/>
    <s v="Trsf"/>
    <s v="Trsf 6/10/23 RM6,400.00(RM259.40), Trsf 6/10/23 RM610.00(RM120.60)"/>
    <m/>
  </r>
  <r>
    <x v="306"/>
    <x v="7"/>
    <x v="4"/>
    <x v="419"/>
    <s v="C00000022"/>
    <x v="23"/>
    <s v="RA CSM 300 64m(L) x 1040mm(W) (30Kg) "/>
    <n v="2"/>
    <s v="Cash"/>
    <n v="0"/>
    <d v="2023-01-30T00:00:00"/>
    <n v="1"/>
    <n v="2023"/>
    <n v="570"/>
    <n v="-570"/>
    <n v="0"/>
    <n v="2513932.6500000008"/>
    <s v="Trsf"/>
    <s v="Trsf 29/3/23 RM1,500.00"/>
    <m/>
  </r>
  <r>
    <x v="307"/>
    <x v="8"/>
    <x v="4"/>
    <x v="420"/>
    <s v="C00000034"/>
    <x v="35"/>
    <s v="RA Nor 9539NonWax (225Kg)"/>
    <n v="2"/>
    <s v="Cash"/>
    <n v="0"/>
    <d v="2023-02-01T00:00:00"/>
    <n v="2"/>
    <n v="2023"/>
    <n v="3555"/>
    <n v="-3555"/>
    <n v="0"/>
    <n v="2517487.6500000008"/>
    <s v="Trsf"/>
    <s v="Trsf 1/2/23 RM3,555.0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Z3:AL18" firstHeaderRow="1" firstDataRow="3" firstDataCol="3"/>
  <pivotFields count="20">
    <pivotField axis="axisRow" compact="0" numFmtId="14" outline="0" showAll="0">
      <items count="23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9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t="default"/>
      </items>
    </pivotField>
    <pivotField axis="axisCol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Col" compact="0" outline="0" showAll="0">
      <items count="5">
        <item h="1" x="0"/>
        <item h="1" x="1"/>
        <item h="1" x="2"/>
        <item x="3"/>
        <item t="default"/>
      </items>
    </pivotField>
    <pivotField axis="axisRow" compact="0" outline="0" showAll="0" defaultSubtotal="0">
      <items count="320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</items>
    </pivotField>
    <pivotField compact="0" outline="0" showAll="0"/>
    <pivotField axis="axisRow" compact="0" outline="0" showAll="0">
      <items count="31">
        <item h="1" x="4"/>
        <item h="1" x="6"/>
        <item h="1" x="8"/>
        <item h="1" x="0"/>
        <item h="1" x="2"/>
        <item h="1" x="5"/>
        <item h="1" x="3"/>
        <item h="1" x="1"/>
        <item h="1" x="7"/>
        <item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m="1" x="29"/>
        <item h="1" x="28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5"/>
    <field x="3"/>
    <field x="0"/>
  </rowFields>
  <rowItems count="13">
    <i>
      <x v="9"/>
      <x v="186"/>
      <x v="140"/>
    </i>
    <i r="1">
      <x v="194"/>
      <x v="146"/>
    </i>
    <i r="1">
      <x v="199"/>
      <x v="151"/>
    </i>
    <i r="1">
      <x v="210"/>
      <x v="159"/>
    </i>
    <i r="1">
      <x v="216"/>
      <x v="164"/>
    </i>
    <i r="1">
      <x v="250"/>
      <x v="188"/>
    </i>
    <i r="1">
      <x v="271"/>
      <x v="203"/>
    </i>
    <i r="1">
      <x v="281"/>
      <x v="211"/>
    </i>
    <i r="1">
      <x v="293"/>
      <x v="220"/>
    </i>
    <i r="1">
      <x v="302"/>
      <x v="227"/>
    </i>
    <i r="1">
      <x v="317"/>
      <x v="236"/>
    </i>
    <i t="default">
      <x v="9"/>
    </i>
    <i t="grand">
      <x/>
    </i>
  </rowItems>
  <colFields count="2">
    <field x="2"/>
    <field x="1"/>
  </colFields>
  <colItems count="10">
    <i>
      <x v="3"/>
      <x/>
    </i>
    <i r="1">
      <x v="1"/>
    </i>
    <i r="1">
      <x v="2"/>
    </i>
    <i r="1">
      <x v="7"/>
    </i>
    <i r="1">
      <x v="8"/>
    </i>
    <i r="1">
      <x v="9"/>
    </i>
    <i r="1">
      <x v="10"/>
    </i>
    <i r="1">
      <x v="11"/>
    </i>
    <i t="default">
      <x v="3"/>
    </i>
    <i t="grand">
      <x/>
    </i>
  </colItems>
  <dataFields count="1">
    <dataField name="Sum of Sales Amount" fld="13" baseField="2" baseItem="37" numFmtId="4"/>
  </dataFields>
  <formats count="5">
    <format dxfId="29">
      <pivotArea dataOnly="0" outline="0" fieldPosition="0">
        <references count="1">
          <reference field="1" count="0" defaultSubtotal="1"/>
        </references>
      </pivotArea>
    </format>
    <format dxfId="28">
      <pivotArea dataOnly="0" outline="0" fieldPosition="0">
        <references count="1">
          <reference field="5" count="0" defaultSubtotal="1"/>
        </references>
      </pivotArea>
    </format>
    <format dxfId="27">
      <pivotArea dataOnly="0" outline="0" fieldPosition="0">
        <references count="1">
          <reference field="5" count="0" defaultSubtotal="1"/>
        </references>
      </pivotArea>
    </format>
    <format dxfId="26">
      <pivotArea outline="0" fieldPosition="0">
        <references count="1">
          <reference field="4294967294" count="1">
            <x v="0"/>
          </reference>
        </references>
      </pivotArea>
    </format>
    <format dxfId="25">
      <pivotArea field="1" type="button" dataOnly="0" labelOnly="1" outline="0" axis="axisCol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3:Q69" firstHeaderRow="1" firstDataRow="3" firstDataCol="3"/>
  <pivotFields count="20">
    <pivotField axis="axisRow" compact="0" numFmtId="14" outline="0" showAll="0">
      <items count="50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9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t="default"/>
      </items>
    </pivotField>
    <pivotField axis="axisCol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Col" compact="0" outline="0" showAll="0">
      <items count="6">
        <item h="1" x="0"/>
        <item h="1" x="1"/>
        <item h="1" x="2"/>
        <item x="3"/>
        <item h="1" x="4"/>
        <item t="default"/>
      </items>
    </pivotField>
    <pivotField axis="axisRow" compact="0" outline="0" showAll="0" defaultSubtotal="0">
      <items count="762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</items>
    </pivotField>
    <pivotField compact="0" outline="0" showAll="0"/>
    <pivotField axis="axisRow" compact="0" outline="0" showAll="0">
      <items count="48">
        <item h="1" x="4"/>
        <item h="1" x="6"/>
        <item h="1" x="8"/>
        <item h="1" x="0"/>
        <item h="1" x="2"/>
        <item h="1" x="5"/>
        <item h="1" x="3"/>
        <item h="1" x="1"/>
        <item h="1" x="7"/>
        <item h="1" x="9"/>
        <item h="1" x="10"/>
        <item h="1" x="11"/>
        <item h="1" x="22"/>
        <item h="1" x="13"/>
        <item h="1" x="14"/>
        <item h="1" x="15"/>
        <item h="1" x="17"/>
        <item h="1" x="18"/>
        <item x="19"/>
        <item h="1" x="20"/>
        <item h="1" x="21"/>
        <item h="1" x="23"/>
        <item h="1" x="24"/>
        <item h="1" x="25"/>
        <item h="1" x="26"/>
        <item h="1" x="27"/>
        <item h="1" x="28"/>
        <item h="1" x="30"/>
        <item h="1" x="29"/>
        <item h="1" x="31"/>
        <item h="1" x="32"/>
        <item h="1" x="33"/>
        <item h="1" x="34"/>
        <item h="1" x="12"/>
        <item h="1" x="16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5"/>
    <field x="3"/>
    <field x="0"/>
  </rowFields>
  <rowItems count="64">
    <i>
      <x v="18"/>
      <x v="181"/>
      <x v="135"/>
    </i>
    <i r="1">
      <x v="183"/>
      <x v="137"/>
    </i>
    <i r="1">
      <x v="184"/>
      <x v="138"/>
    </i>
    <i r="1">
      <x v="188"/>
      <x v="141"/>
    </i>
    <i r="1">
      <x v="192"/>
      <x v="144"/>
    </i>
    <i r="1">
      <x v="205"/>
      <x v="156"/>
    </i>
    <i r="1">
      <x v="206"/>
      <x v="157"/>
    </i>
    <i r="1">
      <x v="215"/>
      <x v="163"/>
    </i>
    <i r="1">
      <x v="217"/>
      <x v="164"/>
    </i>
    <i r="1">
      <x v="219"/>
      <x v="166"/>
    </i>
    <i r="1">
      <x v="222"/>
      <x v="169"/>
    </i>
    <i r="1">
      <x v="223"/>
      <x v="170"/>
    </i>
    <i r="1">
      <x v="225"/>
      <x v="171"/>
    </i>
    <i r="1">
      <x v="228"/>
      <x v="173"/>
    </i>
    <i r="1">
      <x v="230"/>
      <x v="174"/>
    </i>
    <i r="1">
      <x v="234"/>
      <x v="176"/>
    </i>
    <i r="1">
      <x v="238"/>
      <x v="178"/>
    </i>
    <i r="1">
      <x v="241"/>
      <x v="181"/>
    </i>
    <i r="1">
      <x v="243"/>
      <x v="182"/>
    </i>
    <i r="1">
      <x v="248"/>
      <x v="186"/>
    </i>
    <i r="1">
      <x v="252"/>
      <x v="189"/>
    </i>
    <i r="1">
      <x v="255"/>
      <x v="191"/>
    </i>
    <i r="1">
      <x v="256"/>
      <x v="192"/>
    </i>
    <i r="1">
      <x v="258"/>
      <x v="193"/>
    </i>
    <i r="1">
      <x v="264"/>
      <x v="197"/>
    </i>
    <i r="1">
      <x v="266"/>
      <x v="199"/>
    </i>
    <i r="1">
      <x v="268"/>
      <x v="201"/>
    </i>
    <i r="1">
      <x v="270"/>
      <x v="202"/>
    </i>
    <i r="1">
      <x v="272"/>
      <x v="203"/>
    </i>
    <i r="1">
      <x v="275"/>
      <x v="205"/>
    </i>
    <i r="1">
      <x v="277"/>
      <x v="207"/>
    </i>
    <i r="1">
      <x v="279"/>
      <x v="209"/>
    </i>
    <i r="1">
      <x v="284"/>
      <x v="213"/>
    </i>
    <i r="1">
      <x v="288"/>
      <x v="216"/>
    </i>
    <i r="1">
      <x v="291"/>
      <x v="218"/>
    </i>
    <i r="1">
      <x v="296"/>
      <x v="223"/>
    </i>
    <i r="1">
      <x v="298"/>
      <x v="224"/>
    </i>
    <i r="1">
      <x v="299"/>
      <x v="225"/>
    </i>
    <i r="1">
      <x v="300"/>
      <x v="226"/>
    </i>
    <i r="1">
      <x v="306"/>
      <x v="230"/>
    </i>
    <i r="1">
      <x v="309"/>
      <x v="232"/>
    </i>
    <i r="1">
      <x v="315"/>
      <x v="235"/>
    </i>
    <i r="1">
      <x v="320"/>
      <x v="238"/>
    </i>
    <i r="1">
      <x v="322"/>
      <x v="240"/>
    </i>
    <i r="1">
      <x v="324"/>
      <x v="241"/>
    </i>
    <i r="1">
      <x v="326"/>
      <x v="242"/>
    </i>
    <i r="1">
      <x v="327"/>
      <x v="242"/>
    </i>
    <i r="1">
      <x v="338"/>
      <x v="250"/>
    </i>
    <i r="1">
      <x v="344"/>
      <x v="254"/>
    </i>
    <i r="1">
      <x v="352"/>
      <x v="260"/>
    </i>
    <i r="1">
      <x v="354"/>
      <x v="261"/>
    </i>
    <i r="1">
      <x v="355"/>
      <x v="262"/>
    </i>
    <i r="1">
      <x v="360"/>
      <x v="265"/>
    </i>
    <i r="1">
      <x v="365"/>
      <x v="270"/>
    </i>
    <i r="1">
      <x v="371"/>
      <x v="274"/>
    </i>
    <i r="1">
      <x v="378"/>
      <x v="278"/>
    </i>
    <i r="1">
      <x v="379"/>
      <x v="278"/>
    </i>
    <i r="1">
      <x v="381"/>
      <x v="279"/>
    </i>
    <i r="1">
      <x v="385"/>
      <x v="283"/>
    </i>
    <i r="1">
      <x v="388"/>
      <x v="286"/>
    </i>
    <i r="1">
      <x v="394"/>
      <x v="291"/>
    </i>
    <i r="1">
      <x v="395"/>
      <x v="292"/>
    </i>
    <i t="default">
      <x v="18"/>
    </i>
    <i t="grand">
      <x/>
    </i>
  </rowItems>
  <colFields count="2">
    <field x="2"/>
    <field x="1"/>
  </colFields>
  <colItems count="14"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"/>
    </i>
    <i t="grand">
      <x/>
    </i>
  </colItems>
  <dataFields count="1">
    <dataField name="Sum of Sales Amount" fld="13" baseField="2" baseItem="37" numFmtId="4"/>
  </dataFields>
  <formats count="5">
    <format dxfId="34">
      <pivotArea dataOnly="0" outline="0" fieldPosition="0">
        <references count="1">
          <reference field="1" count="0" defaultSubtotal="1"/>
        </references>
      </pivotArea>
    </format>
    <format dxfId="33">
      <pivotArea dataOnly="0" outline="0" fieldPosition="0">
        <references count="1">
          <reference field="5" count="0" defaultSubtotal="1"/>
        </references>
      </pivotArea>
    </format>
    <format dxfId="32">
      <pivotArea dataOnly="0" outline="0" fieldPosition="0">
        <references count="1">
          <reference field="5" count="0" defaultSubtotal="1"/>
        </references>
      </pivotArea>
    </format>
    <format dxfId="31">
      <pivotArea outline="0" fieldPosition="0">
        <references count="1">
          <reference field="4294967294" count="1">
            <x v="0"/>
          </reference>
        </references>
      </pivotArea>
    </format>
    <format dxfId="30">
      <pivotArea field="1" type="button" dataOnly="0" labelOnly="1" outline="0" axis="axisCol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W4:AH825" firstHeaderRow="1" firstDataRow="2" firstDataCol="5"/>
  <pivotFields count="20">
    <pivotField axis="axisRow" compact="0" outline="0" showAll="0" defaultSubtotal="0">
      <items count="5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63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4"/>
        <item x="345"/>
        <item x="346"/>
        <item x="347"/>
        <item x="348"/>
        <item x="349"/>
        <item x="351"/>
        <item x="352"/>
        <item x="353"/>
        <item x="354"/>
        <item x="355"/>
        <item x="356"/>
        <item x="357"/>
        <item x="358"/>
        <item x="350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43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</items>
    </pivotField>
    <pivotField compact="0" outline="0" showAll="0"/>
    <pivotField compact="0" outline="0" showAll="0"/>
    <pivotField axis="axisRow" compact="0" outline="0" showAll="0">
      <items count="763"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t="default"/>
      </items>
    </pivotField>
    <pivotField compact="0" outline="0" showAll="0"/>
    <pivotField axis="axisRow" compact="0" outline="0" showAll="0">
      <items count="48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36"/>
        <item x="37"/>
        <item x="38"/>
        <item x="39"/>
        <item x="12"/>
        <item x="16"/>
        <item x="40"/>
        <item x="41"/>
        <item x="42"/>
        <item x="43"/>
        <item x="44"/>
        <item x="45"/>
        <item x="46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/>
    <pivotField axis="axisRow" compact="0" outline="0" showAll="0" defaultSubtotal="0">
      <items count="13">
        <item x="7"/>
        <item x="8"/>
        <item x="9"/>
        <item x="12"/>
        <item x="1"/>
        <item x="4"/>
        <item x="2"/>
        <item x="6"/>
        <item x="3"/>
        <item x="5"/>
        <item x="0"/>
        <item x="11"/>
        <item x="10"/>
      </items>
    </pivotField>
    <pivotField axis="axisRow" compact="0" outline="0" showAll="0" defaultSubtotal="0">
      <items count="7">
        <item x="1"/>
        <item x="2"/>
        <item x="0"/>
        <item x="4"/>
        <item x="5"/>
        <item x="3"/>
        <item x="6"/>
      </items>
    </pivotField>
    <pivotField compact="0" numFmtId="43" outline="0" showAll="0"/>
    <pivotField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5">
    <field x="5"/>
    <field x="12"/>
    <field x="11"/>
    <field x="0"/>
    <field x="3"/>
  </rowFields>
  <rowItems count="820">
    <i>
      <x/>
      <x/>
      <x v="6"/>
      <x v="10"/>
      <x v="27"/>
    </i>
    <i r="2">
      <x v="8"/>
      <x v="25"/>
      <x v="48"/>
    </i>
    <i r="3">
      <x v="30"/>
      <x v="57"/>
    </i>
    <i r="3">
      <x v="31"/>
      <x v="58"/>
    </i>
    <i r="3">
      <x v="33"/>
      <x v="62"/>
    </i>
    <i r="2">
      <x v="9"/>
      <x v="35"/>
      <x v="65"/>
    </i>
    <i r="3">
      <x v="40"/>
      <x v="71"/>
    </i>
    <i r="1">
      <x v="1"/>
      <x v="1"/>
      <x v="57"/>
      <x v="93"/>
    </i>
    <i r="3">
      <x v="61"/>
      <x v="96"/>
    </i>
    <i r="2">
      <x v="3"/>
      <x v="79"/>
      <x v="102"/>
    </i>
    <i r="3">
      <x v="81"/>
      <x v="104"/>
    </i>
    <i r="3">
      <x v="83"/>
      <x v="106"/>
    </i>
    <i r="2">
      <x v="7"/>
      <x v="85"/>
      <x v="112"/>
    </i>
    <i r="4">
      <x v="113"/>
    </i>
    <i r="3">
      <x v="90"/>
      <x v="121"/>
    </i>
    <i r="2">
      <x v="8"/>
      <x v="102"/>
      <x v="136"/>
    </i>
    <i r="2">
      <x v="9"/>
      <x v="111"/>
      <x v="149"/>
    </i>
    <i t="default">
      <x/>
    </i>
    <i>
      <x v="1"/>
      <x/>
      <x v="6"/>
      <x v="14"/>
      <x v="33"/>
    </i>
    <i r="2">
      <x v="8"/>
      <x v="28"/>
      <x v="53"/>
    </i>
    <i r="3">
      <x v="30"/>
      <x v="53"/>
    </i>
    <i t="default">
      <x v="1"/>
    </i>
    <i>
      <x v="2"/>
      <x/>
      <x v="8"/>
      <x v="16"/>
      <x v="36"/>
    </i>
    <i r="1">
      <x v="1"/>
      <x/>
      <x v="36"/>
      <x v="66"/>
    </i>
    <i r="3">
      <x v="43"/>
      <x v="75"/>
    </i>
    <i r="2">
      <x v="3"/>
      <x v="67"/>
      <x v="1"/>
    </i>
    <i r="3">
      <x v="69"/>
      <x v="4"/>
    </i>
    <i r="2">
      <x v="4"/>
      <x v="75"/>
      <x v="13"/>
    </i>
    <i r="3">
      <x v="84"/>
      <x v="108"/>
    </i>
    <i r="4">
      <x v="109"/>
    </i>
    <i r="2">
      <x v="10"/>
      <x v="101"/>
      <x v="134"/>
    </i>
    <i r="1">
      <x v="3"/>
      <x v="4"/>
      <x v="176"/>
      <x v="233"/>
    </i>
    <i r="2">
      <x v="5"/>
      <x v="194"/>
      <x v="259"/>
    </i>
    <i r="2">
      <x v="6"/>
      <x v="215"/>
      <x v="286"/>
    </i>
    <i r="3">
      <x v="221"/>
      <x v="294"/>
    </i>
    <i r="2">
      <x v="7"/>
      <x v="228"/>
      <x v="304"/>
    </i>
    <i r="2">
      <x v="8"/>
      <x v="235"/>
      <x v="316"/>
    </i>
    <i r="2">
      <x v="9"/>
      <x v="239"/>
      <x v="321"/>
    </i>
    <i r="2">
      <x v="10"/>
      <x v="257"/>
      <x v="349"/>
    </i>
    <i r="2">
      <x v="11"/>
      <x v="152"/>
      <x v="200"/>
    </i>
    <i r="1">
      <x v="4"/>
      <x/>
      <x v="264"/>
      <x v="359"/>
    </i>
    <i r="2">
      <x v="1"/>
      <x v="279"/>
      <x v="380"/>
    </i>
    <i r="2">
      <x v="2"/>
      <x v="305"/>
      <x v="416"/>
    </i>
    <i r="2">
      <x v="3"/>
      <x v="329"/>
      <x v="462"/>
    </i>
    <i r="2">
      <x v="4"/>
      <x v="341"/>
      <x v="484"/>
    </i>
    <i r="3">
      <x v="351"/>
      <x v="497"/>
    </i>
    <i r="2">
      <x v="5"/>
      <x v="360"/>
      <x v="511"/>
    </i>
    <i r="3">
      <x v="368"/>
      <x v="529"/>
    </i>
    <i r="2">
      <x v="6"/>
      <x v="391"/>
      <x v="560"/>
    </i>
    <i r="2">
      <x v="7"/>
      <x v="409"/>
      <x v="587"/>
    </i>
    <i r="2">
      <x v="8"/>
      <x v="415"/>
      <x v="598"/>
    </i>
    <i r="2">
      <x v="9"/>
      <x v="433"/>
      <x v="633"/>
    </i>
    <i r="2">
      <x v="10"/>
      <x v="459"/>
      <x v="674"/>
    </i>
    <i r="3">
      <x v="461"/>
      <x v="679"/>
    </i>
    <i r="1">
      <x v="6"/>
      <x v="1"/>
      <x v="491"/>
      <x v="736"/>
    </i>
    <i t="default">
      <x v="2"/>
    </i>
    <i>
      <x v="3"/>
      <x/>
      <x v="4"/>
      <x v="1"/>
      <x v="17"/>
    </i>
    <i r="3">
      <x v="3"/>
      <x v="19"/>
    </i>
    <i r="2">
      <x v="5"/>
      <x v="7"/>
      <x v="23"/>
    </i>
    <i r="2">
      <x v="6"/>
      <x v="11"/>
      <x v="29"/>
    </i>
    <i r="3">
      <x v="12"/>
      <x v="30"/>
    </i>
    <i r="3">
      <x v="16"/>
      <x v="37"/>
    </i>
    <i r="2">
      <x v="7"/>
      <x v="19"/>
      <x v="40"/>
    </i>
    <i r="3">
      <x v="20"/>
      <x v="41"/>
    </i>
    <i r="3">
      <x v="21"/>
      <x v="43"/>
    </i>
    <i r="3">
      <x v="23"/>
      <x v="46"/>
    </i>
    <i r="3">
      <x v="24"/>
      <x v="47"/>
    </i>
    <i r="2">
      <x v="8"/>
      <x v="27"/>
      <x v="52"/>
    </i>
    <i r="3">
      <x v="30"/>
      <x v="56"/>
    </i>
    <i r="3">
      <x v="33"/>
      <x v="61"/>
    </i>
    <i r="2">
      <x v="9"/>
      <x v="35"/>
      <x v="64"/>
    </i>
    <i r="3">
      <x v="37"/>
      <x v="67"/>
    </i>
    <i r="3">
      <x v="41"/>
      <x v="68"/>
    </i>
    <i r="3">
      <x v="42"/>
      <x v="74"/>
    </i>
    <i r="2">
      <x v="10"/>
      <x v="46"/>
      <x v="80"/>
    </i>
    <i r="1">
      <x v="1"/>
      <x/>
      <x v="56"/>
      <x v="90"/>
    </i>
    <i r="2">
      <x v="1"/>
      <x v="62"/>
      <x v="97"/>
    </i>
    <i r="2">
      <x v="3"/>
      <x v="80"/>
      <x v="103"/>
    </i>
    <i r="2">
      <x v="7"/>
      <x v="88"/>
      <x v="119"/>
    </i>
    <i r="2">
      <x v="8"/>
      <x v="107"/>
      <x v="142"/>
    </i>
    <i r="2">
      <x v="10"/>
      <x v="132"/>
      <x v="177"/>
    </i>
    <i r="2">
      <x v="11"/>
      <x v="74"/>
      <x v="12"/>
    </i>
    <i r="1">
      <x v="2"/>
      <x v="10"/>
      <x/>
      <x v="16"/>
    </i>
    <i r="1">
      <x v="3"/>
      <x v="2"/>
      <x v="171"/>
      <x v="224"/>
    </i>
    <i r="2">
      <x v="4"/>
      <x v="210"/>
      <x v="280"/>
    </i>
    <i r="3">
      <x v="215"/>
      <x v="287"/>
    </i>
    <i r="2">
      <x v="5"/>
      <x v="226"/>
      <x v="301"/>
    </i>
    <i r="2">
      <x v="6"/>
      <x v="230"/>
      <x v="307"/>
    </i>
    <i r="2">
      <x v="7"/>
      <x v="243"/>
      <x v="328"/>
    </i>
    <i r="2">
      <x v="8"/>
      <x v="259"/>
      <x v="351"/>
    </i>
    <i r="2">
      <x v="9"/>
      <x v="274"/>
      <x v="369"/>
    </i>
    <i r="2">
      <x v="10"/>
      <x v="287"/>
      <x v="389"/>
    </i>
    <i r="2">
      <x v="11"/>
      <x v="184"/>
      <x v="247"/>
    </i>
    <i r="3">
      <x v="185"/>
      <x v="247"/>
    </i>
    <i r="1">
      <x v="4"/>
      <x/>
      <x v="297"/>
      <x v="402"/>
    </i>
    <i r="2">
      <x v="2"/>
      <x v="322"/>
      <x v="447"/>
    </i>
    <i r="2">
      <x v="3"/>
      <x v="370"/>
      <x v="532"/>
    </i>
    <i r="2">
      <x v="11"/>
      <x v="353"/>
      <x v="500"/>
    </i>
    <i t="default">
      <x v="3"/>
    </i>
    <i>
      <x v="4"/>
      <x/>
      <x v="6"/>
      <x v="4"/>
      <x v="20"/>
    </i>
    <i r="3">
      <x v="6"/>
      <x v="22"/>
    </i>
    <i r="2">
      <x v="7"/>
      <x v="10"/>
      <x v="28"/>
    </i>
    <i r="2">
      <x v="8"/>
      <x v="13"/>
      <x v="31"/>
    </i>
    <i r="3">
      <x v="15"/>
      <x v="35"/>
    </i>
    <i r="2">
      <x v="9"/>
      <x v="25"/>
      <x v="49"/>
    </i>
    <i r="2">
      <x v="10"/>
      <x v="29"/>
      <x v="54"/>
    </i>
    <i r="4">
      <x v="55"/>
    </i>
    <i r="3">
      <x v="32"/>
      <x v="60"/>
    </i>
    <i r="1">
      <x v="1"/>
      <x/>
      <x v="41"/>
      <x v="73"/>
    </i>
    <i r="2">
      <x v="1"/>
      <x v="48"/>
      <x v="82"/>
    </i>
    <i r="3">
      <x v="52"/>
      <x v="87"/>
    </i>
    <i r="2">
      <x v="2"/>
      <x v="55"/>
      <x v="89"/>
    </i>
    <i r="2">
      <x v="3"/>
      <x v="72"/>
      <x v="8"/>
    </i>
    <i r="4">
      <x v="9"/>
    </i>
    <i r="3">
      <x v="82"/>
      <x v="105"/>
    </i>
    <i r="2">
      <x v="8"/>
      <x v="86"/>
      <x v="116"/>
    </i>
    <i r="2">
      <x v="9"/>
      <x v="95"/>
      <x v="127"/>
    </i>
    <i r="3">
      <x v="96"/>
      <x v="128"/>
    </i>
    <i r="2">
      <x v="10"/>
      <x v="112"/>
      <x v="151"/>
    </i>
    <i r="1">
      <x v="3"/>
      <x/>
      <x v="120"/>
      <x v="162"/>
    </i>
    <i r="2">
      <x v="1"/>
      <x v="139"/>
      <x v="185"/>
    </i>
    <i r="2">
      <x v="3"/>
      <x v="175"/>
      <x v="232"/>
    </i>
    <i r="2">
      <x v="4"/>
      <x v="198"/>
      <x v="265"/>
    </i>
    <i r="2">
      <x v="7"/>
      <x v="233"/>
      <x v="312"/>
    </i>
    <i r="2">
      <x v="9"/>
      <x v="252"/>
      <x v="340"/>
    </i>
    <i r="4">
      <x v="341"/>
    </i>
    <i r="2">
      <x v="11"/>
      <x v="153"/>
      <x v="201"/>
    </i>
    <i r="3">
      <x v="157"/>
      <x v="207"/>
    </i>
    <i r="1">
      <x v="4"/>
      <x/>
      <x v="275"/>
      <x v="372"/>
    </i>
    <i r="2">
      <x v="5"/>
      <x v="364"/>
      <x v="518"/>
    </i>
    <i r="2">
      <x v="7"/>
      <x v="406"/>
      <x v="584"/>
    </i>
    <i r="3">
      <x v="407"/>
      <x v="584"/>
    </i>
    <i r="3">
      <x v="419"/>
      <x v="605"/>
    </i>
    <i r="2">
      <x v="8"/>
      <x v="435"/>
      <x v="639"/>
    </i>
    <i t="default">
      <x v="4"/>
    </i>
    <i>
      <x v="5"/>
      <x/>
      <x v="6"/>
      <x v="13"/>
      <x v="32"/>
    </i>
    <i r="2">
      <x v="9"/>
      <x v="34"/>
      <x v="63"/>
    </i>
    <i r="1">
      <x v="1"/>
      <x v="8"/>
      <x v="92"/>
      <x v="123"/>
    </i>
    <i r="1">
      <x v="3"/>
      <x/>
      <x v="147"/>
      <x v="195"/>
    </i>
    <i r="2">
      <x v="1"/>
      <x v="154"/>
      <x v="203"/>
    </i>
    <i r="2">
      <x v="2"/>
      <x v="162"/>
      <x v="214"/>
    </i>
    <i r="3">
      <x v="168"/>
      <x v="221"/>
    </i>
    <i r="2">
      <x v="3"/>
      <x v="195"/>
      <x v="260"/>
    </i>
    <i r="3">
      <x v="197"/>
      <x v="263"/>
    </i>
    <i r="2">
      <x v="4"/>
      <x v="217"/>
      <x v="289"/>
    </i>
    <i r="2">
      <x v="8"/>
      <x v="253"/>
      <x v="342"/>
    </i>
    <i r="1">
      <x v="4"/>
      <x v="6"/>
      <x v="411"/>
      <x v="590"/>
    </i>
    <i r="3">
      <x v="421"/>
      <x v="608"/>
    </i>
    <i r="2">
      <x v="8"/>
      <x v="455"/>
      <x v="669"/>
    </i>
    <i r="2">
      <x v="9"/>
      <x v="479"/>
      <x v="714"/>
    </i>
    <i r="2">
      <x v="11"/>
      <x v="343"/>
      <x v="487"/>
    </i>
    <i t="default">
      <x v="5"/>
    </i>
    <i>
      <x v="6"/>
      <x/>
      <x v="8"/>
      <x v="5"/>
      <x v="21"/>
    </i>
    <i r="2">
      <x v="9"/>
      <x v="8"/>
      <x v="24"/>
    </i>
    <i r="2">
      <x v="10"/>
      <x v="9"/>
      <x v="25"/>
    </i>
    <i r="4">
      <x v="26"/>
    </i>
    <i r="1">
      <x v="1"/>
      <x/>
      <x v="21"/>
      <x v="42"/>
    </i>
    <i r="3">
      <x v="22"/>
      <x v="44"/>
    </i>
    <i r="2">
      <x v="1"/>
      <x v="26"/>
      <x v="50"/>
    </i>
    <i r="3">
      <x v="27"/>
      <x v="51"/>
    </i>
    <i r="2">
      <x v="4"/>
      <x v="77"/>
      <x v="98"/>
    </i>
    <i r="2">
      <x v="5"/>
      <x v="65"/>
      <x v="101"/>
    </i>
    <i r="3">
      <x v="68"/>
      <x v="3"/>
    </i>
    <i r="3">
      <x v="71"/>
      <x v="7"/>
    </i>
    <i r="2">
      <x v="6"/>
      <x v="78"/>
      <x v="14"/>
    </i>
    <i r="2">
      <x v="10"/>
      <x v="85"/>
      <x v="114"/>
    </i>
    <i r="2">
      <x v="11"/>
      <x v="47"/>
      <x v="81"/>
    </i>
    <i r="1">
      <x v="3"/>
      <x/>
      <x v="89"/>
      <x v="120"/>
    </i>
    <i r="3">
      <x v="91"/>
      <x v="122"/>
    </i>
    <i r="2">
      <x v="3"/>
      <x v="142"/>
      <x v="189"/>
    </i>
    <i r="4">
      <x v="190"/>
    </i>
    <i r="3">
      <x v="143"/>
      <x v="191"/>
    </i>
    <i r="3">
      <x v="148"/>
      <x v="196"/>
    </i>
    <i r="2">
      <x v="4"/>
      <x v="150"/>
      <x v="198"/>
    </i>
    <i r="2">
      <x v="6"/>
      <x v="184"/>
      <x v="245"/>
    </i>
    <i r="2">
      <x v="7"/>
      <x v="204"/>
      <x v="274"/>
    </i>
    <i r="2">
      <x v="10"/>
      <x v="233"/>
      <x v="311"/>
    </i>
    <i r="2">
      <x v="11"/>
      <x v="125"/>
      <x v="170"/>
    </i>
    <i r="3">
      <x v="126"/>
      <x v="171"/>
    </i>
    <i r="3">
      <x v="128"/>
      <x v="173"/>
    </i>
    <i r="1">
      <x v="4"/>
      <x v="1"/>
      <x v="258"/>
      <x v="350"/>
    </i>
    <i r="2">
      <x v="2"/>
      <x v="263"/>
      <x v="357"/>
    </i>
    <i r="2">
      <x v="4"/>
      <x v="317"/>
      <x v="439"/>
    </i>
    <i t="default">
      <x v="6"/>
    </i>
    <i>
      <x v="7"/>
      <x/>
      <x v="4"/>
      <x v="2"/>
      <x v="18"/>
    </i>
    <i r="1">
      <x v="1"/>
      <x v="7"/>
      <x v="85"/>
      <x v="115"/>
    </i>
    <i t="default">
      <x v="7"/>
    </i>
    <i>
      <x v="8"/>
      <x/>
      <x v="6"/>
      <x v="14"/>
      <x v="34"/>
    </i>
    <i r="2">
      <x v="7"/>
      <x v="18"/>
      <x v="39"/>
    </i>
    <i r="2">
      <x v="9"/>
      <x v="39"/>
      <x v="70"/>
    </i>
    <i r="3">
      <x v="44"/>
      <x v="76"/>
    </i>
    <i r="1">
      <x v="1"/>
      <x v="1"/>
      <x v="63"/>
      <x v="99"/>
    </i>
    <i r="2">
      <x v="8"/>
      <x v="106"/>
      <x v="141"/>
    </i>
    <i r="3">
      <x v="108"/>
      <x v="144"/>
    </i>
    <i r="2">
      <x v="9"/>
      <x v="122"/>
      <x v="165"/>
    </i>
    <i t="default">
      <x v="8"/>
    </i>
    <i>
      <x v="9"/>
      <x/>
      <x v="10"/>
      <x v="17"/>
      <x v="38"/>
    </i>
    <i r="1">
      <x v="1"/>
      <x/>
      <x v="23"/>
      <x v="45"/>
    </i>
    <i r="2">
      <x v="1"/>
      <x v="31"/>
      <x v="59"/>
    </i>
    <i r="2">
      <x v="2"/>
      <x v="38"/>
      <x v="69"/>
    </i>
    <i r="3">
      <x v="44"/>
      <x v="77"/>
    </i>
    <i r="4">
      <x v="78"/>
    </i>
    <i r="2">
      <x v="3"/>
      <x v="53"/>
      <x v="85"/>
    </i>
    <i r="3">
      <x v="56"/>
      <x v="91"/>
    </i>
    <i r="2">
      <x v="5"/>
      <x v="69"/>
      <x v="5"/>
    </i>
    <i r="2">
      <x v="6"/>
      <x v="73"/>
      <x v="11"/>
    </i>
    <i r="3">
      <x v="76"/>
      <x v="15"/>
    </i>
    <i r="2">
      <x v="7"/>
      <x v="84"/>
      <x v="107"/>
    </i>
    <i r="4">
      <x v="110"/>
    </i>
    <i r="2">
      <x v="11"/>
      <x v="49"/>
      <x v="83"/>
    </i>
    <i r="1">
      <x v="3"/>
      <x/>
      <x v="86"/>
      <x v="117"/>
    </i>
    <i r="2">
      <x v="1"/>
      <x v="94"/>
      <x v="126"/>
    </i>
    <i r="3">
      <x v="108"/>
      <x v="146"/>
    </i>
    <i r="3">
      <x v="110"/>
      <x v="148"/>
    </i>
    <i r="2">
      <x v="2"/>
      <x v="113"/>
      <x v="153"/>
    </i>
    <i r="3">
      <x v="115"/>
      <x v="155"/>
    </i>
    <i r="2">
      <x v="3"/>
      <x v="140"/>
      <x v="186"/>
    </i>
    <i r="3">
      <x v="146"/>
      <x v="194"/>
    </i>
    <i r="2">
      <x v="4"/>
      <x v="151"/>
      <x v="199"/>
    </i>
    <i r="2">
      <x v="5"/>
      <x v="159"/>
      <x v="210"/>
    </i>
    <i r="3">
      <x v="164"/>
      <x v="216"/>
    </i>
    <i r="2">
      <x v="6"/>
      <x v="188"/>
      <x v="250"/>
    </i>
    <i r="2">
      <x v="7"/>
      <x v="203"/>
      <x v="271"/>
    </i>
    <i r="2">
      <x v="8"/>
      <x v="211"/>
      <x v="281"/>
    </i>
    <i r="3">
      <x v="220"/>
      <x v="293"/>
    </i>
    <i r="2">
      <x v="9"/>
      <x v="227"/>
      <x v="302"/>
    </i>
    <i r="2">
      <x v="10"/>
      <x v="236"/>
      <x v="317"/>
    </i>
    <i r="2">
      <x v="11"/>
      <x v="125"/>
      <x v="169"/>
    </i>
    <i r="3">
      <x v="134"/>
      <x v="179"/>
    </i>
    <i r="1">
      <x v="4"/>
      <x/>
      <x v="246"/>
      <x v="331"/>
    </i>
    <i r="3">
      <x v="249"/>
      <x v="337"/>
    </i>
    <i r="2">
      <x v="1"/>
      <x v="255"/>
      <x v="346"/>
    </i>
    <i r="3">
      <x v="256"/>
      <x v="348"/>
    </i>
    <i r="2">
      <x v="2"/>
      <x v="263"/>
      <x v="358"/>
    </i>
    <i r="3">
      <x v="275"/>
      <x v="373"/>
    </i>
    <i r="2">
      <x v="3"/>
      <x v="298"/>
      <x v="405"/>
    </i>
    <i r="3">
      <x v="302"/>
      <x v="413"/>
    </i>
    <i r="2">
      <x v="4"/>
      <x v="312"/>
      <x v="429"/>
    </i>
    <i r="2">
      <x v="5"/>
      <x v="329"/>
      <x v="458"/>
    </i>
    <i r="2">
      <x v="6"/>
      <x v="341"/>
      <x v="481"/>
    </i>
    <i r="2">
      <x v="7"/>
      <x v="362"/>
      <x v="516"/>
    </i>
    <i r="2">
      <x v="8"/>
      <x v="375"/>
      <x v="537"/>
    </i>
    <i r="2">
      <x v="9"/>
      <x v="395"/>
      <x v="567"/>
    </i>
    <i r="3">
      <x v="402"/>
      <x v="576"/>
    </i>
    <i r="3">
      <x v="410"/>
      <x v="589"/>
    </i>
    <i r="2">
      <x v="11"/>
      <x v="290"/>
      <x v="393"/>
    </i>
    <i r="1">
      <x v="6"/>
      <x/>
      <x v="430"/>
      <x v="627"/>
    </i>
    <i r="2">
      <x v="1"/>
      <x v="454"/>
      <x v="667"/>
    </i>
    <i r="2">
      <x v="2"/>
      <x v="476"/>
      <x v="706"/>
    </i>
    <i r="4">
      <x v="707"/>
    </i>
    <i r="3">
      <x v="485"/>
      <x v="722"/>
    </i>
    <i r="2">
      <x v="11"/>
      <x v="495"/>
      <x v="746"/>
    </i>
    <i t="default">
      <x v="9"/>
    </i>
    <i>
      <x v="10"/>
      <x/>
      <x v="9"/>
      <x v="41"/>
      <x v="72"/>
    </i>
    <i t="default">
      <x v="10"/>
    </i>
    <i>
      <x v="11"/>
      <x v="5"/>
      <x v="12"/>
      <x v="45"/>
      <x v="79"/>
    </i>
    <i t="default">
      <x v="11"/>
    </i>
    <i>
      <x v="12"/>
      <x v="5"/>
      <x v="12"/>
      <x v="119"/>
      <x v="160"/>
    </i>
    <i t="default">
      <x v="12"/>
    </i>
    <i>
      <x v="13"/>
      <x v="1"/>
      <x v="1"/>
      <x v="58"/>
      <x v="92"/>
    </i>
    <i r="3">
      <x v="59"/>
      <x v="94"/>
    </i>
    <i r="2">
      <x v="2"/>
      <x v="70"/>
      <x v="6"/>
    </i>
    <i r="2">
      <x v="8"/>
      <x v="102"/>
      <x v="135"/>
    </i>
    <i r="1">
      <x v="4"/>
      <x/>
      <x v="297"/>
      <x v="403"/>
    </i>
    <i r="2">
      <x v="2"/>
      <x v="327"/>
      <x v="456"/>
    </i>
    <i r="3">
      <x v="330"/>
      <x v="464"/>
    </i>
    <i r="2">
      <x v="3"/>
      <x v="360"/>
      <x v="514"/>
    </i>
    <i r="3">
      <x v="366"/>
      <x v="526"/>
    </i>
    <i r="3">
      <x v="367"/>
      <x v="526"/>
    </i>
    <i r="3">
      <x v="368"/>
      <x v="530"/>
    </i>
    <i r="3">
      <x v="369"/>
      <x v="530"/>
    </i>
    <i r="2">
      <x v="4"/>
      <x v="374"/>
      <x v="538"/>
    </i>
    <i r="3">
      <x v="380"/>
      <x v="543"/>
    </i>
    <i r="3">
      <x v="387"/>
      <x v="555"/>
    </i>
    <i r="2">
      <x v="5"/>
      <x v="394"/>
      <x v="566"/>
    </i>
    <i r="2">
      <x v="6"/>
      <x v="409"/>
      <x v="588"/>
    </i>
    <i r="3">
      <x v="413"/>
      <x v="593"/>
    </i>
    <i r="3">
      <x v="420"/>
      <x v="606"/>
    </i>
    <i r="2">
      <x v="7"/>
      <x v="431"/>
      <x v="629"/>
    </i>
    <i r="4">
      <x v="630"/>
    </i>
    <i r="3">
      <x v="437"/>
      <x v="640"/>
    </i>
    <i r="3">
      <x v="444"/>
      <x v="651"/>
    </i>
    <i r="2">
      <x v="8"/>
      <x v="450"/>
      <x v="660"/>
    </i>
    <i r="3">
      <x v="458"/>
      <x v="672"/>
    </i>
    <i r="2">
      <x v="9"/>
      <x v="474"/>
      <x v="701"/>
    </i>
    <i r="3">
      <x v="476"/>
      <x v="705"/>
    </i>
    <i r="3">
      <x v="478"/>
      <x v="711"/>
    </i>
    <i r="2">
      <x v="10"/>
      <x v="486"/>
      <x v="726"/>
    </i>
    <i r="3">
      <x v="494"/>
      <x v="741"/>
    </i>
    <i r="2">
      <x v="11"/>
      <x v="353"/>
      <x v="499"/>
    </i>
    <i t="default">
      <x v="13"/>
    </i>
    <i>
      <x v="14"/>
      <x v="1"/>
      <x v="1"/>
      <x v="64"/>
      <x v="100"/>
    </i>
    <i r="2">
      <x v="11"/>
      <x v="73"/>
      <x v="10"/>
    </i>
    <i t="default">
      <x v="14"/>
    </i>
    <i>
      <x v="15"/>
      <x v="1"/>
      <x v="2"/>
      <x v="66"/>
      <x/>
    </i>
    <i t="default">
      <x v="15"/>
    </i>
    <i>
      <x v="16"/>
      <x v="1"/>
      <x v="7"/>
      <x v="87"/>
      <x v="118"/>
    </i>
    <i t="default">
      <x v="16"/>
    </i>
    <i>
      <x v="17"/>
      <x v="1"/>
      <x v="8"/>
      <x v="93"/>
      <x v="124"/>
    </i>
    <i r="3">
      <x v="94"/>
      <x v="125"/>
    </i>
    <i r="3">
      <x v="100"/>
      <x v="132"/>
    </i>
    <i r="3">
      <x v="101"/>
      <x v="133"/>
    </i>
    <i r="3">
      <x v="108"/>
      <x v="147"/>
    </i>
    <i r="2">
      <x v="9"/>
      <x v="112"/>
      <x v="150"/>
    </i>
    <i r="3">
      <x v="119"/>
      <x v="161"/>
    </i>
    <i r="3">
      <x v="121"/>
      <x v="163"/>
    </i>
    <i r="4">
      <x v="164"/>
    </i>
    <i r="2">
      <x v="10"/>
      <x v="134"/>
      <x v="180"/>
    </i>
    <i r="1">
      <x v="3"/>
      <x/>
      <x v="136"/>
      <x v="182"/>
    </i>
    <i r="3">
      <x v="141"/>
      <x v="187"/>
    </i>
    <i r="3">
      <x v="145"/>
      <x v="193"/>
    </i>
    <i r="2">
      <x v="1"/>
      <x v="149"/>
      <x v="197"/>
    </i>
    <i r="3">
      <x v="155"/>
      <x v="204"/>
    </i>
    <i r="2">
      <x v="2"/>
      <x v="161"/>
      <x v="212"/>
    </i>
    <i r="3">
      <x v="165"/>
      <x v="218"/>
    </i>
    <i r="2">
      <x v="3"/>
      <x v="203"/>
      <x v="273"/>
    </i>
    <i r="2">
      <x v="4"/>
      <x v="219"/>
      <x v="292"/>
    </i>
    <i r="2">
      <x v="5"/>
      <x v="222"/>
      <x v="295"/>
    </i>
    <i r="2">
      <x v="6"/>
      <x v="236"/>
      <x v="319"/>
    </i>
    <i r="3">
      <x v="237"/>
      <x v="319"/>
    </i>
    <i r="2">
      <x v="7"/>
      <x v="245"/>
      <x v="330"/>
    </i>
    <i r="2">
      <x v="8"/>
      <x v="253"/>
      <x v="343"/>
    </i>
    <i r="2">
      <x v="9"/>
      <x v="272"/>
      <x v="367"/>
    </i>
    <i r="3">
      <x v="273"/>
      <x v="368"/>
    </i>
    <i r="2">
      <x v="10"/>
      <x v="288"/>
      <x v="391"/>
    </i>
    <i r="2">
      <x v="11"/>
      <x v="175"/>
      <x v="231"/>
    </i>
    <i r="3">
      <x v="189"/>
      <x v="253"/>
    </i>
    <i r="1">
      <x v="4"/>
      <x/>
      <x v="304"/>
      <x v="415"/>
    </i>
    <i r="2">
      <x v="1"/>
      <x v="313"/>
      <x v="432"/>
    </i>
    <i r="3">
      <x v="319"/>
      <x v="444"/>
    </i>
    <i r="3">
      <x v="320"/>
      <x v="445"/>
    </i>
    <i r="2">
      <x v="2"/>
      <x v="325"/>
      <x v="454"/>
    </i>
    <i r="3">
      <x v="326"/>
      <x v="455"/>
    </i>
    <i r="3">
      <x v="329"/>
      <x v="461"/>
    </i>
    <i r="2">
      <x v="3"/>
      <x v="361"/>
      <x v="515"/>
    </i>
    <i r="2">
      <x v="4"/>
      <x v="373"/>
      <x v="535"/>
    </i>
    <i r="3">
      <x v="379"/>
      <x v="542"/>
    </i>
    <i r="3">
      <x v="387"/>
      <x v="556"/>
    </i>
    <i r="2">
      <x v="5"/>
      <x v="399"/>
      <x v="573"/>
    </i>
    <i r="3">
      <x v="401"/>
      <x v="575"/>
    </i>
    <i r="2">
      <x v="6"/>
      <x v="412"/>
      <x v="591"/>
    </i>
    <i r="3">
      <x v="417"/>
      <x v="601"/>
    </i>
    <i r="3">
      <x v="420"/>
      <x v="607"/>
    </i>
    <i r="3">
      <x v="422"/>
      <x v="612"/>
    </i>
    <i r="3">
      <x v="426"/>
      <x v="616"/>
    </i>
    <i r="3">
      <x v="428"/>
      <x v="620"/>
    </i>
    <i r="2">
      <x v="7"/>
      <x v="433"/>
      <x v="632"/>
    </i>
    <i r="3">
      <x v="438"/>
      <x v="643"/>
    </i>
    <i r="3">
      <x v="445"/>
      <x v="652"/>
    </i>
    <i r="3">
      <x v="446"/>
      <x v="654"/>
    </i>
    <i r="2">
      <x v="8"/>
      <x v="451"/>
      <x v="662"/>
    </i>
    <i r="3">
      <x v="459"/>
      <x v="675"/>
    </i>
    <i r="3">
      <x v="465"/>
      <x v="686"/>
    </i>
    <i r="3">
      <x v="466"/>
      <x v="688"/>
    </i>
    <i r="2">
      <x v="9"/>
      <x v="470"/>
      <x v="696"/>
    </i>
    <i r="3">
      <x v="476"/>
      <x v="708"/>
    </i>
    <i r="3">
      <x v="484"/>
      <x v="721"/>
    </i>
    <i r="2">
      <x v="10"/>
      <x v="489"/>
      <x v="733"/>
    </i>
    <i r="3">
      <x v="496"/>
      <x v="747"/>
    </i>
    <i r="3">
      <x v="501"/>
      <x v="761"/>
    </i>
    <i r="2">
      <x v="11"/>
      <x v="354"/>
      <x v="501"/>
    </i>
    <i r="4">
      <x v="504"/>
    </i>
    <i r="3">
      <x v="371"/>
      <x v="485"/>
    </i>
    <i t="default">
      <x v="17"/>
    </i>
    <i>
      <x v="18"/>
      <x v="1"/>
      <x v="8"/>
      <x v="97"/>
      <x v="129"/>
    </i>
    <i r="3">
      <x v="99"/>
      <x v="131"/>
    </i>
    <i r="3">
      <x v="102"/>
      <x v="137"/>
    </i>
    <i r="3">
      <x v="103"/>
      <x v="138"/>
    </i>
    <i r="3">
      <x v="104"/>
      <x v="139"/>
    </i>
    <i r="3">
      <x v="105"/>
      <x v="140"/>
    </i>
    <i r="3">
      <x v="107"/>
      <x v="143"/>
    </i>
    <i r="3">
      <x v="109"/>
      <x v="145"/>
    </i>
    <i r="2">
      <x v="9"/>
      <x v="113"/>
      <x v="152"/>
    </i>
    <i r="3">
      <x v="114"/>
      <x v="154"/>
    </i>
    <i r="3">
      <x v="118"/>
      <x v="158"/>
    </i>
    <i r="4">
      <x v="159"/>
    </i>
    <i r="2">
      <x v="10"/>
      <x v="123"/>
      <x v="166"/>
    </i>
    <i r="3">
      <x v="124"/>
      <x v="168"/>
    </i>
    <i r="3">
      <x v="127"/>
      <x v="172"/>
    </i>
    <i r="3">
      <x v="129"/>
      <x v="174"/>
    </i>
    <i r="3">
      <x v="130"/>
      <x v="175"/>
    </i>
    <i r="3">
      <x v="131"/>
      <x v="176"/>
    </i>
    <i r="3">
      <x v="133"/>
      <x v="178"/>
    </i>
    <i r="1">
      <x v="3"/>
      <x/>
      <x v="135"/>
      <x v="181"/>
    </i>
    <i r="3">
      <x v="137"/>
      <x v="183"/>
    </i>
    <i r="3">
      <x v="138"/>
      <x v="184"/>
    </i>
    <i r="3">
      <x v="141"/>
      <x v="188"/>
    </i>
    <i r="3">
      <x v="144"/>
      <x v="192"/>
    </i>
    <i r="2">
      <x v="1"/>
      <x v="156"/>
      <x v="205"/>
    </i>
    <i r="3">
      <x v="157"/>
      <x v="206"/>
    </i>
    <i r="2">
      <x v="2"/>
      <x v="163"/>
      <x v="215"/>
    </i>
    <i r="3">
      <x v="164"/>
      <x v="217"/>
    </i>
    <i r="3">
      <x v="166"/>
      <x v="219"/>
    </i>
    <i r="3">
      <x v="169"/>
      <x v="222"/>
    </i>
    <i r="3">
      <x v="170"/>
      <x v="223"/>
    </i>
    <i r="3">
      <x v="171"/>
      <x v="225"/>
    </i>
    <i r="2">
      <x v="3"/>
      <x v="192"/>
      <x v="256"/>
    </i>
    <i r="3">
      <x v="193"/>
      <x v="258"/>
    </i>
    <i r="3">
      <x v="197"/>
      <x v="264"/>
    </i>
    <i r="3">
      <x v="199"/>
      <x v="266"/>
    </i>
    <i r="3">
      <x v="201"/>
      <x v="268"/>
    </i>
    <i r="3">
      <x v="202"/>
      <x v="270"/>
    </i>
    <i r="3">
      <x v="203"/>
      <x v="272"/>
    </i>
    <i r="3">
      <x v="205"/>
      <x v="275"/>
    </i>
    <i r="2">
      <x v="4"/>
      <x v="207"/>
      <x v="277"/>
    </i>
    <i r="3">
      <x v="209"/>
      <x v="279"/>
    </i>
    <i r="3">
      <x v="213"/>
      <x v="284"/>
    </i>
    <i r="3">
      <x v="216"/>
      <x v="288"/>
    </i>
    <i r="3">
      <x v="218"/>
      <x v="291"/>
    </i>
    <i r="2">
      <x v="5"/>
      <x v="223"/>
      <x v="296"/>
    </i>
    <i r="3">
      <x v="224"/>
      <x v="298"/>
    </i>
    <i r="3">
      <x v="225"/>
      <x v="299"/>
    </i>
    <i r="3">
      <x v="226"/>
      <x v="300"/>
    </i>
    <i r="2">
      <x v="6"/>
      <x v="230"/>
      <x v="306"/>
    </i>
    <i r="3">
      <x v="232"/>
      <x v="309"/>
    </i>
    <i r="3">
      <x v="235"/>
      <x v="315"/>
    </i>
    <i r="2">
      <x v="7"/>
      <x v="238"/>
      <x v="320"/>
    </i>
    <i r="3">
      <x v="240"/>
      <x v="322"/>
    </i>
    <i r="3">
      <x v="241"/>
      <x v="324"/>
    </i>
    <i r="3">
      <x v="242"/>
      <x v="326"/>
    </i>
    <i r="4">
      <x v="327"/>
    </i>
    <i r="2">
      <x v="8"/>
      <x v="250"/>
      <x v="338"/>
    </i>
    <i r="3">
      <x v="254"/>
      <x v="344"/>
    </i>
    <i r="3">
      <x v="260"/>
      <x v="352"/>
    </i>
    <i r="3">
      <x v="261"/>
      <x v="354"/>
    </i>
    <i r="3">
      <x v="262"/>
      <x v="355"/>
    </i>
    <i r="2">
      <x v="9"/>
      <x v="265"/>
      <x v="360"/>
    </i>
    <i r="3">
      <x v="270"/>
      <x v="365"/>
    </i>
    <i r="3">
      <x v="274"/>
      <x v="371"/>
    </i>
    <i r="2">
      <x v="10"/>
      <x v="278"/>
      <x v="378"/>
    </i>
    <i r="4">
      <x v="379"/>
    </i>
    <i r="3">
      <x v="279"/>
      <x v="381"/>
    </i>
    <i r="3">
      <x v="283"/>
      <x v="385"/>
    </i>
    <i r="3">
      <x v="286"/>
      <x v="388"/>
    </i>
    <i r="3">
      <x v="291"/>
      <x v="394"/>
    </i>
    <i r="3">
      <x v="292"/>
      <x v="395"/>
    </i>
    <i r="2">
      <x v="11"/>
      <x v="173"/>
      <x v="228"/>
    </i>
    <i r="3">
      <x v="174"/>
      <x v="230"/>
    </i>
    <i r="3">
      <x v="176"/>
      <x v="234"/>
    </i>
    <i r="3">
      <x v="178"/>
      <x v="238"/>
    </i>
    <i r="3">
      <x v="181"/>
      <x v="241"/>
    </i>
    <i r="3">
      <x v="182"/>
      <x v="243"/>
    </i>
    <i r="3">
      <x v="186"/>
      <x v="248"/>
    </i>
    <i r="3">
      <x v="189"/>
      <x v="252"/>
    </i>
    <i r="3">
      <x v="191"/>
      <x v="255"/>
    </i>
    <i r="1">
      <x v="4"/>
      <x/>
      <x v="293"/>
      <x v="396"/>
    </i>
    <i r="3">
      <x v="295"/>
      <x v="398"/>
    </i>
    <i r="3">
      <x v="296"/>
      <x v="401"/>
    </i>
    <i r="3">
      <x v="298"/>
      <x v="406"/>
    </i>
    <i r="3">
      <x v="300"/>
      <x v="410"/>
    </i>
    <i r="3">
      <x v="303"/>
      <x v="414"/>
    </i>
    <i r="3">
      <x v="306"/>
      <x v="418"/>
    </i>
    <i r="2">
      <x v="1"/>
      <x v="309"/>
      <x v="422"/>
    </i>
    <i r="3">
      <x v="311"/>
      <x v="425"/>
    </i>
    <i r="4">
      <x v="426"/>
    </i>
    <i r="3">
      <x v="313"/>
      <x v="430"/>
    </i>
    <i r="4">
      <x v="431"/>
    </i>
    <i r="3">
      <x v="315"/>
      <x v="434"/>
    </i>
    <i r="4">
      <x v="435"/>
    </i>
    <i r="4">
      <x v="436"/>
    </i>
    <i r="3">
      <x v="317"/>
      <x v="440"/>
    </i>
    <i r="4">
      <x v="441"/>
    </i>
    <i r="3">
      <x v="319"/>
      <x v="443"/>
    </i>
    <i r="2">
      <x v="2"/>
      <x v="323"/>
      <x v="449"/>
    </i>
    <i r="4">
      <x v="450"/>
    </i>
    <i r="3">
      <x v="328"/>
      <x v="457"/>
    </i>
    <i r="3">
      <x v="329"/>
      <x v="459"/>
    </i>
    <i r="4">
      <x v="460"/>
    </i>
    <i r="3">
      <x v="332"/>
      <x v="466"/>
    </i>
    <i r="4">
      <x v="467"/>
    </i>
    <i r="3">
      <x v="336"/>
      <x v="475"/>
    </i>
    <i r="4">
      <x v="476"/>
    </i>
    <i r="2">
      <x v="3"/>
      <x v="358"/>
      <x v="507"/>
    </i>
    <i r="4">
      <x v="508"/>
    </i>
    <i r="3">
      <x v="360"/>
      <x v="512"/>
    </i>
    <i r="4">
      <x v="513"/>
    </i>
    <i r="3">
      <x v="366"/>
      <x v="524"/>
    </i>
    <i r="4">
      <x v="525"/>
    </i>
    <i r="3">
      <x v="368"/>
      <x v="528"/>
    </i>
    <i r="2">
      <x v="4"/>
      <x v="381"/>
      <x v="546"/>
    </i>
    <i r="4">
      <x v="547"/>
    </i>
    <i r="2">
      <x v="5"/>
      <x v="391"/>
      <x v="561"/>
    </i>
    <i r="3">
      <x v="400"/>
      <x v="574"/>
    </i>
    <i r="3">
      <x v="405"/>
      <x v="580"/>
    </i>
    <i r="3">
      <x v="406"/>
      <x v="582"/>
    </i>
    <i r="4">
      <x v="583"/>
    </i>
    <i r="2">
      <x v="6"/>
      <x v="412"/>
      <x v="592"/>
    </i>
    <i r="3">
      <x v="413"/>
      <x v="593"/>
    </i>
    <i r="4">
      <x v="594"/>
    </i>
    <i r="4">
      <x v="595"/>
    </i>
    <i r="3">
      <x v="418"/>
      <x v="602"/>
    </i>
    <i r="4">
      <x v="603"/>
    </i>
    <i r="3">
      <x v="422"/>
      <x v="610"/>
    </i>
    <i r="4">
      <x v="611"/>
    </i>
    <i r="3">
      <x v="427"/>
      <x v="618"/>
    </i>
    <i r="4">
      <x v="619"/>
    </i>
    <i r="2">
      <x v="7"/>
      <x v="429"/>
      <x v="621"/>
    </i>
    <i r="4">
      <x v="622"/>
    </i>
    <i r="4">
      <x v="625"/>
    </i>
    <i r="4">
      <x v="626"/>
    </i>
    <i r="3">
      <x v="434"/>
      <x v="634"/>
    </i>
    <i r="4">
      <x v="635"/>
    </i>
    <i r="3">
      <x v="438"/>
      <x v="641"/>
    </i>
    <i r="4">
      <x v="642"/>
    </i>
    <i r="3">
      <x v="439"/>
      <x v="644"/>
    </i>
    <i r="4">
      <x v="645"/>
    </i>
    <i r="3">
      <x v="442"/>
      <x v="648"/>
    </i>
    <i r="4">
      <x v="649"/>
    </i>
    <i r="3">
      <x v="447"/>
      <x v="655"/>
    </i>
    <i r="4">
      <x v="656"/>
    </i>
    <i r="3">
      <x v="449"/>
      <x v="658"/>
    </i>
    <i r="4">
      <x v="659"/>
    </i>
    <i r="2">
      <x v="8"/>
      <x v="453"/>
      <x v="664"/>
    </i>
    <i r="4">
      <x v="665"/>
    </i>
    <i r="3">
      <x v="454"/>
      <x v="668"/>
    </i>
    <i r="3">
      <x v="456"/>
      <x v="670"/>
    </i>
    <i r="2">
      <x v="11"/>
      <x v="342"/>
      <x v="483"/>
    </i>
    <i r="3">
      <x v="345"/>
      <x v="489"/>
    </i>
    <i r="3">
      <x v="349"/>
      <x v="494"/>
    </i>
    <i r="4">
      <x v="495"/>
    </i>
    <i r="3">
      <x v="355"/>
      <x v="502"/>
    </i>
    <i t="default">
      <x v="18"/>
    </i>
    <i>
      <x v="19"/>
      <x v="5"/>
      <x v="12"/>
      <x v="116"/>
      <x v="156"/>
    </i>
    <i t="default">
      <x v="19"/>
    </i>
    <i>
      <x v="20"/>
      <x v="1"/>
      <x v="9"/>
      <x v="117"/>
      <x v="157"/>
    </i>
    <i r="1">
      <x v="3"/>
      <x v="1"/>
      <x v="154"/>
      <x v="202"/>
    </i>
    <i r="2">
      <x v="2"/>
      <x v="158"/>
      <x v="208"/>
    </i>
    <i r="3">
      <x v="167"/>
      <x v="220"/>
    </i>
    <i r="2">
      <x v="3"/>
      <x v="200"/>
      <x v="267"/>
    </i>
    <i r="3">
      <x v="206"/>
      <x v="276"/>
    </i>
    <i r="2">
      <x v="4"/>
      <x v="212"/>
      <x v="283"/>
    </i>
    <i r="3">
      <x v="218"/>
      <x v="290"/>
    </i>
    <i r="2">
      <x v="5"/>
      <x v="228"/>
      <x v="303"/>
    </i>
    <i r="2">
      <x v="6"/>
      <x v="234"/>
      <x v="313"/>
    </i>
    <i r="2">
      <x v="7"/>
      <x v="241"/>
      <x v="325"/>
    </i>
    <i r="3">
      <x v="244"/>
      <x v="329"/>
    </i>
    <i r="3">
      <x v="247"/>
      <x v="332"/>
    </i>
    <i r="2">
      <x v="8"/>
      <x v="251"/>
      <x v="339"/>
    </i>
    <i r="3">
      <x v="254"/>
      <x v="345"/>
    </i>
    <i r="3">
      <x v="260"/>
      <x v="353"/>
    </i>
    <i r="3">
      <x v="262"/>
      <x v="356"/>
    </i>
    <i r="2">
      <x v="9"/>
      <x v="269"/>
      <x v="364"/>
    </i>
    <i r="2">
      <x v="10"/>
      <x v="281"/>
      <x v="383"/>
    </i>
    <i r="3">
      <x v="284"/>
      <x v="386"/>
    </i>
    <i r="3">
      <x v="289"/>
      <x v="392"/>
    </i>
    <i r="2">
      <x v="11"/>
      <x v="173"/>
      <x v="227"/>
    </i>
    <i r="3">
      <x v="179"/>
      <x v="239"/>
    </i>
    <i r="3">
      <x v="189"/>
      <x v="251"/>
    </i>
    <i r="1">
      <x v="4"/>
      <x/>
      <x v="296"/>
      <x v="399"/>
    </i>
    <i r="3">
      <x v="301"/>
      <x v="411"/>
    </i>
    <i r="2">
      <x v="1"/>
      <x v="308"/>
      <x v="421"/>
    </i>
    <i r="3">
      <x v="312"/>
      <x v="428"/>
    </i>
    <i r="3">
      <x v="316"/>
      <x v="438"/>
    </i>
    <i r="2">
      <x v="2"/>
      <x v="324"/>
      <x v="453"/>
    </i>
    <i r="3">
      <x v="330"/>
      <x v="463"/>
    </i>
    <i r="3">
      <x v="333"/>
      <x v="468"/>
    </i>
    <i r="2">
      <x v="3"/>
      <x v="364"/>
      <x v="520"/>
    </i>
    <i r="2">
      <x v="4"/>
      <x v="386"/>
      <x v="553"/>
    </i>
    <i r="3">
      <x v="390"/>
      <x v="559"/>
    </i>
    <i r="2">
      <x v="5"/>
      <x v="396"/>
      <x v="569"/>
    </i>
    <i r="3">
      <x v="398"/>
      <x v="572"/>
    </i>
    <i r="3">
      <x v="406"/>
      <x v="581"/>
    </i>
    <i r="2">
      <x v="6"/>
      <x v="425"/>
      <x v="615"/>
    </i>
    <i r="2">
      <x v="7"/>
      <x v="432"/>
      <x v="631"/>
    </i>
    <i r="2">
      <x v="8"/>
      <x v="452"/>
      <x v="663"/>
    </i>
    <i r="3">
      <x v="464"/>
      <x v="685"/>
    </i>
    <i r="2">
      <x v="9"/>
      <x v="473"/>
      <x v="700"/>
    </i>
    <i r="3">
      <x v="481"/>
      <x v="717"/>
    </i>
    <i r="2">
      <x v="10"/>
      <x v="486"/>
      <x v="727"/>
    </i>
    <i r="3">
      <x v="488"/>
      <x v="730"/>
    </i>
    <i r="3">
      <x v="493"/>
      <x v="739"/>
    </i>
    <i r="3">
      <x v="495"/>
      <x v="745"/>
    </i>
    <i r="3">
      <x v="499"/>
      <x v="755"/>
    </i>
    <i r="3">
      <x v="501"/>
      <x v="760"/>
    </i>
    <i r="2">
      <x v="11"/>
      <x v="341"/>
      <x v="482"/>
    </i>
    <i r="3">
      <x v="347"/>
      <x v="491"/>
    </i>
    <i r="3">
      <x v="350"/>
      <x v="496"/>
    </i>
    <i r="3">
      <x v="356"/>
      <x v="503"/>
    </i>
    <i t="default">
      <x v="20"/>
    </i>
    <i>
      <x v="21"/>
      <x v="3"/>
      <x v="2"/>
      <x v="159"/>
      <x v="209"/>
    </i>
    <i r="3">
      <x v="160"/>
      <x v="211"/>
    </i>
    <i r="3">
      <x v="162"/>
      <x v="213"/>
    </i>
    <i r="2">
      <x v="3"/>
      <x v="196"/>
      <x v="261"/>
    </i>
    <i r="2">
      <x v="4"/>
      <x v="208"/>
      <x v="278"/>
    </i>
    <i r="3">
      <x v="211"/>
      <x v="282"/>
    </i>
    <i r="2">
      <x v="7"/>
      <x v="247"/>
      <x v="333"/>
    </i>
    <i r="4">
      <x v="334"/>
    </i>
    <i r="2">
      <x v="9"/>
      <x v="267"/>
      <x v="362"/>
    </i>
    <i r="2">
      <x v="10"/>
      <x v="277"/>
      <x v="377"/>
    </i>
    <i r="3">
      <x v="280"/>
      <x v="382"/>
    </i>
    <i r="3">
      <x v="282"/>
      <x v="384"/>
    </i>
    <i r="3">
      <x v="286"/>
      <x v="390"/>
    </i>
    <i r="2">
      <x v="11"/>
      <x v="173"/>
      <x v="229"/>
    </i>
    <i r="3">
      <x v="177"/>
      <x v="236"/>
    </i>
    <i r="1">
      <x v="4"/>
      <x/>
      <x v="298"/>
      <x v="407"/>
    </i>
    <i r="3">
      <x v="302"/>
      <x v="412"/>
    </i>
    <i r="3">
      <x v="306"/>
      <x v="419"/>
    </i>
    <i r="2">
      <x v="1"/>
      <x v="310"/>
      <x v="423"/>
    </i>
    <i r="3">
      <x v="311"/>
      <x v="427"/>
    </i>
    <i r="3">
      <x v="315"/>
      <x v="437"/>
    </i>
    <i r="2">
      <x v="2"/>
      <x v="321"/>
      <x v="446"/>
    </i>
    <i r="2">
      <x v="5"/>
      <x v="393"/>
      <x v="564"/>
    </i>
    <i r="2">
      <x v="7"/>
      <x v="440"/>
      <x v="646"/>
    </i>
    <i r="2">
      <x v="8"/>
      <x v="454"/>
      <x v="666"/>
    </i>
    <i r="3">
      <x v="457"/>
      <x v="671"/>
    </i>
    <i r="3">
      <x v="459"/>
      <x v="676"/>
    </i>
    <i r="2">
      <x v="10"/>
      <x v="489"/>
      <x v="731"/>
    </i>
    <i r="4">
      <x v="732"/>
    </i>
    <i r="3">
      <x v="496"/>
      <x v="748"/>
    </i>
    <i r="2">
      <x v="11"/>
      <x v="337"/>
      <x v="477"/>
    </i>
    <i r="3">
      <x v="343"/>
      <x v="486"/>
    </i>
    <i r="3">
      <x v="357"/>
      <x v="493"/>
    </i>
    <i t="default">
      <x v="21"/>
    </i>
    <i>
      <x v="22"/>
      <x v="3"/>
      <x v="2"/>
      <x v="172"/>
      <x v="226"/>
    </i>
    <i r="2">
      <x v="3"/>
      <x v="192"/>
      <x v="257"/>
    </i>
    <i r="2">
      <x v="4"/>
      <x v="214"/>
      <x v="285"/>
    </i>
    <i r="2">
      <x v="11"/>
      <x v="181"/>
      <x v="242"/>
    </i>
    <i r="3">
      <x v="187"/>
      <x v="249"/>
    </i>
    <i r="3">
      <x v="190"/>
      <x v="254"/>
    </i>
    <i r="1">
      <x v="4"/>
      <x/>
      <x v="294"/>
      <x v="397"/>
    </i>
    <i r="3">
      <x v="296"/>
      <x v="400"/>
    </i>
    <i r="3">
      <x v="297"/>
      <x v="404"/>
    </i>
    <i r="3">
      <x v="299"/>
      <x v="408"/>
    </i>
    <i r="2">
      <x v="4"/>
      <x v="374"/>
      <x v="536"/>
    </i>
    <i t="default">
      <x v="22"/>
    </i>
    <i>
      <x v="23"/>
      <x v="3"/>
      <x v="11"/>
      <x v="183"/>
      <x v="244"/>
    </i>
    <i r="3">
      <x v="184"/>
      <x v="246"/>
    </i>
    <i t="default">
      <x v="23"/>
    </i>
    <i>
      <x v="24"/>
      <x v="3"/>
      <x v="3"/>
      <x v="196"/>
      <x v="262"/>
    </i>
    <i r="2">
      <x v="11"/>
      <x v="176"/>
      <x v="235"/>
    </i>
    <i r="3">
      <x v="178"/>
      <x v="237"/>
    </i>
    <i r="3">
      <x v="180"/>
      <x v="240"/>
    </i>
    <i t="default">
      <x v="24"/>
    </i>
    <i>
      <x v="25"/>
      <x v="3"/>
      <x v="3"/>
      <x v="202"/>
      <x v="269"/>
    </i>
    <i r="2">
      <x v="6"/>
      <x v="231"/>
      <x v="308"/>
    </i>
    <i r="2">
      <x v="8"/>
      <x v="256"/>
      <x v="347"/>
    </i>
    <i r="2">
      <x v="10"/>
      <x v="285"/>
      <x v="387"/>
    </i>
    <i r="1">
      <x v="4"/>
      <x v="2"/>
      <x v="335"/>
      <x v="471"/>
    </i>
    <i r="2">
      <x v="10"/>
      <x v="498"/>
      <x v="752"/>
    </i>
    <i r="3">
      <x v="499"/>
      <x v="754"/>
    </i>
    <i t="default">
      <x v="25"/>
    </i>
    <i>
      <x v="26"/>
      <x v="3"/>
      <x v="5"/>
      <x v="223"/>
      <x v="297"/>
    </i>
    <i r="2">
      <x v="6"/>
      <x v="229"/>
      <x v="305"/>
    </i>
    <i r="3">
      <x v="235"/>
      <x v="314"/>
    </i>
    <i r="3">
      <x v="236"/>
      <x v="318"/>
    </i>
    <i r="2">
      <x v="7"/>
      <x v="248"/>
      <x v="335"/>
    </i>
    <i r="2">
      <x v="9"/>
      <x v="271"/>
      <x v="366"/>
    </i>
    <i r="1">
      <x v="4"/>
      <x v="1"/>
      <x v="318"/>
      <x v="442"/>
    </i>
    <i r="2">
      <x v="3"/>
      <x v="359"/>
      <x v="509"/>
    </i>
    <i r="2">
      <x v="5"/>
      <x v="394"/>
      <x v="565"/>
    </i>
    <i r="2">
      <x v="9"/>
      <x v="482"/>
      <x v="718"/>
    </i>
    <i r="2">
      <x v="11"/>
      <x v="339"/>
      <x v="480"/>
    </i>
    <i r="3">
      <x v="340"/>
      <x v="480"/>
    </i>
    <i t="default">
      <x v="26"/>
    </i>
    <i>
      <x v="27"/>
      <x v="3"/>
      <x v="7"/>
      <x v="241"/>
      <x v="323"/>
    </i>
    <i r="3">
      <x v="248"/>
      <x v="336"/>
    </i>
    <i r="1">
      <x v="4"/>
      <x/>
      <x v="300"/>
      <x v="409"/>
    </i>
    <i t="default">
      <x v="27"/>
    </i>
    <i>
      <x v="28"/>
      <x v="5"/>
      <x v="12"/>
      <x v="233"/>
      <x v="310"/>
    </i>
    <i r="3">
      <x v="463"/>
      <x v="681"/>
    </i>
    <i t="default">
      <x v="28"/>
    </i>
    <i>
      <x v="29"/>
      <x v="3"/>
      <x v="9"/>
      <x v="266"/>
      <x v="361"/>
    </i>
    <i r="3">
      <x v="274"/>
      <x v="370"/>
    </i>
    <i r="2">
      <x v="10"/>
      <x v="277"/>
      <x v="376"/>
    </i>
    <i t="default">
      <x v="29"/>
    </i>
    <i>
      <x v="30"/>
      <x v="3"/>
      <x v="9"/>
      <x v="268"/>
      <x v="363"/>
    </i>
    <i t="default">
      <x v="30"/>
    </i>
    <i>
      <x v="31"/>
      <x v="3"/>
      <x v="9"/>
      <x v="276"/>
      <x v="374"/>
    </i>
    <i t="default">
      <x v="31"/>
    </i>
    <i>
      <x v="32"/>
      <x v="3"/>
      <x v="9"/>
      <x v="276"/>
      <x v="375"/>
    </i>
    <i t="default">
      <x v="32"/>
    </i>
    <i>
      <x v="33"/>
      <x v="4"/>
      <x/>
      <x v="305"/>
      <x v="417"/>
    </i>
    <i r="2">
      <x v="1"/>
      <x v="307"/>
      <x v="420"/>
    </i>
    <i r="3">
      <x v="310"/>
      <x v="424"/>
    </i>
    <i r="2">
      <x v="2"/>
      <x v="333"/>
      <x v="469"/>
    </i>
    <i r="3">
      <x v="334"/>
      <x v="470"/>
    </i>
    <i r="3">
      <x v="336"/>
      <x v="473"/>
    </i>
    <i r="4">
      <x v="474"/>
    </i>
    <i r="2">
      <x v="3"/>
      <x v="358"/>
      <x v="506"/>
    </i>
    <i r="3">
      <x v="360"/>
      <x v="510"/>
    </i>
    <i r="3">
      <x v="365"/>
      <x v="522"/>
    </i>
    <i r="3">
      <x v="366"/>
      <x v="523"/>
    </i>
    <i r="3">
      <x v="369"/>
      <x v="531"/>
    </i>
    <i r="2">
      <x v="4"/>
      <x v="373"/>
      <x v="534"/>
    </i>
    <i r="3">
      <x v="377"/>
      <x v="540"/>
    </i>
    <i r="3">
      <x v="378"/>
      <x v="541"/>
    </i>
    <i r="3">
      <x v="380"/>
      <x v="545"/>
    </i>
    <i r="3">
      <x v="383"/>
      <x v="550"/>
    </i>
    <i r="3">
      <x v="384"/>
      <x v="551"/>
    </i>
    <i r="3">
      <x v="386"/>
      <x v="554"/>
    </i>
    <i r="3">
      <x v="389"/>
      <x v="558"/>
    </i>
    <i r="2">
      <x v="5"/>
      <x v="392"/>
      <x v="562"/>
    </i>
    <i r="4">
      <x v="563"/>
    </i>
    <i r="3">
      <x v="395"/>
      <x v="568"/>
    </i>
    <i r="3">
      <x v="397"/>
      <x v="571"/>
    </i>
    <i r="3">
      <x v="403"/>
      <x v="578"/>
    </i>
    <i r="2">
      <x v="6"/>
      <x v="409"/>
      <x v="586"/>
    </i>
    <i r="3">
      <x v="413"/>
      <x v="596"/>
    </i>
    <i r="3">
      <x v="416"/>
      <x v="599"/>
    </i>
    <i r="3">
      <x v="419"/>
      <x v="604"/>
    </i>
    <i r="3">
      <x v="423"/>
      <x v="613"/>
    </i>
    <i r="3">
      <x v="424"/>
      <x v="614"/>
    </i>
    <i r="3">
      <x v="427"/>
      <x v="617"/>
    </i>
    <i r="2">
      <x v="7"/>
      <x v="429"/>
      <x v="623"/>
    </i>
    <i r="3">
      <x v="430"/>
      <x v="628"/>
    </i>
    <i r="3">
      <x v="436"/>
      <x v="638"/>
    </i>
    <i r="3">
      <x v="446"/>
      <x v="653"/>
    </i>
    <i r="3">
      <x v="448"/>
      <x v="657"/>
    </i>
    <i r="2">
      <x v="8"/>
      <x v="458"/>
      <x v="673"/>
    </i>
    <i r="3">
      <x v="466"/>
      <x v="689"/>
    </i>
    <i r="2">
      <x v="9"/>
      <x v="471"/>
      <x v="697"/>
    </i>
    <i r="2">
      <x v="11"/>
      <x v="337"/>
      <x v="478"/>
    </i>
    <i r="3">
      <x v="344"/>
      <x v="488"/>
    </i>
    <i t="default">
      <x v="33"/>
    </i>
    <i>
      <x v="34"/>
      <x v="4"/>
      <x v="1"/>
      <x v="314"/>
      <x v="433"/>
    </i>
    <i r="2">
      <x v="11"/>
      <x v="338"/>
      <x v="479"/>
    </i>
    <i t="default">
      <x v="34"/>
    </i>
    <i>
      <x v="35"/>
      <x v="4"/>
      <x v="2"/>
      <x v="322"/>
      <x v="448"/>
    </i>
    <i r="3">
      <x v="324"/>
      <x v="452"/>
    </i>
    <i t="default">
      <x v="35"/>
    </i>
    <i>
      <x v="36"/>
      <x v="4"/>
      <x v="3"/>
      <x v="348"/>
      <x v="492"/>
    </i>
    <i r="2">
      <x v="4"/>
      <x v="358"/>
      <x v="505"/>
    </i>
    <i r="3">
      <x v="363"/>
      <x v="517"/>
    </i>
    <i r="2">
      <x v="5"/>
      <x v="382"/>
      <x v="549"/>
    </i>
    <i r="3">
      <x v="385"/>
      <x v="552"/>
    </i>
    <i r="2">
      <x v="6"/>
      <x v="396"/>
      <x v="570"/>
    </i>
    <i r="3">
      <x v="402"/>
      <x v="577"/>
    </i>
    <i r="2">
      <x v="7"/>
      <x v="414"/>
      <x v="597"/>
    </i>
    <i r="3">
      <x v="422"/>
      <x v="609"/>
    </i>
    <i r="2">
      <x v="8"/>
      <x v="443"/>
      <x v="650"/>
    </i>
    <i r="2">
      <x v="9"/>
      <x v="468"/>
      <x v="692"/>
    </i>
    <i r="2">
      <x v="11"/>
      <x v="323"/>
      <x v="451"/>
    </i>
    <i r="3">
      <x v="331"/>
      <x v="465"/>
    </i>
    <i r="3">
      <x v="336"/>
      <x v="472"/>
    </i>
    <i r="1">
      <x v="6"/>
      <x/>
      <x v="497"/>
      <x v="749"/>
    </i>
    <i t="default">
      <x v="36"/>
    </i>
    <i>
      <x v="37"/>
      <x v="4"/>
      <x v="3"/>
      <x v="364"/>
      <x v="519"/>
    </i>
    <i r="3">
      <x v="367"/>
      <x v="527"/>
    </i>
    <i r="2">
      <x v="4"/>
      <x v="372"/>
      <x v="533"/>
    </i>
    <i r="3">
      <x v="380"/>
      <x v="544"/>
    </i>
    <i r="2">
      <x v="5"/>
      <x v="404"/>
      <x v="579"/>
    </i>
    <i r="2">
      <x v="11"/>
      <x v="346"/>
      <x v="490"/>
    </i>
    <i t="default">
      <x v="37"/>
    </i>
    <i>
      <x v="38"/>
      <x v="1"/>
      <x/>
      <x v="50"/>
      <x v="84"/>
    </i>
    <i r="3">
      <x v="51"/>
      <x v="86"/>
    </i>
    <i r="3">
      <x v="54"/>
      <x v="88"/>
    </i>
    <i r="2">
      <x v="1"/>
      <x v="60"/>
      <x v="95"/>
    </i>
    <i r="2">
      <x v="3"/>
      <x v="83"/>
      <x v="2"/>
    </i>
    <i r="2">
      <x v="8"/>
      <x v="98"/>
      <x v="130"/>
    </i>
    <i r="2">
      <x v="10"/>
      <x v="124"/>
      <x v="167"/>
    </i>
    <i r="1">
      <x v="4"/>
      <x v="3"/>
      <x v="364"/>
      <x v="521"/>
    </i>
    <i r="3">
      <x v="365"/>
      <x v="521"/>
    </i>
    <i r="2">
      <x v="4"/>
      <x v="381"/>
      <x v="548"/>
    </i>
    <i r="3">
      <x v="382"/>
      <x v="548"/>
    </i>
    <i r="3">
      <x v="388"/>
      <x v="557"/>
    </i>
    <i r="2">
      <x v="5"/>
      <x v="408"/>
      <x v="585"/>
    </i>
    <i r="2">
      <x v="7"/>
      <x v="429"/>
      <x v="624"/>
    </i>
    <i r="3">
      <x v="441"/>
      <x v="647"/>
    </i>
    <i r="2">
      <x v="8"/>
      <x v="451"/>
      <x v="661"/>
    </i>
    <i r="2">
      <x v="9"/>
      <x v="469"/>
      <x v="694"/>
    </i>
    <i r="2">
      <x v="11"/>
      <x v="352"/>
      <x v="498"/>
    </i>
    <i t="default">
      <x v="38"/>
    </i>
    <i>
      <x v="39"/>
      <x v="1"/>
      <x v="7"/>
      <x v="85"/>
      <x v="111"/>
    </i>
    <i t="default">
      <x v="39"/>
    </i>
    <i>
      <x v="40"/>
      <x v="4"/>
      <x v="4"/>
      <x v="376"/>
      <x v="539"/>
    </i>
    <i r="2">
      <x v="6"/>
      <x v="417"/>
      <x v="600"/>
    </i>
    <i t="default">
      <x v="40"/>
    </i>
    <i>
      <x v="41"/>
      <x v="4"/>
      <x v="7"/>
      <x v="434"/>
      <x v="636"/>
    </i>
    <i t="default">
      <x v="41"/>
    </i>
    <i>
      <x v="42"/>
      <x v="4"/>
      <x v="7"/>
      <x v="435"/>
      <x v="637"/>
    </i>
    <i r="2">
      <x v="10"/>
      <x v="485"/>
      <x v="725"/>
    </i>
    <i t="default">
      <x v="42"/>
    </i>
    <i>
      <x v="43"/>
      <x v="4"/>
      <x v="8"/>
      <x v="460"/>
      <x v="677"/>
    </i>
    <i r="4">
      <x v="678"/>
    </i>
    <i r="3">
      <x v="462"/>
      <x v="680"/>
    </i>
    <i r="3">
      <x v="464"/>
      <x v="682"/>
    </i>
    <i r="4">
      <x v="683"/>
    </i>
    <i r="3">
      <x v="465"/>
      <x v="687"/>
    </i>
    <i r="3">
      <x v="467"/>
      <x v="690"/>
    </i>
    <i r="4">
      <x v="691"/>
    </i>
    <i r="3">
      <x v="468"/>
      <x v="693"/>
    </i>
    <i r="2">
      <x v="9"/>
      <x v="472"/>
      <x v="698"/>
    </i>
    <i r="4">
      <x v="699"/>
    </i>
    <i r="3">
      <x v="475"/>
      <x v="702"/>
    </i>
    <i r="4">
      <x v="703"/>
    </i>
    <i r="3">
      <x v="476"/>
      <x v="704"/>
    </i>
    <i r="3">
      <x v="477"/>
      <x v="709"/>
    </i>
    <i r="4">
      <x v="710"/>
    </i>
    <i r="3">
      <x v="478"/>
      <x v="712"/>
    </i>
    <i r="4">
      <x v="713"/>
    </i>
    <i r="3">
      <x v="480"/>
      <x v="715"/>
    </i>
    <i r="4">
      <x v="716"/>
    </i>
    <i r="3">
      <x v="483"/>
      <x v="719"/>
    </i>
    <i r="4">
      <x v="720"/>
    </i>
    <i r="2">
      <x v="10"/>
      <x v="485"/>
      <x v="723"/>
    </i>
    <i r="4">
      <x v="724"/>
    </i>
    <i r="3">
      <x v="487"/>
      <x v="728"/>
    </i>
    <i r="4">
      <x v="729"/>
    </i>
    <i r="3">
      <x v="490"/>
      <x v="734"/>
    </i>
    <i r="4">
      <x v="735"/>
    </i>
    <i r="3">
      <x v="492"/>
      <x v="737"/>
    </i>
    <i r="3">
      <x v="493"/>
      <x v="738"/>
    </i>
    <i r="3">
      <x v="494"/>
      <x v="743"/>
    </i>
    <i r="4">
      <x v="744"/>
    </i>
    <i r="3">
      <x v="498"/>
      <x v="750"/>
    </i>
    <i r="4">
      <x v="751"/>
    </i>
    <i r="3">
      <x v="500"/>
      <x v="756"/>
    </i>
    <i r="4">
      <x v="757"/>
    </i>
    <i r="3">
      <x v="501"/>
      <x v="758"/>
    </i>
    <i r="4">
      <x v="759"/>
    </i>
    <i t="default">
      <x v="43"/>
    </i>
    <i>
      <x v="44"/>
      <x v="4"/>
      <x v="8"/>
      <x v="464"/>
      <x v="684"/>
    </i>
    <i r="2">
      <x v="9"/>
      <x v="470"/>
      <x v="695"/>
    </i>
    <i t="default">
      <x v="44"/>
    </i>
    <i>
      <x v="45"/>
      <x v="4"/>
      <x v="10"/>
      <x v="493"/>
      <x v="740"/>
    </i>
    <i r="3">
      <x v="498"/>
      <x v="753"/>
    </i>
    <i t="default">
      <x v="45"/>
    </i>
    <i>
      <x v="46"/>
      <x v="4"/>
      <x v="10"/>
      <x v="494"/>
      <x v="742"/>
    </i>
    <i t="default">
      <x v="46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Outstanding" fld="15" baseField="4" baseItem="8" numFmtId="4"/>
  </dataFields>
  <formats count="1">
    <format dxfId="22">
      <pivotArea dataOnly="0" outline="0" fieldPosition="0">
        <references count="1">
          <reference field="5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4:H53" firstHeaderRow="1" firstDataRow="2" firstDataCol="1"/>
  <pivotFields count="20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48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36"/>
        <item x="37"/>
        <item x="38"/>
        <item x="39"/>
        <item x="12"/>
        <item x="16"/>
        <item x="40"/>
        <item x="41"/>
        <item x="42"/>
        <item x="43"/>
        <item x="44"/>
        <item x="45"/>
        <item x="46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 defaultSubtotal="0"/>
    <pivotField compact="0" outline="0" showAll="0"/>
    <pivotField compact="0" outline="0" showAll="0"/>
    <pivotField compact="0" numFmtId="43" outline="0" showAll="0"/>
    <pivotField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1">
    <field x="5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Outstanding" fld="15" baseField="4" baseItem="7" numFmtId="4"/>
  </dataFields>
  <formats count="1">
    <format dxfId="23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R4:BA413" firstHeaderRow="1" firstDataRow="2" firstDataCol="3"/>
  <pivotFields count="20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48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36"/>
        <item x="37"/>
        <item x="38"/>
        <item x="39"/>
        <item x="12"/>
        <item x="16"/>
        <item x="40"/>
        <item x="41"/>
        <item x="42"/>
        <item x="43"/>
        <item x="44"/>
        <item x="45"/>
        <item x="46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/>
    <pivotField axis="axisRow" compact="0" outline="0" showAll="0">
      <items count="14">
        <item x="7"/>
        <item x="8"/>
        <item x="9"/>
        <item x="12"/>
        <item x="1"/>
        <item x="4"/>
        <item x="2"/>
        <item x="6"/>
        <item x="3"/>
        <item x="5"/>
        <item x="0"/>
        <item x="11"/>
        <item x="10"/>
        <item t="default"/>
      </items>
    </pivotField>
    <pivotField axis="axisRow" compact="0" outline="0" showAll="0" defaultSubtotal="0">
      <items count="7">
        <item x="1"/>
        <item x="2"/>
        <item x="0"/>
        <item x="4"/>
        <item x="5"/>
        <item x="3"/>
        <item x="6"/>
      </items>
    </pivotField>
    <pivotField compact="0" numFmtId="43" outline="0" showAll="0"/>
    <pivotField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5"/>
    <field x="12"/>
    <field x="11"/>
  </rowFields>
  <rowItems count="408">
    <i>
      <x/>
      <x/>
      <x v="6"/>
    </i>
    <i r="2">
      <x v="8"/>
    </i>
    <i r="2">
      <x v="9"/>
    </i>
    <i r="1">
      <x v="1"/>
      <x v="1"/>
    </i>
    <i r="2">
      <x v="3"/>
    </i>
    <i r="2">
      <x v="7"/>
    </i>
    <i r="2">
      <x v="8"/>
    </i>
    <i r="2">
      <x v="9"/>
    </i>
    <i t="default">
      <x/>
    </i>
    <i>
      <x v="1"/>
      <x/>
      <x v="6"/>
    </i>
    <i r="2">
      <x v="8"/>
    </i>
    <i t="default">
      <x v="1"/>
    </i>
    <i>
      <x v="2"/>
      <x/>
      <x v="8"/>
    </i>
    <i r="1">
      <x v="1"/>
      <x/>
    </i>
    <i r="2">
      <x v="3"/>
    </i>
    <i r="2">
      <x v="4"/>
    </i>
    <i r="2">
      <x v="10"/>
    </i>
    <i r="1">
      <x v="3"/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6"/>
      <x v="1"/>
    </i>
    <i t="default">
      <x v="2"/>
    </i>
    <i>
      <x v="3"/>
      <x/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1"/>
      <x/>
    </i>
    <i r="2">
      <x v="1"/>
    </i>
    <i r="2">
      <x v="3"/>
    </i>
    <i r="2">
      <x v="7"/>
    </i>
    <i r="2">
      <x v="8"/>
    </i>
    <i r="2">
      <x v="10"/>
    </i>
    <i r="2">
      <x v="11"/>
    </i>
    <i r="1">
      <x v="2"/>
      <x v="10"/>
    </i>
    <i r="1">
      <x v="3"/>
      <x v="2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2"/>
    </i>
    <i r="2">
      <x v="3"/>
    </i>
    <i r="2">
      <x v="11"/>
    </i>
    <i t="default">
      <x v="3"/>
    </i>
    <i>
      <x v="4"/>
      <x/>
      <x v="6"/>
    </i>
    <i r="2">
      <x v="7"/>
    </i>
    <i r="2">
      <x v="8"/>
    </i>
    <i r="2">
      <x v="9"/>
    </i>
    <i r="2">
      <x v="10"/>
    </i>
    <i r="1">
      <x v="1"/>
      <x/>
    </i>
    <i r="2">
      <x v="1"/>
    </i>
    <i r="2">
      <x v="2"/>
    </i>
    <i r="2">
      <x v="3"/>
    </i>
    <i r="2">
      <x v="8"/>
    </i>
    <i r="2">
      <x v="9"/>
    </i>
    <i r="2">
      <x v="10"/>
    </i>
    <i r="1">
      <x v="3"/>
      <x/>
    </i>
    <i r="2">
      <x v="1"/>
    </i>
    <i r="2">
      <x v="3"/>
    </i>
    <i r="2">
      <x v="4"/>
    </i>
    <i r="2">
      <x v="7"/>
    </i>
    <i r="2">
      <x v="9"/>
    </i>
    <i r="2">
      <x v="11"/>
    </i>
    <i r="1">
      <x v="4"/>
      <x/>
    </i>
    <i r="2">
      <x v="5"/>
    </i>
    <i r="2">
      <x v="7"/>
    </i>
    <i r="2">
      <x v="8"/>
    </i>
    <i t="default">
      <x v="4"/>
    </i>
    <i>
      <x v="5"/>
      <x/>
      <x v="6"/>
    </i>
    <i r="2">
      <x v="9"/>
    </i>
    <i r="1">
      <x v="1"/>
      <x v="8"/>
    </i>
    <i r="1">
      <x v="3"/>
      <x/>
    </i>
    <i r="2">
      <x v="1"/>
    </i>
    <i r="2">
      <x v="2"/>
    </i>
    <i r="2">
      <x v="3"/>
    </i>
    <i r="2">
      <x v="4"/>
    </i>
    <i r="2">
      <x v="8"/>
    </i>
    <i r="1">
      <x v="4"/>
      <x v="6"/>
    </i>
    <i r="2">
      <x v="8"/>
    </i>
    <i r="2">
      <x v="9"/>
    </i>
    <i r="2">
      <x v="11"/>
    </i>
    <i t="default">
      <x v="5"/>
    </i>
    <i>
      <x v="6"/>
      <x/>
      <x v="8"/>
    </i>
    <i r="2">
      <x v="9"/>
    </i>
    <i r="2">
      <x v="10"/>
    </i>
    <i r="1">
      <x v="1"/>
      <x/>
    </i>
    <i r="2">
      <x v="1"/>
    </i>
    <i r="2">
      <x v="4"/>
    </i>
    <i r="2">
      <x v="5"/>
    </i>
    <i r="2">
      <x v="6"/>
    </i>
    <i r="2">
      <x v="10"/>
    </i>
    <i r="2">
      <x v="11"/>
    </i>
    <i r="1">
      <x v="3"/>
      <x/>
    </i>
    <i r="2">
      <x v="3"/>
    </i>
    <i r="2">
      <x v="4"/>
    </i>
    <i r="2">
      <x v="6"/>
    </i>
    <i r="2">
      <x v="7"/>
    </i>
    <i r="2">
      <x v="10"/>
    </i>
    <i r="2">
      <x v="11"/>
    </i>
    <i r="1">
      <x v="4"/>
      <x v="1"/>
    </i>
    <i r="2">
      <x v="2"/>
    </i>
    <i r="2">
      <x v="4"/>
    </i>
    <i t="default">
      <x v="6"/>
    </i>
    <i>
      <x v="7"/>
      <x/>
      <x v="4"/>
    </i>
    <i r="1">
      <x v="1"/>
      <x v="7"/>
    </i>
    <i t="default">
      <x v="7"/>
    </i>
    <i>
      <x v="8"/>
      <x/>
      <x v="6"/>
    </i>
    <i r="2">
      <x v="7"/>
    </i>
    <i r="2">
      <x v="9"/>
    </i>
    <i r="1">
      <x v="1"/>
      <x v="1"/>
    </i>
    <i r="2">
      <x v="8"/>
    </i>
    <i r="2">
      <x v="9"/>
    </i>
    <i t="default">
      <x v="8"/>
    </i>
    <i>
      <x v="9"/>
      <x/>
      <x v="10"/>
    </i>
    <i r="1">
      <x v="1"/>
      <x/>
    </i>
    <i r="2">
      <x v="1"/>
    </i>
    <i r="2">
      <x v="2"/>
    </i>
    <i r="2">
      <x v="3"/>
    </i>
    <i r="2">
      <x v="5"/>
    </i>
    <i r="2">
      <x v="6"/>
    </i>
    <i r="2">
      <x v="7"/>
    </i>
    <i r="2">
      <x v="11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1">
      <x v="6"/>
      <x/>
    </i>
    <i r="2">
      <x v="1"/>
    </i>
    <i r="2">
      <x v="2"/>
    </i>
    <i r="2">
      <x v="11"/>
    </i>
    <i t="default">
      <x v="9"/>
    </i>
    <i>
      <x v="10"/>
      <x/>
      <x v="9"/>
    </i>
    <i t="default">
      <x v="10"/>
    </i>
    <i>
      <x v="11"/>
      <x v="5"/>
      <x v="12"/>
    </i>
    <i t="default">
      <x v="11"/>
    </i>
    <i>
      <x v="12"/>
      <x v="5"/>
      <x v="12"/>
    </i>
    <i t="default">
      <x v="12"/>
    </i>
    <i>
      <x v="13"/>
      <x v="1"/>
      <x v="1"/>
    </i>
    <i r="2">
      <x v="2"/>
    </i>
    <i r="2">
      <x v="8"/>
    </i>
    <i r="1">
      <x v="4"/>
      <x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t="default">
      <x v="13"/>
    </i>
    <i>
      <x v="14"/>
      <x v="1"/>
      <x v="1"/>
    </i>
    <i r="2">
      <x v="11"/>
    </i>
    <i t="default">
      <x v="14"/>
    </i>
    <i>
      <x v="15"/>
      <x v="1"/>
      <x v="2"/>
    </i>
    <i t="default">
      <x v="15"/>
    </i>
    <i>
      <x v="16"/>
      <x v="1"/>
      <x v="7"/>
    </i>
    <i t="default">
      <x v="16"/>
    </i>
    <i>
      <x v="17"/>
      <x v="1"/>
      <x v="8"/>
    </i>
    <i r="2">
      <x v="9"/>
    </i>
    <i r="2">
      <x v="10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t="default">
      <x v="17"/>
    </i>
    <i>
      <x v="18"/>
      <x v="1"/>
      <x v="8"/>
    </i>
    <i r="2">
      <x v="9"/>
    </i>
    <i r="2">
      <x v="10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t="default">
      <x v="18"/>
    </i>
    <i>
      <x v="19"/>
      <x v="5"/>
      <x v="12"/>
    </i>
    <i t="default">
      <x v="19"/>
    </i>
    <i>
      <x v="20"/>
      <x v="1"/>
      <x v="9"/>
    </i>
    <i r="1">
      <x v="3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t="default">
      <x v="20"/>
    </i>
    <i>
      <x v="21"/>
      <x v="3"/>
      <x v="2"/>
    </i>
    <i r="2">
      <x v="3"/>
    </i>
    <i r="2">
      <x v="4"/>
    </i>
    <i r="2">
      <x v="7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5"/>
    </i>
    <i r="2">
      <x v="7"/>
    </i>
    <i r="2">
      <x v="8"/>
    </i>
    <i r="2">
      <x v="10"/>
    </i>
    <i r="2">
      <x v="11"/>
    </i>
    <i t="default">
      <x v="21"/>
    </i>
    <i>
      <x v="22"/>
      <x v="3"/>
      <x v="2"/>
    </i>
    <i r="2">
      <x v="3"/>
    </i>
    <i r="2">
      <x v="4"/>
    </i>
    <i r="2">
      <x v="11"/>
    </i>
    <i r="1">
      <x v="4"/>
      <x/>
    </i>
    <i r="2">
      <x v="4"/>
    </i>
    <i t="default">
      <x v="22"/>
    </i>
    <i>
      <x v="23"/>
      <x v="3"/>
      <x v="11"/>
    </i>
    <i t="default">
      <x v="23"/>
    </i>
    <i>
      <x v="24"/>
      <x v="3"/>
      <x v="3"/>
    </i>
    <i r="2">
      <x v="11"/>
    </i>
    <i t="default">
      <x v="24"/>
    </i>
    <i>
      <x v="25"/>
      <x v="3"/>
      <x v="3"/>
    </i>
    <i r="2">
      <x v="6"/>
    </i>
    <i r="2">
      <x v="8"/>
    </i>
    <i r="2">
      <x v="10"/>
    </i>
    <i r="1">
      <x v="4"/>
      <x v="2"/>
    </i>
    <i r="2">
      <x v="10"/>
    </i>
    <i t="default">
      <x v="25"/>
    </i>
    <i>
      <x v="26"/>
      <x v="3"/>
      <x v="5"/>
    </i>
    <i r="2">
      <x v="6"/>
    </i>
    <i r="2">
      <x v="7"/>
    </i>
    <i r="2">
      <x v="9"/>
    </i>
    <i r="1">
      <x v="4"/>
      <x v="1"/>
    </i>
    <i r="2">
      <x v="3"/>
    </i>
    <i r="2">
      <x v="5"/>
    </i>
    <i r="2">
      <x v="9"/>
    </i>
    <i r="2">
      <x v="11"/>
    </i>
    <i t="default">
      <x v="26"/>
    </i>
    <i>
      <x v="27"/>
      <x v="3"/>
      <x v="7"/>
    </i>
    <i r="1">
      <x v="4"/>
      <x/>
    </i>
    <i t="default">
      <x v="27"/>
    </i>
    <i>
      <x v="28"/>
      <x v="5"/>
      <x v="12"/>
    </i>
    <i t="default">
      <x v="28"/>
    </i>
    <i>
      <x v="29"/>
      <x v="3"/>
      <x v="9"/>
    </i>
    <i r="2">
      <x v="10"/>
    </i>
    <i t="default">
      <x v="29"/>
    </i>
    <i>
      <x v="30"/>
      <x v="3"/>
      <x v="9"/>
    </i>
    <i t="default">
      <x v="30"/>
    </i>
    <i>
      <x v="31"/>
      <x v="3"/>
      <x v="9"/>
    </i>
    <i t="default">
      <x v="31"/>
    </i>
    <i>
      <x v="32"/>
      <x v="3"/>
      <x v="9"/>
    </i>
    <i t="default">
      <x v="32"/>
    </i>
    <i>
      <x v="33"/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t="default">
      <x v="33"/>
    </i>
    <i>
      <x v="34"/>
      <x v="4"/>
      <x v="1"/>
    </i>
    <i r="2">
      <x v="11"/>
    </i>
    <i t="default">
      <x v="34"/>
    </i>
    <i>
      <x v="35"/>
      <x v="4"/>
      <x v="2"/>
    </i>
    <i t="default">
      <x v="35"/>
    </i>
    <i>
      <x v="36"/>
      <x v="4"/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1">
      <x v="6"/>
      <x/>
    </i>
    <i t="default">
      <x v="36"/>
    </i>
    <i>
      <x v="37"/>
      <x v="4"/>
      <x v="3"/>
    </i>
    <i r="2">
      <x v="4"/>
    </i>
    <i r="2">
      <x v="5"/>
    </i>
    <i r="2">
      <x v="11"/>
    </i>
    <i t="default">
      <x v="37"/>
    </i>
    <i>
      <x v="38"/>
      <x v="1"/>
      <x/>
    </i>
    <i r="2">
      <x v="1"/>
    </i>
    <i r="2">
      <x v="3"/>
    </i>
    <i r="2">
      <x v="8"/>
    </i>
    <i r="2">
      <x v="10"/>
    </i>
    <i r="1">
      <x v="4"/>
      <x v="3"/>
    </i>
    <i r="2">
      <x v="4"/>
    </i>
    <i r="2">
      <x v="5"/>
    </i>
    <i r="2">
      <x v="7"/>
    </i>
    <i r="2">
      <x v="8"/>
    </i>
    <i r="2">
      <x v="9"/>
    </i>
    <i r="2">
      <x v="11"/>
    </i>
    <i t="default">
      <x v="38"/>
    </i>
    <i>
      <x v="39"/>
      <x v="1"/>
      <x v="7"/>
    </i>
    <i t="default">
      <x v="39"/>
    </i>
    <i>
      <x v="40"/>
      <x v="4"/>
      <x v="4"/>
    </i>
    <i r="2">
      <x v="6"/>
    </i>
    <i t="default">
      <x v="40"/>
    </i>
    <i>
      <x v="41"/>
      <x v="4"/>
      <x v="7"/>
    </i>
    <i t="default">
      <x v="41"/>
    </i>
    <i>
      <x v="42"/>
      <x v="4"/>
      <x v="7"/>
    </i>
    <i r="2">
      <x v="10"/>
    </i>
    <i t="default">
      <x v="42"/>
    </i>
    <i>
      <x v="43"/>
      <x v="4"/>
      <x v="8"/>
    </i>
    <i r="2">
      <x v="9"/>
    </i>
    <i r="2">
      <x v="10"/>
    </i>
    <i t="default">
      <x v="43"/>
    </i>
    <i>
      <x v="44"/>
      <x v="4"/>
      <x v="8"/>
    </i>
    <i r="2">
      <x v="9"/>
    </i>
    <i t="default">
      <x v="44"/>
    </i>
    <i>
      <x v="45"/>
      <x v="4"/>
      <x v="10"/>
    </i>
    <i t="default">
      <x v="45"/>
    </i>
    <i>
      <x v="46"/>
      <x v="4"/>
      <x v="10"/>
    </i>
    <i t="default">
      <x v="46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Outstanding" fld="15" baseField="4" baseItem="8" numFmtId="4"/>
  </dataFields>
  <formats count="1">
    <format dxfId="24">
      <pivotArea dataOnly="0" outline="0" fieldPosition="0">
        <references count="1">
          <reference field="5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V4:AP39" firstHeaderRow="1" firstDataRow="3" firstDataCol="1"/>
  <pivotFields count="20">
    <pivotField compact="0" outline="0" showAll="0"/>
    <pivotField compact="0" outline="0" showAll="0"/>
    <pivotField axis="axisCol" compact="0" outline="0" showAll="0">
      <items count="5">
        <item x="0"/>
        <item x="1"/>
        <item x="2"/>
        <item x="3"/>
        <item t="default"/>
      </items>
    </pivotField>
    <pivotField compact="0" outline="0" showAll="0"/>
    <pivotField compact="0" outline="0" showAll="0"/>
    <pivotField axis="axisRow" compact="0" outline="0" showAll="0">
      <items count="33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6">
        <item x="0"/>
        <item x="1"/>
        <item x="3"/>
        <item x="2"/>
        <item x="4"/>
        <item t="default"/>
      </items>
    </pivotField>
    <pivotField compact="0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1">
    <field x="5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2">
    <field x="2"/>
    <field x="9"/>
  </colFields>
  <colItems count="20">
    <i>
      <x/>
      <x/>
    </i>
    <i t="default">
      <x/>
    </i>
    <i>
      <x v="1"/>
      <x/>
    </i>
    <i r="1">
      <x v="1"/>
    </i>
    <i r="1">
      <x v="2"/>
    </i>
    <i r="1">
      <x v="3"/>
    </i>
    <i r="1">
      <x v="4"/>
    </i>
    <i t="default">
      <x v="1"/>
    </i>
    <i>
      <x v="2"/>
      <x/>
    </i>
    <i r="1">
      <x v="1"/>
    </i>
    <i r="1">
      <x v="2"/>
    </i>
    <i r="1">
      <x v="3"/>
    </i>
    <i r="1">
      <x v="4"/>
    </i>
    <i t="default">
      <x v="2"/>
    </i>
    <i>
      <x v="3"/>
      <x/>
    </i>
    <i r="1">
      <x v="1"/>
    </i>
    <i r="1">
      <x v="2"/>
    </i>
    <i r="1">
      <x v="4"/>
    </i>
    <i t="default">
      <x v="3"/>
    </i>
    <i t="grand">
      <x/>
    </i>
  </colItems>
  <dataFields count="1">
    <dataField name="Sum of Sales Amount" fld="13" baseField="4" baseItem="9" numFmtId="4"/>
  </dataFields>
  <formats count="1">
    <format dxfId="19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4:I94" firstHeaderRow="1" firstDataRow="2" firstDataCol="2"/>
  <pivotFields count="20">
    <pivotField compact="0" outline="0" showAll="0"/>
    <pivotField compact="0" outline="0" showAll="0"/>
    <pivotField axis="axisRow" compact="0" outline="0" showAll="0">
      <items count="6">
        <item x="0"/>
        <item x="1"/>
        <item x="2"/>
        <item x="3"/>
        <item x="4"/>
        <item t="default"/>
      </items>
    </pivotField>
    <pivotField compact="0" outline="0" showAll="0"/>
    <pivotField compact="0" outline="0" showAll="0"/>
    <pivotField axis="axisRow" compact="0" outline="0" showAll="0">
      <items count="48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2">
    <field x="2"/>
    <field x="5"/>
  </rowFields>
  <rowItems count="89">
    <i>
      <x/>
      <x v="3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"/>
    </i>
    <i>
      <x v="2"/>
      <x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34"/>
    </i>
    <i r="1">
      <x v="35"/>
    </i>
    <i t="default">
      <x v="2"/>
    </i>
    <i>
      <x v="3"/>
      <x v="2"/>
    </i>
    <i r="1">
      <x v="3"/>
    </i>
    <i r="1">
      <x v="4"/>
    </i>
    <i r="1">
      <x v="5"/>
    </i>
    <i r="1">
      <x v="6"/>
    </i>
    <i r="1">
      <x v="9"/>
    </i>
    <i r="1">
      <x v="17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t="default">
      <x v="3"/>
    </i>
    <i>
      <x v="4"/>
      <x v="2"/>
    </i>
    <i r="1">
      <x v="3"/>
    </i>
    <i r="1">
      <x v="4"/>
    </i>
    <i r="1">
      <x v="5"/>
    </i>
    <i r="1">
      <x v="6"/>
    </i>
    <i r="1">
      <x v="9"/>
    </i>
    <i r="1">
      <x v="13"/>
    </i>
    <i r="1">
      <x v="17"/>
    </i>
    <i r="1">
      <x v="18"/>
    </i>
    <i r="1">
      <x v="20"/>
    </i>
    <i r="1">
      <x v="21"/>
    </i>
    <i r="1">
      <x v="22"/>
    </i>
    <i r="1">
      <x v="25"/>
    </i>
    <i r="1">
      <x v="26"/>
    </i>
    <i r="1">
      <x v="27"/>
    </i>
    <i r="1">
      <x v="28"/>
    </i>
    <i r="1">
      <x v="33"/>
    </i>
    <i r="1">
      <x v="34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t="default">
      <x v="4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Sales Amount" fld="13" baseField="4" baseItem="9" numFmtId="4"/>
  </dataFields>
  <formats count="2">
    <format dxfId="21">
      <pivotArea outline="0" fieldPosition="0">
        <references count="1">
          <reference field="4294967294" count="1">
            <x v="0"/>
          </reference>
        </references>
      </pivotArea>
    </format>
    <format dxfId="20">
      <pivotArea dataOnly="0" outline="0" fieldPosition="0">
        <references count="1">
          <reference field="2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name="PivotTable2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gridDropZones="1" multipleFieldFilters="0">
  <location ref="A3:E205" firstHeaderRow="2" firstDataRow="2" firstDataCol="4" rowPageCount="1" colPageCount="1"/>
  <pivotFields count="20">
    <pivotField axis="axisRow" compact="0" outline="0" showAll="0" defaultSubtotal="0">
      <items count="308">
        <item x="251"/>
        <item x="195"/>
        <item x="273"/>
        <item x="274"/>
        <item x="187"/>
        <item x="250"/>
        <item x="2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9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8"/>
        <item x="189"/>
        <item x="190"/>
        <item x="191"/>
        <item x="192"/>
        <item x="193"/>
        <item x="194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40"/>
        <item x="241"/>
        <item x="242"/>
        <item x="243"/>
        <item x="244"/>
        <item x="245"/>
        <item x="246"/>
        <item x="247"/>
        <item x="248"/>
        <item x="249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</items>
    </pivotField>
    <pivotField axis="axisRow" compact="0" outline="0" showAll="0">
      <items count="13">
        <item h="1" x="7"/>
        <item h="1" x="8"/>
        <item x="9"/>
        <item x="10"/>
        <item x="11"/>
        <item x="1"/>
        <item x="2"/>
        <item x="3"/>
        <item x="4"/>
        <item x="5"/>
        <item x="6"/>
        <item x="0"/>
        <item t="default"/>
      </items>
    </pivotField>
    <pivotField axis="axisPage" compact="0" outline="0" multipleItemSelectionAllowed="1" showAll="0">
      <items count="6">
        <item h="1" x="0"/>
        <item h="1" x="1"/>
        <item h="1" x="2"/>
        <item x="3"/>
        <item h="1" x="4"/>
        <item t="default"/>
      </items>
    </pivotField>
    <pivotField axis="axisRow" compact="0" outline="0" showAll="0" defaultSubtotal="0">
      <items count="421"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</items>
    </pivotField>
    <pivotField compact="0" outline="0" showAll="0"/>
    <pivotField axis="axisRow" compact="0" outline="0" showAll="0">
      <items count="37">
        <item x="4"/>
        <item x="24"/>
        <item x="29"/>
        <item x="31"/>
        <item x="20"/>
        <item x="11"/>
        <item x="22"/>
        <item x="30"/>
        <item x="34"/>
        <item x="33"/>
        <item x="6"/>
        <item x="18"/>
        <item x="32"/>
        <item x="13"/>
        <item x="8"/>
        <item x="10"/>
        <item x="0"/>
        <item x="21"/>
        <item x="17"/>
        <item x="26"/>
        <item x="27"/>
        <item x="2"/>
        <item x="5"/>
        <item x="14"/>
        <item x="23"/>
        <item x="3"/>
        <item x="1"/>
        <item x="28"/>
        <item x="15"/>
        <item x="7"/>
        <item x="25"/>
        <item x="19"/>
        <item x="9"/>
        <item x="35"/>
        <item x="12"/>
        <item x="1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4">
    <field x="1"/>
    <field x="0"/>
    <field x="3"/>
    <field x="5"/>
  </rowFields>
  <rowItems count="201">
    <i>
      <x v="2"/>
      <x v="165"/>
      <x v="122"/>
      <x v="17"/>
    </i>
    <i r="1">
      <x v="166"/>
      <x v="123"/>
      <x v="24"/>
    </i>
    <i r="2">
      <x v="124"/>
      <x v="32"/>
    </i>
    <i r="1">
      <x v="167"/>
      <x v="125"/>
      <x v="24"/>
    </i>
    <i r="1">
      <x v="168"/>
      <x v="126"/>
      <x v="11"/>
    </i>
    <i r="1">
      <x v="169"/>
      <x v="127"/>
      <x v="24"/>
    </i>
    <i r="2">
      <x v="128"/>
      <x v="22"/>
    </i>
    <i r="1">
      <x v="170"/>
      <x v="129"/>
      <x v="31"/>
    </i>
    <i r="1">
      <x v="171"/>
      <x v="130"/>
      <x v="32"/>
    </i>
    <i r="2">
      <x v="131"/>
      <x v="31"/>
    </i>
    <i r="1">
      <x v="172"/>
      <x v="132"/>
      <x v="11"/>
    </i>
    <i r="1">
      <x v="173"/>
      <x v="133"/>
      <x v="31"/>
    </i>
    <i r="1">
      <x v="174"/>
      <x v="134"/>
      <x v="17"/>
    </i>
    <i r="1">
      <x v="175"/>
      <x v="135"/>
      <x v="22"/>
    </i>
    <i r="1">
      <x v="176"/>
      <x v="136"/>
      <x v="31"/>
    </i>
    <i r="1">
      <x v="177"/>
      <x v="137"/>
      <x v="31"/>
    </i>
    <i r="1">
      <x v="178"/>
      <x v="138"/>
      <x v="16"/>
    </i>
    <i r="2">
      <x v="139"/>
      <x v="31"/>
    </i>
    <i r="1">
      <x v="179"/>
      <x v="140"/>
      <x v="1"/>
    </i>
    <i t="default">
      <x v="2"/>
    </i>
    <i>
      <x v="3"/>
      <x v="4"/>
      <x v="163"/>
      <x v="1"/>
    </i>
    <i r="1">
      <x v="180"/>
      <x v="141"/>
      <x v="17"/>
    </i>
    <i r="2">
      <x v="142"/>
      <x v="31"/>
    </i>
    <i r="2">
      <x v="143"/>
      <x v="24"/>
    </i>
    <i r="1">
      <x v="181"/>
      <x v="144"/>
      <x v="31"/>
    </i>
    <i r="1">
      <x v="182"/>
      <x v="145"/>
      <x v="11"/>
    </i>
    <i r="2">
      <x v="146"/>
      <x v="21"/>
    </i>
    <i r="1">
      <x v="183"/>
      <x v="147"/>
      <x v="14"/>
    </i>
    <i r="2">
      <x v="148"/>
      <x v="31"/>
    </i>
    <i r="2">
      <x v="149"/>
      <x v="30"/>
    </i>
    <i r="1">
      <x v="184"/>
      <x v="150"/>
      <x v="24"/>
    </i>
    <i r="1">
      <x v="185"/>
      <x v="151"/>
      <x v="30"/>
    </i>
    <i r="2">
      <x v="152"/>
      <x v="31"/>
    </i>
    <i r="1">
      <x v="186"/>
      <x v="153"/>
      <x v="17"/>
    </i>
    <i r="1">
      <x v="187"/>
      <x v="154"/>
      <x v="30"/>
    </i>
    <i r="1">
      <x v="188"/>
      <x v="155"/>
      <x v="31"/>
    </i>
    <i r="2">
      <x v="156"/>
      <x v="1"/>
    </i>
    <i r="1">
      <x v="189"/>
      <x v="157"/>
      <x v="31"/>
    </i>
    <i r="1">
      <x v="190"/>
      <x v="158"/>
      <x v="19"/>
    </i>
    <i r="1">
      <x v="191"/>
      <x v="159"/>
      <x v="25"/>
    </i>
    <i r="2">
      <x v="160"/>
      <x v="19"/>
    </i>
    <i r="2">
      <x v="161"/>
      <x v="16"/>
    </i>
    <i r="1">
      <x v="192"/>
      <x v="161"/>
      <x v="16"/>
    </i>
    <i r="1">
      <x v="193"/>
      <x v="162"/>
      <x v="31"/>
    </i>
    <i r="1">
      <x v="194"/>
      <x v="164"/>
      <x v="32"/>
    </i>
    <i r="1">
      <x v="195"/>
      <x v="165"/>
      <x v="17"/>
    </i>
    <i r="2">
      <x v="166"/>
      <x v="31"/>
    </i>
    <i r="2">
      <x v="167"/>
      <x v="11"/>
    </i>
    <i r="1">
      <x v="196"/>
      <x v="168"/>
      <x v="1"/>
    </i>
    <i r="1">
      <x v="197"/>
      <x v="169"/>
      <x v="31"/>
    </i>
    <i t="default">
      <x v="3"/>
    </i>
    <i>
      <x v="4"/>
      <x v="1"/>
      <x v="174"/>
      <x v="22"/>
    </i>
    <i r="1">
      <x v="198"/>
      <x v="170"/>
      <x v="31"/>
    </i>
    <i r="2">
      <x v="171"/>
      <x v="1"/>
    </i>
    <i r="1">
      <x v="199"/>
      <x v="172"/>
      <x v="31"/>
    </i>
    <i r="1">
      <x v="200"/>
      <x v="173"/>
      <x v="14"/>
    </i>
    <i r="1">
      <x v="201"/>
      <x v="175"/>
      <x v="24"/>
    </i>
    <i r="2">
      <x v="176"/>
      <x v="30"/>
    </i>
    <i r="1">
      <x v="202"/>
      <x v="177"/>
      <x v="22"/>
    </i>
    <i r="2">
      <x v="178"/>
      <x v="31"/>
    </i>
    <i r="1">
      <x v="203"/>
      <x v="179"/>
      <x v="21"/>
    </i>
    <i r="1">
      <x v="204"/>
      <x v="180"/>
      <x v="31"/>
    </i>
    <i r="1">
      <x v="205"/>
      <x v="181"/>
      <x v="17"/>
    </i>
    <i r="1">
      <x v="206"/>
      <x v="182"/>
      <x v="31"/>
    </i>
    <i r="1">
      <x v="207"/>
      <x v="183"/>
      <x v="20"/>
    </i>
    <i r="2">
      <x v="184"/>
      <x v="31"/>
    </i>
    <i r="1">
      <x v="208"/>
      <x v="185"/>
      <x v="32"/>
    </i>
    <i r="2">
      <x v="186"/>
      <x v="31"/>
    </i>
    <i r="2">
      <x v="187"/>
      <x v="11"/>
    </i>
    <i r="1">
      <x v="209"/>
      <x v="188"/>
      <x v="25"/>
    </i>
    <i r="1">
      <x v="210"/>
      <x v="189"/>
      <x v="31"/>
    </i>
    <i r="1">
      <x v="211"/>
      <x v="190"/>
      <x v="17"/>
    </i>
    <i t="default">
      <x v="4"/>
    </i>
    <i>
      <x v="5"/>
      <x v="212"/>
      <x v="191"/>
      <x v="31"/>
    </i>
    <i r="1">
      <x v="213"/>
      <x v="192"/>
      <x v="24"/>
    </i>
    <i r="1">
      <x v="214"/>
      <x v="193"/>
      <x v="31"/>
    </i>
    <i r="1">
      <x v="215"/>
      <x v="194"/>
      <x v="16"/>
    </i>
    <i r="1">
      <x v="216"/>
      <x v="195"/>
      <x v="32"/>
    </i>
    <i r="2">
      <x v="196"/>
      <x v="24"/>
    </i>
    <i r="1">
      <x v="217"/>
      <x v="197"/>
      <x v="17"/>
    </i>
    <i r="1">
      <x v="218"/>
      <x v="198"/>
      <x v="31"/>
    </i>
    <i r="1">
      <x v="219"/>
      <x v="199"/>
      <x v="1"/>
    </i>
    <i r="1">
      <x v="220"/>
      <x v="200"/>
      <x v="14"/>
    </i>
    <i r="2">
      <x v="201"/>
      <x v="16"/>
    </i>
    <i r="1">
      <x v="221"/>
      <x v="202"/>
      <x v="31"/>
    </i>
    <i r="1">
      <x v="222"/>
      <x v="203"/>
      <x v="22"/>
    </i>
    <i r="1">
      <x v="223"/>
      <x v="204"/>
      <x v="17"/>
    </i>
    <i r="2">
      <x v="205"/>
      <x v="31"/>
    </i>
    <i r="1">
      <x v="224"/>
      <x v="206"/>
      <x v="11"/>
    </i>
    <i r="1">
      <x v="225"/>
      <x v="207"/>
      <x v="32"/>
    </i>
    <i t="default">
      <x v="5"/>
    </i>
    <i>
      <x v="6"/>
      <x v="226"/>
      <x v="208"/>
      <x v="14"/>
    </i>
    <i r="1">
      <x v="227"/>
      <x v="209"/>
      <x v="11"/>
    </i>
    <i r="1">
      <x v="228"/>
      <x v="210"/>
      <x v="31"/>
    </i>
    <i r="2">
      <x v="211"/>
      <x v="27"/>
    </i>
    <i r="1">
      <x v="229"/>
      <x v="212"/>
      <x v="31"/>
    </i>
    <i r="1">
      <x v="230"/>
      <x v="213"/>
      <x v="31"/>
    </i>
    <i r="1">
      <x v="231"/>
      <x v="214"/>
      <x v="31"/>
    </i>
    <i r="2">
      <x v="215"/>
      <x v="16"/>
    </i>
    <i r="1">
      <x v="232"/>
      <x v="216"/>
      <x v="32"/>
    </i>
    <i r="1">
      <x v="233"/>
      <x v="217"/>
      <x v="17"/>
    </i>
    <i r="2">
      <x v="218"/>
      <x v="14"/>
    </i>
    <i t="default">
      <x v="6"/>
    </i>
    <i>
      <x v="7"/>
      <x v="234"/>
      <x v="219"/>
      <x v="27"/>
    </i>
    <i r="1">
      <x v="235"/>
      <x v="220"/>
      <x v="31"/>
    </i>
    <i r="2">
      <x v="221"/>
      <x v="16"/>
    </i>
    <i r="1">
      <x v="236"/>
      <x v="222"/>
      <x v="20"/>
    </i>
    <i r="1">
      <x v="237"/>
      <x v="223"/>
      <x v="31"/>
    </i>
    <i r="1">
      <x v="238"/>
      <x v="224"/>
      <x v="2"/>
    </i>
    <i r="2">
      <x v="225"/>
      <x v="25"/>
    </i>
    <i r="2">
      <x v="226"/>
      <x v="21"/>
    </i>
    <i r="1">
      <x v="239"/>
      <x v="227"/>
      <x v="17"/>
    </i>
    <i r="1">
      <x v="240"/>
      <x v="228"/>
      <x v="27"/>
    </i>
    <i r="2">
      <x v="229"/>
      <x v="31"/>
    </i>
    <i r="2">
      <x v="230"/>
      <x v="14"/>
    </i>
    <i r="1">
      <x v="241"/>
      <x v="231"/>
      <x v="32"/>
    </i>
    <i r="2">
      <x v="232"/>
      <x v="27"/>
    </i>
    <i r="2">
      <x v="233"/>
      <x v="11"/>
    </i>
    <i r="1">
      <x v="242"/>
      <x v="233"/>
      <x v="11"/>
    </i>
    <i t="default">
      <x v="7"/>
    </i>
    <i>
      <x v="8"/>
      <x v="6"/>
      <x v="235"/>
      <x v="14"/>
    </i>
    <i r="1">
      <x v="243"/>
      <x v="234"/>
      <x v="31"/>
    </i>
    <i r="1">
      <x v="244"/>
      <x v="236"/>
      <x v="31"/>
    </i>
    <i r="1">
      <x v="245"/>
      <x v="237"/>
      <x v="7"/>
    </i>
    <i r="2">
      <x v="238"/>
      <x v="31"/>
    </i>
    <i r="2">
      <x v="239"/>
      <x v="17"/>
    </i>
    <i r="1">
      <x v="246"/>
      <x v="240"/>
      <x v="31"/>
    </i>
    <i r="2">
      <x v="241"/>
      <x v="31"/>
    </i>
    <i r="1">
      <x v="247"/>
      <x v="242"/>
      <x v="16"/>
    </i>
    <i r="1">
      <x v="248"/>
      <x v="243"/>
      <x v="17"/>
    </i>
    <i r="1">
      <x v="249"/>
      <x v="244"/>
      <x v="11"/>
    </i>
    <i r="1">
      <x v="250"/>
      <x v="245"/>
      <x v="32"/>
    </i>
    <i r="1">
      <x v="251"/>
      <x v="246"/>
      <x v="17"/>
    </i>
    <i r="2">
      <x v="247"/>
      <x v="24"/>
    </i>
    <i r="2">
      <x v="248"/>
      <x v="24"/>
    </i>
    <i r="1">
      <x v="252"/>
      <x v="249"/>
      <x v="27"/>
    </i>
    <i r="2">
      <x v="250"/>
      <x v="7"/>
    </i>
    <i t="default">
      <x v="8"/>
    </i>
    <i>
      <x v="9"/>
      <x/>
      <x v="253"/>
      <x v="17"/>
    </i>
    <i r="1">
      <x v="5"/>
      <x v="252"/>
      <x v="31"/>
    </i>
    <i r="1">
      <x v="253"/>
      <x v="251"/>
      <x v="32"/>
    </i>
    <i r="1">
      <x v="254"/>
      <x v="254"/>
      <x v="21"/>
    </i>
    <i r="2">
      <x v="255"/>
      <x v="21"/>
    </i>
    <i r="1">
      <x v="255"/>
      <x v="256"/>
      <x v="22"/>
    </i>
    <i r="2">
      <x v="257"/>
      <x v="11"/>
    </i>
    <i r="1">
      <x v="256"/>
      <x v="258"/>
      <x v="31"/>
    </i>
    <i r="2">
      <x v="259"/>
      <x v="17"/>
    </i>
    <i r="1">
      <x v="257"/>
      <x v="260"/>
      <x v="32"/>
    </i>
    <i r="1">
      <x v="258"/>
      <x v="261"/>
      <x v="20"/>
    </i>
    <i r="2">
      <x v="262"/>
      <x v="32"/>
    </i>
    <i r="1">
      <x v="259"/>
      <x v="263"/>
      <x v="14"/>
    </i>
    <i r="1">
      <x v="260"/>
      <x v="264"/>
      <x v="25"/>
    </i>
    <i r="1">
      <x v="261"/>
      <x v="265"/>
      <x v="16"/>
    </i>
    <i r="1">
      <x v="262"/>
      <x v="266"/>
      <x v="31"/>
    </i>
    <i r="2">
      <x v="267"/>
      <x v="17"/>
    </i>
    <i r="1">
      <x v="263"/>
      <x v="268"/>
      <x v="31"/>
    </i>
    <i r="1">
      <x v="264"/>
      <x v="269"/>
      <x v="31"/>
    </i>
    <i r="2">
      <x v="270"/>
      <x v="17"/>
    </i>
    <i t="default">
      <x v="9"/>
    </i>
    <i>
      <x v="10"/>
      <x v="2"/>
      <x v="282"/>
      <x v="11"/>
    </i>
    <i r="1">
      <x v="3"/>
      <x v="283"/>
      <x v="16"/>
    </i>
    <i r="2">
      <x v="284"/>
      <x v="3"/>
    </i>
    <i r="2">
      <x v="285"/>
      <x v="31"/>
    </i>
    <i r="1">
      <x v="265"/>
      <x v="271"/>
      <x v="25"/>
    </i>
    <i r="2">
      <x v="272"/>
      <x v="32"/>
    </i>
    <i r="1">
      <x v="266"/>
      <x v="273"/>
      <x v="14"/>
    </i>
    <i r="1">
      <x v="267"/>
      <x v="274"/>
      <x v="31"/>
    </i>
    <i r="1">
      <x v="268"/>
      <x v="275"/>
      <x v="3"/>
    </i>
    <i r="1">
      <x v="269"/>
      <x v="276"/>
      <x v="24"/>
    </i>
    <i r="1">
      <x v="270"/>
      <x v="277"/>
      <x v="12"/>
    </i>
    <i r="1">
      <x v="271"/>
      <x v="278"/>
      <x v="17"/>
    </i>
    <i r="1">
      <x v="272"/>
      <x v="279"/>
      <x v="31"/>
    </i>
    <i r="1">
      <x v="273"/>
      <x v="280"/>
      <x v="27"/>
    </i>
    <i r="1">
      <x v="274"/>
      <x v="281"/>
      <x v="11"/>
    </i>
    <i r="1">
      <x v="275"/>
      <x v="286"/>
      <x v="21"/>
    </i>
    <i r="2">
      <x v="287"/>
      <x v="32"/>
    </i>
    <i r="1">
      <x v="276"/>
      <x v="288"/>
      <x v="9"/>
    </i>
    <i r="2">
      <x v="289"/>
      <x v="8"/>
    </i>
    <i t="default">
      <x v="10"/>
    </i>
    <i>
      <x v="11"/>
      <x v="277"/>
      <x v="376"/>
      <x v="3"/>
    </i>
    <i r="2">
      <x v="377"/>
      <x v="24"/>
    </i>
    <i r="1">
      <x v="278"/>
      <x v="378"/>
      <x v="31"/>
    </i>
    <i r="2">
      <x v="379"/>
      <x v="31"/>
    </i>
    <i r="1">
      <x v="279"/>
      <x v="380"/>
      <x v="14"/>
    </i>
    <i r="2">
      <x v="381"/>
      <x v="31"/>
    </i>
    <i r="1">
      <x v="280"/>
      <x v="382"/>
      <x v="24"/>
    </i>
    <i r="1">
      <x v="281"/>
      <x v="383"/>
      <x v="17"/>
    </i>
    <i r="1">
      <x v="282"/>
      <x v="384"/>
      <x v="24"/>
    </i>
    <i r="1">
      <x v="283"/>
      <x v="385"/>
      <x v="31"/>
    </i>
    <i r="1">
      <x v="284"/>
      <x v="386"/>
      <x v="17"/>
    </i>
    <i r="1">
      <x v="285"/>
      <x v="387"/>
      <x v="20"/>
    </i>
    <i r="1">
      <x v="286"/>
      <x v="388"/>
      <x v="31"/>
    </i>
    <i r="2">
      <x v="390"/>
      <x v="24"/>
    </i>
    <i r="1">
      <x v="287"/>
      <x v="389"/>
      <x v="16"/>
    </i>
    <i r="1">
      <x v="288"/>
      <x v="391"/>
      <x v="11"/>
    </i>
    <i r="1">
      <x v="289"/>
      <x v="392"/>
      <x v="17"/>
    </i>
    <i r="1">
      <x v="290"/>
      <x v="393"/>
      <x v="32"/>
    </i>
    <i r="1">
      <x v="291"/>
      <x v="394"/>
      <x v="31"/>
    </i>
    <i r="1">
      <x v="292"/>
      <x v="395"/>
      <x v="31"/>
    </i>
    <i t="default">
      <x v="11"/>
    </i>
    <i t="grand">
      <x/>
    </i>
  </rowItems>
  <colItems count="1">
    <i/>
  </colItems>
  <pageFields count="1">
    <pageField fld="2" hier="-1"/>
  </pageFields>
  <dataFields count="1">
    <dataField name="Sum of Sales Amount" fld="13" baseField="5" baseItem="25" numFmtId="4"/>
  </dataFields>
  <formats count="2">
    <format dxfId="18">
      <pivotArea dataOnly="0" outline="0" fieldPosition="0">
        <references count="1">
          <reference field="1" count="0" defaultSubtotal="1"/>
        </references>
      </pivotArea>
    </format>
    <format dxfId="17">
      <pivotArea dataOnly="0" outline="0" fieldPosition="0">
        <references count="1">
          <reference field="1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N3:BK816" firstHeaderRow="1" firstDataRow="3" firstDataCol="2"/>
  <pivotFields count="20">
    <pivotField compact="0" numFmtId="14" outline="0" showAll="0"/>
    <pivotField axis="axisCol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Col" compact="0" outline="0" showAll="0">
      <items count="6">
        <item x="0"/>
        <item x="1"/>
        <item x="2"/>
        <item x="3"/>
        <item x="4"/>
        <item t="default"/>
      </items>
    </pivotField>
    <pivotField axis="axisRow" compact="0" outline="0" showAll="0" defaultSubtotal="0">
      <items count="762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</items>
    </pivotField>
    <pivotField compact="0" outline="0" showAll="0"/>
    <pivotField axis="axisRow" compact="0" outline="0" showAll="0">
      <items count="48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2">
    <field x="5"/>
    <field x="3"/>
  </rowFields>
  <rowItems count="811">
    <i>
      <x/>
      <x v="10"/>
    </i>
    <i r="1">
      <x v="31"/>
    </i>
    <i r="1">
      <x v="40"/>
    </i>
    <i r="1">
      <x v="41"/>
    </i>
    <i r="1">
      <x v="45"/>
    </i>
    <i r="1">
      <x v="48"/>
    </i>
    <i r="1">
      <x v="54"/>
    </i>
    <i r="1">
      <x v="76"/>
    </i>
    <i r="1">
      <x v="79"/>
    </i>
    <i r="1">
      <x v="102"/>
    </i>
    <i r="1">
      <x v="104"/>
    </i>
    <i r="1">
      <x v="106"/>
    </i>
    <i r="1">
      <x v="112"/>
    </i>
    <i r="1">
      <x v="113"/>
    </i>
    <i r="1">
      <x v="121"/>
    </i>
    <i r="1">
      <x v="136"/>
    </i>
    <i r="1">
      <x v="149"/>
    </i>
    <i t="default">
      <x/>
    </i>
    <i>
      <x v="1"/>
      <x v="16"/>
    </i>
    <i r="1">
      <x v="36"/>
    </i>
    <i t="default">
      <x v="1"/>
    </i>
    <i>
      <x v="2"/>
      <x v="19"/>
    </i>
    <i r="1">
      <x v="49"/>
    </i>
    <i r="1">
      <x v="58"/>
    </i>
    <i r="1">
      <x v="87"/>
    </i>
    <i r="1">
      <x v="90"/>
    </i>
    <i r="1">
      <x v="99"/>
    </i>
    <i r="1">
      <x v="108"/>
    </i>
    <i r="1">
      <x v="109"/>
    </i>
    <i r="1">
      <x v="134"/>
    </i>
    <i r="1">
      <x v="200"/>
    </i>
    <i r="1">
      <x v="233"/>
    </i>
    <i r="1">
      <x v="259"/>
    </i>
    <i r="1">
      <x v="286"/>
    </i>
    <i r="1">
      <x v="294"/>
    </i>
    <i r="1">
      <x v="304"/>
    </i>
    <i r="1">
      <x v="316"/>
    </i>
    <i r="1">
      <x v="321"/>
    </i>
    <i r="1">
      <x v="349"/>
    </i>
    <i r="1">
      <x v="359"/>
    </i>
    <i r="1">
      <x v="380"/>
    </i>
    <i r="1">
      <x v="416"/>
    </i>
    <i r="1">
      <x v="462"/>
    </i>
    <i r="1">
      <x v="484"/>
    </i>
    <i r="1">
      <x v="497"/>
    </i>
    <i r="1">
      <x v="511"/>
    </i>
    <i r="1">
      <x v="529"/>
    </i>
    <i r="1">
      <x v="560"/>
    </i>
    <i r="1">
      <x v="587"/>
    </i>
    <i r="1">
      <x v="598"/>
    </i>
    <i r="1">
      <x v="633"/>
    </i>
    <i r="1">
      <x v="674"/>
    </i>
    <i r="1">
      <x v="679"/>
    </i>
    <i r="1">
      <x v="736"/>
    </i>
    <i t="default">
      <x v="2"/>
    </i>
    <i>
      <x v="3"/>
      <x/>
    </i>
    <i r="1">
      <x v="2"/>
    </i>
    <i r="1">
      <x v="6"/>
    </i>
    <i r="1">
      <x v="12"/>
    </i>
    <i r="1">
      <x v="13"/>
    </i>
    <i r="1">
      <x v="20"/>
    </i>
    <i r="1">
      <x v="23"/>
    </i>
    <i r="1">
      <x v="24"/>
    </i>
    <i r="1">
      <x v="26"/>
    </i>
    <i r="1">
      <x v="29"/>
    </i>
    <i r="1">
      <x v="30"/>
    </i>
    <i r="1">
      <x v="35"/>
    </i>
    <i r="1">
      <x v="39"/>
    </i>
    <i r="1">
      <x v="44"/>
    </i>
    <i r="1">
      <x v="47"/>
    </i>
    <i r="1">
      <x v="50"/>
    </i>
    <i r="1">
      <x v="51"/>
    </i>
    <i r="1">
      <x v="57"/>
    </i>
    <i r="1">
      <x v="63"/>
    </i>
    <i r="1">
      <x v="73"/>
    </i>
    <i r="1">
      <x v="80"/>
    </i>
    <i r="1">
      <x v="85"/>
    </i>
    <i r="1">
      <x v="98"/>
    </i>
    <i r="1">
      <x v="103"/>
    </i>
    <i r="1">
      <x v="119"/>
    </i>
    <i r="1">
      <x v="142"/>
    </i>
    <i r="1">
      <x v="177"/>
    </i>
    <i r="1">
      <x v="224"/>
    </i>
    <i r="1">
      <x v="247"/>
    </i>
    <i r="1">
      <x v="280"/>
    </i>
    <i r="1">
      <x v="287"/>
    </i>
    <i r="1">
      <x v="301"/>
    </i>
    <i r="1">
      <x v="307"/>
    </i>
    <i r="1">
      <x v="328"/>
    </i>
    <i r="1">
      <x v="351"/>
    </i>
    <i r="1">
      <x v="369"/>
    </i>
    <i r="1">
      <x v="389"/>
    </i>
    <i r="1">
      <x v="402"/>
    </i>
    <i r="1">
      <x v="447"/>
    </i>
    <i r="1">
      <x v="500"/>
    </i>
    <i r="1">
      <x v="532"/>
    </i>
    <i t="default">
      <x v="3"/>
    </i>
    <i>
      <x v="4"/>
      <x v="3"/>
    </i>
    <i r="1">
      <x v="5"/>
    </i>
    <i r="1">
      <x v="11"/>
    </i>
    <i r="1">
      <x v="14"/>
    </i>
    <i r="1">
      <x v="18"/>
    </i>
    <i r="1">
      <x v="32"/>
    </i>
    <i r="1">
      <x v="37"/>
    </i>
    <i r="1">
      <x v="38"/>
    </i>
    <i r="1">
      <x v="43"/>
    </i>
    <i r="1">
      <x v="56"/>
    </i>
    <i r="1">
      <x v="65"/>
    </i>
    <i r="1">
      <x v="70"/>
    </i>
    <i r="1">
      <x v="72"/>
    </i>
    <i r="1">
      <x v="94"/>
    </i>
    <i r="1">
      <x v="95"/>
    </i>
    <i r="1">
      <x v="105"/>
    </i>
    <i r="1">
      <x v="116"/>
    </i>
    <i r="1">
      <x v="127"/>
    </i>
    <i r="1">
      <x v="128"/>
    </i>
    <i r="1">
      <x v="151"/>
    </i>
    <i r="1">
      <x v="162"/>
    </i>
    <i r="1">
      <x v="185"/>
    </i>
    <i r="1">
      <x v="201"/>
    </i>
    <i r="1">
      <x v="207"/>
    </i>
    <i r="1">
      <x v="232"/>
    </i>
    <i r="1">
      <x v="265"/>
    </i>
    <i r="1">
      <x v="312"/>
    </i>
    <i r="1">
      <x v="340"/>
    </i>
    <i r="1">
      <x v="341"/>
    </i>
    <i r="1">
      <x v="372"/>
    </i>
    <i r="1">
      <x v="518"/>
    </i>
    <i r="1">
      <x v="584"/>
    </i>
    <i r="1">
      <x v="605"/>
    </i>
    <i r="1">
      <x v="639"/>
    </i>
    <i t="default">
      <x v="4"/>
    </i>
    <i>
      <x v="5"/>
      <x v="15"/>
    </i>
    <i r="1">
      <x v="46"/>
    </i>
    <i r="1">
      <x v="123"/>
    </i>
    <i r="1">
      <x v="195"/>
    </i>
    <i r="1">
      <x v="203"/>
    </i>
    <i r="1">
      <x v="214"/>
    </i>
    <i r="1">
      <x v="221"/>
    </i>
    <i r="1">
      <x v="260"/>
    </i>
    <i r="1">
      <x v="263"/>
    </i>
    <i r="1">
      <x v="289"/>
    </i>
    <i r="1">
      <x v="342"/>
    </i>
    <i r="1">
      <x v="487"/>
    </i>
    <i r="1">
      <x v="590"/>
    </i>
    <i r="1">
      <x v="608"/>
    </i>
    <i r="1">
      <x v="669"/>
    </i>
    <i r="1">
      <x v="714"/>
    </i>
    <i t="default">
      <x v="5"/>
    </i>
    <i>
      <x v="6"/>
      <x v="4"/>
    </i>
    <i r="1">
      <x v="7"/>
    </i>
    <i r="1">
      <x v="8"/>
    </i>
    <i r="1">
      <x v="9"/>
    </i>
    <i r="1">
      <x v="25"/>
    </i>
    <i r="1">
      <x v="27"/>
    </i>
    <i r="1">
      <x v="33"/>
    </i>
    <i r="1">
      <x v="34"/>
    </i>
    <i r="1">
      <x v="64"/>
    </i>
    <i r="1">
      <x v="81"/>
    </i>
    <i r="1">
      <x v="84"/>
    </i>
    <i r="1">
      <x v="89"/>
    </i>
    <i r="1">
      <x v="93"/>
    </i>
    <i r="1">
      <x v="100"/>
    </i>
    <i r="1">
      <x v="114"/>
    </i>
    <i r="1">
      <x v="120"/>
    </i>
    <i r="1">
      <x v="122"/>
    </i>
    <i r="1">
      <x v="170"/>
    </i>
    <i r="1">
      <x v="171"/>
    </i>
    <i r="1">
      <x v="173"/>
    </i>
    <i r="1">
      <x v="189"/>
    </i>
    <i r="1">
      <x v="190"/>
    </i>
    <i r="1">
      <x v="191"/>
    </i>
    <i r="1">
      <x v="196"/>
    </i>
    <i r="1">
      <x v="198"/>
    </i>
    <i r="1">
      <x v="245"/>
    </i>
    <i r="1">
      <x v="274"/>
    </i>
    <i r="1">
      <x v="311"/>
    </i>
    <i r="1">
      <x v="350"/>
    </i>
    <i r="1">
      <x v="357"/>
    </i>
    <i r="1">
      <x v="439"/>
    </i>
    <i t="default">
      <x v="6"/>
    </i>
    <i>
      <x v="7"/>
      <x v="1"/>
    </i>
    <i r="1">
      <x v="115"/>
    </i>
    <i t="default">
      <x v="7"/>
    </i>
    <i>
      <x v="8"/>
      <x v="17"/>
    </i>
    <i r="1">
      <x v="22"/>
    </i>
    <i r="1">
      <x v="53"/>
    </i>
    <i r="1">
      <x v="59"/>
    </i>
    <i r="1">
      <x v="82"/>
    </i>
    <i r="1">
      <x v="141"/>
    </i>
    <i r="1">
      <x v="144"/>
    </i>
    <i r="1">
      <x v="165"/>
    </i>
    <i t="default">
      <x v="8"/>
    </i>
    <i>
      <x v="9"/>
      <x v="21"/>
    </i>
    <i r="1">
      <x v="28"/>
    </i>
    <i r="1">
      <x v="42"/>
    </i>
    <i r="1">
      <x v="52"/>
    </i>
    <i r="1">
      <x v="60"/>
    </i>
    <i r="1">
      <x v="61"/>
    </i>
    <i r="1">
      <x v="66"/>
    </i>
    <i r="1">
      <x v="68"/>
    </i>
    <i r="1">
      <x v="74"/>
    </i>
    <i r="1">
      <x v="91"/>
    </i>
    <i r="1">
      <x v="97"/>
    </i>
    <i r="1">
      <x v="101"/>
    </i>
    <i r="1">
      <x v="107"/>
    </i>
    <i r="1">
      <x v="110"/>
    </i>
    <i r="1">
      <x v="117"/>
    </i>
    <i r="1">
      <x v="126"/>
    </i>
    <i r="1">
      <x v="146"/>
    </i>
    <i r="1">
      <x v="148"/>
    </i>
    <i r="1">
      <x v="153"/>
    </i>
    <i r="1">
      <x v="155"/>
    </i>
    <i r="1">
      <x v="169"/>
    </i>
    <i r="1">
      <x v="179"/>
    </i>
    <i r="1">
      <x v="186"/>
    </i>
    <i r="1">
      <x v="194"/>
    </i>
    <i r="1">
      <x v="199"/>
    </i>
    <i r="1">
      <x v="210"/>
    </i>
    <i r="1">
      <x v="216"/>
    </i>
    <i r="1">
      <x v="250"/>
    </i>
    <i r="1">
      <x v="271"/>
    </i>
    <i r="1">
      <x v="281"/>
    </i>
    <i r="1">
      <x v="293"/>
    </i>
    <i r="1">
      <x v="302"/>
    </i>
    <i r="1">
      <x v="317"/>
    </i>
    <i r="1">
      <x v="331"/>
    </i>
    <i r="1">
      <x v="337"/>
    </i>
    <i r="1">
      <x v="346"/>
    </i>
    <i r="1">
      <x v="348"/>
    </i>
    <i r="1">
      <x v="358"/>
    </i>
    <i r="1">
      <x v="373"/>
    </i>
    <i r="1">
      <x v="393"/>
    </i>
    <i r="1">
      <x v="405"/>
    </i>
    <i r="1">
      <x v="413"/>
    </i>
    <i r="1">
      <x v="429"/>
    </i>
    <i r="1">
      <x v="458"/>
    </i>
    <i r="1">
      <x v="481"/>
    </i>
    <i r="1">
      <x v="516"/>
    </i>
    <i r="1">
      <x v="537"/>
    </i>
    <i r="1">
      <x v="567"/>
    </i>
    <i r="1">
      <x v="576"/>
    </i>
    <i r="1">
      <x v="589"/>
    </i>
    <i r="1">
      <x v="627"/>
    </i>
    <i r="1">
      <x v="667"/>
    </i>
    <i r="1">
      <x v="706"/>
    </i>
    <i r="1">
      <x v="707"/>
    </i>
    <i r="1">
      <x v="722"/>
    </i>
    <i r="1">
      <x v="746"/>
    </i>
    <i t="default">
      <x v="9"/>
    </i>
    <i>
      <x v="10"/>
      <x v="55"/>
    </i>
    <i t="default">
      <x v="10"/>
    </i>
    <i>
      <x v="11"/>
      <x v="62"/>
    </i>
    <i t="default">
      <x v="11"/>
    </i>
    <i>
      <x v="12"/>
      <x v="160"/>
    </i>
    <i t="default">
      <x v="12"/>
    </i>
    <i>
      <x v="13"/>
      <x v="75"/>
    </i>
    <i r="1">
      <x v="77"/>
    </i>
    <i r="1">
      <x v="92"/>
    </i>
    <i r="1">
      <x v="135"/>
    </i>
    <i r="1">
      <x v="403"/>
    </i>
    <i r="1">
      <x v="456"/>
    </i>
    <i r="1">
      <x v="464"/>
    </i>
    <i r="1">
      <x v="499"/>
    </i>
    <i r="1">
      <x v="514"/>
    </i>
    <i r="1">
      <x v="526"/>
    </i>
    <i r="1">
      <x v="530"/>
    </i>
    <i r="1">
      <x v="538"/>
    </i>
    <i r="1">
      <x v="543"/>
    </i>
    <i r="1">
      <x v="555"/>
    </i>
    <i r="1">
      <x v="566"/>
    </i>
    <i r="1">
      <x v="588"/>
    </i>
    <i r="1">
      <x v="593"/>
    </i>
    <i r="1">
      <x v="606"/>
    </i>
    <i r="1">
      <x v="629"/>
    </i>
    <i r="1">
      <x v="630"/>
    </i>
    <i r="1">
      <x v="640"/>
    </i>
    <i r="1">
      <x v="651"/>
    </i>
    <i r="1">
      <x v="660"/>
    </i>
    <i r="1">
      <x v="672"/>
    </i>
    <i r="1">
      <x v="701"/>
    </i>
    <i r="1">
      <x v="705"/>
    </i>
    <i r="1">
      <x v="711"/>
    </i>
    <i r="1">
      <x v="726"/>
    </i>
    <i r="1">
      <x v="741"/>
    </i>
    <i t="default">
      <x v="13"/>
    </i>
    <i>
      <x v="14"/>
      <x v="83"/>
    </i>
    <i r="1">
      <x v="96"/>
    </i>
    <i t="default">
      <x v="14"/>
    </i>
    <i>
      <x v="15"/>
      <x v="86"/>
    </i>
    <i t="default">
      <x v="15"/>
    </i>
    <i>
      <x v="16"/>
      <x v="118"/>
    </i>
    <i t="default">
      <x v="16"/>
    </i>
    <i>
      <x v="17"/>
      <x v="124"/>
    </i>
    <i r="1">
      <x v="125"/>
    </i>
    <i r="1">
      <x v="132"/>
    </i>
    <i r="1">
      <x v="133"/>
    </i>
    <i r="1">
      <x v="147"/>
    </i>
    <i r="1">
      <x v="150"/>
    </i>
    <i r="1">
      <x v="161"/>
    </i>
    <i r="1">
      <x v="163"/>
    </i>
    <i r="1">
      <x v="164"/>
    </i>
    <i r="1">
      <x v="180"/>
    </i>
    <i r="1">
      <x v="182"/>
    </i>
    <i r="1">
      <x v="187"/>
    </i>
    <i r="1">
      <x v="193"/>
    </i>
    <i r="1">
      <x v="197"/>
    </i>
    <i r="1">
      <x v="204"/>
    </i>
    <i r="1">
      <x v="212"/>
    </i>
    <i r="1">
      <x v="218"/>
    </i>
    <i r="1">
      <x v="231"/>
    </i>
    <i r="1">
      <x v="253"/>
    </i>
    <i r="1">
      <x v="273"/>
    </i>
    <i r="1">
      <x v="292"/>
    </i>
    <i r="1">
      <x v="295"/>
    </i>
    <i r="1">
      <x v="319"/>
    </i>
    <i r="1">
      <x v="330"/>
    </i>
    <i r="1">
      <x v="343"/>
    </i>
    <i r="1">
      <x v="367"/>
    </i>
    <i r="1">
      <x v="368"/>
    </i>
    <i r="1">
      <x v="391"/>
    </i>
    <i r="1">
      <x v="415"/>
    </i>
    <i r="1">
      <x v="432"/>
    </i>
    <i r="1">
      <x v="444"/>
    </i>
    <i r="1">
      <x v="445"/>
    </i>
    <i r="1">
      <x v="454"/>
    </i>
    <i r="1">
      <x v="455"/>
    </i>
    <i r="1">
      <x v="461"/>
    </i>
    <i r="1">
      <x v="485"/>
    </i>
    <i r="1">
      <x v="501"/>
    </i>
    <i r="1">
      <x v="504"/>
    </i>
    <i r="1">
      <x v="515"/>
    </i>
    <i r="1">
      <x v="535"/>
    </i>
    <i r="1">
      <x v="542"/>
    </i>
    <i r="1">
      <x v="556"/>
    </i>
    <i r="1">
      <x v="573"/>
    </i>
    <i r="1">
      <x v="575"/>
    </i>
    <i r="1">
      <x v="591"/>
    </i>
    <i r="1">
      <x v="601"/>
    </i>
    <i r="1">
      <x v="607"/>
    </i>
    <i r="1">
      <x v="612"/>
    </i>
    <i r="1">
      <x v="616"/>
    </i>
    <i r="1">
      <x v="620"/>
    </i>
    <i r="1">
      <x v="632"/>
    </i>
    <i r="1">
      <x v="643"/>
    </i>
    <i r="1">
      <x v="652"/>
    </i>
    <i r="1">
      <x v="654"/>
    </i>
    <i r="1">
      <x v="662"/>
    </i>
    <i r="1">
      <x v="675"/>
    </i>
    <i r="1">
      <x v="686"/>
    </i>
    <i r="1">
      <x v="688"/>
    </i>
    <i r="1">
      <x v="696"/>
    </i>
    <i r="1">
      <x v="708"/>
    </i>
    <i r="1">
      <x v="721"/>
    </i>
    <i r="1">
      <x v="733"/>
    </i>
    <i r="1">
      <x v="747"/>
    </i>
    <i r="1">
      <x v="761"/>
    </i>
    <i t="default">
      <x v="17"/>
    </i>
    <i>
      <x v="18"/>
      <x v="129"/>
    </i>
    <i r="1">
      <x v="131"/>
    </i>
    <i r="1">
      <x v="137"/>
    </i>
    <i r="1">
      <x v="138"/>
    </i>
    <i r="1">
      <x v="139"/>
    </i>
    <i r="1">
      <x v="140"/>
    </i>
    <i r="1">
      <x v="143"/>
    </i>
    <i r="1">
      <x v="145"/>
    </i>
    <i r="1">
      <x v="152"/>
    </i>
    <i r="1">
      <x v="154"/>
    </i>
    <i r="1">
      <x v="158"/>
    </i>
    <i r="1">
      <x v="159"/>
    </i>
    <i r="1">
      <x v="166"/>
    </i>
    <i r="1">
      <x v="168"/>
    </i>
    <i r="1">
      <x v="172"/>
    </i>
    <i r="1">
      <x v="174"/>
    </i>
    <i r="1">
      <x v="175"/>
    </i>
    <i r="1">
      <x v="176"/>
    </i>
    <i r="1">
      <x v="178"/>
    </i>
    <i r="1">
      <x v="181"/>
    </i>
    <i r="1">
      <x v="183"/>
    </i>
    <i r="1">
      <x v="184"/>
    </i>
    <i r="1">
      <x v="188"/>
    </i>
    <i r="1">
      <x v="192"/>
    </i>
    <i r="1">
      <x v="205"/>
    </i>
    <i r="1">
      <x v="206"/>
    </i>
    <i r="1">
      <x v="215"/>
    </i>
    <i r="1">
      <x v="217"/>
    </i>
    <i r="1">
      <x v="219"/>
    </i>
    <i r="1">
      <x v="222"/>
    </i>
    <i r="1">
      <x v="223"/>
    </i>
    <i r="1">
      <x v="225"/>
    </i>
    <i r="1">
      <x v="228"/>
    </i>
    <i r="1">
      <x v="230"/>
    </i>
    <i r="1">
      <x v="234"/>
    </i>
    <i r="1">
      <x v="238"/>
    </i>
    <i r="1">
      <x v="241"/>
    </i>
    <i r="1">
      <x v="243"/>
    </i>
    <i r="1">
      <x v="248"/>
    </i>
    <i r="1">
      <x v="252"/>
    </i>
    <i r="1">
      <x v="255"/>
    </i>
    <i r="1">
      <x v="256"/>
    </i>
    <i r="1">
      <x v="258"/>
    </i>
    <i r="1">
      <x v="264"/>
    </i>
    <i r="1">
      <x v="266"/>
    </i>
    <i r="1">
      <x v="268"/>
    </i>
    <i r="1">
      <x v="270"/>
    </i>
    <i r="1">
      <x v="272"/>
    </i>
    <i r="1">
      <x v="275"/>
    </i>
    <i r="1">
      <x v="277"/>
    </i>
    <i r="1">
      <x v="279"/>
    </i>
    <i r="1">
      <x v="284"/>
    </i>
    <i r="1">
      <x v="288"/>
    </i>
    <i r="1">
      <x v="291"/>
    </i>
    <i r="1">
      <x v="296"/>
    </i>
    <i r="1">
      <x v="298"/>
    </i>
    <i r="1">
      <x v="299"/>
    </i>
    <i r="1">
      <x v="300"/>
    </i>
    <i r="1">
      <x v="306"/>
    </i>
    <i r="1">
      <x v="309"/>
    </i>
    <i r="1">
      <x v="315"/>
    </i>
    <i r="1">
      <x v="320"/>
    </i>
    <i r="1">
      <x v="322"/>
    </i>
    <i r="1">
      <x v="324"/>
    </i>
    <i r="1">
      <x v="326"/>
    </i>
    <i r="1">
      <x v="327"/>
    </i>
    <i r="1">
      <x v="338"/>
    </i>
    <i r="1">
      <x v="344"/>
    </i>
    <i r="1">
      <x v="352"/>
    </i>
    <i r="1">
      <x v="354"/>
    </i>
    <i r="1">
      <x v="355"/>
    </i>
    <i r="1">
      <x v="360"/>
    </i>
    <i r="1">
      <x v="365"/>
    </i>
    <i r="1">
      <x v="371"/>
    </i>
    <i r="1">
      <x v="378"/>
    </i>
    <i r="1">
      <x v="379"/>
    </i>
    <i r="1">
      <x v="381"/>
    </i>
    <i r="1">
      <x v="385"/>
    </i>
    <i r="1">
      <x v="388"/>
    </i>
    <i r="1">
      <x v="394"/>
    </i>
    <i r="1">
      <x v="395"/>
    </i>
    <i r="1">
      <x v="396"/>
    </i>
    <i r="1">
      <x v="398"/>
    </i>
    <i r="1">
      <x v="401"/>
    </i>
    <i r="1">
      <x v="406"/>
    </i>
    <i r="1">
      <x v="410"/>
    </i>
    <i r="1">
      <x v="414"/>
    </i>
    <i r="1">
      <x v="418"/>
    </i>
    <i r="1">
      <x v="422"/>
    </i>
    <i r="1">
      <x v="425"/>
    </i>
    <i r="1">
      <x v="426"/>
    </i>
    <i r="1">
      <x v="430"/>
    </i>
    <i r="1">
      <x v="431"/>
    </i>
    <i r="1">
      <x v="434"/>
    </i>
    <i r="1">
      <x v="435"/>
    </i>
    <i r="1">
      <x v="436"/>
    </i>
    <i r="1">
      <x v="440"/>
    </i>
    <i r="1">
      <x v="441"/>
    </i>
    <i r="1">
      <x v="443"/>
    </i>
    <i r="1">
      <x v="449"/>
    </i>
    <i r="1">
      <x v="450"/>
    </i>
    <i r="1">
      <x v="457"/>
    </i>
    <i r="1">
      <x v="459"/>
    </i>
    <i r="1">
      <x v="460"/>
    </i>
    <i r="1">
      <x v="466"/>
    </i>
    <i r="1">
      <x v="467"/>
    </i>
    <i r="1">
      <x v="475"/>
    </i>
    <i r="1">
      <x v="476"/>
    </i>
    <i r="1">
      <x v="483"/>
    </i>
    <i r="1">
      <x v="489"/>
    </i>
    <i r="1">
      <x v="494"/>
    </i>
    <i r="1">
      <x v="495"/>
    </i>
    <i r="1">
      <x v="502"/>
    </i>
    <i r="1">
      <x v="507"/>
    </i>
    <i r="1">
      <x v="508"/>
    </i>
    <i r="1">
      <x v="512"/>
    </i>
    <i r="1">
      <x v="513"/>
    </i>
    <i r="1">
      <x v="524"/>
    </i>
    <i r="1">
      <x v="525"/>
    </i>
    <i r="1">
      <x v="528"/>
    </i>
    <i r="1">
      <x v="546"/>
    </i>
    <i r="1">
      <x v="547"/>
    </i>
    <i r="1">
      <x v="561"/>
    </i>
    <i r="1">
      <x v="574"/>
    </i>
    <i r="1">
      <x v="580"/>
    </i>
    <i r="1">
      <x v="582"/>
    </i>
    <i r="1">
      <x v="583"/>
    </i>
    <i r="1">
      <x v="592"/>
    </i>
    <i r="1">
      <x v="593"/>
    </i>
    <i r="1">
      <x v="594"/>
    </i>
    <i r="1">
      <x v="595"/>
    </i>
    <i r="1">
      <x v="602"/>
    </i>
    <i r="1">
      <x v="603"/>
    </i>
    <i r="1">
      <x v="610"/>
    </i>
    <i r="1">
      <x v="611"/>
    </i>
    <i r="1">
      <x v="618"/>
    </i>
    <i r="1">
      <x v="619"/>
    </i>
    <i r="1">
      <x v="621"/>
    </i>
    <i r="1">
      <x v="622"/>
    </i>
    <i r="1">
      <x v="625"/>
    </i>
    <i r="1">
      <x v="626"/>
    </i>
    <i r="1">
      <x v="634"/>
    </i>
    <i r="1">
      <x v="635"/>
    </i>
    <i r="1">
      <x v="641"/>
    </i>
    <i r="1">
      <x v="642"/>
    </i>
    <i r="1">
      <x v="644"/>
    </i>
    <i r="1">
      <x v="645"/>
    </i>
    <i r="1">
      <x v="648"/>
    </i>
    <i r="1">
      <x v="649"/>
    </i>
    <i r="1">
      <x v="655"/>
    </i>
    <i r="1">
      <x v="656"/>
    </i>
    <i r="1">
      <x v="658"/>
    </i>
    <i r="1">
      <x v="659"/>
    </i>
    <i r="1">
      <x v="664"/>
    </i>
    <i r="1">
      <x v="665"/>
    </i>
    <i r="1">
      <x v="668"/>
    </i>
    <i r="1">
      <x v="670"/>
    </i>
    <i t="default">
      <x v="18"/>
    </i>
    <i>
      <x v="19"/>
      <x v="156"/>
    </i>
    <i t="default">
      <x v="19"/>
    </i>
    <i>
      <x v="20"/>
      <x v="157"/>
    </i>
    <i r="1">
      <x v="202"/>
    </i>
    <i r="1">
      <x v="208"/>
    </i>
    <i r="1">
      <x v="220"/>
    </i>
    <i r="1">
      <x v="227"/>
    </i>
    <i r="1">
      <x v="239"/>
    </i>
    <i r="1">
      <x v="251"/>
    </i>
    <i r="1">
      <x v="267"/>
    </i>
    <i r="1">
      <x v="276"/>
    </i>
    <i r="1">
      <x v="283"/>
    </i>
    <i r="1">
      <x v="290"/>
    </i>
    <i r="1">
      <x v="303"/>
    </i>
    <i r="1">
      <x v="313"/>
    </i>
    <i r="1">
      <x v="325"/>
    </i>
    <i r="1">
      <x v="329"/>
    </i>
    <i r="1">
      <x v="332"/>
    </i>
    <i r="1">
      <x v="339"/>
    </i>
    <i r="1">
      <x v="345"/>
    </i>
    <i r="1">
      <x v="353"/>
    </i>
    <i r="1">
      <x v="356"/>
    </i>
    <i r="1">
      <x v="364"/>
    </i>
    <i r="1">
      <x v="383"/>
    </i>
    <i r="1">
      <x v="386"/>
    </i>
    <i r="1">
      <x v="392"/>
    </i>
    <i r="1">
      <x v="399"/>
    </i>
    <i r="1">
      <x v="411"/>
    </i>
    <i r="1">
      <x v="421"/>
    </i>
    <i r="1">
      <x v="428"/>
    </i>
    <i r="1">
      <x v="438"/>
    </i>
    <i r="1">
      <x v="453"/>
    </i>
    <i r="1">
      <x v="463"/>
    </i>
    <i r="1">
      <x v="468"/>
    </i>
    <i r="1">
      <x v="482"/>
    </i>
    <i r="1">
      <x v="491"/>
    </i>
    <i r="1">
      <x v="496"/>
    </i>
    <i r="1">
      <x v="503"/>
    </i>
    <i r="1">
      <x v="520"/>
    </i>
    <i r="1">
      <x v="553"/>
    </i>
    <i r="1">
      <x v="559"/>
    </i>
    <i r="1">
      <x v="569"/>
    </i>
    <i r="1">
      <x v="572"/>
    </i>
    <i r="1">
      <x v="581"/>
    </i>
    <i r="1">
      <x v="615"/>
    </i>
    <i r="1">
      <x v="631"/>
    </i>
    <i r="1">
      <x v="663"/>
    </i>
    <i r="1">
      <x v="685"/>
    </i>
    <i r="1">
      <x v="700"/>
    </i>
    <i r="1">
      <x v="717"/>
    </i>
    <i r="1">
      <x v="727"/>
    </i>
    <i r="1">
      <x v="730"/>
    </i>
    <i r="1">
      <x v="739"/>
    </i>
    <i r="1">
      <x v="745"/>
    </i>
    <i r="1">
      <x v="755"/>
    </i>
    <i r="1">
      <x v="760"/>
    </i>
    <i t="default">
      <x v="20"/>
    </i>
    <i>
      <x v="21"/>
      <x v="209"/>
    </i>
    <i r="1">
      <x v="211"/>
    </i>
    <i r="1">
      <x v="213"/>
    </i>
    <i r="1">
      <x v="229"/>
    </i>
    <i r="1">
      <x v="236"/>
    </i>
    <i r="1">
      <x v="261"/>
    </i>
    <i r="1">
      <x v="278"/>
    </i>
    <i r="1">
      <x v="282"/>
    </i>
    <i r="1">
      <x v="333"/>
    </i>
    <i r="1">
      <x v="334"/>
    </i>
    <i r="1">
      <x v="362"/>
    </i>
    <i r="1">
      <x v="377"/>
    </i>
    <i r="1">
      <x v="382"/>
    </i>
    <i r="1">
      <x v="384"/>
    </i>
    <i r="1">
      <x v="390"/>
    </i>
    <i r="1">
      <x v="407"/>
    </i>
    <i r="1">
      <x v="412"/>
    </i>
    <i r="1">
      <x v="419"/>
    </i>
    <i r="1">
      <x v="423"/>
    </i>
    <i r="1">
      <x v="427"/>
    </i>
    <i r="1">
      <x v="437"/>
    </i>
    <i r="1">
      <x v="446"/>
    </i>
    <i r="1">
      <x v="477"/>
    </i>
    <i r="1">
      <x v="486"/>
    </i>
    <i r="1">
      <x v="493"/>
    </i>
    <i r="1">
      <x v="564"/>
    </i>
    <i r="1">
      <x v="646"/>
    </i>
    <i r="1">
      <x v="666"/>
    </i>
    <i r="1">
      <x v="671"/>
    </i>
    <i r="1">
      <x v="676"/>
    </i>
    <i r="1">
      <x v="731"/>
    </i>
    <i r="1">
      <x v="732"/>
    </i>
    <i r="1">
      <x v="748"/>
    </i>
    <i t="default">
      <x v="21"/>
    </i>
    <i>
      <x v="22"/>
      <x v="226"/>
    </i>
    <i r="1">
      <x v="242"/>
    </i>
    <i r="1">
      <x v="249"/>
    </i>
    <i r="1">
      <x v="254"/>
    </i>
    <i r="1">
      <x v="257"/>
    </i>
    <i r="1">
      <x v="285"/>
    </i>
    <i r="1">
      <x v="397"/>
    </i>
    <i r="1">
      <x v="400"/>
    </i>
    <i r="1">
      <x v="404"/>
    </i>
    <i r="1">
      <x v="408"/>
    </i>
    <i r="1">
      <x v="536"/>
    </i>
    <i t="default">
      <x v="22"/>
    </i>
    <i>
      <x v="23"/>
      <x v="244"/>
    </i>
    <i r="1">
      <x v="246"/>
    </i>
    <i t="default">
      <x v="23"/>
    </i>
    <i>
      <x v="24"/>
      <x v="235"/>
    </i>
    <i r="1">
      <x v="237"/>
    </i>
    <i r="1">
      <x v="240"/>
    </i>
    <i r="1">
      <x v="262"/>
    </i>
    <i t="default">
      <x v="24"/>
    </i>
    <i>
      <x v="25"/>
      <x v="269"/>
    </i>
    <i r="1">
      <x v="308"/>
    </i>
    <i r="1">
      <x v="347"/>
    </i>
    <i r="1">
      <x v="387"/>
    </i>
    <i r="1">
      <x v="471"/>
    </i>
    <i r="1">
      <x v="752"/>
    </i>
    <i r="1">
      <x v="754"/>
    </i>
    <i t="default">
      <x v="25"/>
    </i>
    <i>
      <x v="26"/>
      <x v="297"/>
    </i>
    <i r="1">
      <x v="305"/>
    </i>
    <i r="1">
      <x v="314"/>
    </i>
    <i r="1">
      <x v="318"/>
    </i>
    <i r="1">
      <x v="335"/>
    </i>
    <i r="1">
      <x v="366"/>
    </i>
    <i r="1">
      <x v="442"/>
    </i>
    <i r="1">
      <x v="480"/>
    </i>
    <i r="1">
      <x v="509"/>
    </i>
    <i r="1">
      <x v="565"/>
    </i>
    <i r="1">
      <x v="718"/>
    </i>
    <i t="default">
      <x v="26"/>
    </i>
    <i>
      <x v="27"/>
      <x v="323"/>
    </i>
    <i r="1">
      <x v="336"/>
    </i>
    <i r="1">
      <x v="409"/>
    </i>
    <i t="default">
      <x v="27"/>
    </i>
    <i>
      <x v="28"/>
      <x v="310"/>
    </i>
    <i r="1">
      <x v="681"/>
    </i>
    <i t="default">
      <x v="28"/>
    </i>
    <i>
      <x v="29"/>
      <x v="361"/>
    </i>
    <i r="1">
      <x v="370"/>
    </i>
    <i r="1">
      <x v="376"/>
    </i>
    <i t="default">
      <x v="29"/>
    </i>
    <i>
      <x v="30"/>
      <x v="363"/>
    </i>
    <i t="default">
      <x v="30"/>
    </i>
    <i>
      <x v="31"/>
      <x v="374"/>
    </i>
    <i t="default">
      <x v="31"/>
    </i>
    <i>
      <x v="32"/>
      <x v="375"/>
    </i>
    <i t="default">
      <x v="32"/>
    </i>
    <i>
      <x v="33"/>
      <x v="417"/>
    </i>
    <i r="1">
      <x v="420"/>
    </i>
    <i r="1">
      <x v="424"/>
    </i>
    <i r="1">
      <x v="469"/>
    </i>
    <i r="1">
      <x v="470"/>
    </i>
    <i r="1">
      <x v="473"/>
    </i>
    <i r="1">
      <x v="474"/>
    </i>
    <i r="1">
      <x v="478"/>
    </i>
    <i r="1">
      <x v="488"/>
    </i>
    <i r="1">
      <x v="506"/>
    </i>
    <i r="1">
      <x v="510"/>
    </i>
    <i r="1">
      <x v="522"/>
    </i>
    <i r="1">
      <x v="523"/>
    </i>
    <i r="1">
      <x v="531"/>
    </i>
    <i r="1">
      <x v="534"/>
    </i>
    <i r="1">
      <x v="540"/>
    </i>
    <i r="1">
      <x v="541"/>
    </i>
    <i r="1">
      <x v="545"/>
    </i>
    <i r="1">
      <x v="550"/>
    </i>
    <i r="1">
      <x v="551"/>
    </i>
    <i r="1">
      <x v="554"/>
    </i>
    <i r="1">
      <x v="558"/>
    </i>
    <i r="1">
      <x v="562"/>
    </i>
    <i r="1">
      <x v="563"/>
    </i>
    <i r="1">
      <x v="568"/>
    </i>
    <i r="1">
      <x v="571"/>
    </i>
    <i r="1">
      <x v="578"/>
    </i>
    <i r="1">
      <x v="586"/>
    </i>
    <i r="1">
      <x v="596"/>
    </i>
    <i r="1">
      <x v="599"/>
    </i>
    <i r="1">
      <x v="604"/>
    </i>
    <i r="1">
      <x v="613"/>
    </i>
    <i r="1">
      <x v="614"/>
    </i>
    <i r="1">
      <x v="617"/>
    </i>
    <i r="1">
      <x v="623"/>
    </i>
    <i r="1">
      <x v="628"/>
    </i>
    <i r="1">
      <x v="638"/>
    </i>
    <i r="1">
      <x v="653"/>
    </i>
    <i r="1">
      <x v="657"/>
    </i>
    <i r="1">
      <x v="673"/>
    </i>
    <i r="1">
      <x v="689"/>
    </i>
    <i r="1">
      <x v="697"/>
    </i>
    <i t="default">
      <x v="33"/>
    </i>
    <i>
      <x v="34"/>
      <x v="67"/>
    </i>
    <i r="1">
      <x v="69"/>
    </i>
    <i r="1">
      <x v="71"/>
    </i>
    <i r="1">
      <x v="78"/>
    </i>
    <i r="1">
      <x v="88"/>
    </i>
    <i r="1">
      <x v="130"/>
    </i>
    <i r="1">
      <x v="167"/>
    </i>
    <i r="1">
      <x v="498"/>
    </i>
    <i r="1">
      <x v="521"/>
    </i>
    <i r="1">
      <x v="548"/>
    </i>
    <i r="1">
      <x v="557"/>
    </i>
    <i r="1">
      <x v="585"/>
    </i>
    <i r="1">
      <x v="624"/>
    </i>
    <i r="1">
      <x v="647"/>
    </i>
    <i r="1">
      <x v="661"/>
    </i>
    <i r="1">
      <x v="694"/>
    </i>
    <i t="default">
      <x v="34"/>
    </i>
    <i>
      <x v="35"/>
      <x v="111"/>
    </i>
    <i t="default">
      <x v="35"/>
    </i>
    <i>
      <x v="36"/>
      <x v="433"/>
    </i>
    <i r="1">
      <x v="479"/>
    </i>
    <i t="default">
      <x v="36"/>
    </i>
    <i>
      <x v="37"/>
      <x v="448"/>
    </i>
    <i r="1">
      <x v="452"/>
    </i>
    <i t="default">
      <x v="37"/>
    </i>
    <i>
      <x v="38"/>
      <x v="451"/>
    </i>
    <i r="1">
      <x v="465"/>
    </i>
    <i r="1">
      <x v="472"/>
    </i>
    <i r="1">
      <x v="492"/>
    </i>
    <i r="1">
      <x v="505"/>
    </i>
    <i r="1">
      <x v="517"/>
    </i>
    <i r="1">
      <x v="549"/>
    </i>
    <i r="1">
      <x v="552"/>
    </i>
    <i r="1">
      <x v="570"/>
    </i>
    <i r="1">
      <x v="577"/>
    </i>
    <i r="1">
      <x v="597"/>
    </i>
    <i r="1">
      <x v="609"/>
    </i>
    <i r="1">
      <x v="650"/>
    </i>
    <i r="1">
      <x v="692"/>
    </i>
    <i r="1">
      <x v="749"/>
    </i>
    <i t="default">
      <x v="38"/>
    </i>
    <i>
      <x v="39"/>
      <x v="490"/>
    </i>
    <i r="1">
      <x v="519"/>
    </i>
    <i r="1">
      <x v="527"/>
    </i>
    <i r="1">
      <x v="533"/>
    </i>
    <i r="1">
      <x v="544"/>
    </i>
    <i r="1">
      <x v="579"/>
    </i>
    <i t="default">
      <x v="39"/>
    </i>
    <i>
      <x v="40"/>
      <x v="539"/>
    </i>
    <i r="1">
      <x v="600"/>
    </i>
    <i t="default">
      <x v="40"/>
    </i>
    <i>
      <x v="41"/>
      <x v="636"/>
    </i>
    <i t="default">
      <x v="41"/>
    </i>
    <i>
      <x v="42"/>
      <x v="637"/>
    </i>
    <i r="1">
      <x v="725"/>
    </i>
    <i t="default">
      <x v="42"/>
    </i>
    <i>
      <x v="43"/>
      <x v="677"/>
    </i>
    <i r="1">
      <x v="678"/>
    </i>
    <i r="1">
      <x v="680"/>
    </i>
    <i r="1">
      <x v="682"/>
    </i>
    <i r="1">
      <x v="683"/>
    </i>
    <i r="1">
      <x v="687"/>
    </i>
    <i r="1">
      <x v="690"/>
    </i>
    <i r="1">
      <x v="691"/>
    </i>
    <i r="1">
      <x v="693"/>
    </i>
    <i r="1">
      <x v="698"/>
    </i>
    <i r="1">
      <x v="699"/>
    </i>
    <i r="1">
      <x v="702"/>
    </i>
    <i r="1">
      <x v="703"/>
    </i>
    <i r="1">
      <x v="704"/>
    </i>
    <i r="1">
      <x v="709"/>
    </i>
    <i r="1">
      <x v="710"/>
    </i>
    <i r="1">
      <x v="712"/>
    </i>
    <i r="1">
      <x v="713"/>
    </i>
    <i r="1">
      <x v="715"/>
    </i>
    <i r="1">
      <x v="716"/>
    </i>
    <i r="1">
      <x v="719"/>
    </i>
    <i r="1">
      <x v="720"/>
    </i>
    <i r="1">
      <x v="723"/>
    </i>
    <i r="1">
      <x v="724"/>
    </i>
    <i r="1">
      <x v="728"/>
    </i>
    <i r="1">
      <x v="729"/>
    </i>
    <i r="1">
      <x v="734"/>
    </i>
    <i r="1">
      <x v="735"/>
    </i>
    <i r="1">
      <x v="737"/>
    </i>
    <i r="1">
      <x v="738"/>
    </i>
    <i r="1">
      <x v="743"/>
    </i>
    <i r="1">
      <x v="744"/>
    </i>
    <i r="1">
      <x v="750"/>
    </i>
    <i r="1">
      <x v="751"/>
    </i>
    <i r="1">
      <x v="756"/>
    </i>
    <i r="1">
      <x v="757"/>
    </i>
    <i r="1">
      <x v="758"/>
    </i>
    <i r="1">
      <x v="759"/>
    </i>
    <i t="default">
      <x v="43"/>
    </i>
    <i>
      <x v="44"/>
      <x v="684"/>
    </i>
    <i r="1">
      <x v="695"/>
    </i>
    <i t="default">
      <x v="44"/>
    </i>
    <i>
      <x v="45"/>
      <x v="740"/>
    </i>
    <i r="1">
      <x v="753"/>
    </i>
    <i t="default">
      <x v="45"/>
    </i>
    <i>
      <x v="46"/>
      <x v="742"/>
    </i>
    <i t="default">
      <x v="46"/>
    </i>
    <i t="grand">
      <x/>
    </i>
  </rowItems>
  <colFields count="2">
    <field x="2"/>
    <field x="1"/>
  </colFields>
  <colItems count="48">
    <i>
      <x/>
      <x v="6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t="default">
      <x v="1"/>
    </i>
    <i>
      <x v="2"/>
      <x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"/>
    </i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4"/>
    </i>
    <i t="grand">
      <x/>
    </i>
  </colItems>
  <dataFields count="1">
    <dataField name="Sum of Sales Amount" fld="13" baseField="2" baseItem="37" numFmtId="4"/>
  </dataFields>
  <formats count="5">
    <format dxfId="12">
      <pivotArea dataOnly="0" outline="0" fieldPosition="0">
        <references count="1">
          <reference field="1" count="0" defaultSubtotal="1"/>
        </references>
      </pivotArea>
    </format>
    <format dxfId="11">
      <pivotArea dataOnly="0" outline="0" fieldPosition="0">
        <references count="1">
          <reference field="5" count="0" defaultSubtotal="1"/>
        </references>
      </pivotArea>
    </format>
    <format dxfId="10">
      <pivotArea dataOnly="0" outline="0" fieldPosition="0">
        <references count="1">
          <reference field="5" count="0" defaultSubtotal="1"/>
        </references>
      </pivotArea>
    </format>
    <format dxfId="9">
      <pivotArea outline="0" fieldPosition="0">
        <references count="1">
          <reference field="4294967294" count="1">
            <x v="0"/>
          </reference>
        </references>
      </pivotArea>
    </format>
    <format dxfId="8">
      <pivotArea field="1" type="button" dataOnly="0" labelOnly="1" outline="0" axis="axisCol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3:F232" firstHeaderRow="1" firstDataRow="2" firstDataCol="3" rowPageCount="1" colPageCount="1"/>
  <pivotFields count="20">
    <pivotField compact="0" numFmtId="14" outline="0" showAll="0"/>
    <pivotField axis="axisRow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Page" compact="0" outline="0" multipleItemSelectionAllowed="1" showAll="0">
      <items count="6">
        <item h="1" x="0"/>
        <item h="1" x="1"/>
        <item h="1" x="2"/>
        <item x="3"/>
        <item h="1" x="4"/>
        <item t="default"/>
      </items>
    </pivotField>
    <pivotField axis="axisRow" compact="0" outline="0" showAll="0" defaultSubtotal="0">
      <items count="762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</items>
    </pivotField>
    <pivotField compact="0" outline="0" showAll="0"/>
    <pivotField axis="axisRow" compact="0" outline="0" showAll="0">
      <items count="48">
        <item x="4"/>
        <item x="11"/>
        <item x="6"/>
        <item x="8"/>
        <item x="10"/>
        <item x="0"/>
        <item x="2"/>
        <item x="5"/>
        <item x="3"/>
        <item x="1"/>
        <item x="7"/>
        <item x="9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dataField="1"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1"/>
    <field x="3"/>
    <field x="5"/>
  </rowFields>
  <rowItems count="228">
    <i>
      <x/>
      <x v="277"/>
      <x v="18"/>
    </i>
    <i r="1">
      <x v="278"/>
      <x v="21"/>
    </i>
    <i r="1">
      <x v="279"/>
      <x v="18"/>
    </i>
    <i r="1">
      <x v="280"/>
      <x v="5"/>
    </i>
    <i r="1">
      <x v="281"/>
      <x v="11"/>
    </i>
    <i r="1">
      <x v="282"/>
      <x v="21"/>
    </i>
    <i r="1">
      <x v="283"/>
      <x v="20"/>
    </i>
    <i r="1">
      <x v="284"/>
      <x v="18"/>
    </i>
    <i r="1">
      <x v="285"/>
      <x v="22"/>
    </i>
    <i r="1">
      <x v="286"/>
      <x v="3"/>
    </i>
    <i r="1">
      <x v="287"/>
      <x v="5"/>
    </i>
    <i r="1">
      <x v="288"/>
      <x v="18"/>
    </i>
    <i r="1">
      <x v="289"/>
      <x v="7"/>
    </i>
    <i r="1">
      <x v="290"/>
      <x v="20"/>
    </i>
    <i r="1">
      <x v="291"/>
      <x v="18"/>
    </i>
    <i r="1">
      <x v="292"/>
      <x v="17"/>
    </i>
    <i r="1">
      <x v="293"/>
      <x v="11"/>
    </i>
    <i t="default">
      <x/>
    </i>
    <i>
      <x v="1"/>
      <x v="294"/>
      <x v="3"/>
    </i>
    <i r="1">
      <x v="295"/>
      <x v="17"/>
    </i>
    <i r="1">
      <x v="296"/>
      <x v="18"/>
    </i>
    <i r="1">
      <x v="297"/>
      <x v="26"/>
    </i>
    <i r="1">
      <x v="298"/>
      <x v="18"/>
    </i>
    <i r="1">
      <x v="299"/>
      <x v="18"/>
    </i>
    <i r="1">
      <x v="300"/>
      <x v="18"/>
    </i>
    <i r="1">
      <x v="301"/>
      <x v="5"/>
    </i>
    <i r="1">
      <x v="302"/>
      <x v="11"/>
    </i>
    <i r="1">
      <x v="303"/>
      <x v="20"/>
    </i>
    <i r="1">
      <x v="304"/>
      <x v="3"/>
    </i>
    <i t="default">
      <x v="1"/>
    </i>
    <i>
      <x v="2"/>
      <x v="305"/>
      <x v="26"/>
    </i>
    <i r="1">
      <x v="306"/>
      <x v="18"/>
    </i>
    <i r="1">
      <x v="307"/>
      <x v="5"/>
    </i>
    <i r="1">
      <x v="308"/>
      <x v="25"/>
    </i>
    <i r="1">
      <x v="309"/>
      <x v="18"/>
    </i>
    <i r="1">
      <x v="310"/>
      <x v="28"/>
    </i>
    <i r="1">
      <x v="311"/>
      <x v="8"/>
    </i>
    <i r="1">
      <x v="312"/>
      <x v="6"/>
    </i>
    <i r="1">
      <x v="313"/>
      <x v="20"/>
    </i>
    <i r="1">
      <x v="314"/>
      <x v="26"/>
    </i>
    <i r="1">
      <x v="315"/>
      <x v="18"/>
    </i>
    <i r="1">
      <x v="316"/>
      <x v="3"/>
    </i>
    <i r="1">
      <x v="317"/>
      <x v="11"/>
    </i>
    <i r="1">
      <x v="318"/>
      <x v="26"/>
    </i>
    <i r="1">
      <x v="319"/>
      <x v="17"/>
    </i>
    <i t="default">
      <x v="2"/>
    </i>
    <i>
      <x v="3"/>
      <x v="320"/>
      <x v="18"/>
    </i>
    <i r="1">
      <x v="321"/>
      <x v="3"/>
    </i>
    <i r="1">
      <x v="322"/>
      <x v="18"/>
    </i>
    <i r="1">
      <x v="323"/>
      <x v="27"/>
    </i>
    <i r="1">
      <x v="324"/>
      <x v="18"/>
    </i>
    <i r="1">
      <x v="325"/>
      <x v="20"/>
    </i>
    <i r="1">
      <x v="326"/>
      <x v="18"/>
    </i>
    <i r="1">
      <x v="327"/>
      <x v="18"/>
    </i>
    <i r="1">
      <x v="328"/>
      <x v="5"/>
    </i>
    <i r="1">
      <x v="329"/>
      <x v="20"/>
    </i>
    <i r="1">
      <x v="330"/>
      <x v="17"/>
    </i>
    <i r="1">
      <x v="331"/>
      <x v="11"/>
    </i>
    <i r="1">
      <x v="332"/>
      <x v="20"/>
    </i>
    <i r="1">
      <x v="333"/>
      <x v="21"/>
    </i>
    <i r="1">
      <x v="334"/>
      <x v="21"/>
    </i>
    <i r="1">
      <x v="335"/>
      <x v="26"/>
    </i>
    <i r="1">
      <x v="336"/>
      <x v="27"/>
    </i>
    <i t="default">
      <x v="3"/>
    </i>
    <i>
      <x v="4"/>
      <x v="337"/>
      <x v="11"/>
    </i>
    <i r="1">
      <x v="338"/>
      <x v="18"/>
    </i>
    <i r="1">
      <x v="339"/>
      <x v="20"/>
    </i>
    <i r="1">
      <x v="340"/>
      <x v="6"/>
    </i>
    <i r="1">
      <x v="341"/>
      <x v="6"/>
    </i>
    <i r="1">
      <x v="342"/>
      <x v="7"/>
    </i>
    <i r="1">
      <x v="343"/>
      <x v="17"/>
    </i>
    <i r="1">
      <x v="344"/>
      <x v="18"/>
    </i>
    <i r="1">
      <x v="345"/>
      <x v="20"/>
    </i>
    <i r="1">
      <x v="346"/>
      <x v="11"/>
    </i>
    <i r="1">
      <x v="347"/>
      <x v="25"/>
    </i>
    <i r="1">
      <x v="348"/>
      <x v="11"/>
    </i>
    <i r="1">
      <x v="349"/>
      <x v="3"/>
    </i>
    <i r="1">
      <x v="350"/>
      <x v="8"/>
    </i>
    <i r="1">
      <x v="351"/>
      <x v="5"/>
    </i>
    <i r="1">
      <x v="352"/>
      <x v="18"/>
    </i>
    <i r="1">
      <x v="353"/>
      <x v="20"/>
    </i>
    <i r="1">
      <x v="354"/>
      <x v="18"/>
    </i>
    <i r="1">
      <x v="355"/>
      <x v="18"/>
    </i>
    <i r="1">
      <x v="356"/>
      <x v="20"/>
    </i>
    <i t="default">
      <x v="4"/>
    </i>
    <i>
      <x v="5"/>
      <x v="357"/>
      <x v="8"/>
    </i>
    <i r="1">
      <x v="358"/>
      <x v="11"/>
    </i>
    <i r="1">
      <x v="359"/>
      <x v="3"/>
    </i>
    <i r="1">
      <x v="360"/>
      <x v="18"/>
    </i>
    <i r="1">
      <x v="361"/>
      <x v="29"/>
    </i>
    <i r="1">
      <x v="362"/>
      <x v="21"/>
    </i>
    <i r="1">
      <x v="363"/>
      <x v="30"/>
    </i>
    <i r="1">
      <x v="364"/>
      <x v="20"/>
    </i>
    <i r="1">
      <x v="365"/>
      <x v="18"/>
    </i>
    <i r="1">
      <x v="366"/>
      <x v="26"/>
    </i>
    <i r="1">
      <x v="367"/>
      <x v="17"/>
    </i>
    <i r="1">
      <x v="368"/>
      <x v="17"/>
    </i>
    <i r="1">
      <x v="369"/>
      <x v="5"/>
    </i>
    <i r="1">
      <x v="370"/>
      <x v="29"/>
    </i>
    <i r="1">
      <x v="371"/>
      <x v="18"/>
    </i>
    <i r="1">
      <x v="372"/>
      <x v="6"/>
    </i>
    <i r="1">
      <x v="373"/>
      <x v="11"/>
    </i>
    <i r="1">
      <x v="374"/>
      <x v="31"/>
    </i>
    <i r="1">
      <x v="375"/>
      <x v="32"/>
    </i>
    <i t="default">
      <x v="5"/>
    </i>
    <i>
      <x v="6"/>
      <x v="376"/>
      <x v="29"/>
    </i>
    <i r="1">
      <x v="377"/>
      <x v="21"/>
    </i>
    <i r="1">
      <x v="378"/>
      <x v="18"/>
    </i>
    <i r="1">
      <x v="379"/>
      <x v="18"/>
    </i>
    <i r="1">
      <x v="380"/>
      <x v="3"/>
    </i>
    <i r="1">
      <x v="381"/>
      <x v="18"/>
    </i>
    <i r="1">
      <x v="382"/>
      <x v="21"/>
    </i>
    <i r="1">
      <x v="383"/>
      <x v="20"/>
    </i>
    <i r="1">
      <x v="384"/>
      <x v="21"/>
    </i>
    <i r="1">
      <x v="385"/>
      <x v="18"/>
    </i>
    <i r="1">
      <x v="386"/>
      <x v="20"/>
    </i>
    <i r="1">
      <x v="387"/>
      <x v="25"/>
    </i>
    <i r="1">
      <x v="388"/>
      <x v="18"/>
    </i>
    <i r="1">
      <x v="389"/>
      <x v="5"/>
    </i>
    <i r="1">
      <x v="390"/>
      <x v="21"/>
    </i>
    <i r="1">
      <x v="391"/>
      <x v="17"/>
    </i>
    <i r="1">
      <x v="392"/>
      <x v="20"/>
    </i>
    <i r="1">
      <x v="393"/>
      <x v="11"/>
    </i>
    <i r="1">
      <x v="394"/>
      <x v="18"/>
    </i>
    <i r="1">
      <x v="395"/>
      <x v="18"/>
    </i>
    <i t="default">
      <x v="6"/>
    </i>
    <i>
      <x v="7"/>
      <x v="181"/>
      <x v="18"/>
    </i>
    <i r="1">
      <x v="182"/>
      <x v="17"/>
    </i>
    <i r="1">
      <x v="183"/>
      <x v="18"/>
    </i>
    <i r="1">
      <x v="184"/>
      <x v="18"/>
    </i>
    <i r="1">
      <x v="185"/>
      <x v="6"/>
    </i>
    <i r="1">
      <x v="186"/>
      <x v="11"/>
    </i>
    <i r="1">
      <x v="187"/>
      <x v="17"/>
    </i>
    <i r="1">
      <x v="188"/>
      <x v="18"/>
    </i>
    <i r="1">
      <x v="189"/>
      <x v="8"/>
    </i>
    <i r="1">
      <x v="190"/>
      <x v="8"/>
    </i>
    <i r="1">
      <x v="191"/>
      <x v="8"/>
    </i>
    <i r="1">
      <x v="192"/>
      <x v="18"/>
    </i>
    <i r="1">
      <x v="193"/>
      <x v="17"/>
    </i>
    <i r="1">
      <x v="194"/>
      <x v="11"/>
    </i>
    <i r="1">
      <x v="195"/>
      <x v="7"/>
    </i>
    <i r="1">
      <x v="196"/>
      <x v="8"/>
    </i>
    <i t="default">
      <x v="7"/>
    </i>
    <i>
      <x v="8"/>
      <x v="197"/>
      <x v="17"/>
    </i>
    <i r="1">
      <x v="198"/>
      <x v="8"/>
    </i>
    <i r="1">
      <x v="199"/>
      <x v="11"/>
    </i>
    <i r="1">
      <x v="200"/>
      <x v="3"/>
    </i>
    <i r="1">
      <x v="201"/>
      <x v="6"/>
    </i>
    <i r="1">
      <x v="202"/>
      <x v="20"/>
    </i>
    <i r="1">
      <x v="203"/>
      <x v="7"/>
    </i>
    <i r="1">
      <x v="204"/>
      <x v="17"/>
    </i>
    <i r="1">
      <x v="205"/>
      <x v="18"/>
    </i>
    <i r="1">
      <x v="206"/>
      <x v="18"/>
    </i>
    <i r="1">
      <x v="207"/>
      <x v="6"/>
    </i>
    <i t="default">
      <x v="8"/>
    </i>
    <i>
      <x v="9"/>
      <x v="208"/>
      <x v="20"/>
    </i>
    <i r="1">
      <x v="209"/>
      <x v="21"/>
    </i>
    <i r="1">
      <x v="210"/>
      <x v="11"/>
    </i>
    <i r="1">
      <x v="211"/>
      <x v="21"/>
    </i>
    <i r="1">
      <x v="212"/>
      <x v="17"/>
    </i>
    <i r="1">
      <x v="213"/>
      <x v="21"/>
    </i>
    <i r="1">
      <x v="214"/>
      <x v="7"/>
    </i>
    <i r="1">
      <x v="215"/>
      <x v="18"/>
    </i>
    <i r="1">
      <x v="216"/>
      <x v="11"/>
    </i>
    <i r="1">
      <x v="217"/>
      <x v="18"/>
    </i>
    <i r="1">
      <x v="218"/>
      <x v="17"/>
    </i>
    <i r="1">
      <x v="219"/>
      <x v="18"/>
    </i>
    <i r="1">
      <x v="220"/>
      <x v="20"/>
    </i>
    <i r="1">
      <x v="221"/>
      <x v="7"/>
    </i>
    <i r="1">
      <x v="222"/>
      <x v="18"/>
    </i>
    <i r="1">
      <x v="223"/>
      <x v="18"/>
    </i>
    <i r="1">
      <x v="224"/>
      <x v="5"/>
    </i>
    <i r="1">
      <x v="225"/>
      <x v="18"/>
    </i>
    <i r="1">
      <x v="226"/>
      <x v="22"/>
    </i>
    <i t="default">
      <x v="9"/>
    </i>
    <i>
      <x v="10"/>
      <x v="227"/>
      <x v="20"/>
    </i>
    <i r="1">
      <x v="228"/>
      <x v="18"/>
    </i>
    <i r="1">
      <x v="229"/>
      <x v="21"/>
    </i>
    <i r="1">
      <x v="230"/>
      <x v="18"/>
    </i>
    <i r="1">
      <x v="231"/>
      <x v="17"/>
    </i>
    <i r="1">
      <x v="232"/>
      <x v="6"/>
    </i>
    <i r="1">
      <x v="233"/>
      <x v="3"/>
    </i>
    <i r="1">
      <x v="234"/>
      <x v="18"/>
    </i>
    <i r="1">
      <x v="235"/>
      <x v="24"/>
    </i>
    <i r="1">
      <x v="236"/>
      <x v="21"/>
    </i>
    <i r="1">
      <x v="237"/>
      <x v="24"/>
    </i>
    <i r="1">
      <x v="238"/>
      <x v="18"/>
    </i>
    <i r="1">
      <x v="239"/>
      <x v="20"/>
    </i>
    <i r="1">
      <x v="240"/>
      <x v="24"/>
    </i>
    <i r="1">
      <x v="241"/>
      <x v="18"/>
    </i>
    <i r="1">
      <x v="242"/>
      <x v="22"/>
    </i>
    <i r="1">
      <x v="243"/>
      <x v="18"/>
    </i>
    <i r="1">
      <x v="244"/>
      <x v="23"/>
    </i>
    <i r="1">
      <x v="245"/>
      <x v="8"/>
    </i>
    <i r="1">
      <x v="246"/>
      <x v="23"/>
    </i>
    <i r="1">
      <x v="247"/>
      <x v="5"/>
    </i>
    <i r="1">
      <x v="248"/>
      <x v="18"/>
    </i>
    <i r="1">
      <x v="249"/>
      <x v="22"/>
    </i>
    <i r="1">
      <x v="250"/>
      <x v="11"/>
    </i>
    <i r="1">
      <x v="251"/>
      <x v="20"/>
    </i>
    <i r="1">
      <x v="252"/>
      <x v="18"/>
    </i>
    <i r="1">
      <x v="253"/>
      <x v="17"/>
    </i>
    <i r="1">
      <x v="254"/>
      <x v="22"/>
    </i>
    <i r="1">
      <x v="255"/>
      <x v="18"/>
    </i>
    <i t="default">
      <x v="10"/>
    </i>
    <i>
      <x v="11"/>
      <x v="256"/>
      <x v="18"/>
    </i>
    <i r="1">
      <x v="257"/>
      <x v="22"/>
    </i>
    <i r="1">
      <x v="258"/>
      <x v="18"/>
    </i>
    <i r="1">
      <x v="259"/>
      <x v="3"/>
    </i>
    <i r="1">
      <x v="260"/>
      <x v="7"/>
    </i>
    <i r="1">
      <x v="261"/>
      <x v="21"/>
    </i>
    <i r="1">
      <x v="262"/>
      <x v="24"/>
    </i>
    <i r="1">
      <x v="263"/>
      <x v="7"/>
    </i>
    <i r="1">
      <x v="264"/>
      <x v="18"/>
    </i>
    <i r="1">
      <x v="265"/>
      <x v="6"/>
    </i>
    <i r="1">
      <x v="266"/>
      <x v="18"/>
    </i>
    <i r="1">
      <x v="267"/>
      <x v="20"/>
    </i>
    <i r="1">
      <x v="268"/>
      <x v="18"/>
    </i>
    <i r="1">
      <x v="269"/>
      <x v="25"/>
    </i>
    <i r="1">
      <x v="270"/>
      <x v="18"/>
    </i>
    <i r="1">
      <x v="271"/>
      <x v="11"/>
    </i>
    <i r="1">
      <x v="272"/>
      <x v="18"/>
    </i>
    <i r="1">
      <x v="273"/>
      <x v="17"/>
    </i>
    <i r="1">
      <x v="274"/>
      <x v="8"/>
    </i>
    <i r="1">
      <x v="275"/>
      <x v="18"/>
    </i>
    <i r="1">
      <x v="276"/>
      <x v="20"/>
    </i>
    <i t="default"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2" hier="-1"/>
  </pageFields>
  <dataFields count="3">
    <dataField name="Sum of Sales Amount2" fld="13" baseField="1" baseItem="0" numFmtId="4"/>
    <dataField name="Sum of Collection" fld="14" baseField="1" baseItem="0" numFmtId="164"/>
    <dataField name="Sum of Outstanding" fld="15" baseField="1" baseItem="0" numFmtId="4"/>
  </dataFields>
  <formats count="4">
    <format dxfId="16">
      <pivotArea dataOnly="0" outline="0" fieldPosition="0">
        <references count="1">
          <reference field="1" count="0" defaultSubtotal="1"/>
        </references>
      </pivotArea>
    </format>
    <format dxfId="15">
      <pivotArea outline="0" fieldPosition="0">
        <references count="1">
          <reference field="4294967294" count="1">
            <x v="0"/>
          </reference>
        </references>
      </pivotArea>
    </format>
    <format dxfId="14">
      <pivotArea outline="0" fieldPosition="0">
        <references count="1">
          <reference field="4294967294" count="1">
            <x v="2"/>
          </reference>
        </references>
      </pivotArea>
    </format>
    <format dxfId="13">
      <pivotArea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4:B41" firstHeaderRow="2" firstDataRow="2" firstDataCol="1" rowPageCount="2" colPageCount="1"/>
  <pivotFields count="20">
    <pivotField compact="0" numFmtId="14" outline="0" showAll="0"/>
    <pivotField axis="axisPage" compact="0" outline="0" multipleItemSelectionAllowed="1" showAll="0">
      <items count="13">
        <item h="1" x="1"/>
        <item h="1" x="2"/>
        <item h="1" x="3"/>
        <item h="1" x="4"/>
        <item h="1" x="5"/>
        <item h="1" x="6"/>
        <item x="0"/>
        <item h="1" x="7"/>
        <item h="1" x="8"/>
        <item h="1" x="9"/>
        <item h="1" x="10"/>
        <item h="1" x="11"/>
        <item t="default"/>
      </items>
    </pivotField>
    <pivotField axis="axisPage" compact="0" outline="0" multipleItemSelectionAllowed="1" showAll="0">
      <items count="6">
        <item h="1" x="0"/>
        <item h="1" x="1"/>
        <item h="1" x="2"/>
        <item x="3"/>
        <item h="1" x="4"/>
        <item t="default"/>
      </items>
    </pivotField>
    <pivotField compact="0" outline="0" showAll="0"/>
    <pivotField compact="0" outline="0" showAll="0"/>
    <pivotField compact="0" outline="0" showAll="0" defaultSubtotal="0"/>
    <pivotField axis="axisRow" compact="0" outline="0" showAll="0">
      <items count="331">
        <item x="23"/>
        <item x="20"/>
        <item x="17"/>
        <item x="14"/>
        <item x="4"/>
        <item x="16"/>
        <item x="9"/>
        <item x="10"/>
        <item x="1"/>
        <item x="26"/>
        <item x="5"/>
        <item x="11"/>
        <item x="2"/>
        <item x="22"/>
        <item x="25"/>
        <item x="18"/>
        <item x="7"/>
        <item x="13"/>
        <item x="27"/>
        <item x="21"/>
        <item x="19"/>
        <item x="15"/>
        <item x="0"/>
        <item x="6"/>
        <item x="12"/>
        <item x="3"/>
        <item x="24"/>
        <item x="8"/>
        <item x="28"/>
        <item x="29"/>
        <item x="30"/>
        <item x="31"/>
        <item x="32"/>
        <item x="33"/>
        <item x="34"/>
        <item x="35"/>
        <item x="36"/>
        <item x="37"/>
        <item x="39"/>
        <item x="40"/>
        <item x="41"/>
        <item x="42"/>
        <item x="38"/>
        <item x="43"/>
        <item x="44"/>
        <item x="52"/>
        <item x="53"/>
        <item x="54"/>
        <item x="55"/>
        <item x="56"/>
        <item x="45"/>
        <item x="46"/>
        <item x="47"/>
        <item x="49"/>
        <item x="50"/>
        <item x="48"/>
        <item x="51"/>
        <item x="57"/>
        <item x="58"/>
        <item x="59"/>
        <item x="60"/>
        <item x="61"/>
        <item x="62"/>
        <item x="63"/>
        <item x="64"/>
        <item x="65"/>
        <item x="66"/>
        <item x="68"/>
        <item x="69"/>
        <item x="70"/>
        <item x="71"/>
        <item x="72"/>
        <item x="73"/>
        <item x="67"/>
        <item x="74"/>
        <item x="76"/>
        <item x="77"/>
        <item x="78"/>
        <item x="79"/>
        <item x="80"/>
        <item x="81"/>
        <item x="82"/>
        <item x="75"/>
        <item x="83"/>
        <item x="84"/>
        <item x="85"/>
        <item x="87"/>
        <item x="88"/>
        <item x="89"/>
        <item x="90"/>
        <item x="91"/>
        <item x="92"/>
        <item x="93"/>
        <item x="94"/>
        <item x="86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t="default"/>
      </items>
    </pivotField>
    <pivotField dataField="1"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1">
    <field x="6"/>
  </rowFields>
  <rowItems count="36">
    <i>
      <x v="4"/>
    </i>
    <i>
      <x v="16"/>
    </i>
    <i>
      <x v="24"/>
    </i>
    <i>
      <x v="45"/>
    </i>
    <i>
      <x v="92"/>
    </i>
    <i>
      <x v="96"/>
    </i>
    <i>
      <x v="100"/>
    </i>
    <i>
      <x v="112"/>
    </i>
    <i>
      <x v="118"/>
    </i>
    <i>
      <x v="120"/>
    </i>
    <i>
      <x v="121"/>
    </i>
    <i>
      <x v="123"/>
    </i>
    <i>
      <x v="131"/>
    </i>
    <i>
      <x v="132"/>
    </i>
    <i>
      <x v="134"/>
    </i>
    <i>
      <x v="148"/>
    </i>
    <i>
      <x v="150"/>
    </i>
    <i>
      <x v="153"/>
    </i>
    <i>
      <x v="157"/>
    </i>
    <i>
      <x v="158"/>
    </i>
    <i>
      <x v="159"/>
    </i>
    <i>
      <x v="164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 t="grand">
      <x/>
    </i>
  </rowItems>
  <colItems count="1">
    <i/>
  </colItems>
  <pageFields count="2">
    <pageField fld="2" hier="-1"/>
    <pageField fld="1" hier="-1"/>
  </pageFields>
  <dataFields count="1">
    <dataField name="Sum of Qty" fld="7" baseField="6" baseItem="70"/>
  </dataFields>
  <formats count="2">
    <format dxfId="7">
      <pivotArea dataOnly="0" labelOnly="1" grandCol="1" outline="0" fieldPosition="0"/>
    </format>
    <format dxfId="6">
      <pivotArea field="1" type="button" dataOnly="0" labelOnly="1" outline="0" axis="axisPage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3:G815" firstHeaderRow="1" firstDataRow="2" firstDataCol="4"/>
  <pivotFields count="20">
    <pivotField compact="0" numFmtId="14" outline="0" showAll="0"/>
    <pivotField axis="axisRow" compact="0" outline="0" showAll="0" sortType="ascending">
      <items count="13">
        <item x="7"/>
        <item x="8"/>
        <item x="9"/>
        <item x="10"/>
        <item x="11"/>
        <item x="1"/>
        <item x="2"/>
        <item x="3"/>
        <item x="4"/>
        <item x="5"/>
        <item x="6"/>
        <item x="0"/>
        <item t="default"/>
      </items>
    </pivotField>
    <pivotField axis="axisRow" compact="0" outline="0" showAll="0">
      <items count="6">
        <item x="0"/>
        <item x="1"/>
        <item x="2"/>
        <item x="3"/>
        <item x="4"/>
        <item t="default"/>
      </items>
    </pivotField>
    <pivotField axis="axisRow" compact="0" outline="0" showAll="0" defaultSubtotal="0">
      <items count="762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</items>
    </pivotField>
    <pivotField compact="0" outline="0" showAll="0"/>
    <pivotField axis="axisRow" compact="0" outline="0" showAll="0">
      <items count="48">
        <item x="4"/>
        <item x="11"/>
        <item x="6"/>
        <item x="8"/>
        <item x="10"/>
        <item x="0"/>
        <item x="2"/>
        <item x="5"/>
        <item x="3"/>
        <item x="1"/>
        <item x="7"/>
        <item x="9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dataField="1"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4">
    <field x="2"/>
    <field x="1"/>
    <field x="3"/>
    <field x="5"/>
  </rowFields>
  <rowItems count="811">
    <i>
      <x/>
      <x v="11"/>
      <x v="85"/>
      <x v="5"/>
    </i>
    <i t="default" r="1">
      <x v="11"/>
    </i>
    <i t="default">
      <x/>
    </i>
    <i>
      <x v="1"/>
      <x v="5"/>
      <x/>
      <x v="5"/>
    </i>
    <i r="2">
      <x v="1"/>
      <x v="9"/>
    </i>
    <i r="2">
      <x v="2"/>
      <x v="5"/>
    </i>
    <i r="2">
      <x v="3"/>
      <x v="6"/>
    </i>
    <i t="default" r="1">
      <x v="5"/>
    </i>
    <i r="1">
      <x v="6"/>
      <x v="4"/>
      <x v="8"/>
    </i>
    <i r="2">
      <x v="5"/>
      <x v="6"/>
    </i>
    <i r="2">
      <x v="6"/>
      <x v="5"/>
    </i>
    <i t="default" r="1">
      <x v="6"/>
    </i>
    <i r="1">
      <x v="7"/>
      <x v="7"/>
      <x v="8"/>
    </i>
    <i r="2">
      <x v="8"/>
      <x v="8"/>
    </i>
    <i r="2">
      <x v="9"/>
      <x v="8"/>
    </i>
    <i r="2">
      <x v="10"/>
      <x/>
    </i>
    <i r="2">
      <x v="11"/>
      <x v="6"/>
    </i>
    <i r="2">
      <x v="12"/>
      <x v="5"/>
    </i>
    <i r="2">
      <x v="13"/>
      <x v="5"/>
    </i>
    <i r="2">
      <x v="14"/>
      <x v="6"/>
    </i>
    <i r="2">
      <x v="15"/>
      <x v="7"/>
    </i>
    <i r="2">
      <x v="16"/>
      <x v="2"/>
    </i>
    <i r="2">
      <x v="17"/>
      <x v="10"/>
    </i>
    <i r="2">
      <x v="18"/>
      <x v="6"/>
    </i>
    <i r="2">
      <x v="19"/>
      <x v="3"/>
    </i>
    <i r="2">
      <x v="20"/>
      <x v="5"/>
    </i>
    <i r="2">
      <x v="21"/>
      <x v="11"/>
    </i>
    <i t="default" r="1">
      <x v="7"/>
    </i>
    <i r="1">
      <x v="8"/>
      <x v="22"/>
      <x v="10"/>
    </i>
    <i r="2">
      <x v="23"/>
      <x v="5"/>
    </i>
    <i r="2">
      <x v="24"/>
      <x v="5"/>
    </i>
    <i r="2">
      <x v="25"/>
      <x v="8"/>
    </i>
    <i r="2">
      <x v="26"/>
      <x v="5"/>
    </i>
    <i r="2">
      <x v="27"/>
      <x v="8"/>
    </i>
    <i r="2">
      <x v="28"/>
      <x v="11"/>
    </i>
    <i r="2">
      <x v="29"/>
      <x v="5"/>
    </i>
    <i r="2">
      <x v="30"/>
      <x v="5"/>
    </i>
    <i t="default" r="1">
      <x v="8"/>
    </i>
    <i r="1">
      <x v="9"/>
      <x v="31"/>
      <x/>
    </i>
    <i r="2">
      <x v="32"/>
      <x v="6"/>
    </i>
    <i r="2">
      <x v="33"/>
      <x v="8"/>
    </i>
    <i r="2">
      <x v="34"/>
      <x v="8"/>
    </i>
    <i r="2">
      <x v="35"/>
      <x v="5"/>
    </i>
    <i r="2">
      <x v="36"/>
      <x v="2"/>
    </i>
    <i r="2">
      <x v="37"/>
      <x v="6"/>
    </i>
    <i r="2">
      <x v="38"/>
      <x v="6"/>
    </i>
    <i r="2">
      <x v="39"/>
      <x v="5"/>
    </i>
    <i r="2">
      <x v="40"/>
      <x/>
    </i>
    <i r="2">
      <x v="41"/>
      <x/>
    </i>
    <i r="2">
      <x v="42"/>
      <x v="11"/>
    </i>
    <i r="2">
      <x v="43"/>
      <x v="6"/>
    </i>
    <i r="2">
      <x v="44"/>
      <x v="5"/>
    </i>
    <i r="2">
      <x v="45"/>
      <x/>
    </i>
    <i t="default" r="1">
      <x v="9"/>
    </i>
    <i r="1">
      <x v="10"/>
      <x v="46"/>
      <x v="7"/>
    </i>
    <i r="2">
      <x v="47"/>
      <x v="5"/>
    </i>
    <i r="2">
      <x v="48"/>
      <x/>
    </i>
    <i r="2">
      <x v="49"/>
      <x v="3"/>
    </i>
    <i r="2">
      <x v="50"/>
      <x v="5"/>
    </i>
    <i r="2">
      <x v="51"/>
      <x v="5"/>
    </i>
    <i r="2">
      <x v="52"/>
      <x v="11"/>
    </i>
    <i r="2">
      <x v="53"/>
      <x v="10"/>
    </i>
    <i r="2">
      <x v="54"/>
      <x/>
    </i>
    <i r="2">
      <x v="55"/>
      <x v="4"/>
    </i>
    <i r="2">
      <x v="56"/>
      <x v="6"/>
    </i>
    <i r="2">
      <x v="57"/>
      <x v="5"/>
    </i>
    <i r="2">
      <x v="58"/>
      <x v="3"/>
    </i>
    <i r="2">
      <x v="59"/>
      <x v="10"/>
    </i>
    <i r="2">
      <x v="60"/>
      <x v="11"/>
    </i>
    <i r="2">
      <x v="61"/>
      <x v="11"/>
    </i>
    <i t="default" r="1">
      <x v="10"/>
    </i>
    <i r="1">
      <x v="11"/>
      <x v="62"/>
      <x v="1"/>
    </i>
    <i r="2">
      <x v="63"/>
      <x v="5"/>
    </i>
    <i r="2">
      <x v="64"/>
      <x v="8"/>
    </i>
    <i r="2">
      <x v="65"/>
      <x v="6"/>
    </i>
    <i r="2">
      <x v="66"/>
      <x v="11"/>
    </i>
    <i t="default" r="1">
      <x v="11"/>
    </i>
    <i t="default">
      <x v="1"/>
    </i>
    <i>
      <x v="2"/>
      <x/>
      <x v="67"/>
      <x v="34"/>
    </i>
    <i r="2">
      <x v="68"/>
      <x v="11"/>
    </i>
    <i r="2">
      <x v="69"/>
      <x v="34"/>
    </i>
    <i r="2">
      <x v="70"/>
      <x v="6"/>
    </i>
    <i r="2">
      <x v="71"/>
      <x v="34"/>
    </i>
    <i r="2">
      <x v="72"/>
      <x v="6"/>
    </i>
    <i r="2">
      <x v="73"/>
      <x v="5"/>
    </i>
    <i r="2">
      <x v="74"/>
      <x v="11"/>
    </i>
    <i t="default" r="1">
      <x/>
    </i>
    <i r="1">
      <x v="1"/>
      <x v="75"/>
      <x v="13"/>
    </i>
    <i r="2">
      <x v="76"/>
      <x/>
    </i>
    <i r="2">
      <x v="77"/>
      <x v="13"/>
    </i>
    <i r="2">
      <x v="78"/>
      <x v="34"/>
    </i>
    <i r="2">
      <x v="79"/>
      <x/>
    </i>
    <i r="2">
      <x v="80"/>
      <x v="5"/>
    </i>
    <i r="2">
      <x v="81"/>
      <x v="8"/>
    </i>
    <i r="2">
      <x v="82"/>
      <x v="10"/>
    </i>
    <i r="2">
      <x v="83"/>
      <x v="14"/>
    </i>
    <i t="default" r="1">
      <x v="1"/>
    </i>
    <i r="1">
      <x v="2"/>
      <x v="84"/>
      <x v="8"/>
    </i>
    <i r="2">
      <x v="86"/>
      <x v="15"/>
    </i>
    <i r="2">
      <x v="87"/>
      <x v="3"/>
    </i>
    <i r="2">
      <x v="89"/>
      <x v="8"/>
    </i>
    <i r="2">
      <x v="90"/>
      <x v="3"/>
    </i>
    <i r="2">
      <x v="91"/>
      <x v="11"/>
    </i>
    <i r="2">
      <x v="92"/>
      <x v="13"/>
    </i>
    <i r="2">
      <x v="93"/>
      <x v="8"/>
    </i>
    <i t="default" r="1">
      <x v="2"/>
    </i>
    <i r="1">
      <x v="3"/>
      <x v="94"/>
      <x v="6"/>
    </i>
    <i r="2">
      <x v="95"/>
      <x v="6"/>
    </i>
    <i r="2">
      <x v="96"/>
      <x v="14"/>
    </i>
    <i r="2">
      <x v="97"/>
      <x v="11"/>
    </i>
    <i r="2">
      <x v="98"/>
      <x v="5"/>
    </i>
    <i r="2">
      <x v="99"/>
      <x v="3"/>
    </i>
    <i r="2">
      <x v="101"/>
      <x v="11"/>
    </i>
    <i t="default" r="1">
      <x v="3"/>
    </i>
    <i r="1">
      <x v="4"/>
      <x v="88"/>
      <x v="34"/>
    </i>
    <i r="2">
      <x v="100"/>
      <x v="8"/>
    </i>
    <i r="2">
      <x v="102"/>
      <x/>
    </i>
    <i r="2">
      <x v="103"/>
      <x v="5"/>
    </i>
    <i r="2">
      <x v="104"/>
      <x/>
    </i>
    <i r="2">
      <x v="105"/>
      <x v="6"/>
    </i>
    <i r="2">
      <x v="106"/>
      <x/>
    </i>
    <i t="default" r="1">
      <x v="4"/>
    </i>
    <i r="1">
      <x v="5"/>
      <x v="107"/>
      <x v="11"/>
    </i>
    <i r="2">
      <x v="108"/>
      <x v="3"/>
    </i>
    <i r="2">
      <x v="109"/>
      <x v="3"/>
    </i>
    <i r="2">
      <x v="110"/>
      <x v="11"/>
    </i>
    <i t="default" r="1">
      <x v="5"/>
    </i>
    <i r="1">
      <x v="8"/>
      <x v="111"/>
      <x v="35"/>
    </i>
    <i r="2">
      <x v="112"/>
      <x/>
    </i>
    <i r="2">
      <x v="113"/>
      <x/>
    </i>
    <i r="2">
      <x v="114"/>
      <x v="8"/>
    </i>
    <i r="2">
      <x v="115"/>
      <x v="9"/>
    </i>
    <i r="2">
      <x v="116"/>
      <x v="6"/>
    </i>
    <i r="2">
      <x v="117"/>
      <x v="11"/>
    </i>
    <i r="2">
      <x v="118"/>
      <x v="16"/>
    </i>
    <i r="2">
      <x v="119"/>
      <x v="5"/>
    </i>
    <i r="2">
      <x v="120"/>
      <x v="8"/>
    </i>
    <i r="2">
      <x v="121"/>
      <x/>
    </i>
    <i r="2">
      <x v="122"/>
      <x v="8"/>
    </i>
    <i t="default" r="1">
      <x v="8"/>
    </i>
    <i r="1">
      <x v="9"/>
      <x v="123"/>
      <x v="7"/>
    </i>
    <i r="2">
      <x v="124"/>
      <x v="17"/>
    </i>
    <i r="2">
      <x v="125"/>
      <x v="17"/>
    </i>
    <i r="2">
      <x v="126"/>
      <x v="11"/>
    </i>
    <i r="2">
      <x v="127"/>
      <x v="6"/>
    </i>
    <i r="2">
      <x v="128"/>
      <x v="6"/>
    </i>
    <i r="2">
      <x v="129"/>
      <x v="18"/>
    </i>
    <i r="2">
      <x v="130"/>
      <x v="34"/>
    </i>
    <i r="2">
      <x v="131"/>
      <x v="18"/>
    </i>
    <i r="2">
      <x v="132"/>
      <x v="17"/>
    </i>
    <i r="2">
      <x v="133"/>
      <x v="17"/>
    </i>
    <i r="2">
      <x v="134"/>
      <x v="3"/>
    </i>
    <i r="2">
      <x v="135"/>
      <x v="13"/>
    </i>
    <i r="2">
      <x v="136"/>
      <x/>
    </i>
    <i r="2">
      <x v="137"/>
      <x v="18"/>
    </i>
    <i r="2">
      <x v="138"/>
      <x v="18"/>
    </i>
    <i r="2">
      <x v="139"/>
      <x v="18"/>
    </i>
    <i r="2">
      <x v="140"/>
      <x v="18"/>
    </i>
    <i r="2">
      <x v="141"/>
      <x v="10"/>
    </i>
    <i r="2">
      <x v="142"/>
      <x v="5"/>
    </i>
    <i r="2">
      <x v="143"/>
      <x v="18"/>
    </i>
    <i r="2">
      <x v="144"/>
      <x v="10"/>
    </i>
    <i r="2">
      <x v="145"/>
      <x v="18"/>
    </i>
    <i r="2">
      <x v="146"/>
      <x v="11"/>
    </i>
    <i r="2">
      <x v="147"/>
      <x v="17"/>
    </i>
    <i r="2">
      <x v="148"/>
      <x v="11"/>
    </i>
    <i t="default" r="1">
      <x v="9"/>
    </i>
    <i r="1">
      <x v="10"/>
      <x v="149"/>
      <x/>
    </i>
    <i r="2">
      <x v="150"/>
      <x v="17"/>
    </i>
    <i r="2">
      <x v="151"/>
      <x v="6"/>
    </i>
    <i r="2">
      <x v="152"/>
      <x v="18"/>
    </i>
    <i r="2">
      <x v="153"/>
      <x v="11"/>
    </i>
    <i r="2">
      <x v="154"/>
      <x v="18"/>
    </i>
    <i r="2">
      <x v="155"/>
      <x v="11"/>
    </i>
    <i r="2">
      <x v="156"/>
      <x v="19"/>
    </i>
    <i r="2">
      <x v="157"/>
      <x v="20"/>
    </i>
    <i r="2">
      <x v="158"/>
      <x v="18"/>
    </i>
    <i r="2">
      <x v="159"/>
      <x v="18"/>
    </i>
    <i r="2">
      <x v="160"/>
      <x v="12"/>
    </i>
    <i r="2">
      <x v="161"/>
      <x v="17"/>
    </i>
    <i r="2">
      <x v="162"/>
      <x v="6"/>
    </i>
    <i r="2">
      <x v="163"/>
      <x v="17"/>
    </i>
    <i r="2">
      <x v="164"/>
      <x v="17"/>
    </i>
    <i r="2">
      <x v="165"/>
      <x v="10"/>
    </i>
    <i t="default" r="1">
      <x v="10"/>
    </i>
    <i r="1">
      <x v="11"/>
      <x v="166"/>
      <x v="18"/>
    </i>
    <i r="2">
      <x v="167"/>
      <x v="34"/>
    </i>
    <i r="2">
      <x v="168"/>
      <x v="18"/>
    </i>
    <i r="2">
      <x v="169"/>
      <x v="11"/>
    </i>
    <i r="2">
      <x v="170"/>
      <x v="8"/>
    </i>
    <i r="2">
      <x v="171"/>
      <x v="8"/>
    </i>
    <i r="2">
      <x v="172"/>
      <x v="18"/>
    </i>
    <i r="2">
      <x v="173"/>
      <x v="8"/>
    </i>
    <i r="2">
      <x v="174"/>
      <x v="18"/>
    </i>
    <i r="2">
      <x v="175"/>
      <x v="18"/>
    </i>
    <i r="2">
      <x v="176"/>
      <x v="18"/>
    </i>
    <i r="2">
      <x v="177"/>
      <x v="5"/>
    </i>
    <i r="2">
      <x v="178"/>
      <x v="18"/>
    </i>
    <i r="2">
      <x v="179"/>
      <x v="11"/>
    </i>
    <i r="2">
      <x v="180"/>
      <x v="17"/>
    </i>
    <i t="default" r="1">
      <x v="11"/>
    </i>
    <i t="default">
      <x v="2"/>
    </i>
    <i>
      <x v="3"/>
      <x/>
      <x v="181"/>
      <x v="18"/>
    </i>
    <i r="2">
      <x v="182"/>
      <x v="17"/>
    </i>
    <i r="2">
      <x v="183"/>
      <x v="18"/>
    </i>
    <i r="2">
      <x v="184"/>
      <x v="18"/>
    </i>
    <i r="2">
      <x v="185"/>
      <x v="6"/>
    </i>
    <i r="2">
      <x v="186"/>
      <x v="11"/>
    </i>
    <i r="2">
      <x v="187"/>
      <x v="17"/>
    </i>
    <i r="2">
      <x v="188"/>
      <x v="18"/>
    </i>
    <i r="2">
      <x v="189"/>
      <x v="8"/>
    </i>
    <i r="2">
      <x v="190"/>
      <x v="8"/>
    </i>
    <i r="2">
      <x v="191"/>
      <x v="8"/>
    </i>
    <i r="2">
      <x v="192"/>
      <x v="18"/>
    </i>
    <i r="2">
      <x v="193"/>
      <x v="17"/>
    </i>
    <i r="2">
      <x v="194"/>
      <x v="11"/>
    </i>
    <i r="2">
      <x v="195"/>
      <x v="7"/>
    </i>
    <i r="2">
      <x v="196"/>
      <x v="8"/>
    </i>
    <i t="default" r="1">
      <x/>
    </i>
    <i r="1">
      <x v="1"/>
      <x v="197"/>
      <x v="17"/>
    </i>
    <i r="2">
      <x v="198"/>
      <x v="8"/>
    </i>
    <i r="2">
      <x v="199"/>
      <x v="11"/>
    </i>
    <i r="2">
      <x v="200"/>
      <x v="3"/>
    </i>
    <i r="2">
      <x v="201"/>
      <x v="6"/>
    </i>
    <i r="2">
      <x v="202"/>
      <x v="20"/>
    </i>
    <i r="2">
      <x v="203"/>
      <x v="7"/>
    </i>
    <i r="2">
      <x v="204"/>
      <x v="17"/>
    </i>
    <i r="2">
      <x v="205"/>
      <x v="18"/>
    </i>
    <i r="2">
      <x v="206"/>
      <x v="18"/>
    </i>
    <i r="2">
      <x v="207"/>
      <x v="6"/>
    </i>
    <i t="default" r="1">
      <x v="1"/>
    </i>
    <i r="1">
      <x v="2"/>
      <x v="208"/>
      <x v="20"/>
    </i>
    <i r="2">
      <x v="209"/>
      <x v="21"/>
    </i>
    <i r="2">
      <x v="210"/>
      <x v="11"/>
    </i>
    <i r="2">
      <x v="211"/>
      <x v="21"/>
    </i>
    <i r="2">
      <x v="212"/>
      <x v="17"/>
    </i>
    <i r="2">
      <x v="213"/>
      <x v="21"/>
    </i>
    <i r="2">
      <x v="214"/>
      <x v="7"/>
    </i>
    <i r="2">
      <x v="215"/>
      <x v="18"/>
    </i>
    <i r="2">
      <x v="216"/>
      <x v="11"/>
    </i>
    <i r="2">
      <x v="217"/>
      <x v="18"/>
    </i>
    <i r="2">
      <x v="218"/>
      <x v="17"/>
    </i>
    <i r="2">
      <x v="219"/>
      <x v="18"/>
    </i>
    <i r="2">
      <x v="220"/>
      <x v="20"/>
    </i>
    <i r="2">
      <x v="221"/>
      <x v="7"/>
    </i>
    <i r="2">
      <x v="222"/>
      <x v="18"/>
    </i>
    <i r="2">
      <x v="223"/>
      <x v="18"/>
    </i>
    <i r="2">
      <x v="224"/>
      <x v="5"/>
    </i>
    <i r="2">
      <x v="225"/>
      <x v="18"/>
    </i>
    <i r="2">
      <x v="226"/>
      <x v="22"/>
    </i>
    <i t="default" r="1">
      <x v="2"/>
    </i>
    <i r="1">
      <x v="3"/>
      <x v="227"/>
      <x v="20"/>
    </i>
    <i r="2">
      <x v="228"/>
      <x v="18"/>
    </i>
    <i r="2">
      <x v="229"/>
      <x v="21"/>
    </i>
    <i r="2">
      <x v="230"/>
      <x v="18"/>
    </i>
    <i r="2">
      <x v="231"/>
      <x v="17"/>
    </i>
    <i r="2">
      <x v="232"/>
      <x v="6"/>
    </i>
    <i r="2">
      <x v="233"/>
      <x v="3"/>
    </i>
    <i r="2">
      <x v="234"/>
      <x v="18"/>
    </i>
    <i r="2">
      <x v="235"/>
      <x v="24"/>
    </i>
    <i r="2">
      <x v="236"/>
      <x v="21"/>
    </i>
    <i r="2">
      <x v="237"/>
      <x v="24"/>
    </i>
    <i r="2">
      <x v="238"/>
      <x v="18"/>
    </i>
    <i r="2">
      <x v="239"/>
      <x v="20"/>
    </i>
    <i r="2">
      <x v="240"/>
      <x v="24"/>
    </i>
    <i r="2">
      <x v="241"/>
      <x v="18"/>
    </i>
    <i r="2">
      <x v="242"/>
      <x v="22"/>
    </i>
    <i r="2">
      <x v="243"/>
      <x v="18"/>
    </i>
    <i r="2">
      <x v="244"/>
      <x v="23"/>
    </i>
    <i r="2">
      <x v="245"/>
      <x v="8"/>
    </i>
    <i r="2">
      <x v="246"/>
      <x v="23"/>
    </i>
    <i r="2">
      <x v="247"/>
      <x v="5"/>
    </i>
    <i r="2">
      <x v="248"/>
      <x v="18"/>
    </i>
    <i r="2">
      <x v="249"/>
      <x v="22"/>
    </i>
    <i r="2">
      <x v="250"/>
      <x v="11"/>
    </i>
    <i r="2">
      <x v="251"/>
      <x v="20"/>
    </i>
    <i r="2">
      <x v="252"/>
      <x v="18"/>
    </i>
    <i r="2">
      <x v="253"/>
      <x v="17"/>
    </i>
    <i r="2">
      <x v="254"/>
      <x v="22"/>
    </i>
    <i r="2">
      <x v="255"/>
      <x v="18"/>
    </i>
    <i t="default" r="1">
      <x v="3"/>
    </i>
    <i r="1">
      <x v="4"/>
      <x v="256"/>
      <x v="18"/>
    </i>
    <i r="2">
      <x v="257"/>
      <x v="22"/>
    </i>
    <i r="2">
      <x v="258"/>
      <x v="18"/>
    </i>
    <i r="2">
      <x v="259"/>
      <x v="3"/>
    </i>
    <i r="2">
      <x v="260"/>
      <x v="7"/>
    </i>
    <i r="2">
      <x v="261"/>
      <x v="21"/>
    </i>
    <i r="2">
      <x v="262"/>
      <x v="24"/>
    </i>
    <i r="2">
      <x v="263"/>
      <x v="7"/>
    </i>
    <i r="2">
      <x v="264"/>
      <x v="18"/>
    </i>
    <i r="2">
      <x v="265"/>
      <x v="6"/>
    </i>
    <i r="2">
      <x v="266"/>
      <x v="18"/>
    </i>
    <i r="2">
      <x v="267"/>
      <x v="20"/>
    </i>
    <i r="2">
      <x v="268"/>
      <x v="18"/>
    </i>
    <i r="2">
      <x v="269"/>
      <x v="25"/>
    </i>
    <i r="2">
      <x v="270"/>
      <x v="18"/>
    </i>
    <i r="2">
      <x v="271"/>
      <x v="11"/>
    </i>
    <i r="2">
      <x v="272"/>
      <x v="18"/>
    </i>
    <i r="2">
      <x v="273"/>
      <x v="17"/>
    </i>
    <i r="2">
      <x v="274"/>
      <x v="8"/>
    </i>
    <i r="2">
      <x v="275"/>
      <x v="18"/>
    </i>
    <i r="2">
      <x v="276"/>
      <x v="20"/>
    </i>
    <i t="default" r="1">
      <x v="4"/>
    </i>
    <i r="1">
      <x v="5"/>
      <x v="277"/>
      <x v="18"/>
    </i>
    <i r="2">
      <x v="278"/>
      <x v="21"/>
    </i>
    <i r="2">
      <x v="279"/>
      <x v="18"/>
    </i>
    <i r="2">
      <x v="280"/>
      <x v="5"/>
    </i>
    <i r="2">
      <x v="281"/>
      <x v="11"/>
    </i>
    <i r="2">
      <x v="282"/>
      <x v="21"/>
    </i>
    <i r="2">
      <x v="283"/>
      <x v="20"/>
    </i>
    <i r="2">
      <x v="284"/>
      <x v="18"/>
    </i>
    <i r="2">
      <x v="285"/>
      <x v="22"/>
    </i>
    <i r="2">
      <x v="286"/>
      <x v="3"/>
    </i>
    <i r="2">
      <x v="287"/>
      <x v="5"/>
    </i>
    <i r="2">
      <x v="288"/>
      <x v="18"/>
    </i>
    <i r="2">
      <x v="289"/>
      <x v="7"/>
    </i>
    <i r="2">
      <x v="290"/>
      <x v="20"/>
    </i>
    <i r="2">
      <x v="291"/>
      <x v="18"/>
    </i>
    <i r="2">
      <x v="292"/>
      <x v="17"/>
    </i>
    <i r="2">
      <x v="293"/>
      <x v="11"/>
    </i>
    <i t="default" r="1">
      <x v="5"/>
    </i>
    <i r="1">
      <x v="6"/>
      <x v="294"/>
      <x v="3"/>
    </i>
    <i r="2">
      <x v="295"/>
      <x v="17"/>
    </i>
    <i r="2">
      <x v="296"/>
      <x v="18"/>
    </i>
    <i r="2">
      <x v="297"/>
      <x v="26"/>
    </i>
    <i r="2">
      <x v="298"/>
      <x v="18"/>
    </i>
    <i r="2">
      <x v="299"/>
      <x v="18"/>
    </i>
    <i r="2">
      <x v="300"/>
      <x v="18"/>
    </i>
    <i r="2">
      <x v="301"/>
      <x v="5"/>
    </i>
    <i r="2">
      <x v="302"/>
      <x v="11"/>
    </i>
    <i r="2">
      <x v="303"/>
      <x v="20"/>
    </i>
    <i r="2">
      <x v="304"/>
      <x v="3"/>
    </i>
    <i t="default" r="1">
      <x v="6"/>
    </i>
    <i r="1">
      <x v="7"/>
      <x v="305"/>
      <x v="26"/>
    </i>
    <i r="2">
      <x v="306"/>
      <x v="18"/>
    </i>
    <i r="2">
      <x v="307"/>
      <x v="5"/>
    </i>
    <i r="2">
      <x v="308"/>
      <x v="25"/>
    </i>
    <i r="2">
      <x v="309"/>
      <x v="18"/>
    </i>
    <i r="2">
      <x v="310"/>
      <x v="28"/>
    </i>
    <i r="2">
      <x v="311"/>
      <x v="8"/>
    </i>
    <i r="2">
      <x v="312"/>
      <x v="6"/>
    </i>
    <i r="2">
      <x v="313"/>
      <x v="20"/>
    </i>
    <i r="2">
      <x v="314"/>
      <x v="26"/>
    </i>
    <i r="2">
      <x v="315"/>
      <x v="18"/>
    </i>
    <i r="2">
      <x v="316"/>
      <x v="3"/>
    </i>
    <i r="2">
      <x v="317"/>
      <x v="11"/>
    </i>
    <i r="2">
      <x v="318"/>
      <x v="26"/>
    </i>
    <i r="2">
      <x v="319"/>
      <x v="17"/>
    </i>
    <i t="default" r="1">
      <x v="7"/>
    </i>
    <i r="1">
      <x v="8"/>
      <x v="320"/>
      <x v="18"/>
    </i>
    <i r="2">
      <x v="321"/>
      <x v="3"/>
    </i>
    <i r="2">
      <x v="322"/>
      <x v="18"/>
    </i>
    <i r="2">
      <x v="323"/>
      <x v="27"/>
    </i>
    <i r="2">
      <x v="324"/>
      <x v="18"/>
    </i>
    <i r="2">
      <x v="325"/>
      <x v="20"/>
    </i>
    <i r="2">
      <x v="326"/>
      <x v="18"/>
    </i>
    <i r="2">
      <x v="327"/>
      <x v="18"/>
    </i>
    <i r="2">
      <x v="328"/>
      <x v="5"/>
    </i>
    <i r="2">
      <x v="329"/>
      <x v="20"/>
    </i>
    <i r="2">
      <x v="330"/>
      <x v="17"/>
    </i>
    <i r="2">
      <x v="331"/>
      <x v="11"/>
    </i>
    <i r="2">
      <x v="332"/>
      <x v="20"/>
    </i>
    <i r="2">
      <x v="333"/>
      <x v="21"/>
    </i>
    <i r="2">
      <x v="334"/>
      <x v="21"/>
    </i>
    <i r="2">
      <x v="335"/>
      <x v="26"/>
    </i>
    <i r="2">
      <x v="336"/>
      <x v="27"/>
    </i>
    <i t="default" r="1">
      <x v="8"/>
    </i>
    <i r="1">
      <x v="9"/>
      <x v="337"/>
      <x v="11"/>
    </i>
    <i r="2">
      <x v="338"/>
      <x v="18"/>
    </i>
    <i r="2">
      <x v="339"/>
      <x v="20"/>
    </i>
    <i r="2">
      <x v="340"/>
      <x v="6"/>
    </i>
    <i r="2">
      <x v="341"/>
      <x v="6"/>
    </i>
    <i r="2">
      <x v="342"/>
      <x v="7"/>
    </i>
    <i r="2">
      <x v="343"/>
      <x v="17"/>
    </i>
    <i r="2">
      <x v="344"/>
      <x v="18"/>
    </i>
    <i r="2">
      <x v="345"/>
      <x v="20"/>
    </i>
    <i r="2">
      <x v="346"/>
      <x v="11"/>
    </i>
    <i r="2">
      <x v="347"/>
      <x v="25"/>
    </i>
    <i r="2">
      <x v="348"/>
      <x v="11"/>
    </i>
    <i r="2">
      <x v="349"/>
      <x v="3"/>
    </i>
    <i r="2">
      <x v="350"/>
      <x v="8"/>
    </i>
    <i r="2">
      <x v="351"/>
      <x v="5"/>
    </i>
    <i r="2">
      <x v="352"/>
      <x v="18"/>
    </i>
    <i r="2">
      <x v="353"/>
      <x v="20"/>
    </i>
    <i r="2">
      <x v="354"/>
      <x v="18"/>
    </i>
    <i r="2">
      <x v="355"/>
      <x v="18"/>
    </i>
    <i r="2">
      <x v="356"/>
      <x v="20"/>
    </i>
    <i t="default" r="1">
      <x v="9"/>
    </i>
    <i r="1">
      <x v="10"/>
      <x v="357"/>
      <x v="8"/>
    </i>
    <i r="2">
      <x v="358"/>
      <x v="11"/>
    </i>
    <i r="2">
      <x v="359"/>
      <x v="3"/>
    </i>
    <i r="2">
      <x v="360"/>
      <x v="18"/>
    </i>
    <i r="2">
      <x v="361"/>
      <x v="29"/>
    </i>
    <i r="2">
      <x v="362"/>
      <x v="21"/>
    </i>
    <i r="2">
      <x v="363"/>
      <x v="30"/>
    </i>
    <i r="2">
      <x v="364"/>
      <x v="20"/>
    </i>
    <i r="2">
      <x v="365"/>
      <x v="18"/>
    </i>
    <i r="2">
      <x v="366"/>
      <x v="26"/>
    </i>
    <i r="2">
      <x v="367"/>
      <x v="17"/>
    </i>
    <i r="2">
      <x v="368"/>
      <x v="17"/>
    </i>
    <i r="2">
      <x v="369"/>
      <x v="5"/>
    </i>
    <i r="2">
      <x v="370"/>
      <x v="29"/>
    </i>
    <i r="2">
      <x v="371"/>
      <x v="18"/>
    </i>
    <i r="2">
      <x v="372"/>
      <x v="6"/>
    </i>
    <i r="2">
      <x v="373"/>
      <x v="11"/>
    </i>
    <i r="2">
      <x v="374"/>
      <x v="31"/>
    </i>
    <i r="2">
      <x v="375"/>
      <x v="32"/>
    </i>
    <i t="default" r="1">
      <x v="10"/>
    </i>
    <i r="1">
      <x v="11"/>
      <x v="376"/>
      <x v="29"/>
    </i>
    <i r="2">
      <x v="377"/>
      <x v="21"/>
    </i>
    <i r="2">
      <x v="378"/>
      <x v="18"/>
    </i>
    <i r="2">
      <x v="379"/>
      <x v="18"/>
    </i>
    <i r="2">
      <x v="380"/>
      <x v="3"/>
    </i>
    <i r="2">
      <x v="381"/>
      <x v="18"/>
    </i>
    <i r="2">
      <x v="382"/>
      <x v="21"/>
    </i>
    <i r="2">
      <x v="383"/>
      <x v="20"/>
    </i>
    <i r="2">
      <x v="384"/>
      <x v="21"/>
    </i>
    <i r="2">
      <x v="385"/>
      <x v="18"/>
    </i>
    <i r="2">
      <x v="386"/>
      <x v="20"/>
    </i>
    <i r="2">
      <x v="387"/>
      <x v="25"/>
    </i>
    <i r="2">
      <x v="388"/>
      <x v="18"/>
    </i>
    <i r="2">
      <x v="389"/>
      <x v="5"/>
    </i>
    <i r="2">
      <x v="390"/>
      <x v="21"/>
    </i>
    <i r="2">
      <x v="391"/>
      <x v="17"/>
    </i>
    <i r="2">
      <x v="392"/>
      <x v="20"/>
    </i>
    <i r="2">
      <x v="393"/>
      <x v="11"/>
    </i>
    <i r="2">
      <x v="394"/>
      <x v="18"/>
    </i>
    <i r="2">
      <x v="395"/>
      <x v="18"/>
    </i>
    <i t="default" r="1">
      <x v="11"/>
    </i>
    <i t="default">
      <x v="3"/>
    </i>
    <i>
      <x v="4"/>
      <x/>
      <x v="396"/>
      <x v="18"/>
    </i>
    <i r="2">
      <x v="397"/>
      <x v="22"/>
    </i>
    <i r="2">
      <x v="398"/>
      <x v="18"/>
    </i>
    <i r="2">
      <x v="399"/>
      <x v="20"/>
    </i>
    <i r="2">
      <x v="400"/>
      <x v="22"/>
    </i>
    <i r="2">
      <x v="401"/>
      <x v="18"/>
    </i>
    <i r="2">
      <x v="402"/>
      <x v="5"/>
    </i>
    <i r="2">
      <x v="403"/>
      <x v="13"/>
    </i>
    <i r="2">
      <x v="404"/>
      <x v="22"/>
    </i>
    <i r="2">
      <x v="405"/>
      <x v="11"/>
    </i>
    <i r="2">
      <x v="406"/>
      <x v="18"/>
    </i>
    <i r="2">
      <x v="407"/>
      <x v="21"/>
    </i>
    <i r="2">
      <x v="408"/>
      <x v="22"/>
    </i>
    <i r="2">
      <x v="409"/>
      <x v="27"/>
    </i>
    <i r="2">
      <x v="410"/>
      <x v="18"/>
    </i>
    <i r="2">
      <x v="411"/>
      <x v="20"/>
    </i>
    <i r="2">
      <x v="412"/>
      <x v="21"/>
    </i>
    <i r="2">
      <x v="413"/>
      <x v="11"/>
    </i>
    <i r="2">
      <x v="414"/>
      <x v="18"/>
    </i>
    <i r="2">
      <x v="415"/>
      <x v="17"/>
    </i>
    <i r="2">
      <x v="416"/>
      <x v="3"/>
    </i>
    <i r="2">
      <x v="417"/>
      <x v="33"/>
    </i>
    <i r="2">
      <x v="418"/>
      <x v="18"/>
    </i>
    <i r="2">
      <x v="419"/>
      <x v="21"/>
    </i>
    <i t="default" r="1">
      <x/>
    </i>
    <i r="1">
      <x v="1"/>
      <x v="420"/>
      <x v="33"/>
    </i>
    <i r="2">
      <x v="421"/>
      <x v="20"/>
    </i>
    <i r="2">
      <x v="422"/>
      <x v="18"/>
    </i>
    <i r="2">
      <x v="423"/>
      <x v="21"/>
    </i>
    <i r="2">
      <x v="424"/>
      <x v="33"/>
    </i>
    <i r="2">
      <x v="425"/>
      <x v="18"/>
    </i>
    <i r="2">
      <x v="426"/>
      <x v="18"/>
    </i>
    <i r="2">
      <x v="427"/>
      <x v="21"/>
    </i>
    <i r="2">
      <x v="428"/>
      <x v="20"/>
    </i>
    <i r="2">
      <x v="429"/>
      <x v="11"/>
    </i>
    <i r="2">
      <x v="430"/>
      <x v="18"/>
    </i>
    <i r="2">
      <x v="431"/>
      <x v="18"/>
    </i>
    <i r="2">
      <x v="432"/>
      <x v="17"/>
    </i>
    <i r="2">
      <x v="433"/>
      <x v="36"/>
    </i>
    <i r="2">
      <x v="434"/>
      <x v="18"/>
    </i>
    <i r="2">
      <x v="435"/>
      <x v="18"/>
    </i>
    <i r="2">
      <x v="436"/>
      <x v="18"/>
    </i>
    <i r="2">
      <x v="437"/>
      <x v="21"/>
    </i>
    <i r="2">
      <x v="438"/>
      <x v="20"/>
    </i>
    <i r="2">
      <x v="439"/>
      <x v="8"/>
    </i>
    <i r="2">
      <x v="440"/>
      <x v="18"/>
    </i>
    <i r="2">
      <x v="441"/>
      <x v="18"/>
    </i>
    <i r="2">
      <x v="442"/>
      <x v="26"/>
    </i>
    <i r="2">
      <x v="443"/>
      <x v="18"/>
    </i>
    <i r="2">
      <x v="444"/>
      <x v="17"/>
    </i>
    <i r="2">
      <x v="445"/>
      <x v="17"/>
    </i>
    <i t="default" r="1">
      <x v="1"/>
    </i>
    <i r="1">
      <x v="2"/>
      <x v="446"/>
      <x v="21"/>
    </i>
    <i r="2">
      <x v="447"/>
      <x v="5"/>
    </i>
    <i r="2">
      <x v="448"/>
      <x v="37"/>
    </i>
    <i r="2">
      <x v="449"/>
      <x v="18"/>
    </i>
    <i r="2">
      <x v="450"/>
      <x v="18"/>
    </i>
    <i r="2">
      <x v="451"/>
      <x v="38"/>
    </i>
    <i r="2">
      <x v="452"/>
      <x v="37"/>
    </i>
    <i r="2">
      <x v="453"/>
      <x v="20"/>
    </i>
    <i r="2">
      <x v="454"/>
      <x v="17"/>
    </i>
    <i r="2">
      <x v="455"/>
      <x v="17"/>
    </i>
    <i r="2">
      <x v="456"/>
      <x v="13"/>
    </i>
    <i r="2">
      <x v="457"/>
      <x v="18"/>
    </i>
    <i r="2">
      <x v="458"/>
      <x v="11"/>
    </i>
    <i r="2">
      <x v="459"/>
      <x v="18"/>
    </i>
    <i r="2">
      <x v="460"/>
      <x v="18"/>
    </i>
    <i r="2">
      <x v="461"/>
      <x v="17"/>
    </i>
    <i r="2">
      <x v="462"/>
      <x v="3"/>
    </i>
    <i r="2">
      <x v="463"/>
      <x v="20"/>
    </i>
    <i r="2">
      <x v="464"/>
      <x v="13"/>
    </i>
    <i r="2">
      <x v="465"/>
      <x v="38"/>
    </i>
    <i r="2">
      <x v="466"/>
      <x v="18"/>
    </i>
    <i r="2">
      <x v="467"/>
      <x v="18"/>
    </i>
    <i r="2">
      <x v="468"/>
      <x v="20"/>
    </i>
    <i r="2">
      <x v="469"/>
      <x v="33"/>
    </i>
    <i r="2">
      <x v="470"/>
      <x v="33"/>
    </i>
    <i r="2">
      <x v="471"/>
      <x v="25"/>
    </i>
    <i r="2">
      <x v="472"/>
      <x v="38"/>
    </i>
    <i r="2">
      <x v="473"/>
      <x v="33"/>
    </i>
    <i r="2">
      <x v="474"/>
      <x v="33"/>
    </i>
    <i r="2">
      <x v="475"/>
      <x v="18"/>
    </i>
    <i r="2">
      <x v="476"/>
      <x v="18"/>
    </i>
    <i t="default" r="1">
      <x v="2"/>
    </i>
    <i r="1">
      <x v="3"/>
      <x v="477"/>
      <x v="21"/>
    </i>
    <i r="2">
      <x v="478"/>
      <x v="33"/>
    </i>
    <i r="2">
      <x v="479"/>
      <x v="36"/>
    </i>
    <i r="2">
      <x v="480"/>
      <x v="26"/>
    </i>
    <i r="2">
      <x v="481"/>
      <x v="11"/>
    </i>
    <i r="2">
      <x v="482"/>
      <x v="20"/>
    </i>
    <i r="2">
      <x v="483"/>
      <x v="18"/>
    </i>
    <i r="2">
      <x v="484"/>
      <x v="3"/>
    </i>
    <i r="2">
      <x v="485"/>
      <x v="17"/>
    </i>
    <i r="2">
      <x v="486"/>
      <x v="21"/>
    </i>
    <i r="2">
      <x v="487"/>
      <x v="7"/>
    </i>
    <i r="2">
      <x v="488"/>
      <x v="33"/>
    </i>
    <i r="2">
      <x v="489"/>
      <x v="18"/>
    </i>
    <i r="2">
      <x v="490"/>
      <x v="39"/>
    </i>
    <i r="2">
      <x v="491"/>
      <x v="20"/>
    </i>
    <i r="2">
      <x v="492"/>
      <x v="38"/>
    </i>
    <i r="2">
      <x v="493"/>
      <x v="21"/>
    </i>
    <i r="2">
      <x v="494"/>
      <x v="18"/>
    </i>
    <i r="2">
      <x v="495"/>
      <x v="18"/>
    </i>
    <i r="2">
      <x v="496"/>
      <x v="20"/>
    </i>
    <i r="2">
      <x v="497"/>
      <x v="3"/>
    </i>
    <i r="2">
      <x v="498"/>
      <x v="34"/>
    </i>
    <i r="2">
      <x v="499"/>
      <x v="13"/>
    </i>
    <i r="2">
      <x v="500"/>
      <x v="5"/>
    </i>
    <i r="2">
      <x v="501"/>
      <x v="17"/>
    </i>
    <i r="2">
      <x v="502"/>
      <x v="18"/>
    </i>
    <i r="2">
      <x v="503"/>
      <x v="20"/>
    </i>
    <i r="2">
      <x v="504"/>
      <x v="17"/>
    </i>
    <i t="default" r="1">
      <x v="3"/>
    </i>
    <i r="1">
      <x v="4"/>
      <x v="505"/>
      <x v="38"/>
    </i>
    <i r="2">
      <x v="506"/>
      <x v="33"/>
    </i>
    <i r="2">
      <x v="507"/>
      <x v="18"/>
    </i>
    <i r="2">
      <x v="508"/>
      <x v="18"/>
    </i>
    <i r="2">
      <x v="509"/>
      <x v="26"/>
    </i>
    <i r="2">
      <x v="510"/>
      <x v="33"/>
    </i>
    <i r="2">
      <x v="511"/>
      <x v="3"/>
    </i>
    <i r="2">
      <x v="512"/>
      <x v="18"/>
    </i>
    <i r="2">
      <x v="513"/>
      <x v="18"/>
    </i>
    <i r="2">
      <x v="514"/>
      <x v="13"/>
    </i>
    <i r="2">
      <x v="515"/>
      <x v="17"/>
    </i>
    <i r="2">
      <x v="516"/>
      <x v="11"/>
    </i>
    <i r="2">
      <x v="517"/>
      <x v="38"/>
    </i>
    <i r="2">
      <x v="518"/>
      <x v="6"/>
    </i>
    <i r="2">
      <x v="519"/>
      <x v="39"/>
    </i>
    <i r="2">
      <x v="520"/>
      <x v="20"/>
    </i>
    <i r="2">
      <x v="521"/>
      <x v="34"/>
    </i>
    <i r="2">
      <x v="522"/>
      <x v="33"/>
    </i>
    <i r="2">
      <x v="523"/>
      <x v="33"/>
    </i>
    <i r="2">
      <x v="524"/>
      <x v="18"/>
    </i>
    <i r="2">
      <x v="525"/>
      <x v="18"/>
    </i>
    <i r="2">
      <x v="526"/>
      <x v="13"/>
    </i>
    <i r="2">
      <x v="527"/>
      <x v="39"/>
    </i>
    <i r="2">
      <x v="528"/>
      <x v="18"/>
    </i>
    <i r="2">
      <x v="529"/>
      <x v="3"/>
    </i>
    <i r="2">
      <x v="530"/>
      <x v="13"/>
    </i>
    <i r="2">
      <x v="531"/>
      <x v="33"/>
    </i>
    <i r="2">
      <x v="532"/>
      <x v="5"/>
    </i>
    <i t="default" r="1">
      <x v="4"/>
    </i>
    <i r="1">
      <x v="5"/>
      <x v="533"/>
      <x v="39"/>
    </i>
    <i r="2">
      <x v="534"/>
      <x v="33"/>
    </i>
    <i r="2">
      <x v="535"/>
      <x v="17"/>
    </i>
    <i r="2">
      <x v="536"/>
      <x v="22"/>
    </i>
    <i r="2">
      <x v="537"/>
      <x v="11"/>
    </i>
    <i r="2">
      <x v="538"/>
      <x v="13"/>
    </i>
    <i r="2">
      <x v="539"/>
      <x v="40"/>
    </i>
    <i r="2">
      <x v="540"/>
      <x v="33"/>
    </i>
    <i r="2">
      <x v="541"/>
      <x v="33"/>
    </i>
    <i r="2">
      <x v="542"/>
      <x v="17"/>
    </i>
    <i r="2">
      <x v="543"/>
      <x v="13"/>
    </i>
    <i r="2">
      <x v="544"/>
      <x v="39"/>
    </i>
    <i r="2">
      <x v="545"/>
      <x v="33"/>
    </i>
    <i r="2">
      <x v="546"/>
      <x v="18"/>
    </i>
    <i r="2">
      <x v="547"/>
      <x v="18"/>
    </i>
    <i r="2">
      <x v="548"/>
      <x v="34"/>
    </i>
    <i r="2">
      <x v="549"/>
      <x v="38"/>
    </i>
    <i r="2">
      <x v="550"/>
      <x v="33"/>
    </i>
    <i r="2">
      <x v="551"/>
      <x v="33"/>
    </i>
    <i r="2">
      <x v="552"/>
      <x v="38"/>
    </i>
    <i r="2">
      <x v="553"/>
      <x v="20"/>
    </i>
    <i r="2">
      <x v="554"/>
      <x v="33"/>
    </i>
    <i r="2">
      <x v="555"/>
      <x v="13"/>
    </i>
    <i r="2">
      <x v="556"/>
      <x v="17"/>
    </i>
    <i r="2">
      <x v="557"/>
      <x v="34"/>
    </i>
    <i r="2">
      <x v="558"/>
      <x v="33"/>
    </i>
    <i r="2">
      <x v="559"/>
      <x v="20"/>
    </i>
    <i t="default" r="1">
      <x v="5"/>
    </i>
    <i r="1">
      <x v="6"/>
      <x v="560"/>
      <x v="3"/>
    </i>
    <i r="2">
      <x v="561"/>
      <x v="18"/>
    </i>
    <i r="2">
      <x v="562"/>
      <x v="33"/>
    </i>
    <i r="2">
      <x v="563"/>
      <x v="33"/>
    </i>
    <i r="2">
      <x v="564"/>
      <x v="21"/>
    </i>
    <i r="2">
      <x v="565"/>
      <x v="26"/>
    </i>
    <i r="2">
      <x v="566"/>
      <x v="13"/>
    </i>
    <i r="2">
      <x v="567"/>
      <x v="11"/>
    </i>
    <i r="2">
      <x v="568"/>
      <x v="33"/>
    </i>
    <i r="2">
      <x v="569"/>
      <x v="20"/>
    </i>
    <i r="2">
      <x v="570"/>
      <x v="38"/>
    </i>
    <i r="2">
      <x v="571"/>
      <x v="33"/>
    </i>
    <i r="2">
      <x v="572"/>
      <x v="20"/>
    </i>
    <i r="2">
      <x v="573"/>
      <x v="17"/>
    </i>
    <i r="2">
      <x v="574"/>
      <x v="18"/>
    </i>
    <i r="2">
      <x v="575"/>
      <x v="17"/>
    </i>
    <i r="2">
      <x v="576"/>
      <x v="11"/>
    </i>
    <i r="2">
      <x v="577"/>
      <x v="38"/>
    </i>
    <i r="2">
      <x v="578"/>
      <x v="33"/>
    </i>
    <i r="2">
      <x v="579"/>
      <x v="39"/>
    </i>
    <i r="2">
      <x v="580"/>
      <x v="18"/>
    </i>
    <i r="2">
      <x v="581"/>
      <x v="20"/>
    </i>
    <i r="2">
      <x v="582"/>
      <x v="18"/>
    </i>
    <i r="2">
      <x v="583"/>
      <x v="18"/>
    </i>
    <i r="2">
      <x v="584"/>
      <x v="6"/>
    </i>
    <i r="2">
      <x v="585"/>
      <x v="34"/>
    </i>
    <i t="default" r="1">
      <x v="6"/>
    </i>
    <i r="1">
      <x v="7"/>
      <x v="586"/>
      <x v="33"/>
    </i>
    <i r="2">
      <x v="587"/>
      <x v="3"/>
    </i>
    <i r="2">
      <x v="588"/>
      <x v="13"/>
    </i>
    <i r="2">
      <x v="589"/>
      <x v="11"/>
    </i>
    <i r="2">
      <x v="590"/>
      <x v="7"/>
    </i>
    <i r="2">
      <x v="591"/>
      <x v="17"/>
    </i>
    <i r="2">
      <x v="592"/>
      <x v="18"/>
    </i>
    <i r="2">
      <x v="593"/>
      <x v="13"/>
    </i>
    <i r="3">
      <x v="18"/>
    </i>
    <i r="2">
      <x v="594"/>
      <x v="18"/>
    </i>
    <i r="2">
      <x v="595"/>
      <x v="18"/>
    </i>
    <i r="2">
      <x v="596"/>
      <x v="33"/>
    </i>
    <i r="2">
      <x v="597"/>
      <x v="38"/>
    </i>
    <i r="2">
      <x v="598"/>
      <x v="3"/>
    </i>
    <i r="2">
      <x v="599"/>
      <x v="33"/>
    </i>
    <i r="2">
      <x v="600"/>
      <x v="40"/>
    </i>
    <i r="2">
      <x v="601"/>
      <x v="17"/>
    </i>
    <i r="2">
      <x v="602"/>
      <x v="18"/>
    </i>
    <i r="2">
      <x v="603"/>
      <x v="18"/>
    </i>
    <i r="2">
      <x v="604"/>
      <x v="33"/>
    </i>
    <i r="2">
      <x v="605"/>
      <x v="6"/>
    </i>
    <i r="2">
      <x v="606"/>
      <x v="13"/>
    </i>
    <i r="2">
      <x v="607"/>
      <x v="17"/>
    </i>
    <i r="2">
      <x v="608"/>
      <x v="7"/>
    </i>
    <i r="2">
      <x v="609"/>
      <x v="38"/>
    </i>
    <i r="2">
      <x v="610"/>
      <x v="18"/>
    </i>
    <i r="2">
      <x v="611"/>
      <x v="18"/>
    </i>
    <i r="2">
      <x v="612"/>
      <x v="17"/>
    </i>
    <i r="2">
      <x v="613"/>
      <x v="33"/>
    </i>
    <i r="2">
      <x v="614"/>
      <x v="33"/>
    </i>
    <i r="2">
      <x v="615"/>
      <x v="20"/>
    </i>
    <i r="2">
      <x v="616"/>
      <x v="17"/>
    </i>
    <i r="2">
      <x v="617"/>
      <x v="33"/>
    </i>
    <i r="2">
      <x v="618"/>
      <x v="18"/>
    </i>
    <i r="2">
      <x v="619"/>
      <x v="18"/>
    </i>
    <i r="2">
      <x v="620"/>
      <x v="17"/>
    </i>
    <i t="default" r="1">
      <x v="7"/>
    </i>
    <i r="1">
      <x v="8"/>
      <x v="621"/>
      <x v="18"/>
    </i>
    <i r="2">
      <x v="622"/>
      <x v="18"/>
    </i>
    <i r="2">
      <x v="623"/>
      <x v="33"/>
    </i>
    <i r="2">
      <x v="624"/>
      <x v="34"/>
    </i>
    <i r="2">
      <x v="625"/>
      <x v="18"/>
    </i>
    <i r="2">
      <x v="626"/>
      <x v="18"/>
    </i>
    <i r="2">
      <x v="627"/>
      <x v="11"/>
    </i>
    <i r="2">
      <x v="628"/>
      <x v="33"/>
    </i>
    <i r="2">
      <x v="629"/>
      <x v="13"/>
    </i>
    <i r="2">
      <x v="630"/>
      <x v="13"/>
    </i>
    <i r="2">
      <x v="631"/>
      <x v="20"/>
    </i>
    <i r="2">
      <x v="632"/>
      <x v="17"/>
    </i>
    <i r="2">
      <x v="633"/>
      <x v="3"/>
    </i>
    <i r="2">
      <x v="634"/>
      <x v="18"/>
    </i>
    <i r="2">
      <x v="635"/>
      <x v="18"/>
    </i>
    <i r="2">
      <x v="636"/>
      <x v="41"/>
    </i>
    <i r="2">
      <x v="637"/>
      <x v="42"/>
    </i>
    <i r="2">
      <x v="638"/>
      <x v="33"/>
    </i>
    <i r="2">
      <x v="639"/>
      <x v="6"/>
    </i>
    <i r="2">
      <x v="640"/>
      <x v="13"/>
    </i>
    <i r="2">
      <x v="641"/>
      <x v="18"/>
    </i>
    <i r="2">
      <x v="642"/>
      <x v="18"/>
    </i>
    <i r="2">
      <x v="643"/>
      <x v="17"/>
    </i>
    <i r="2">
      <x v="644"/>
      <x v="18"/>
    </i>
    <i r="2">
      <x v="645"/>
      <x v="18"/>
    </i>
    <i r="2">
      <x v="646"/>
      <x v="21"/>
    </i>
    <i r="2">
      <x v="647"/>
      <x v="34"/>
    </i>
    <i r="2">
      <x v="648"/>
      <x v="18"/>
    </i>
    <i r="2">
      <x v="649"/>
      <x v="18"/>
    </i>
    <i r="2">
      <x v="650"/>
      <x v="38"/>
    </i>
    <i r="2">
      <x v="651"/>
      <x v="13"/>
    </i>
    <i r="2">
      <x v="652"/>
      <x v="17"/>
    </i>
    <i r="2">
      <x v="653"/>
      <x v="33"/>
    </i>
    <i r="2">
      <x v="654"/>
      <x v="17"/>
    </i>
    <i r="2">
      <x v="655"/>
      <x v="18"/>
    </i>
    <i r="2">
      <x v="656"/>
      <x v="18"/>
    </i>
    <i r="2">
      <x v="657"/>
      <x v="33"/>
    </i>
    <i r="2">
      <x v="658"/>
      <x v="18"/>
    </i>
    <i r="2">
      <x v="659"/>
      <x v="18"/>
    </i>
    <i t="default" r="1">
      <x v="8"/>
    </i>
    <i r="1">
      <x v="9"/>
      <x v="660"/>
      <x v="13"/>
    </i>
    <i r="2">
      <x v="661"/>
      <x v="34"/>
    </i>
    <i r="2">
      <x v="662"/>
      <x v="17"/>
    </i>
    <i r="2">
      <x v="663"/>
      <x v="20"/>
    </i>
    <i r="2">
      <x v="664"/>
      <x v="18"/>
    </i>
    <i r="2">
      <x v="665"/>
      <x v="18"/>
    </i>
    <i r="2">
      <x v="666"/>
      <x v="21"/>
    </i>
    <i r="2">
      <x v="667"/>
      <x v="11"/>
    </i>
    <i r="2">
      <x v="668"/>
      <x v="18"/>
    </i>
    <i r="2">
      <x v="669"/>
      <x v="7"/>
    </i>
    <i r="2">
      <x v="670"/>
      <x v="18"/>
    </i>
    <i r="2">
      <x v="671"/>
      <x v="21"/>
    </i>
    <i r="2">
      <x v="672"/>
      <x v="13"/>
    </i>
    <i r="2">
      <x v="673"/>
      <x v="33"/>
    </i>
    <i r="2">
      <x v="674"/>
      <x v="3"/>
    </i>
    <i r="2">
      <x v="675"/>
      <x v="17"/>
    </i>
    <i r="2">
      <x v="676"/>
      <x v="21"/>
    </i>
    <i r="2">
      <x v="677"/>
      <x v="43"/>
    </i>
    <i r="2">
      <x v="678"/>
      <x v="43"/>
    </i>
    <i r="2">
      <x v="679"/>
      <x v="3"/>
    </i>
    <i r="2">
      <x v="680"/>
      <x v="43"/>
    </i>
    <i r="2">
      <x v="681"/>
      <x v="28"/>
    </i>
    <i r="2">
      <x v="682"/>
      <x v="43"/>
    </i>
    <i r="2">
      <x v="683"/>
      <x v="43"/>
    </i>
    <i r="2">
      <x v="684"/>
      <x v="44"/>
    </i>
    <i r="2">
      <x v="685"/>
      <x v="20"/>
    </i>
    <i r="2">
      <x v="686"/>
      <x v="17"/>
    </i>
    <i r="2">
      <x v="687"/>
      <x v="43"/>
    </i>
    <i r="2">
      <x v="688"/>
      <x v="17"/>
    </i>
    <i r="2">
      <x v="689"/>
      <x v="33"/>
    </i>
    <i r="2">
      <x v="690"/>
      <x v="43"/>
    </i>
    <i r="2">
      <x v="691"/>
      <x v="43"/>
    </i>
    <i r="2">
      <x v="692"/>
      <x v="38"/>
    </i>
    <i r="2">
      <x v="693"/>
      <x v="43"/>
    </i>
    <i t="default" r="1">
      <x v="9"/>
    </i>
    <i r="1">
      <x v="10"/>
      <x v="694"/>
      <x v="34"/>
    </i>
    <i r="2">
      <x v="695"/>
      <x v="44"/>
    </i>
    <i r="2">
      <x v="696"/>
      <x v="17"/>
    </i>
    <i r="2">
      <x v="697"/>
      <x v="33"/>
    </i>
    <i r="2">
      <x v="698"/>
      <x v="43"/>
    </i>
    <i r="2">
      <x v="699"/>
      <x v="43"/>
    </i>
    <i r="2">
      <x v="700"/>
      <x v="20"/>
    </i>
    <i r="2">
      <x v="701"/>
      <x v="13"/>
    </i>
    <i r="2">
      <x v="702"/>
      <x v="43"/>
    </i>
    <i r="2">
      <x v="703"/>
      <x v="43"/>
    </i>
    <i r="2">
      <x v="704"/>
      <x v="43"/>
    </i>
    <i r="2">
      <x v="705"/>
      <x v="13"/>
    </i>
    <i r="2">
      <x v="706"/>
      <x v="11"/>
    </i>
    <i r="2">
      <x v="707"/>
      <x v="11"/>
    </i>
    <i r="2">
      <x v="708"/>
      <x v="17"/>
    </i>
    <i r="2">
      <x v="709"/>
      <x v="43"/>
    </i>
    <i r="2">
      <x v="710"/>
      <x v="43"/>
    </i>
    <i r="2">
      <x v="711"/>
      <x v="13"/>
    </i>
    <i r="2">
      <x v="712"/>
      <x v="43"/>
    </i>
    <i r="2">
      <x v="713"/>
      <x v="43"/>
    </i>
    <i r="2">
      <x v="714"/>
      <x v="7"/>
    </i>
    <i r="2">
      <x v="715"/>
      <x v="43"/>
    </i>
    <i r="2">
      <x v="716"/>
      <x v="43"/>
    </i>
    <i r="2">
      <x v="717"/>
      <x v="20"/>
    </i>
    <i r="2">
      <x v="718"/>
      <x v="26"/>
    </i>
    <i r="2">
      <x v="719"/>
      <x v="43"/>
    </i>
    <i r="2">
      <x v="720"/>
      <x v="43"/>
    </i>
    <i r="2">
      <x v="721"/>
      <x v="17"/>
    </i>
    <i t="default" r="1">
      <x v="10"/>
    </i>
    <i r="1">
      <x v="11"/>
      <x v="722"/>
      <x v="11"/>
    </i>
    <i r="2">
      <x v="723"/>
      <x v="43"/>
    </i>
    <i r="2">
      <x v="724"/>
      <x v="43"/>
    </i>
    <i r="2">
      <x v="725"/>
      <x v="42"/>
    </i>
    <i r="2">
      <x v="726"/>
      <x v="13"/>
    </i>
    <i r="2">
      <x v="727"/>
      <x v="20"/>
    </i>
    <i r="2">
      <x v="728"/>
      <x v="43"/>
    </i>
    <i r="2">
      <x v="729"/>
      <x v="43"/>
    </i>
    <i r="2">
      <x v="730"/>
      <x v="20"/>
    </i>
    <i r="2">
      <x v="731"/>
      <x v="21"/>
    </i>
    <i r="2">
      <x v="732"/>
      <x v="21"/>
    </i>
    <i r="2">
      <x v="733"/>
      <x v="17"/>
    </i>
    <i r="2">
      <x v="734"/>
      <x v="43"/>
    </i>
    <i r="2">
      <x v="735"/>
      <x v="43"/>
    </i>
    <i r="2">
      <x v="736"/>
      <x v="3"/>
    </i>
    <i r="2">
      <x v="737"/>
      <x v="43"/>
    </i>
    <i r="2">
      <x v="738"/>
      <x v="43"/>
    </i>
    <i r="2">
      <x v="739"/>
      <x v="20"/>
    </i>
    <i r="2">
      <x v="740"/>
      <x v="45"/>
    </i>
    <i r="2">
      <x v="741"/>
      <x v="13"/>
    </i>
    <i r="2">
      <x v="742"/>
      <x v="46"/>
    </i>
    <i r="2">
      <x v="743"/>
      <x v="43"/>
    </i>
    <i r="2">
      <x v="744"/>
      <x v="43"/>
    </i>
    <i r="2">
      <x v="745"/>
      <x v="20"/>
    </i>
    <i r="2">
      <x v="746"/>
      <x v="11"/>
    </i>
    <i r="2">
      <x v="747"/>
      <x v="17"/>
    </i>
    <i r="2">
      <x v="748"/>
      <x v="21"/>
    </i>
    <i r="2">
      <x v="749"/>
      <x v="38"/>
    </i>
    <i r="2">
      <x v="750"/>
      <x v="43"/>
    </i>
    <i r="2">
      <x v="751"/>
      <x v="43"/>
    </i>
    <i r="2">
      <x v="752"/>
      <x v="25"/>
    </i>
    <i r="2">
      <x v="753"/>
      <x v="45"/>
    </i>
    <i r="2">
      <x v="754"/>
      <x v="25"/>
    </i>
    <i r="2">
      <x v="755"/>
      <x v="20"/>
    </i>
    <i r="2">
      <x v="756"/>
      <x v="43"/>
    </i>
    <i r="2">
      <x v="757"/>
      <x v="43"/>
    </i>
    <i r="2">
      <x v="758"/>
      <x v="43"/>
    </i>
    <i r="2">
      <x v="759"/>
      <x v="43"/>
    </i>
    <i r="2">
      <x v="760"/>
      <x v="20"/>
    </i>
    <i r="2">
      <x v="761"/>
      <x v="17"/>
    </i>
    <i t="default" r="1">
      <x v="11"/>
    </i>
    <i t="default"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Sales Amount2" fld="13" baseField="1" baseItem="0" numFmtId="4"/>
    <dataField name="Sum of Collection" fld="14" baseField="1" baseItem="0" numFmtId="164"/>
    <dataField name="Sum of Outstanding" fld="15" baseField="1" baseItem="0" numFmtId="4"/>
  </dataFields>
  <formats count="6">
    <format dxfId="5">
      <pivotArea dataOnly="0" outline="0" fieldPosition="0">
        <references count="1">
          <reference field="1" count="0" defaultSubtotal="1"/>
        </references>
      </pivotArea>
    </format>
    <format dxfId="4">
      <pivotArea outline="0" fieldPosition="0">
        <references count="1">
          <reference field="4294967294" count="1">
            <x v="0"/>
          </reference>
        </references>
      </pivotArea>
    </format>
    <format dxfId="3">
      <pivotArea outline="0" fieldPosition="0">
        <references count="1">
          <reference field="4294967294" count="1">
            <x v="2"/>
          </reference>
        </references>
      </pivotArea>
    </format>
    <format dxfId="2">
      <pivotArea outline="0" fieldPosition="0">
        <references count="1">
          <reference field="4294967294" count="1">
            <x v="1"/>
          </reference>
        </references>
      </pivotArea>
    </format>
    <format dxfId="1">
      <pivotArea dataOnly="0" outline="0" fieldPosition="0">
        <references count="1">
          <reference field="2" count="1" defaultSubtotal="1">
            <x v="0"/>
          </reference>
        </references>
      </pivotArea>
    </format>
    <format dxfId="0">
      <pivotArea dataOnly="0" outline="0" fieldPosition="0">
        <references count="1">
          <reference field="2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4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8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11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pivotTable" Target="../pivotTables/pivot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rgb="FF4BEB35"/>
  </sheetPr>
  <dimension ref="A3:AL69"/>
  <sheetViews>
    <sheetView workbookViewId="0">
      <selection activeCell="E10" sqref="E10"/>
    </sheetView>
  </sheetViews>
  <sheetFormatPr defaultRowHeight="14.4" x14ac:dyDescent="0.3"/>
  <cols>
    <col min="1" max="1" width="35.21875" customWidth="1"/>
    <col min="2" max="2" width="14.6640625" customWidth="1"/>
    <col min="3" max="3" width="13.44140625" bestFit="1" customWidth="1"/>
    <col min="4" max="15" width="14.44140625" bestFit="1" customWidth="1"/>
    <col min="16" max="16" width="9.88671875" bestFit="1" customWidth="1"/>
    <col min="17" max="17" width="10.77734375" bestFit="1" customWidth="1"/>
    <col min="18" max="25" width="1.6640625" customWidth="1"/>
    <col min="26" max="26" width="12.77734375" bestFit="1" customWidth="1"/>
    <col min="27" max="27" width="14.5546875" customWidth="1"/>
    <col min="28" max="28" width="13.44140625" bestFit="1" customWidth="1"/>
    <col min="29" max="36" width="14.44140625" bestFit="1" customWidth="1"/>
    <col min="37" max="37" width="9.88671875" bestFit="1" customWidth="1"/>
    <col min="38" max="38" width="10.77734375" bestFit="1" customWidth="1"/>
    <col min="39" max="39" width="9.88671875" bestFit="1" customWidth="1"/>
    <col min="40" max="40" width="10.77734375" bestFit="1" customWidth="1"/>
  </cols>
  <sheetData>
    <row r="3" spans="1:38" x14ac:dyDescent="0.3">
      <c r="A3" s="14" t="s">
        <v>199</v>
      </c>
      <c r="D3" s="14" t="s">
        <v>226</v>
      </c>
      <c r="E3" s="26" t="s">
        <v>163</v>
      </c>
      <c r="Z3" s="14" t="s">
        <v>199</v>
      </c>
      <c r="AC3" s="14" t="s">
        <v>226</v>
      </c>
      <c r="AD3" s="26" t="s">
        <v>163</v>
      </c>
    </row>
    <row r="4" spans="1:38" x14ac:dyDescent="0.3">
      <c r="D4">
        <v>2022</v>
      </c>
      <c r="P4" t="s">
        <v>585</v>
      </c>
      <c r="Q4" t="s">
        <v>131</v>
      </c>
      <c r="AC4">
        <v>2022</v>
      </c>
      <c r="AK4" t="s">
        <v>585</v>
      </c>
      <c r="AL4" t="s">
        <v>131</v>
      </c>
    </row>
    <row r="5" spans="1:38" x14ac:dyDescent="0.3">
      <c r="A5" s="14" t="s">
        <v>1</v>
      </c>
      <c r="B5" s="14" t="s">
        <v>2</v>
      </c>
      <c r="C5" s="14" t="s">
        <v>3</v>
      </c>
      <c r="D5">
        <v>6</v>
      </c>
      <c r="E5">
        <v>7</v>
      </c>
      <c r="F5">
        <v>8</v>
      </c>
      <c r="G5">
        <v>9</v>
      </c>
      <c r="H5">
        <v>10</v>
      </c>
      <c r="I5">
        <v>11</v>
      </c>
      <c r="J5">
        <v>12</v>
      </c>
      <c r="K5">
        <v>1</v>
      </c>
      <c r="L5">
        <v>2</v>
      </c>
      <c r="M5">
        <v>3</v>
      </c>
      <c r="N5">
        <v>4</v>
      </c>
      <c r="O5">
        <v>5</v>
      </c>
      <c r="Z5" s="14" t="s">
        <v>1</v>
      </c>
      <c r="AA5" s="14" t="s">
        <v>2</v>
      </c>
      <c r="AB5" s="14" t="s">
        <v>3</v>
      </c>
      <c r="AC5">
        <v>6</v>
      </c>
      <c r="AD5">
        <v>7</v>
      </c>
      <c r="AE5">
        <v>8</v>
      </c>
      <c r="AF5">
        <v>1</v>
      </c>
      <c r="AG5">
        <v>2</v>
      </c>
      <c r="AH5">
        <v>3</v>
      </c>
      <c r="AI5">
        <v>4</v>
      </c>
      <c r="AJ5">
        <v>5</v>
      </c>
    </row>
    <row r="6" spans="1:38" x14ac:dyDescent="0.3">
      <c r="A6" t="s">
        <v>410</v>
      </c>
      <c r="B6" t="s">
        <v>547</v>
      </c>
      <c r="C6" s="57">
        <v>44564</v>
      </c>
      <c r="D6" s="18"/>
      <c r="E6" s="18"/>
      <c r="F6" s="18"/>
      <c r="G6" s="18"/>
      <c r="H6" s="18"/>
      <c r="I6" s="18"/>
      <c r="J6" s="18"/>
      <c r="K6" s="18">
        <v>8273</v>
      </c>
      <c r="L6" s="18"/>
      <c r="M6" s="18"/>
      <c r="N6" s="18"/>
      <c r="O6" s="18"/>
      <c r="P6" s="18">
        <v>8273</v>
      </c>
      <c r="Q6" s="18">
        <v>8273</v>
      </c>
      <c r="R6" s="18"/>
      <c r="S6" s="18"/>
      <c r="T6" s="18"/>
      <c r="U6" s="18"/>
      <c r="V6" s="18"/>
      <c r="W6" s="18"/>
      <c r="X6" s="18"/>
      <c r="Z6" t="s">
        <v>62</v>
      </c>
      <c r="AA6" t="s">
        <v>553</v>
      </c>
      <c r="AB6" s="57">
        <v>44572</v>
      </c>
      <c r="AC6" s="18"/>
      <c r="AD6" s="18"/>
      <c r="AE6" s="18"/>
      <c r="AF6" s="18">
        <v>15346</v>
      </c>
      <c r="AG6" s="18"/>
      <c r="AH6" s="18"/>
      <c r="AI6" s="18"/>
      <c r="AJ6" s="18"/>
      <c r="AK6" s="18">
        <v>15346</v>
      </c>
      <c r="AL6" s="18">
        <v>15346</v>
      </c>
    </row>
    <row r="7" spans="1:38" x14ac:dyDescent="0.3">
      <c r="B7" t="s">
        <v>549</v>
      </c>
      <c r="C7" s="57">
        <v>44568</v>
      </c>
      <c r="D7" s="18"/>
      <c r="E7" s="18"/>
      <c r="F7" s="18"/>
      <c r="G7" s="18"/>
      <c r="H7" s="18"/>
      <c r="I7" s="18"/>
      <c r="J7" s="18"/>
      <c r="K7" s="18">
        <v>1233</v>
      </c>
      <c r="L7" s="18"/>
      <c r="M7" s="18"/>
      <c r="N7" s="18"/>
      <c r="O7" s="18"/>
      <c r="P7" s="18">
        <v>1233</v>
      </c>
      <c r="Q7" s="18">
        <v>1233</v>
      </c>
      <c r="R7" s="18"/>
      <c r="S7" s="18"/>
      <c r="T7" s="18"/>
      <c r="U7" s="18"/>
      <c r="V7" s="18"/>
      <c r="W7" s="18"/>
      <c r="X7" s="18"/>
      <c r="AA7" t="s">
        <v>568</v>
      </c>
      <c r="AB7" s="57">
        <v>44585</v>
      </c>
      <c r="AC7" s="18"/>
      <c r="AD7" s="18"/>
      <c r="AE7" s="18"/>
      <c r="AF7" s="18">
        <v>13474</v>
      </c>
      <c r="AG7" s="18"/>
      <c r="AH7" s="18"/>
      <c r="AI7" s="18"/>
      <c r="AJ7" s="18"/>
      <c r="AK7" s="18">
        <v>13474</v>
      </c>
      <c r="AL7" s="18">
        <v>13474</v>
      </c>
    </row>
    <row r="8" spans="1:38" x14ac:dyDescent="0.3">
      <c r="B8" t="s">
        <v>550</v>
      </c>
      <c r="C8" s="57">
        <v>44569</v>
      </c>
      <c r="D8" s="18"/>
      <c r="E8" s="18"/>
      <c r="F8" s="18"/>
      <c r="G8" s="18"/>
      <c r="H8" s="18"/>
      <c r="I8" s="18"/>
      <c r="J8" s="18"/>
      <c r="K8" s="18">
        <v>7377</v>
      </c>
      <c r="L8" s="18"/>
      <c r="M8" s="18"/>
      <c r="N8" s="18"/>
      <c r="O8" s="18"/>
      <c r="P8" s="18">
        <v>7377</v>
      </c>
      <c r="Q8" s="18">
        <v>7377</v>
      </c>
      <c r="R8" s="18"/>
      <c r="S8" s="18"/>
      <c r="T8" s="18"/>
      <c r="U8" s="18"/>
      <c r="V8" s="18"/>
      <c r="W8" s="18"/>
      <c r="X8" s="18"/>
      <c r="AA8" t="s">
        <v>604</v>
      </c>
      <c r="AB8" s="57">
        <v>44609</v>
      </c>
      <c r="AC8" s="18"/>
      <c r="AD8" s="18"/>
      <c r="AE8" s="18"/>
      <c r="AF8" s="18"/>
      <c r="AG8" s="18">
        <v>14395</v>
      </c>
      <c r="AH8" s="18"/>
      <c r="AI8" s="18"/>
      <c r="AJ8" s="18"/>
      <c r="AK8" s="18">
        <v>14395</v>
      </c>
      <c r="AL8" s="18">
        <v>14395</v>
      </c>
    </row>
    <row r="9" spans="1:38" x14ac:dyDescent="0.3">
      <c r="B9" t="s">
        <v>559</v>
      </c>
      <c r="C9" s="57">
        <v>44574</v>
      </c>
      <c r="D9" s="18"/>
      <c r="E9" s="18"/>
      <c r="F9" s="18"/>
      <c r="G9" s="18"/>
      <c r="H9" s="18"/>
      <c r="I9" s="18"/>
      <c r="J9" s="18"/>
      <c r="K9" s="18">
        <v>28549</v>
      </c>
      <c r="L9" s="18"/>
      <c r="M9" s="18"/>
      <c r="N9" s="18"/>
      <c r="O9" s="18"/>
      <c r="P9" s="18">
        <v>28549</v>
      </c>
      <c r="Q9" s="18">
        <v>28549</v>
      </c>
      <c r="R9" s="18"/>
      <c r="S9" s="18"/>
      <c r="T9" s="18"/>
      <c r="U9" s="18"/>
      <c r="V9" s="18"/>
      <c r="W9" s="18"/>
      <c r="X9" s="18"/>
      <c r="AA9" t="s">
        <v>636</v>
      </c>
      <c r="AB9" s="57">
        <v>44628</v>
      </c>
      <c r="AC9" s="18"/>
      <c r="AD9" s="18"/>
      <c r="AE9" s="18"/>
      <c r="AF9" s="18"/>
      <c r="AG9" s="18"/>
      <c r="AH9" s="18">
        <v>15280</v>
      </c>
      <c r="AI9" s="18"/>
      <c r="AJ9" s="18"/>
      <c r="AK9" s="18">
        <v>15280</v>
      </c>
      <c r="AL9" s="18">
        <v>15280</v>
      </c>
    </row>
    <row r="10" spans="1:38" x14ac:dyDescent="0.3">
      <c r="B10" t="s">
        <v>565</v>
      </c>
      <c r="C10" s="57">
        <v>44579</v>
      </c>
      <c r="D10" s="18"/>
      <c r="E10" s="18"/>
      <c r="F10" s="18"/>
      <c r="G10" s="18"/>
      <c r="H10" s="18"/>
      <c r="I10" s="18"/>
      <c r="J10" s="18"/>
      <c r="K10" s="18">
        <v>11502</v>
      </c>
      <c r="L10" s="18"/>
      <c r="M10" s="18"/>
      <c r="N10" s="18"/>
      <c r="O10" s="18"/>
      <c r="P10" s="18">
        <v>11502</v>
      </c>
      <c r="Q10" s="18">
        <v>11502</v>
      </c>
      <c r="R10" s="18"/>
      <c r="S10" s="18"/>
      <c r="T10" s="18"/>
      <c r="U10" s="18"/>
      <c r="V10" s="18"/>
      <c r="W10" s="18"/>
      <c r="X10" s="18"/>
      <c r="AA10" t="s">
        <v>648</v>
      </c>
      <c r="AB10" s="57">
        <v>44635</v>
      </c>
      <c r="AC10" s="18"/>
      <c r="AD10" s="18"/>
      <c r="AE10" s="18"/>
      <c r="AF10" s="18"/>
      <c r="AG10" s="18"/>
      <c r="AH10" s="18">
        <v>14185</v>
      </c>
      <c r="AI10" s="18"/>
      <c r="AJ10" s="18"/>
      <c r="AK10" s="18">
        <v>14185</v>
      </c>
      <c r="AL10" s="18">
        <v>14185</v>
      </c>
    </row>
    <row r="11" spans="1:38" x14ac:dyDescent="0.3">
      <c r="B11" t="s">
        <v>610</v>
      </c>
      <c r="C11" s="57">
        <v>44616</v>
      </c>
      <c r="D11" s="18"/>
      <c r="E11" s="18"/>
      <c r="F11" s="18"/>
      <c r="G11" s="18"/>
      <c r="H11" s="18"/>
      <c r="I11" s="18"/>
      <c r="J11" s="18"/>
      <c r="K11" s="18"/>
      <c r="L11" s="18">
        <v>7961</v>
      </c>
      <c r="M11" s="18"/>
      <c r="N11" s="18"/>
      <c r="O11" s="18"/>
      <c r="P11" s="18">
        <v>7961</v>
      </c>
      <c r="Q11" s="18">
        <v>7961</v>
      </c>
      <c r="R11" s="18"/>
      <c r="S11" s="18"/>
      <c r="T11" s="18"/>
      <c r="U11" s="18"/>
      <c r="V11" s="18"/>
      <c r="W11" s="18"/>
      <c r="X11" s="18"/>
      <c r="AA11" t="s">
        <v>724</v>
      </c>
      <c r="AB11" s="57">
        <v>44678</v>
      </c>
      <c r="AC11" s="18"/>
      <c r="AD11" s="18"/>
      <c r="AE11" s="18"/>
      <c r="AF11" s="18"/>
      <c r="AG11" s="18"/>
      <c r="AH11" s="18"/>
      <c r="AI11" s="18">
        <v>11160</v>
      </c>
      <c r="AJ11" s="18"/>
      <c r="AK11" s="18">
        <v>11160</v>
      </c>
      <c r="AL11" s="18">
        <v>11160</v>
      </c>
    </row>
    <row r="12" spans="1:38" x14ac:dyDescent="0.3">
      <c r="B12" t="s">
        <v>611</v>
      </c>
      <c r="C12" s="57">
        <v>44618</v>
      </c>
      <c r="D12" s="18"/>
      <c r="E12" s="18"/>
      <c r="F12" s="18"/>
      <c r="G12" s="18"/>
      <c r="H12" s="18"/>
      <c r="I12" s="18"/>
      <c r="J12" s="18"/>
      <c r="K12" s="18"/>
      <c r="L12" s="18">
        <v>2678</v>
      </c>
      <c r="M12" s="18"/>
      <c r="N12" s="18"/>
      <c r="O12" s="18"/>
      <c r="P12" s="18">
        <v>2678</v>
      </c>
      <c r="Q12" s="18">
        <v>2678</v>
      </c>
      <c r="R12" s="18"/>
      <c r="S12" s="18"/>
      <c r="T12" s="18"/>
      <c r="U12" s="18"/>
      <c r="V12" s="18"/>
      <c r="W12" s="18"/>
      <c r="X12" s="18"/>
      <c r="AA12" t="s">
        <v>791</v>
      </c>
      <c r="AB12" s="57">
        <v>44704</v>
      </c>
      <c r="AC12" s="18"/>
      <c r="AD12" s="18"/>
      <c r="AE12" s="18"/>
      <c r="AF12" s="18"/>
      <c r="AG12" s="18"/>
      <c r="AH12" s="18"/>
      <c r="AI12" s="18"/>
      <c r="AJ12" s="18">
        <v>14715</v>
      </c>
      <c r="AK12" s="18">
        <v>14715</v>
      </c>
      <c r="AL12" s="18">
        <v>14715</v>
      </c>
    </row>
    <row r="13" spans="1:38" x14ac:dyDescent="0.3">
      <c r="B13" t="s">
        <v>647</v>
      </c>
      <c r="C13" s="57">
        <v>44634</v>
      </c>
      <c r="D13" s="18"/>
      <c r="E13" s="18"/>
      <c r="F13" s="18"/>
      <c r="G13" s="18"/>
      <c r="H13" s="18"/>
      <c r="I13" s="18"/>
      <c r="J13" s="18"/>
      <c r="K13" s="18"/>
      <c r="L13" s="18"/>
      <c r="M13" s="18">
        <v>3029</v>
      </c>
      <c r="N13" s="18"/>
      <c r="O13" s="18"/>
      <c r="P13" s="18">
        <v>3029</v>
      </c>
      <c r="Q13" s="18">
        <v>3029</v>
      </c>
      <c r="R13" s="18"/>
      <c r="S13" s="18"/>
      <c r="T13" s="18"/>
      <c r="U13" s="18"/>
      <c r="V13" s="18"/>
      <c r="W13" s="18"/>
      <c r="X13" s="18"/>
      <c r="AA13" t="s">
        <v>832</v>
      </c>
      <c r="AB13" s="57">
        <v>44721</v>
      </c>
      <c r="AC13" s="18">
        <v>12690</v>
      </c>
      <c r="AD13" s="18"/>
      <c r="AE13" s="18"/>
      <c r="AF13" s="18"/>
      <c r="AG13" s="18"/>
      <c r="AH13" s="18"/>
      <c r="AI13" s="18"/>
      <c r="AJ13" s="18"/>
      <c r="AK13" s="18">
        <v>12690</v>
      </c>
      <c r="AL13" s="18">
        <v>12690</v>
      </c>
    </row>
    <row r="14" spans="1:38" x14ac:dyDescent="0.3">
      <c r="B14" t="s">
        <v>649</v>
      </c>
      <c r="C14" s="57">
        <v>44635</v>
      </c>
      <c r="D14" s="18"/>
      <c r="E14" s="18"/>
      <c r="F14" s="18"/>
      <c r="G14" s="18"/>
      <c r="H14" s="18"/>
      <c r="I14" s="18"/>
      <c r="J14" s="18"/>
      <c r="K14" s="18"/>
      <c r="L14" s="18"/>
      <c r="M14" s="18">
        <v>11425</v>
      </c>
      <c r="N14" s="18"/>
      <c r="O14" s="18"/>
      <c r="P14" s="18">
        <v>11425</v>
      </c>
      <c r="Q14" s="18">
        <v>11425</v>
      </c>
      <c r="R14" s="18"/>
      <c r="S14" s="18"/>
      <c r="T14" s="18"/>
      <c r="U14" s="18"/>
      <c r="V14" s="18"/>
      <c r="W14" s="18"/>
      <c r="X14" s="18"/>
      <c r="AA14" t="s">
        <v>848</v>
      </c>
      <c r="AB14" s="57">
        <v>44741</v>
      </c>
      <c r="AC14" s="18">
        <v>18515</v>
      </c>
      <c r="AD14" s="18"/>
      <c r="AE14" s="18"/>
      <c r="AF14" s="18"/>
      <c r="AG14" s="18"/>
      <c r="AH14" s="18"/>
      <c r="AI14" s="18"/>
      <c r="AJ14" s="18"/>
      <c r="AK14" s="18">
        <v>18515</v>
      </c>
      <c r="AL14" s="18">
        <v>18515</v>
      </c>
    </row>
    <row r="15" spans="1:38" x14ac:dyDescent="0.3">
      <c r="B15" t="s">
        <v>651</v>
      </c>
      <c r="C15" s="57">
        <v>44638</v>
      </c>
      <c r="D15" s="18"/>
      <c r="E15" s="18"/>
      <c r="F15" s="18"/>
      <c r="G15" s="18"/>
      <c r="H15" s="18"/>
      <c r="I15" s="18"/>
      <c r="J15" s="18"/>
      <c r="K15" s="18"/>
      <c r="L15" s="18"/>
      <c r="M15" s="18">
        <v>9888</v>
      </c>
      <c r="N15" s="18"/>
      <c r="O15" s="18"/>
      <c r="P15" s="18">
        <v>9888</v>
      </c>
      <c r="Q15" s="18">
        <v>9888</v>
      </c>
      <c r="R15" s="18"/>
      <c r="S15" s="18"/>
      <c r="T15" s="18"/>
      <c r="U15" s="18"/>
      <c r="V15" s="18"/>
      <c r="W15" s="18"/>
      <c r="X15" s="18"/>
      <c r="AA15" t="s">
        <v>871</v>
      </c>
      <c r="AB15" s="57">
        <v>44768</v>
      </c>
      <c r="AC15" s="18"/>
      <c r="AD15" s="18">
        <v>13445</v>
      </c>
      <c r="AE15" s="18"/>
      <c r="AF15" s="18"/>
      <c r="AG15" s="18"/>
      <c r="AH15" s="18"/>
      <c r="AI15" s="18"/>
      <c r="AJ15" s="18"/>
      <c r="AK15" s="18">
        <v>13445</v>
      </c>
      <c r="AL15" s="18">
        <v>13445</v>
      </c>
    </row>
    <row r="16" spans="1:38" x14ac:dyDescent="0.3">
      <c r="B16" t="s">
        <v>654</v>
      </c>
      <c r="C16" s="57">
        <v>44643</v>
      </c>
      <c r="D16" s="18"/>
      <c r="E16" s="18"/>
      <c r="F16" s="18"/>
      <c r="G16" s="18"/>
      <c r="H16" s="18"/>
      <c r="I16" s="18"/>
      <c r="J16" s="18"/>
      <c r="K16" s="18"/>
      <c r="L16" s="18"/>
      <c r="M16" s="18">
        <v>8819</v>
      </c>
      <c r="N16" s="18"/>
      <c r="O16" s="18"/>
      <c r="P16" s="18">
        <v>8819</v>
      </c>
      <c r="Q16" s="18">
        <v>8819</v>
      </c>
      <c r="R16" s="18"/>
      <c r="S16" s="18"/>
      <c r="T16" s="18"/>
      <c r="U16" s="18"/>
      <c r="V16" s="18"/>
      <c r="W16" s="18"/>
      <c r="X16" s="18"/>
      <c r="AA16" t="s">
        <v>913</v>
      </c>
      <c r="AB16" s="57">
        <v>44798</v>
      </c>
      <c r="AC16" s="18"/>
      <c r="AD16" s="18"/>
      <c r="AE16" s="18">
        <v>15671</v>
      </c>
      <c r="AF16" s="18"/>
      <c r="AG16" s="18"/>
      <c r="AH16" s="18"/>
      <c r="AI16" s="18"/>
      <c r="AJ16" s="18"/>
      <c r="AK16" s="18">
        <v>15671</v>
      </c>
      <c r="AL16" s="18">
        <v>15671</v>
      </c>
    </row>
    <row r="17" spans="2:38" x14ac:dyDescent="0.3">
      <c r="B17" t="s">
        <v>661</v>
      </c>
      <c r="C17" s="57">
        <v>44645</v>
      </c>
      <c r="D17" s="18"/>
      <c r="E17" s="18"/>
      <c r="F17" s="18"/>
      <c r="G17" s="18"/>
      <c r="H17" s="18"/>
      <c r="I17" s="18"/>
      <c r="J17" s="18"/>
      <c r="K17" s="18"/>
      <c r="L17" s="18"/>
      <c r="M17" s="18">
        <v>14422</v>
      </c>
      <c r="N17" s="18"/>
      <c r="O17" s="18"/>
      <c r="P17" s="18">
        <v>14422</v>
      </c>
      <c r="Q17" s="18">
        <v>14422</v>
      </c>
      <c r="R17" s="18"/>
      <c r="S17" s="18"/>
      <c r="T17" s="18"/>
      <c r="U17" s="18"/>
      <c r="V17" s="18"/>
      <c r="W17" s="18"/>
      <c r="X17" s="18"/>
      <c r="Z17" s="17" t="s">
        <v>205</v>
      </c>
      <c r="AA17" s="17"/>
      <c r="AB17" s="17"/>
      <c r="AC17" s="19">
        <v>31205</v>
      </c>
      <c r="AD17" s="19">
        <v>13445</v>
      </c>
      <c r="AE17" s="19">
        <v>15671</v>
      </c>
      <c r="AF17" s="19">
        <v>28820</v>
      </c>
      <c r="AG17" s="19">
        <v>14395</v>
      </c>
      <c r="AH17" s="19">
        <v>29465</v>
      </c>
      <c r="AI17" s="19">
        <v>11160</v>
      </c>
      <c r="AJ17" s="19">
        <v>14715</v>
      </c>
      <c r="AK17" s="19">
        <v>158876</v>
      </c>
      <c r="AL17" s="19">
        <v>158876</v>
      </c>
    </row>
    <row r="18" spans="2:38" x14ac:dyDescent="0.3">
      <c r="B18" t="s">
        <v>663</v>
      </c>
      <c r="C18" s="57">
        <v>44649</v>
      </c>
      <c r="D18" s="18"/>
      <c r="E18" s="18"/>
      <c r="F18" s="18"/>
      <c r="G18" s="18"/>
      <c r="H18" s="18"/>
      <c r="I18" s="18"/>
      <c r="J18" s="18"/>
      <c r="K18" s="18"/>
      <c r="L18" s="18"/>
      <c r="M18" s="18">
        <v>7593</v>
      </c>
      <c r="N18" s="18"/>
      <c r="O18" s="18"/>
      <c r="P18" s="18">
        <v>7593</v>
      </c>
      <c r="Q18" s="18">
        <v>7593</v>
      </c>
      <c r="R18" s="18"/>
      <c r="S18" s="18"/>
      <c r="T18" s="18"/>
      <c r="U18" s="18"/>
      <c r="V18" s="18"/>
      <c r="W18" s="18"/>
      <c r="X18" s="18"/>
      <c r="Z18" t="s">
        <v>131</v>
      </c>
      <c r="AC18" s="18">
        <v>31205</v>
      </c>
      <c r="AD18" s="18">
        <v>13445</v>
      </c>
      <c r="AE18" s="18">
        <v>15671</v>
      </c>
      <c r="AF18" s="18">
        <v>28820</v>
      </c>
      <c r="AG18" s="18">
        <v>14395</v>
      </c>
      <c r="AH18" s="18">
        <v>29465</v>
      </c>
      <c r="AI18" s="18">
        <v>11160</v>
      </c>
      <c r="AJ18" s="18">
        <v>14715</v>
      </c>
      <c r="AK18" s="18">
        <v>158876</v>
      </c>
      <c r="AL18" s="18">
        <v>158876</v>
      </c>
    </row>
    <row r="19" spans="2:38" x14ac:dyDescent="0.3">
      <c r="B19" t="s">
        <v>684</v>
      </c>
      <c r="C19" s="57">
        <v>44652</v>
      </c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>
        <v>9157.5</v>
      </c>
      <c r="O19" s="18"/>
      <c r="P19" s="18">
        <v>9157.5</v>
      </c>
      <c r="Q19" s="18">
        <v>9157.5</v>
      </c>
      <c r="R19" s="18"/>
      <c r="S19" s="18"/>
      <c r="T19" s="18"/>
      <c r="U19" s="18"/>
      <c r="V19" s="18"/>
      <c r="W19" s="18"/>
      <c r="X19" s="18"/>
    </row>
    <row r="20" spans="2:38" x14ac:dyDescent="0.3">
      <c r="B20" t="s">
        <v>686</v>
      </c>
      <c r="C20" s="57">
        <v>44656</v>
      </c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>
        <v>10497.5</v>
      </c>
      <c r="O20" s="18"/>
      <c r="P20" s="18">
        <v>10497.5</v>
      </c>
      <c r="Q20" s="18">
        <v>10497.5</v>
      </c>
      <c r="R20" s="18"/>
      <c r="S20" s="18"/>
      <c r="T20" s="18"/>
      <c r="U20" s="18"/>
      <c r="V20" s="18"/>
      <c r="W20" s="18"/>
      <c r="X20" s="18"/>
    </row>
    <row r="21" spans="2:38" x14ac:dyDescent="0.3">
      <c r="B21" t="s">
        <v>690</v>
      </c>
      <c r="C21" s="57">
        <v>44660</v>
      </c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>
        <v>8569.5</v>
      </c>
      <c r="O21" s="18"/>
      <c r="P21" s="18">
        <v>8569.5</v>
      </c>
      <c r="Q21" s="18">
        <v>8569.5</v>
      </c>
      <c r="R21" s="18"/>
      <c r="S21" s="18"/>
      <c r="T21" s="18"/>
      <c r="U21" s="18"/>
      <c r="V21" s="18"/>
      <c r="W21" s="18"/>
      <c r="X21" s="18"/>
    </row>
    <row r="22" spans="2:38" x14ac:dyDescent="0.3">
      <c r="B22" t="s">
        <v>694</v>
      </c>
      <c r="C22" s="57">
        <v>44664</v>
      </c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>
        <v>10975.5</v>
      </c>
      <c r="O22" s="18"/>
      <c r="P22" s="18">
        <v>10975.5</v>
      </c>
      <c r="Q22" s="18">
        <v>10975.5</v>
      </c>
      <c r="R22" s="18"/>
      <c r="S22" s="18"/>
      <c r="T22" s="18"/>
      <c r="U22" s="18"/>
      <c r="V22" s="18"/>
      <c r="W22" s="18"/>
      <c r="X22" s="18"/>
    </row>
    <row r="23" spans="2:38" x14ac:dyDescent="0.3">
      <c r="B23" t="s">
        <v>697</v>
      </c>
      <c r="C23" s="57">
        <v>44667</v>
      </c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>
        <v>10103.5</v>
      </c>
      <c r="O23" s="18"/>
      <c r="P23" s="18">
        <v>10103.5</v>
      </c>
      <c r="Q23" s="18">
        <v>10103.5</v>
      </c>
      <c r="R23" s="18"/>
      <c r="S23" s="18"/>
      <c r="T23" s="18"/>
      <c r="U23" s="18"/>
      <c r="V23" s="18"/>
      <c r="W23" s="18"/>
      <c r="X23" s="18"/>
    </row>
    <row r="24" spans="2:38" x14ac:dyDescent="0.3">
      <c r="B24" t="s">
        <v>699</v>
      </c>
      <c r="C24" s="57">
        <v>44670</v>
      </c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>
        <v>3076</v>
      </c>
      <c r="O24" s="18"/>
      <c r="P24" s="18">
        <v>3076</v>
      </c>
      <c r="Q24" s="18">
        <v>3076</v>
      </c>
      <c r="R24" s="18"/>
      <c r="S24" s="18"/>
      <c r="T24" s="18"/>
      <c r="U24" s="18"/>
      <c r="V24" s="18"/>
      <c r="W24" s="18"/>
      <c r="X24" s="18"/>
    </row>
    <row r="25" spans="2:38" x14ac:dyDescent="0.3">
      <c r="B25" t="s">
        <v>719</v>
      </c>
      <c r="C25" s="57">
        <v>44674</v>
      </c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>
        <v>11151</v>
      </c>
      <c r="O25" s="18"/>
      <c r="P25" s="18">
        <v>11151</v>
      </c>
      <c r="Q25" s="18">
        <v>11151</v>
      </c>
      <c r="R25" s="18"/>
      <c r="S25" s="18"/>
      <c r="T25" s="18"/>
      <c r="U25" s="18"/>
      <c r="V25" s="18"/>
      <c r="W25" s="18"/>
      <c r="X25" s="18"/>
    </row>
    <row r="26" spans="2:38" x14ac:dyDescent="0.3">
      <c r="B26" t="s">
        <v>726</v>
      </c>
      <c r="C26" s="57">
        <v>44679</v>
      </c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>
        <v>11858.5</v>
      </c>
      <c r="O26" s="18"/>
      <c r="P26" s="18">
        <v>11858.5</v>
      </c>
      <c r="Q26" s="18">
        <v>11858.5</v>
      </c>
      <c r="R26" s="18"/>
      <c r="S26" s="18"/>
      <c r="T26" s="18"/>
      <c r="U26" s="18"/>
      <c r="V26" s="18"/>
      <c r="W26" s="18"/>
      <c r="X26" s="18"/>
    </row>
    <row r="27" spans="2:38" x14ac:dyDescent="0.3">
      <c r="B27" t="s">
        <v>730</v>
      </c>
      <c r="C27" s="57">
        <v>44681</v>
      </c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>
        <v>15244</v>
      </c>
      <c r="O27" s="18"/>
      <c r="P27" s="18">
        <v>15244</v>
      </c>
      <c r="Q27" s="18">
        <v>15244</v>
      </c>
    </row>
    <row r="28" spans="2:38" x14ac:dyDescent="0.3">
      <c r="B28" t="s">
        <v>763</v>
      </c>
      <c r="C28" s="57">
        <v>44687</v>
      </c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>
        <v>11530</v>
      </c>
      <c r="P28" s="18">
        <v>11530</v>
      </c>
      <c r="Q28" s="18">
        <v>11530</v>
      </c>
    </row>
    <row r="29" spans="2:38" x14ac:dyDescent="0.3">
      <c r="B29" t="s">
        <v>765</v>
      </c>
      <c r="C29" s="57">
        <v>44688</v>
      </c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>
        <v>16245</v>
      </c>
      <c r="P29" s="18">
        <v>16245</v>
      </c>
      <c r="Q29" s="18">
        <v>16245</v>
      </c>
    </row>
    <row r="30" spans="2:38" x14ac:dyDescent="0.3">
      <c r="B30" t="s">
        <v>778</v>
      </c>
      <c r="C30" s="57">
        <v>44695</v>
      </c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>
        <v>10369.5</v>
      </c>
      <c r="P30" s="18">
        <v>10369.5</v>
      </c>
      <c r="Q30" s="18">
        <v>10369.5</v>
      </c>
    </row>
    <row r="31" spans="2:38" x14ac:dyDescent="0.3">
      <c r="B31" t="s">
        <v>781</v>
      </c>
      <c r="C31" s="57">
        <v>44699</v>
      </c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>
        <v>8417</v>
      </c>
      <c r="P31" s="18">
        <v>8417</v>
      </c>
      <c r="Q31" s="18">
        <v>8417</v>
      </c>
    </row>
    <row r="32" spans="2:38" x14ac:dyDescent="0.3">
      <c r="B32" t="s">
        <v>784</v>
      </c>
      <c r="C32" s="57">
        <v>44701</v>
      </c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>
        <v>13110</v>
      </c>
      <c r="P32" s="18">
        <v>13110</v>
      </c>
      <c r="Q32" s="18">
        <v>13110</v>
      </c>
    </row>
    <row r="33" spans="2:17" x14ac:dyDescent="0.3">
      <c r="B33" t="s">
        <v>790</v>
      </c>
      <c r="C33" s="57">
        <v>44702</v>
      </c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>
        <v>13110</v>
      </c>
      <c r="P33" s="18">
        <v>13110</v>
      </c>
      <c r="Q33" s="18">
        <v>13110</v>
      </c>
    </row>
    <row r="34" spans="2:17" x14ac:dyDescent="0.3">
      <c r="B34" t="s">
        <v>794</v>
      </c>
      <c r="C34" s="57">
        <v>44704</v>
      </c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>
        <v>6750</v>
      </c>
      <c r="P34" s="18">
        <v>6750</v>
      </c>
      <c r="Q34" s="18">
        <v>6750</v>
      </c>
    </row>
    <row r="35" spans="2:17" x14ac:dyDescent="0.3">
      <c r="B35" t="s">
        <v>797</v>
      </c>
      <c r="C35" s="57">
        <v>44706</v>
      </c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>
        <v>14068</v>
      </c>
      <c r="P35" s="18">
        <v>14068</v>
      </c>
      <c r="Q35" s="18">
        <v>14068</v>
      </c>
    </row>
    <row r="36" spans="2:17" x14ac:dyDescent="0.3">
      <c r="B36" t="s">
        <v>827</v>
      </c>
      <c r="C36" s="57">
        <v>44714</v>
      </c>
      <c r="D36" s="18">
        <v>12427</v>
      </c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>
        <v>12427</v>
      </c>
      <c r="Q36" s="18">
        <v>12427</v>
      </c>
    </row>
    <row r="37" spans="2:17" x14ac:dyDescent="0.3">
      <c r="B37" t="s">
        <v>829</v>
      </c>
      <c r="C37" s="57">
        <v>44716</v>
      </c>
      <c r="D37" s="18">
        <v>9000</v>
      </c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>
        <v>9000</v>
      </c>
      <c r="Q37" s="18">
        <v>9000</v>
      </c>
    </row>
    <row r="38" spans="2:17" x14ac:dyDescent="0.3">
      <c r="B38" t="s">
        <v>835</v>
      </c>
      <c r="C38" s="57">
        <v>44723</v>
      </c>
      <c r="D38" s="18">
        <v>4950</v>
      </c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>
        <v>4950</v>
      </c>
      <c r="Q38" s="18">
        <v>4950</v>
      </c>
    </row>
    <row r="39" spans="2:17" x14ac:dyDescent="0.3">
      <c r="B39" t="s">
        <v>843</v>
      </c>
      <c r="C39" s="57">
        <v>44730</v>
      </c>
      <c r="D39" s="18">
        <v>4431.5</v>
      </c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>
        <v>4431.5</v>
      </c>
      <c r="Q39" s="18">
        <v>4431.5</v>
      </c>
    </row>
    <row r="40" spans="2:17" x14ac:dyDescent="0.3">
      <c r="B40" t="s">
        <v>846</v>
      </c>
      <c r="C40" s="57">
        <v>44736</v>
      </c>
      <c r="D40" s="18">
        <v>5889</v>
      </c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>
        <v>5889</v>
      </c>
      <c r="Q40" s="18">
        <v>5889</v>
      </c>
    </row>
    <row r="41" spans="2:17" x14ac:dyDescent="0.3">
      <c r="B41" t="s">
        <v>859</v>
      </c>
      <c r="C41" s="57">
        <v>44756</v>
      </c>
      <c r="D41" s="18"/>
      <c r="E41" s="18">
        <v>12855.5</v>
      </c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>
        <v>12855.5</v>
      </c>
      <c r="Q41" s="18">
        <v>12855.5</v>
      </c>
    </row>
    <row r="42" spans="2:17" x14ac:dyDescent="0.3">
      <c r="B42" t="s">
        <v>867</v>
      </c>
      <c r="C42" s="57">
        <v>44760</v>
      </c>
      <c r="D42" s="18"/>
      <c r="E42" s="18">
        <v>9153</v>
      </c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>
        <v>9153</v>
      </c>
      <c r="Q42" s="18">
        <v>9153</v>
      </c>
    </row>
    <row r="43" spans="2:17" x14ac:dyDescent="0.3">
      <c r="B43" t="s">
        <v>868</v>
      </c>
      <c r="C43" s="57">
        <v>44762</v>
      </c>
      <c r="D43" s="18"/>
      <c r="E43" s="18">
        <v>925.5</v>
      </c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>
        <v>925.5</v>
      </c>
      <c r="Q43" s="18">
        <v>925.5</v>
      </c>
    </row>
    <row r="44" spans="2:17" x14ac:dyDescent="0.3">
      <c r="B44" t="s">
        <v>869</v>
      </c>
      <c r="C44" s="57">
        <v>44765</v>
      </c>
      <c r="D44" s="18"/>
      <c r="E44" s="18">
        <v>6625</v>
      </c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>
        <v>6625</v>
      </c>
      <c r="Q44" s="18">
        <v>6625</v>
      </c>
    </row>
    <row r="45" spans="2:17" x14ac:dyDescent="0.3">
      <c r="B45" t="s">
        <v>896</v>
      </c>
      <c r="C45" s="57">
        <v>44779</v>
      </c>
      <c r="D45" s="18"/>
      <c r="E45" s="18"/>
      <c r="F45" s="18">
        <v>5268.6</v>
      </c>
      <c r="G45" s="18"/>
      <c r="H45" s="18"/>
      <c r="I45" s="18"/>
      <c r="J45" s="18"/>
      <c r="K45" s="18"/>
      <c r="L45" s="18"/>
      <c r="M45" s="18"/>
      <c r="N45" s="18"/>
      <c r="O45" s="18"/>
      <c r="P45" s="18">
        <v>5268.6</v>
      </c>
      <c r="Q45" s="18">
        <v>5268.6</v>
      </c>
    </row>
    <row r="46" spans="2:17" x14ac:dyDescent="0.3">
      <c r="B46" t="s">
        <v>900</v>
      </c>
      <c r="C46" s="57">
        <v>44785</v>
      </c>
      <c r="D46" s="18"/>
      <c r="E46" s="18"/>
      <c r="F46" s="18">
        <v>4312.5</v>
      </c>
      <c r="G46" s="18"/>
      <c r="H46" s="18"/>
      <c r="I46" s="18"/>
      <c r="J46" s="18"/>
      <c r="K46" s="18"/>
      <c r="L46" s="18"/>
      <c r="M46" s="18"/>
      <c r="N46" s="18"/>
      <c r="O46" s="18"/>
      <c r="P46" s="18">
        <v>4312.5</v>
      </c>
      <c r="Q46" s="18">
        <v>4312.5</v>
      </c>
    </row>
    <row r="47" spans="2:17" x14ac:dyDescent="0.3">
      <c r="B47" t="s">
        <v>911</v>
      </c>
      <c r="C47" s="57">
        <v>44796</v>
      </c>
      <c r="D47" s="18"/>
      <c r="E47" s="18"/>
      <c r="F47" s="18">
        <v>6838.5</v>
      </c>
      <c r="G47" s="18"/>
      <c r="H47" s="18"/>
      <c r="I47" s="18"/>
      <c r="J47" s="18"/>
      <c r="K47" s="18"/>
      <c r="L47" s="18"/>
      <c r="M47" s="18"/>
      <c r="N47" s="18"/>
      <c r="O47" s="18"/>
      <c r="P47" s="18">
        <v>6838.5</v>
      </c>
      <c r="Q47" s="18">
        <v>6838.5</v>
      </c>
    </row>
    <row r="48" spans="2:17" x14ac:dyDescent="0.3">
      <c r="B48" t="s">
        <v>925</v>
      </c>
      <c r="C48" s="57">
        <v>44806</v>
      </c>
      <c r="D48" s="18"/>
      <c r="E48" s="18"/>
      <c r="F48" s="18"/>
      <c r="G48" s="18">
        <v>9343.9</v>
      </c>
      <c r="H48" s="18"/>
      <c r="I48" s="18"/>
      <c r="J48" s="18"/>
      <c r="K48" s="18"/>
      <c r="L48" s="18"/>
      <c r="M48" s="18"/>
      <c r="N48" s="18"/>
      <c r="O48" s="18"/>
      <c r="P48" s="18">
        <v>9343.9</v>
      </c>
      <c r="Q48" s="18">
        <v>9343.9</v>
      </c>
    </row>
    <row r="49" spans="2:17" x14ac:dyDescent="0.3">
      <c r="B49" t="s">
        <v>928</v>
      </c>
      <c r="C49" s="57">
        <v>44810</v>
      </c>
      <c r="D49" s="18"/>
      <c r="E49" s="18"/>
      <c r="F49" s="18"/>
      <c r="G49" s="18">
        <v>11453.6</v>
      </c>
      <c r="H49" s="18"/>
      <c r="I49" s="18"/>
      <c r="J49" s="18"/>
      <c r="K49" s="18"/>
      <c r="L49" s="18"/>
      <c r="M49" s="18"/>
      <c r="N49" s="18"/>
      <c r="O49" s="18"/>
      <c r="P49" s="18">
        <v>11453.6</v>
      </c>
      <c r="Q49" s="18">
        <v>11453.6</v>
      </c>
    </row>
    <row r="50" spans="2:17" x14ac:dyDescent="0.3">
      <c r="B50" t="s">
        <v>932</v>
      </c>
      <c r="C50" s="57">
        <v>44813</v>
      </c>
      <c r="D50" s="18"/>
      <c r="E50" s="18"/>
      <c r="F50" s="18"/>
      <c r="G50" s="18">
        <v>1914</v>
      </c>
      <c r="H50" s="18"/>
      <c r="I50" s="18"/>
      <c r="J50" s="18"/>
      <c r="K50" s="18"/>
      <c r="L50" s="18"/>
      <c r="M50" s="18"/>
      <c r="N50" s="18"/>
      <c r="O50" s="18"/>
      <c r="P50" s="18">
        <v>1914</v>
      </c>
      <c r="Q50" s="18">
        <v>1914</v>
      </c>
    </row>
    <row r="51" spans="2:17" x14ac:dyDescent="0.3">
      <c r="B51" t="s">
        <v>934</v>
      </c>
      <c r="C51" s="57">
        <v>44817</v>
      </c>
      <c r="D51" s="18"/>
      <c r="E51" s="18"/>
      <c r="F51" s="18"/>
      <c r="G51" s="18">
        <v>13163</v>
      </c>
      <c r="H51" s="18"/>
      <c r="I51" s="18"/>
      <c r="J51" s="18"/>
      <c r="K51" s="18"/>
      <c r="L51" s="18"/>
      <c r="M51" s="18"/>
      <c r="N51" s="18"/>
      <c r="O51" s="18"/>
      <c r="P51" s="18">
        <v>13163</v>
      </c>
      <c r="Q51" s="18">
        <v>13163</v>
      </c>
    </row>
    <row r="52" spans="2:17" x14ac:dyDescent="0.3">
      <c r="B52" t="s">
        <v>935</v>
      </c>
      <c r="C52" s="57">
        <v>44817</v>
      </c>
      <c r="D52" s="18"/>
      <c r="E52" s="18"/>
      <c r="F52" s="18"/>
      <c r="G52" s="18">
        <v>11823</v>
      </c>
      <c r="H52" s="18"/>
      <c r="I52" s="18"/>
      <c r="J52" s="18"/>
      <c r="K52" s="18"/>
      <c r="L52" s="18"/>
      <c r="M52" s="18"/>
      <c r="N52" s="18"/>
      <c r="O52" s="18"/>
      <c r="P52" s="18">
        <v>11823</v>
      </c>
      <c r="Q52" s="18">
        <v>11823</v>
      </c>
    </row>
    <row r="53" spans="2:17" x14ac:dyDescent="0.3">
      <c r="B53" t="s">
        <v>988</v>
      </c>
      <c r="C53" s="57" t="s">
        <v>993</v>
      </c>
      <c r="D53" s="18"/>
      <c r="E53" s="18"/>
      <c r="F53" s="18"/>
      <c r="G53" s="18"/>
      <c r="H53" s="18">
        <v>48172.5</v>
      </c>
      <c r="I53" s="18"/>
      <c r="J53" s="18"/>
      <c r="K53" s="18"/>
      <c r="L53" s="18"/>
      <c r="M53" s="18"/>
      <c r="N53" s="18"/>
      <c r="O53" s="18"/>
      <c r="P53" s="18">
        <v>48172.5</v>
      </c>
      <c r="Q53" s="18">
        <v>48172.5</v>
      </c>
    </row>
    <row r="54" spans="2:17" x14ac:dyDescent="0.3">
      <c r="B54" t="s">
        <v>1000</v>
      </c>
      <c r="C54" s="57">
        <v>44847</v>
      </c>
      <c r="D54" s="18"/>
      <c r="E54" s="18"/>
      <c r="F54" s="18"/>
      <c r="G54" s="18"/>
      <c r="H54" s="18">
        <v>10166.299999999999</v>
      </c>
      <c r="I54" s="18"/>
      <c r="J54" s="18"/>
      <c r="K54" s="18"/>
      <c r="L54" s="18"/>
      <c r="M54" s="18"/>
      <c r="N54" s="18"/>
      <c r="O54" s="18"/>
      <c r="P54" s="18">
        <v>10166.299999999999</v>
      </c>
      <c r="Q54" s="18">
        <v>10166.299999999999</v>
      </c>
    </row>
    <row r="55" spans="2:17" x14ac:dyDescent="0.3">
      <c r="B55" t="s">
        <v>1011</v>
      </c>
      <c r="C55" s="57">
        <v>44856</v>
      </c>
      <c r="D55" s="18"/>
      <c r="E55" s="18"/>
      <c r="F55" s="18"/>
      <c r="G55" s="18"/>
      <c r="H55" s="18">
        <v>7590.5</v>
      </c>
      <c r="I55" s="18"/>
      <c r="J55" s="18"/>
      <c r="K55" s="18"/>
      <c r="L55" s="18"/>
      <c r="M55" s="18"/>
      <c r="N55" s="18"/>
      <c r="O55" s="18"/>
      <c r="P55" s="18">
        <v>7590.5</v>
      </c>
      <c r="Q55" s="18">
        <v>7590.5</v>
      </c>
    </row>
    <row r="56" spans="2:17" x14ac:dyDescent="0.3">
      <c r="B56" t="s">
        <v>1013</v>
      </c>
      <c r="C56" s="57">
        <v>44861</v>
      </c>
      <c r="D56" s="18"/>
      <c r="E56" s="18"/>
      <c r="F56" s="18"/>
      <c r="G56" s="18"/>
      <c r="H56" s="18">
        <v>250</v>
      </c>
      <c r="I56" s="18"/>
      <c r="J56" s="18"/>
      <c r="K56" s="18"/>
      <c r="L56" s="18"/>
      <c r="M56" s="18"/>
      <c r="N56" s="18"/>
      <c r="O56" s="18"/>
      <c r="P56" s="18">
        <v>250</v>
      </c>
      <c r="Q56" s="18">
        <v>250</v>
      </c>
    </row>
    <row r="57" spans="2:17" x14ac:dyDescent="0.3">
      <c r="B57" t="s">
        <v>1015</v>
      </c>
      <c r="C57" s="57">
        <v>44865</v>
      </c>
      <c r="D57" s="18"/>
      <c r="E57" s="18"/>
      <c r="F57" s="18"/>
      <c r="G57" s="18"/>
      <c r="H57" s="18">
        <v>47685</v>
      </c>
      <c r="I57" s="18"/>
      <c r="J57" s="18"/>
      <c r="K57" s="18"/>
      <c r="L57" s="18"/>
      <c r="M57" s="18"/>
      <c r="N57" s="18"/>
      <c r="O57" s="18"/>
      <c r="P57" s="18">
        <v>47685</v>
      </c>
      <c r="Q57" s="18">
        <v>47685</v>
      </c>
    </row>
    <row r="58" spans="2:17" x14ac:dyDescent="0.3">
      <c r="B58" t="s">
        <v>1051</v>
      </c>
      <c r="C58" s="57">
        <v>44869</v>
      </c>
      <c r="D58" s="18"/>
      <c r="E58" s="18"/>
      <c r="F58" s="18"/>
      <c r="G58" s="18"/>
      <c r="H58" s="18"/>
      <c r="I58" s="18">
        <v>403.8</v>
      </c>
      <c r="J58" s="18"/>
      <c r="K58" s="18"/>
      <c r="L58" s="18"/>
      <c r="M58" s="18"/>
      <c r="N58" s="18"/>
      <c r="O58" s="18"/>
      <c r="P58" s="18">
        <v>403.8</v>
      </c>
      <c r="Q58" s="18">
        <v>403.8</v>
      </c>
    </row>
    <row r="59" spans="2:17" x14ac:dyDescent="0.3">
      <c r="B59" t="s">
        <v>1065</v>
      </c>
      <c r="C59" s="57">
        <v>44876</v>
      </c>
      <c r="D59" s="18"/>
      <c r="E59" s="18"/>
      <c r="F59" s="18"/>
      <c r="G59" s="18"/>
      <c r="H59" s="18"/>
      <c r="I59" s="18">
        <v>14886.5</v>
      </c>
      <c r="J59" s="18"/>
      <c r="K59" s="18"/>
      <c r="L59" s="18"/>
      <c r="M59" s="18"/>
      <c r="N59" s="18"/>
      <c r="O59" s="18"/>
      <c r="P59" s="18">
        <v>14886.5</v>
      </c>
      <c r="Q59" s="18">
        <v>14886.5</v>
      </c>
    </row>
    <row r="60" spans="2:17" x14ac:dyDescent="0.3">
      <c r="B60" t="s">
        <v>1076</v>
      </c>
      <c r="C60" s="57" t="s">
        <v>1071</v>
      </c>
      <c r="D60" s="18"/>
      <c r="E60" s="18"/>
      <c r="F60" s="18"/>
      <c r="G60" s="18"/>
      <c r="H60" s="18"/>
      <c r="I60" s="18">
        <v>17236.599999999999</v>
      </c>
      <c r="J60" s="18"/>
      <c r="K60" s="18"/>
      <c r="L60" s="18"/>
      <c r="M60" s="18"/>
      <c r="N60" s="18"/>
      <c r="O60" s="18"/>
      <c r="P60" s="18">
        <v>17236.599999999999</v>
      </c>
      <c r="Q60" s="18">
        <v>17236.599999999999</v>
      </c>
    </row>
    <row r="61" spans="2:17" x14ac:dyDescent="0.3">
      <c r="B61" t="s">
        <v>1110</v>
      </c>
      <c r="C61" s="57">
        <v>44897</v>
      </c>
      <c r="D61" s="18"/>
      <c r="E61" s="18"/>
      <c r="F61" s="18"/>
      <c r="G61" s="18"/>
      <c r="H61" s="18"/>
      <c r="I61" s="18"/>
      <c r="J61" s="18">
        <v>4489</v>
      </c>
      <c r="K61" s="18"/>
      <c r="L61" s="18"/>
      <c r="M61" s="18"/>
      <c r="N61" s="18"/>
      <c r="O61" s="18"/>
      <c r="P61" s="18">
        <v>4489</v>
      </c>
      <c r="Q61" s="18">
        <v>4489</v>
      </c>
    </row>
    <row r="62" spans="2:17" x14ac:dyDescent="0.3">
      <c r="B62" t="s">
        <v>1112</v>
      </c>
      <c r="C62" s="57">
        <v>44897</v>
      </c>
      <c r="D62" s="18"/>
      <c r="E62" s="18"/>
      <c r="F62" s="18"/>
      <c r="G62" s="18"/>
      <c r="H62" s="18"/>
      <c r="I62" s="18"/>
      <c r="J62" s="18">
        <v>3915</v>
      </c>
      <c r="K62" s="18"/>
      <c r="L62" s="18"/>
      <c r="M62" s="18"/>
      <c r="N62" s="18"/>
      <c r="O62" s="18"/>
      <c r="P62" s="18">
        <v>3915</v>
      </c>
      <c r="Q62" s="18">
        <v>3915</v>
      </c>
    </row>
    <row r="63" spans="2:17" x14ac:dyDescent="0.3">
      <c r="B63" t="s">
        <v>1116</v>
      </c>
      <c r="C63" s="57">
        <v>44898</v>
      </c>
      <c r="D63" s="18"/>
      <c r="E63" s="18"/>
      <c r="F63" s="18"/>
      <c r="G63" s="18"/>
      <c r="H63" s="18"/>
      <c r="I63" s="18"/>
      <c r="J63" s="18">
        <v>7395.5</v>
      </c>
      <c r="K63" s="18"/>
      <c r="L63" s="18"/>
      <c r="M63" s="18"/>
      <c r="N63" s="18"/>
      <c r="O63" s="18"/>
      <c r="P63" s="18">
        <v>7395.5</v>
      </c>
      <c r="Q63" s="18">
        <v>7395.5</v>
      </c>
    </row>
    <row r="64" spans="2:17" x14ac:dyDescent="0.3">
      <c r="B64" t="s">
        <v>1123</v>
      </c>
      <c r="C64" s="57">
        <v>44904</v>
      </c>
      <c r="D64" s="18"/>
      <c r="E64" s="18"/>
      <c r="F64" s="18"/>
      <c r="G64" s="18"/>
      <c r="H64" s="18"/>
      <c r="I64" s="18"/>
      <c r="J64" s="18">
        <v>49088.1</v>
      </c>
      <c r="K64" s="18"/>
      <c r="L64" s="18"/>
      <c r="M64" s="18"/>
      <c r="N64" s="18"/>
      <c r="O64" s="18"/>
      <c r="P64" s="18">
        <v>49088.1</v>
      </c>
      <c r="Q64" s="18">
        <v>49088.1</v>
      </c>
    </row>
    <row r="65" spans="1:17" x14ac:dyDescent="0.3">
      <c r="B65" t="s">
        <v>1128</v>
      </c>
      <c r="C65" s="57">
        <v>44917</v>
      </c>
      <c r="D65" s="18"/>
      <c r="E65" s="18"/>
      <c r="F65" s="18"/>
      <c r="G65" s="18"/>
      <c r="H65" s="18"/>
      <c r="I65" s="18"/>
      <c r="J65" s="18">
        <v>47686.5</v>
      </c>
      <c r="K65" s="18"/>
      <c r="L65" s="18"/>
      <c r="M65" s="18"/>
      <c r="N65" s="18"/>
      <c r="O65" s="18"/>
      <c r="P65" s="18">
        <v>47686.5</v>
      </c>
      <c r="Q65" s="18">
        <v>47686.5</v>
      </c>
    </row>
    <row r="66" spans="1:17" x14ac:dyDescent="0.3">
      <c r="B66" t="s">
        <v>1139</v>
      </c>
      <c r="C66" s="57">
        <v>44923</v>
      </c>
      <c r="D66" s="18"/>
      <c r="E66" s="18"/>
      <c r="F66" s="18"/>
      <c r="G66" s="18"/>
      <c r="H66" s="18"/>
      <c r="I66" s="18"/>
      <c r="J66" s="18">
        <v>1008</v>
      </c>
      <c r="K66" s="18"/>
      <c r="L66" s="18"/>
      <c r="M66" s="18"/>
      <c r="N66" s="18"/>
      <c r="O66" s="18"/>
      <c r="P66" s="18">
        <v>1008</v>
      </c>
      <c r="Q66" s="18">
        <v>1008</v>
      </c>
    </row>
    <row r="67" spans="1:17" x14ac:dyDescent="0.3">
      <c r="B67" t="s">
        <v>1140</v>
      </c>
      <c r="C67" s="57">
        <v>44925</v>
      </c>
      <c r="D67" s="18"/>
      <c r="E67" s="18"/>
      <c r="F67" s="18"/>
      <c r="G67" s="18"/>
      <c r="H67" s="18"/>
      <c r="I67" s="18"/>
      <c r="J67" s="18">
        <v>21740.5</v>
      </c>
      <c r="K67" s="18"/>
      <c r="L67" s="18"/>
      <c r="M67" s="18"/>
      <c r="N67" s="18"/>
      <c r="O67" s="18"/>
      <c r="P67" s="18">
        <v>21740.5</v>
      </c>
      <c r="Q67" s="18">
        <v>21740.5</v>
      </c>
    </row>
    <row r="68" spans="1:17" x14ac:dyDescent="0.3">
      <c r="A68" s="17" t="s">
        <v>423</v>
      </c>
      <c r="B68" s="17"/>
      <c r="C68" s="17"/>
      <c r="D68" s="19">
        <v>36697.5</v>
      </c>
      <c r="E68" s="19">
        <v>29559</v>
      </c>
      <c r="F68" s="19">
        <v>16419.599999999999</v>
      </c>
      <c r="G68" s="19">
        <v>47697.5</v>
      </c>
      <c r="H68" s="19">
        <v>113864.3</v>
      </c>
      <c r="I68" s="19">
        <v>32526.899999999998</v>
      </c>
      <c r="J68" s="19">
        <v>135322.6</v>
      </c>
      <c r="K68" s="19">
        <v>56934</v>
      </c>
      <c r="L68" s="19">
        <v>10639</v>
      </c>
      <c r="M68" s="19">
        <v>55176</v>
      </c>
      <c r="N68" s="19">
        <v>90633</v>
      </c>
      <c r="O68" s="19">
        <v>93599.5</v>
      </c>
      <c r="P68" s="19">
        <v>719068.89999999991</v>
      </c>
      <c r="Q68" s="19">
        <v>719068.89999999991</v>
      </c>
    </row>
    <row r="69" spans="1:17" x14ac:dyDescent="0.3">
      <c r="A69" t="s">
        <v>131</v>
      </c>
      <c r="D69" s="18">
        <v>36697.5</v>
      </c>
      <c r="E69" s="18">
        <v>29559</v>
      </c>
      <c r="F69" s="18">
        <v>16419.599999999999</v>
      </c>
      <c r="G69" s="18">
        <v>47697.5</v>
      </c>
      <c r="H69" s="18">
        <v>113864.3</v>
      </c>
      <c r="I69" s="18">
        <v>32526.899999999998</v>
      </c>
      <c r="J69" s="18">
        <v>135322.6</v>
      </c>
      <c r="K69" s="18">
        <v>56934</v>
      </c>
      <c r="L69" s="18">
        <v>10639</v>
      </c>
      <c r="M69" s="18">
        <v>55176</v>
      </c>
      <c r="N69" s="18">
        <v>90633</v>
      </c>
      <c r="O69" s="18">
        <v>93599.5</v>
      </c>
      <c r="P69" s="18">
        <v>719068.89999999991</v>
      </c>
      <c r="Q69" s="18">
        <v>719068.89999999991</v>
      </c>
    </row>
  </sheetData>
  <pageMargins left="0.39370078740157483" right="0.19685039370078741" top="0.39370078740157483" bottom="0.59055118110236227" header="0.31496062992125984" footer="0.31496062992125984"/>
  <pageSetup scale="65" orientation="portrait" r:id="rId3"/>
  <headerFooter>
    <oddFooter>&amp;R&amp;F&amp;A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BA825"/>
  <sheetViews>
    <sheetView topLeftCell="A37" zoomScaleNormal="100" workbookViewId="0">
      <selection activeCell="H54" sqref="H54"/>
    </sheetView>
  </sheetViews>
  <sheetFormatPr defaultRowHeight="14.4" x14ac:dyDescent="0.3"/>
  <cols>
    <col min="1" max="1" width="38.33203125" bestFit="1" customWidth="1"/>
    <col min="2" max="7" width="9.88671875" bestFit="1" customWidth="1"/>
    <col min="8" max="8" width="10.77734375" bestFit="1" customWidth="1"/>
    <col min="9" max="22" width="1.6640625" customWidth="1"/>
    <col min="23" max="23" width="17.6640625" bestFit="1" customWidth="1"/>
    <col min="24" max="24" width="11.77734375" customWidth="1"/>
    <col min="25" max="25" width="13.5546875" customWidth="1"/>
    <col min="26" max="26" width="13.44140625" bestFit="1" customWidth="1"/>
    <col min="27" max="27" width="16.6640625" bestFit="1" customWidth="1"/>
    <col min="28" max="33" width="9.88671875" bestFit="1" customWidth="1"/>
    <col min="34" max="34" width="10.77734375" bestFit="1" customWidth="1"/>
    <col min="35" max="43" width="1.6640625" customWidth="1"/>
    <col min="44" max="44" width="31.77734375" customWidth="1"/>
    <col min="45" max="45" width="11.6640625" customWidth="1"/>
    <col min="46" max="46" width="13.6640625" bestFit="1" customWidth="1"/>
    <col min="47" max="52" width="9.88671875" bestFit="1" customWidth="1"/>
    <col min="53" max="53" width="10.77734375" bestFit="1" customWidth="1"/>
    <col min="54" max="56" width="9.88671875" bestFit="1" customWidth="1"/>
    <col min="57" max="57" width="10.77734375" bestFit="1" customWidth="1"/>
  </cols>
  <sheetData>
    <row r="1" spans="1:53" x14ac:dyDescent="0.3">
      <c r="A1" t="s">
        <v>203</v>
      </c>
    </row>
    <row r="2" spans="1:53" x14ac:dyDescent="0.3">
      <c r="A2" t="s">
        <v>1989</v>
      </c>
    </row>
    <row r="4" spans="1:53" x14ac:dyDescent="0.3">
      <c r="A4" s="14" t="s">
        <v>200</v>
      </c>
      <c r="B4" s="14" t="s">
        <v>87</v>
      </c>
      <c r="W4" s="14" t="s">
        <v>200</v>
      </c>
      <c r="AB4" s="14" t="s">
        <v>87</v>
      </c>
      <c r="AR4" s="14" t="s">
        <v>200</v>
      </c>
      <c r="AU4" s="14" t="s">
        <v>87</v>
      </c>
    </row>
    <row r="5" spans="1:53" x14ac:dyDescent="0.3">
      <c r="A5" s="14" t="s">
        <v>1</v>
      </c>
      <c r="B5">
        <v>0</v>
      </c>
      <c r="C5">
        <v>45</v>
      </c>
      <c r="D5">
        <v>60</v>
      </c>
      <c r="E5">
        <v>120</v>
      </c>
      <c r="F5" t="s">
        <v>1764</v>
      </c>
      <c r="G5">
        <v>30</v>
      </c>
      <c r="H5" t="s">
        <v>131</v>
      </c>
      <c r="W5" s="14" t="s">
        <v>1</v>
      </c>
      <c r="X5" s="14" t="s">
        <v>207</v>
      </c>
      <c r="Y5" s="14" t="s">
        <v>162</v>
      </c>
      <c r="Z5" s="14" t="s">
        <v>3</v>
      </c>
      <c r="AA5" s="14" t="s">
        <v>2</v>
      </c>
      <c r="AB5">
        <v>0</v>
      </c>
      <c r="AC5">
        <v>45</v>
      </c>
      <c r="AD5">
        <v>60</v>
      </c>
      <c r="AE5">
        <v>120</v>
      </c>
      <c r="AF5" t="s">
        <v>1764</v>
      </c>
      <c r="AG5">
        <v>30</v>
      </c>
      <c r="AH5" t="s">
        <v>131</v>
      </c>
      <c r="AR5" s="14" t="s">
        <v>1</v>
      </c>
      <c r="AS5" s="14" t="s">
        <v>207</v>
      </c>
      <c r="AT5" s="14" t="s">
        <v>162</v>
      </c>
      <c r="AU5">
        <v>0</v>
      </c>
      <c r="AV5">
        <v>45</v>
      </c>
      <c r="AW5">
        <v>60</v>
      </c>
      <c r="AX5">
        <v>120</v>
      </c>
      <c r="AY5" t="s">
        <v>1764</v>
      </c>
      <c r="AZ5">
        <v>30</v>
      </c>
      <c r="BA5" t="s">
        <v>131</v>
      </c>
    </row>
    <row r="6" spans="1:53" x14ac:dyDescent="0.3">
      <c r="A6" t="s">
        <v>35</v>
      </c>
      <c r="B6" s="18">
        <v>0</v>
      </c>
      <c r="C6" s="18"/>
      <c r="D6" s="18"/>
      <c r="E6" s="18"/>
      <c r="F6" s="18"/>
      <c r="G6" s="18"/>
      <c r="H6" s="18">
        <v>0</v>
      </c>
      <c r="W6" t="s">
        <v>35</v>
      </c>
      <c r="X6">
        <v>2020</v>
      </c>
      <c r="Y6">
        <v>8</v>
      </c>
      <c r="Z6" s="57">
        <v>44053</v>
      </c>
      <c r="AA6" t="s">
        <v>33</v>
      </c>
      <c r="AB6" s="18">
        <v>0</v>
      </c>
      <c r="AC6" s="18"/>
      <c r="AD6" s="18"/>
      <c r="AE6" s="18"/>
      <c r="AF6" s="18"/>
      <c r="AG6" s="18"/>
      <c r="AH6" s="18">
        <v>0</v>
      </c>
      <c r="AR6" t="s">
        <v>35</v>
      </c>
      <c r="AS6">
        <v>2020</v>
      </c>
      <c r="AT6">
        <v>8</v>
      </c>
      <c r="AU6" s="18">
        <v>0</v>
      </c>
      <c r="AV6" s="18"/>
      <c r="AW6" s="18"/>
      <c r="AX6" s="18"/>
      <c r="AY6" s="18"/>
      <c r="AZ6" s="18"/>
      <c r="BA6" s="18">
        <v>0</v>
      </c>
    </row>
    <row r="7" spans="1:53" x14ac:dyDescent="0.3">
      <c r="A7" t="s">
        <v>47</v>
      </c>
      <c r="B7" s="18">
        <v>0</v>
      </c>
      <c r="C7" s="18"/>
      <c r="D7" s="18"/>
      <c r="E7" s="18"/>
      <c r="F7" s="18"/>
      <c r="G7" s="18"/>
      <c r="H7" s="18">
        <v>0</v>
      </c>
      <c r="Y7">
        <v>10</v>
      </c>
      <c r="Z7" s="57">
        <v>44109</v>
      </c>
      <c r="AA7" t="s">
        <v>106</v>
      </c>
      <c r="AB7" s="18">
        <v>0</v>
      </c>
      <c r="AC7" s="18"/>
      <c r="AD7" s="18"/>
      <c r="AE7" s="18"/>
      <c r="AF7" s="18"/>
      <c r="AG7" s="18"/>
      <c r="AH7" s="18">
        <v>0</v>
      </c>
      <c r="AT7">
        <v>10</v>
      </c>
      <c r="AU7" s="18">
        <v>0</v>
      </c>
      <c r="AV7" s="18"/>
      <c r="AW7" s="18"/>
      <c r="AX7" s="18"/>
      <c r="AY7" s="18"/>
      <c r="AZ7" s="18"/>
      <c r="BA7" s="18">
        <v>0</v>
      </c>
    </row>
    <row r="8" spans="1:53" x14ac:dyDescent="0.3">
      <c r="A8" t="s">
        <v>58</v>
      </c>
      <c r="B8" s="18"/>
      <c r="C8" s="18"/>
      <c r="D8" s="18">
        <v>16620.8</v>
      </c>
      <c r="E8" s="18"/>
      <c r="F8" s="18"/>
      <c r="G8" s="18"/>
      <c r="H8" s="18">
        <v>16620.8</v>
      </c>
      <c r="Z8" s="57">
        <v>44123</v>
      </c>
      <c r="AA8" t="s">
        <v>123</v>
      </c>
      <c r="AB8" s="18">
        <v>0</v>
      </c>
      <c r="AC8" s="18"/>
      <c r="AD8" s="18"/>
      <c r="AE8" s="18"/>
      <c r="AF8" s="18"/>
      <c r="AG8" s="18"/>
      <c r="AH8" s="18">
        <v>0</v>
      </c>
      <c r="AT8">
        <v>11</v>
      </c>
      <c r="AU8" s="18">
        <v>0</v>
      </c>
      <c r="AV8" s="18"/>
      <c r="AW8" s="18"/>
      <c r="AX8" s="18"/>
      <c r="AY8" s="18"/>
      <c r="AZ8" s="18"/>
      <c r="BA8" s="18">
        <v>0</v>
      </c>
    </row>
    <row r="9" spans="1:53" x14ac:dyDescent="0.3">
      <c r="A9" t="s">
        <v>7</v>
      </c>
      <c r="B9" s="18">
        <v>0</v>
      </c>
      <c r="C9" s="18"/>
      <c r="D9" s="18"/>
      <c r="E9" s="18"/>
      <c r="F9" s="18"/>
      <c r="G9" s="18"/>
      <c r="H9" s="18">
        <v>0</v>
      </c>
      <c r="Z9" s="57">
        <v>44125</v>
      </c>
      <c r="AA9" t="s">
        <v>126</v>
      </c>
      <c r="AB9" s="18">
        <v>0</v>
      </c>
      <c r="AC9" s="18"/>
      <c r="AD9" s="18"/>
      <c r="AE9" s="18"/>
      <c r="AF9" s="18"/>
      <c r="AG9" s="18"/>
      <c r="AH9" s="18">
        <v>0</v>
      </c>
      <c r="AS9">
        <v>2021</v>
      </c>
      <c r="AT9">
        <v>2</v>
      </c>
      <c r="AU9" s="18">
        <v>0</v>
      </c>
      <c r="AV9" s="18"/>
      <c r="AW9" s="18"/>
      <c r="AX9" s="18"/>
      <c r="AY9" s="18"/>
      <c r="AZ9" s="18"/>
      <c r="BA9" s="18">
        <v>0</v>
      </c>
    </row>
    <row r="10" spans="1:53" x14ac:dyDescent="0.3">
      <c r="A10" t="s">
        <v>20</v>
      </c>
      <c r="B10" s="18"/>
      <c r="C10" s="18">
        <v>0</v>
      </c>
      <c r="D10" s="18"/>
      <c r="E10" s="18"/>
      <c r="F10" s="18"/>
      <c r="G10" s="18"/>
      <c r="H10" s="18">
        <v>0</v>
      </c>
      <c r="Z10" s="57">
        <v>44135</v>
      </c>
      <c r="AA10" t="s">
        <v>149</v>
      </c>
      <c r="AB10" s="18">
        <v>0</v>
      </c>
      <c r="AC10" s="18"/>
      <c r="AD10" s="18"/>
      <c r="AE10" s="18"/>
      <c r="AF10" s="18"/>
      <c r="AG10" s="18"/>
      <c r="AH10" s="18">
        <v>0</v>
      </c>
      <c r="AT10">
        <v>5</v>
      </c>
      <c r="AU10" s="18">
        <v>0</v>
      </c>
      <c r="AV10" s="18"/>
      <c r="AW10" s="18"/>
      <c r="AX10" s="18"/>
      <c r="AY10" s="18"/>
      <c r="AZ10" s="18"/>
      <c r="BA10" s="18">
        <v>0</v>
      </c>
    </row>
    <row r="11" spans="1:53" x14ac:dyDescent="0.3">
      <c r="A11" t="s">
        <v>43</v>
      </c>
      <c r="B11" s="18">
        <v>7480.2</v>
      </c>
      <c r="C11" s="18"/>
      <c r="D11" s="18"/>
      <c r="E11" s="18"/>
      <c r="F11" s="18"/>
      <c r="G11" s="18"/>
      <c r="H11" s="18">
        <v>7480.2</v>
      </c>
      <c r="Y11">
        <v>11</v>
      </c>
      <c r="Z11" s="57">
        <v>44145</v>
      </c>
      <c r="AA11" t="s">
        <v>155</v>
      </c>
      <c r="AB11" s="18">
        <v>0</v>
      </c>
      <c r="AC11" s="18"/>
      <c r="AD11" s="18"/>
      <c r="AE11" s="18"/>
      <c r="AF11" s="18"/>
      <c r="AG11" s="18"/>
      <c r="AH11" s="18">
        <v>0</v>
      </c>
      <c r="AT11">
        <v>9</v>
      </c>
      <c r="AU11" s="18">
        <v>0</v>
      </c>
      <c r="AV11" s="18"/>
      <c r="AW11" s="18"/>
      <c r="AX11" s="18"/>
      <c r="AY11" s="18"/>
      <c r="AZ11" s="18"/>
      <c r="BA11" s="18">
        <v>0</v>
      </c>
    </row>
    <row r="12" spans="1:53" x14ac:dyDescent="0.3">
      <c r="A12" t="s">
        <v>23</v>
      </c>
      <c r="B12" s="18"/>
      <c r="C12" s="18"/>
      <c r="D12" s="18"/>
      <c r="E12" s="18">
        <v>0</v>
      </c>
      <c r="F12" s="18"/>
      <c r="G12" s="18"/>
      <c r="H12" s="18">
        <v>0</v>
      </c>
      <c r="Z12" s="57">
        <v>44158</v>
      </c>
      <c r="AA12" t="s">
        <v>173</v>
      </c>
      <c r="AB12" s="18">
        <v>0</v>
      </c>
      <c r="AC12" s="18"/>
      <c r="AD12" s="18"/>
      <c r="AE12" s="18"/>
      <c r="AF12" s="18"/>
      <c r="AG12" s="18"/>
      <c r="AH12" s="18">
        <v>0</v>
      </c>
      <c r="AT12">
        <v>10</v>
      </c>
      <c r="AU12" s="18">
        <v>0</v>
      </c>
      <c r="AV12" s="18"/>
      <c r="AW12" s="18"/>
      <c r="AX12" s="18"/>
      <c r="AY12" s="18"/>
      <c r="AZ12" s="18"/>
      <c r="BA12" s="18">
        <v>0</v>
      </c>
    </row>
    <row r="13" spans="1:53" x14ac:dyDescent="0.3">
      <c r="A13" t="s">
        <v>14</v>
      </c>
      <c r="B13" s="18">
        <v>0</v>
      </c>
      <c r="C13" s="18"/>
      <c r="D13" s="18"/>
      <c r="E13" s="18"/>
      <c r="F13" s="18"/>
      <c r="G13" s="18"/>
      <c r="H13" s="18">
        <v>0</v>
      </c>
      <c r="X13">
        <v>2021</v>
      </c>
      <c r="Y13">
        <v>2</v>
      </c>
      <c r="Z13" s="57">
        <v>44229</v>
      </c>
      <c r="AA13" t="s">
        <v>261</v>
      </c>
      <c r="AB13" s="18">
        <v>0</v>
      </c>
      <c r="AC13" s="18"/>
      <c r="AD13" s="18"/>
      <c r="AE13" s="18"/>
      <c r="AF13" s="18"/>
      <c r="AG13" s="18"/>
      <c r="AH13" s="18">
        <v>0</v>
      </c>
      <c r="AT13">
        <v>11</v>
      </c>
      <c r="AU13" s="18">
        <v>0</v>
      </c>
      <c r="AV13" s="18"/>
      <c r="AW13" s="18"/>
      <c r="AX13" s="18"/>
      <c r="AY13" s="18"/>
      <c r="AZ13" s="18"/>
      <c r="BA13" s="18">
        <v>0</v>
      </c>
    </row>
    <row r="14" spans="1:53" x14ac:dyDescent="0.3">
      <c r="A14" t="s">
        <v>52</v>
      </c>
      <c r="B14" s="18">
        <v>0</v>
      </c>
      <c r="C14" s="18"/>
      <c r="D14" s="18"/>
      <c r="E14" s="18"/>
      <c r="F14" s="18"/>
      <c r="G14" s="18"/>
      <c r="H14" s="18">
        <v>0</v>
      </c>
      <c r="Z14" s="57">
        <v>44244</v>
      </c>
      <c r="AA14" t="s">
        <v>267</v>
      </c>
      <c r="AB14" s="18">
        <v>0</v>
      </c>
      <c r="AC14" s="18"/>
      <c r="AD14" s="18"/>
      <c r="AE14" s="18"/>
      <c r="AF14" s="18"/>
      <c r="AG14" s="18"/>
      <c r="AH14" s="18">
        <v>0</v>
      </c>
      <c r="AR14" s="36" t="s">
        <v>132</v>
      </c>
      <c r="AS14" s="36"/>
      <c r="AT14" s="36"/>
      <c r="AU14" s="37">
        <v>0</v>
      </c>
      <c r="AV14" s="37"/>
      <c r="AW14" s="37"/>
      <c r="AX14" s="37"/>
      <c r="AY14" s="37"/>
      <c r="AZ14" s="37"/>
      <c r="BA14" s="37">
        <v>0</v>
      </c>
    </row>
    <row r="15" spans="1:53" x14ac:dyDescent="0.3">
      <c r="A15" t="s">
        <v>62</v>
      </c>
      <c r="B15" s="18"/>
      <c r="C15" s="18"/>
      <c r="D15" s="18"/>
      <c r="E15" s="18">
        <v>90050.5</v>
      </c>
      <c r="F15" s="18"/>
      <c r="G15" s="18"/>
      <c r="H15" s="18">
        <v>90050.5</v>
      </c>
      <c r="Y15">
        <v>5</v>
      </c>
      <c r="Z15" s="57">
        <v>44322</v>
      </c>
      <c r="AA15" t="s">
        <v>338</v>
      </c>
      <c r="AB15" s="18">
        <v>0</v>
      </c>
      <c r="AC15" s="18"/>
      <c r="AD15" s="18"/>
      <c r="AE15" s="18"/>
      <c r="AF15" s="18"/>
      <c r="AG15" s="18"/>
      <c r="AH15" s="18">
        <v>0</v>
      </c>
      <c r="AR15" t="s">
        <v>47</v>
      </c>
      <c r="AS15">
        <v>2020</v>
      </c>
      <c r="AT15">
        <v>8</v>
      </c>
      <c r="AU15" s="18">
        <v>0</v>
      </c>
      <c r="AV15" s="18"/>
      <c r="AW15" s="18"/>
      <c r="AX15" s="18"/>
      <c r="AY15" s="18"/>
      <c r="AZ15" s="18"/>
      <c r="BA15" s="18">
        <v>0</v>
      </c>
    </row>
    <row r="16" spans="1:53" x14ac:dyDescent="0.3">
      <c r="A16" t="s">
        <v>174</v>
      </c>
      <c r="B16" s="18">
        <v>0</v>
      </c>
      <c r="C16" s="18"/>
      <c r="D16" s="18"/>
      <c r="E16" s="18"/>
      <c r="F16" s="18"/>
      <c r="G16" s="18"/>
      <c r="H16" s="18">
        <v>0</v>
      </c>
      <c r="Z16" s="57">
        <v>44335</v>
      </c>
      <c r="AA16" t="s">
        <v>341</v>
      </c>
      <c r="AB16" s="18">
        <v>0</v>
      </c>
      <c r="AC16" s="18"/>
      <c r="AD16" s="18"/>
      <c r="AE16" s="18"/>
      <c r="AF16" s="18"/>
      <c r="AG16" s="18"/>
      <c r="AH16" s="18">
        <v>0</v>
      </c>
      <c r="AT16">
        <v>10</v>
      </c>
      <c r="AU16" s="18">
        <v>0</v>
      </c>
      <c r="AV16" s="18"/>
      <c r="AW16" s="18"/>
      <c r="AX16" s="18"/>
      <c r="AY16" s="18"/>
      <c r="AZ16" s="18"/>
      <c r="BA16" s="18">
        <v>0</v>
      </c>
    </row>
    <row r="17" spans="1:53" x14ac:dyDescent="0.3">
      <c r="A17" t="s">
        <v>224</v>
      </c>
      <c r="B17" s="18"/>
      <c r="C17" s="18"/>
      <c r="D17" s="18"/>
      <c r="E17" s="18"/>
      <c r="F17" s="18">
        <v>0</v>
      </c>
      <c r="G17" s="18"/>
      <c r="H17" s="18">
        <v>0</v>
      </c>
      <c r="Z17" s="57">
        <v>44341</v>
      </c>
      <c r="AA17" t="s">
        <v>343</v>
      </c>
      <c r="AB17" s="18">
        <v>0</v>
      </c>
      <c r="AC17" s="18"/>
      <c r="AD17" s="18"/>
      <c r="AE17" s="18"/>
      <c r="AF17" s="18"/>
      <c r="AG17" s="18"/>
      <c r="AH17" s="18">
        <v>0</v>
      </c>
      <c r="AR17" s="36" t="s">
        <v>133</v>
      </c>
      <c r="AS17" s="36"/>
      <c r="AT17" s="36"/>
      <c r="AU17" s="37">
        <v>0</v>
      </c>
      <c r="AV17" s="37"/>
      <c r="AW17" s="37"/>
      <c r="AX17" s="37"/>
      <c r="AY17" s="37"/>
      <c r="AZ17" s="37"/>
      <c r="BA17" s="37">
        <v>0</v>
      </c>
    </row>
    <row r="18" spans="1:53" x14ac:dyDescent="0.3">
      <c r="A18" t="s">
        <v>229</v>
      </c>
      <c r="B18" s="18"/>
      <c r="C18" s="18"/>
      <c r="D18" s="18"/>
      <c r="E18" s="18"/>
      <c r="F18" s="18">
        <v>0</v>
      </c>
      <c r="G18" s="18"/>
      <c r="H18" s="18">
        <v>0</v>
      </c>
      <c r="Y18">
        <v>9</v>
      </c>
      <c r="Z18" s="57">
        <v>44440</v>
      </c>
      <c r="AA18" t="s">
        <v>368</v>
      </c>
      <c r="AB18" s="18">
        <v>0</v>
      </c>
      <c r="AC18" s="18"/>
      <c r="AD18" s="18"/>
      <c r="AE18" s="18"/>
      <c r="AF18" s="18"/>
      <c r="AG18" s="18"/>
      <c r="AH18" s="18">
        <v>0</v>
      </c>
      <c r="AR18" t="s">
        <v>58</v>
      </c>
      <c r="AS18">
        <v>2020</v>
      </c>
      <c r="AT18">
        <v>10</v>
      </c>
      <c r="AU18" s="18"/>
      <c r="AV18" s="18"/>
      <c r="AW18" s="18">
        <v>0</v>
      </c>
      <c r="AX18" s="18"/>
      <c r="AY18" s="18"/>
      <c r="AZ18" s="18"/>
      <c r="BA18" s="18">
        <v>0</v>
      </c>
    </row>
    <row r="19" spans="1:53" x14ac:dyDescent="0.3">
      <c r="A19" t="s">
        <v>263</v>
      </c>
      <c r="B19" s="18">
        <v>11435.8</v>
      </c>
      <c r="C19" s="18"/>
      <c r="D19" s="18"/>
      <c r="E19" s="18"/>
      <c r="F19" s="18"/>
      <c r="G19" s="18"/>
      <c r="H19" s="18">
        <v>11435.8</v>
      </c>
      <c r="AA19" t="s">
        <v>369</v>
      </c>
      <c r="AB19" s="18">
        <v>0</v>
      </c>
      <c r="AC19" s="18"/>
      <c r="AD19" s="18"/>
      <c r="AE19" s="18"/>
      <c r="AF19" s="18"/>
      <c r="AG19" s="18"/>
      <c r="AH19" s="18">
        <v>0</v>
      </c>
      <c r="AS19">
        <v>2021</v>
      </c>
      <c r="AT19">
        <v>1</v>
      </c>
      <c r="AU19" s="18"/>
      <c r="AV19" s="18"/>
      <c r="AW19" s="18">
        <v>0</v>
      </c>
      <c r="AX19" s="18"/>
      <c r="AY19" s="18"/>
      <c r="AZ19" s="18"/>
      <c r="BA19" s="18">
        <v>0</v>
      </c>
    </row>
    <row r="20" spans="1:53" x14ac:dyDescent="0.3">
      <c r="A20" t="s">
        <v>281</v>
      </c>
      <c r="B20" s="18">
        <v>0</v>
      </c>
      <c r="C20" s="18"/>
      <c r="D20" s="18"/>
      <c r="E20" s="18"/>
      <c r="F20" s="18"/>
      <c r="G20" s="18"/>
      <c r="H20" s="18">
        <v>0</v>
      </c>
      <c r="Z20" s="57">
        <v>44467</v>
      </c>
      <c r="AA20" t="s">
        <v>380</v>
      </c>
      <c r="AB20" s="18">
        <v>0</v>
      </c>
      <c r="AC20" s="18"/>
      <c r="AD20" s="18"/>
      <c r="AE20" s="18"/>
      <c r="AF20" s="18"/>
      <c r="AG20" s="18"/>
      <c r="AH20" s="18">
        <v>0</v>
      </c>
      <c r="AT20">
        <v>5</v>
      </c>
      <c r="AU20" s="18"/>
      <c r="AV20" s="18"/>
      <c r="AW20" s="18">
        <v>0</v>
      </c>
      <c r="AX20" s="18"/>
      <c r="AY20" s="18"/>
      <c r="AZ20" s="18"/>
      <c r="BA20" s="18">
        <v>0</v>
      </c>
    </row>
    <row r="21" spans="1:53" x14ac:dyDescent="0.3">
      <c r="A21" t="s">
        <v>290</v>
      </c>
      <c r="B21" s="18">
        <v>0</v>
      </c>
      <c r="C21" s="18"/>
      <c r="D21" s="18"/>
      <c r="E21" s="18"/>
      <c r="F21" s="18"/>
      <c r="G21" s="18"/>
      <c r="H21" s="18">
        <v>0</v>
      </c>
      <c r="Y21">
        <v>10</v>
      </c>
      <c r="Z21" s="57">
        <v>44484</v>
      </c>
      <c r="AA21" t="s">
        <v>424</v>
      </c>
      <c r="AB21" s="18">
        <v>0</v>
      </c>
      <c r="AC21" s="18"/>
      <c r="AD21" s="18"/>
      <c r="AE21" s="18"/>
      <c r="AF21" s="18"/>
      <c r="AG21" s="18"/>
      <c r="AH21" s="18">
        <v>0</v>
      </c>
      <c r="AT21">
        <v>6</v>
      </c>
      <c r="AU21" s="18"/>
      <c r="AV21" s="18"/>
      <c r="AW21" s="18">
        <v>0</v>
      </c>
      <c r="AX21" s="18"/>
      <c r="AY21" s="18"/>
      <c r="AZ21" s="18"/>
      <c r="BA21" s="18">
        <v>0</v>
      </c>
    </row>
    <row r="22" spans="1:53" x14ac:dyDescent="0.3">
      <c r="A22" t="s">
        <v>376</v>
      </c>
      <c r="B22" s="18">
        <v>0</v>
      </c>
      <c r="C22" s="18"/>
      <c r="D22" s="18"/>
      <c r="E22" s="18"/>
      <c r="F22" s="18"/>
      <c r="G22" s="18"/>
      <c r="H22" s="18">
        <v>0</v>
      </c>
      <c r="Y22">
        <v>11</v>
      </c>
      <c r="Z22" s="57">
        <v>44501</v>
      </c>
      <c r="AA22" t="s">
        <v>456</v>
      </c>
      <c r="AB22" s="18">
        <v>0</v>
      </c>
      <c r="AC22" s="18"/>
      <c r="AD22" s="18"/>
      <c r="AE22" s="18"/>
      <c r="AF22" s="18"/>
      <c r="AG22" s="18"/>
      <c r="AH22" s="18">
        <v>0</v>
      </c>
      <c r="AT22">
        <v>12</v>
      </c>
      <c r="AU22" s="18"/>
      <c r="AV22" s="18"/>
      <c r="AW22" s="18">
        <v>0</v>
      </c>
      <c r="AX22" s="18"/>
      <c r="AY22" s="18"/>
      <c r="AZ22" s="18"/>
      <c r="BA22" s="18">
        <v>0</v>
      </c>
    </row>
    <row r="23" spans="1:53" x14ac:dyDescent="0.3">
      <c r="A23" t="s">
        <v>401</v>
      </c>
      <c r="B23" s="18">
        <v>55422.2</v>
      </c>
      <c r="C23" s="18"/>
      <c r="D23" s="18"/>
      <c r="E23" s="18"/>
      <c r="F23" s="18"/>
      <c r="G23" s="18"/>
      <c r="H23" s="18">
        <v>55422.2</v>
      </c>
      <c r="W23" s="36" t="s">
        <v>132</v>
      </c>
      <c r="X23" s="36"/>
      <c r="Y23" s="36"/>
      <c r="Z23" s="36"/>
      <c r="AA23" s="36"/>
      <c r="AB23" s="37">
        <v>0</v>
      </c>
      <c r="AC23" s="37"/>
      <c r="AD23" s="37"/>
      <c r="AE23" s="37"/>
      <c r="AF23" s="37"/>
      <c r="AG23" s="37"/>
      <c r="AH23" s="37">
        <v>0</v>
      </c>
      <c r="AS23">
        <v>2022</v>
      </c>
      <c r="AT23">
        <v>6</v>
      </c>
      <c r="AU23" s="18"/>
      <c r="AV23" s="18"/>
      <c r="AW23" s="18">
        <v>0</v>
      </c>
      <c r="AX23" s="18"/>
      <c r="AY23" s="18"/>
      <c r="AZ23" s="18"/>
      <c r="BA23" s="18">
        <v>0</v>
      </c>
    </row>
    <row r="24" spans="1:53" x14ac:dyDescent="0.3">
      <c r="A24" t="s">
        <v>410</v>
      </c>
      <c r="B24" s="18">
        <v>373347.30000000005</v>
      </c>
      <c r="C24" s="18"/>
      <c r="D24" s="18"/>
      <c r="E24" s="18"/>
      <c r="F24" s="18"/>
      <c r="G24" s="18"/>
      <c r="H24" s="18">
        <v>373347.30000000005</v>
      </c>
      <c r="W24" t="s">
        <v>47</v>
      </c>
      <c r="X24">
        <v>2020</v>
      </c>
      <c r="Y24">
        <v>8</v>
      </c>
      <c r="Z24" s="57">
        <v>44065</v>
      </c>
      <c r="AA24" t="s">
        <v>49</v>
      </c>
      <c r="AB24" s="18">
        <v>0</v>
      </c>
      <c r="AC24" s="18"/>
      <c r="AD24" s="18"/>
      <c r="AE24" s="18"/>
      <c r="AF24" s="18"/>
      <c r="AG24" s="18"/>
      <c r="AH24" s="18">
        <v>0</v>
      </c>
      <c r="AT24">
        <v>7</v>
      </c>
      <c r="AU24" s="18"/>
      <c r="AV24" s="18"/>
      <c r="AW24" s="18">
        <v>0</v>
      </c>
      <c r="AX24" s="18"/>
      <c r="AY24" s="18"/>
      <c r="AZ24" s="18"/>
      <c r="BA24" s="18">
        <v>0</v>
      </c>
    </row>
    <row r="25" spans="1:53" x14ac:dyDescent="0.3">
      <c r="A25" t="s">
        <v>470</v>
      </c>
      <c r="B25" s="18"/>
      <c r="C25" s="18"/>
      <c r="D25" s="18"/>
      <c r="E25" s="18"/>
      <c r="F25" s="18">
        <v>0</v>
      </c>
      <c r="G25" s="18"/>
      <c r="H25" s="18">
        <v>0</v>
      </c>
      <c r="Y25">
        <v>10</v>
      </c>
      <c r="Z25" s="57">
        <v>44118</v>
      </c>
      <c r="AA25" t="s">
        <v>117</v>
      </c>
      <c r="AB25" s="18">
        <v>0</v>
      </c>
      <c r="AC25" s="18"/>
      <c r="AD25" s="18"/>
      <c r="AE25" s="18"/>
      <c r="AF25" s="18"/>
      <c r="AG25" s="18"/>
      <c r="AH25" s="18">
        <v>0</v>
      </c>
      <c r="AT25">
        <v>8</v>
      </c>
      <c r="AU25" s="18"/>
      <c r="AV25" s="18"/>
      <c r="AW25" s="18">
        <v>0</v>
      </c>
      <c r="AX25" s="18"/>
      <c r="AY25" s="18"/>
      <c r="AZ25" s="18"/>
      <c r="BA25" s="18">
        <v>0</v>
      </c>
    </row>
    <row r="26" spans="1:53" x14ac:dyDescent="0.3">
      <c r="A26" t="s">
        <v>492</v>
      </c>
      <c r="B26" s="18">
        <v>46831</v>
      </c>
      <c r="C26" s="18"/>
      <c r="D26" s="18"/>
      <c r="E26" s="18"/>
      <c r="F26" s="18"/>
      <c r="G26" s="18"/>
      <c r="H26" s="18">
        <v>46831</v>
      </c>
      <c r="Z26" s="57">
        <v>44123</v>
      </c>
      <c r="AA26" t="s">
        <v>117</v>
      </c>
      <c r="AB26" s="18">
        <v>0</v>
      </c>
      <c r="AC26" s="18"/>
      <c r="AD26" s="18"/>
      <c r="AE26" s="18"/>
      <c r="AF26" s="18"/>
      <c r="AG26" s="18"/>
      <c r="AH26" s="18">
        <v>0</v>
      </c>
      <c r="AT26">
        <v>9</v>
      </c>
      <c r="AU26" s="18"/>
      <c r="AV26" s="18"/>
      <c r="AW26" s="18">
        <v>0</v>
      </c>
      <c r="AX26" s="18"/>
      <c r="AY26" s="18"/>
      <c r="AZ26" s="18"/>
      <c r="BA26" s="18">
        <v>0</v>
      </c>
    </row>
    <row r="27" spans="1:53" x14ac:dyDescent="0.3">
      <c r="A27" t="s">
        <v>638</v>
      </c>
      <c r="B27" s="18">
        <v>22584.2</v>
      </c>
      <c r="C27" s="18"/>
      <c r="D27" s="18"/>
      <c r="E27" s="18"/>
      <c r="F27" s="18"/>
      <c r="G27" s="18"/>
      <c r="H27" s="18">
        <v>22584.2</v>
      </c>
      <c r="W27" s="36" t="s">
        <v>133</v>
      </c>
      <c r="X27" s="36"/>
      <c r="Y27" s="36"/>
      <c r="Z27" s="36"/>
      <c r="AA27" s="36"/>
      <c r="AB27" s="37">
        <v>0</v>
      </c>
      <c r="AC27" s="37"/>
      <c r="AD27" s="37"/>
      <c r="AE27" s="37"/>
      <c r="AF27" s="37"/>
      <c r="AG27" s="37"/>
      <c r="AH27" s="37">
        <v>0</v>
      </c>
      <c r="AT27">
        <v>10</v>
      </c>
      <c r="AU27" s="18"/>
      <c r="AV27" s="18"/>
      <c r="AW27" s="18">
        <v>0</v>
      </c>
      <c r="AX27" s="18"/>
      <c r="AY27" s="18"/>
      <c r="AZ27" s="18"/>
      <c r="BA27" s="18">
        <v>0</v>
      </c>
    </row>
    <row r="28" spans="1:53" x14ac:dyDescent="0.3">
      <c r="A28" t="s">
        <v>666</v>
      </c>
      <c r="B28" s="18">
        <v>0</v>
      </c>
      <c r="C28" s="18"/>
      <c r="D28" s="18"/>
      <c r="E28" s="18"/>
      <c r="F28" s="18"/>
      <c r="G28" s="18"/>
      <c r="H28" s="18">
        <v>0</v>
      </c>
      <c r="W28" t="s">
        <v>58</v>
      </c>
      <c r="X28">
        <v>2020</v>
      </c>
      <c r="Y28">
        <v>10</v>
      </c>
      <c r="Z28" s="57">
        <v>44068</v>
      </c>
      <c r="AA28" t="s">
        <v>55</v>
      </c>
      <c r="AB28" s="18"/>
      <c r="AC28" s="18"/>
      <c r="AD28" s="18">
        <v>0</v>
      </c>
      <c r="AE28" s="18"/>
      <c r="AF28" s="18"/>
      <c r="AG28" s="18"/>
      <c r="AH28" s="18">
        <v>0</v>
      </c>
      <c r="AT28">
        <v>11</v>
      </c>
      <c r="AU28" s="18"/>
      <c r="AV28" s="18"/>
      <c r="AW28" s="18">
        <v>0</v>
      </c>
      <c r="AX28" s="18"/>
      <c r="AY28" s="18"/>
      <c r="AZ28" s="18"/>
      <c r="BA28" s="18">
        <v>0</v>
      </c>
    </row>
    <row r="29" spans="1:53" x14ac:dyDescent="0.3">
      <c r="A29" t="s">
        <v>710</v>
      </c>
      <c r="B29" s="18">
        <v>0</v>
      </c>
      <c r="C29" s="18"/>
      <c r="D29" s="18"/>
      <c r="E29" s="18"/>
      <c r="F29" s="18"/>
      <c r="G29" s="18"/>
      <c r="H29" s="18">
        <v>0</v>
      </c>
      <c r="X29">
        <v>2021</v>
      </c>
      <c r="Y29">
        <v>1</v>
      </c>
      <c r="Z29" s="57">
        <v>44146</v>
      </c>
      <c r="AA29" t="s">
        <v>156</v>
      </c>
      <c r="AB29" s="18"/>
      <c r="AC29" s="18"/>
      <c r="AD29" s="18">
        <v>0</v>
      </c>
      <c r="AE29" s="18"/>
      <c r="AF29" s="18"/>
      <c r="AG29" s="18"/>
      <c r="AH29" s="18">
        <v>0</v>
      </c>
      <c r="AT29">
        <v>12</v>
      </c>
      <c r="AU29" s="18"/>
      <c r="AV29" s="18"/>
      <c r="AW29" s="18">
        <v>0</v>
      </c>
      <c r="AX29" s="18"/>
      <c r="AY29" s="18"/>
      <c r="AZ29" s="18"/>
      <c r="BA29" s="18">
        <v>0</v>
      </c>
    </row>
    <row r="30" spans="1:53" x14ac:dyDescent="0.3">
      <c r="A30" t="s">
        <v>774</v>
      </c>
      <c r="B30" s="18">
        <v>0</v>
      </c>
      <c r="C30" s="18"/>
      <c r="D30" s="18"/>
      <c r="E30" s="18"/>
      <c r="F30" s="18"/>
      <c r="G30" s="18"/>
      <c r="H30" s="18">
        <v>0</v>
      </c>
      <c r="Z30" s="57">
        <v>44163</v>
      </c>
      <c r="AA30" t="s">
        <v>183</v>
      </c>
      <c r="AB30" s="18"/>
      <c r="AC30" s="18"/>
      <c r="AD30" s="18">
        <v>0</v>
      </c>
      <c r="AE30" s="18"/>
      <c r="AF30" s="18"/>
      <c r="AG30" s="18"/>
      <c r="AH30" s="18">
        <v>0</v>
      </c>
      <c r="AT30">
        <v>4</v>
      </c>
      <c r="AU30" s="18"/>
      <c r="AV30" s="18"/>
      <c r="AW30" s="18">
        <v>0</v>
      </c>
      <c r="AX30" s="18"/>
      <c r="AY30" s="18"/>
      <c r="AZ30" s="18"/>
      <c r="BA30" s="18">
        <v>0</v>
      </c>
    </row>
    <row r="31" spans="1:53" x14ac:dyDescent="0.3">
      <c r="A31" t="s">
        <v>785</v>
      </c>
      <c r="B31" s="18">
        <v>946.3</v>
      </c>
      <c r="C31" s="18"/>
      <c r="D31" s="18"/>
      <c r="E31" s="18"/>
      <c r="F31" s="18"/>
      <c r="G31" s="18"/>
      <c r="H31" s="18">
        <v>946.3</v>
      </c>
      <c r="Y31">
        <v>5</v>
      </c>
      <c r="Z31" s="57">
        <v>44266</v>
      </c>
      <c r="AA31" t="s">
        <v>317</v>
      </c>
      <c r="AB31" s="18"/>
      <c r="AC31" s="18"/>
      <c r="AD31" s="18">
        <v>0</v>
      </c>
      <c r="AE31" s="18"/>
      <c r="AF31" s="18"/>
      <c r="AG31" s="18"/>
      <c r="AH31" s="18">
        <v>0</v>
      </c>
      <c r="AS31">
        <v>2023</v>
      </c>
      <c r="AT31">
        <v>1</v>
      </c>
      <c r="AU31" s="18"/>
      <c r="AV31" s="18"/>
      <c r="AW31" s="18">
        <v>0</v>
      </c>
      <c r="AX31" s="18"/>
      <c r="AY31" s="18"/>
      <c r="AZ31" s="18"/>
      <c r="BA31" s="18">
        <v>0</v>
      </c>
    </row>
    <row r="32" spans="1:53" x14ac:dyDescent="0.3">
      <c r="A32" t="s">
        <v>860</v>
      </c>
      <c r="B32" s="18">
        <v>17345.900000000001</v>
      </c>
      <c r="C32" s="18"/>
      <c r="D32" s="18"/>
      <c r="E32" s="18"/>
      <c r="F32" s="18"/>
      <c r="G32" s="18"/>
      <c r="H32" s="18">
        <v>17345.900000000001</v>
      </c>
      <c r="Z32" s="57">
        <v>44279</v>
      </c>
      <c r="AA32" t="s">
        <v>320</v>
      </c>
      <c r="AB32" s="18"/>
      <c r="AC32" s="18"/>
      <c r="AD32" s="18">
        <v>0</v>
      </c>
      <c r="AE32" s="18"/>
      <c r="AF32" s="18"/>
      <c r="AG32" s="18"/>
      <c r="AH32" s="18">
        <v>0</v>
      </c>
      <c r="AT32">
        <v>2</v>
      </c>
      <c r="AU32" s="18"/>
      <c r="AV32" s="18"/>
      <c r="AW32" s="18">
        <v>0</v>
      </c>
      <c r="AX32" s="18"/>
      <c r="AY32" s="18"/>
      <c r="AZ32" s="18"/>
      <c r="BA32" s="18">
        <v>0</v>
      </c>
    </row>
    <row r="33" spans="1:53" x14ac:dyDescent="0.3">
      <c r="A33" t="s">
        <v>959</v>
      </c>
      <c r="B33" s="18">
        <v>0</v>
      </c>
      <c r="C33" s="18"/>
      <c r="D33" s="18"/>
      <c r="E33" s="18"/>
      <c r="F33" s="18"/>
      <c r="G33" s="18"/>
      <c r="H33" s="18">
        <v>0</v>
      </c>
      <c r="Y33">
        <v>6</v>
      </c>
      <c r="Z33" s="57">
        <v>44313</v>
      </c>
      <c r="AA33" t="s">
        <v>329</v>
      </c>
      <c r="AB33" s="18"/>
      <c r="AC33" s="18"/>
      <c r="AD33" s="18">
        <v>0</v>
      </c>
      <c r="AE33" s="18"/>
      <c r="AF33" s="18"/>
      <c r="AG33" s="18"/>
      <c r="AH33" s="18">
        <v>0</v>
      </c>
      <c r="AT33">
        <v>3</v>
      </c>
      <c r="AU33" s="18"/>
      <c r="AV33" s="18"/>
      <c r="AW33" s="18">
        <v>0</v>
      </c>
      <c r="AX33" s="18"/>
      <c r="AY33" s="18"/>
      <c r="AZ33" s="18"/>
      <c r="BA33" s="18">
        <v>0</v>
      </c>
    </row>
    <row r="34" spans="1:53" x14ac:dyDescent="0.3">
      <c r="A34" t="s">
        <v>1045</v>
      </c>
      <c r="B34" s="18"/>
      <c r="C34" s="18"/>
      <c r="D34" s="18"/>
      <c r="E34" s="18"/>
      <c r="F34" s="18">
        <v>0</v>
      </c>
      <c r="G34" s="18"/>
      <c r="H34" s="18">
        <v>0</v>
      </c>
      <c r="Z34" s="57">
        <v>44348</v>
      </c>
      <c r="AA34" t="s">
        <v>357</v>
      </c>
      <c r="AB34" s="18"/>
      <c r="AC34" s="18"/>
      <c r="AD34" s="18">
        <v>0</v>
      </c>
      <c r="AE34" s="18"/>
      <c r="AF34" s="18"/>
      <c r="AG34" s="18"/>
      <c r="AH34" s="18">
        <v>0</v>
      </c>
      <c r="AT34">
        <v>5</v>
      </c>
      <c r="AU34" s="18"/>
      <c r="AV34" s="18"/>
      <c r="AW34" s="18">
        <v>0</v>
      </c>
      <c r="AX34" s="18"/>
      <c r="AY34" s="18"/>
      <c r="AZ34" s="18"/>
      <c r="BA34" s="18">
        <v>0</v>
      </c>
    </row>
    <row r="35" spans="1:53" x14ac:dyDescent="0.3">
      <c r="A35" t="s">
        <v>1052</v>
      </c>
      <c r="B35" s="18">
        <v>0</v>
      </c>
      <c r="C35" s="18"/>
      <c r="D35" s="18"/>
      <c r="E35" s="18"/>
      <c r="F35" s="18"/>
      <c r="G35" s="18"/>
      <c r="H35" s="18">
        <v>0</v>
      </c>
      <c r="AA35" t="s">
        <v>358</v>
      </c>
      <c r="AB35" s="18"/>
      <c r="AC35" s="18"/>
      <c r="AD35" s="18">
        <v>0</v>
      </c>
      <c r="AE35" s="18"/>
      <c r="AF35" s="18"/>
      <c r="AG35" s="18"/>
      <c r="AH35" s="18">
        <v>0</v>
      </c>
      <c r="AT35">
        <v>6</v>
      </c>
      <c r="AU35" s="18"/>
      <c r="AV35" s="18"/>
      <c r="AW35" s="18">
        <v>0</v>
      </c>
      <c r="AX35" s="18"/>
      <c r="AY35" s="18"/>
      <c r="AZ35" s="18"/>
      <c r="BA35" s="18">
        <v>0</v>
      </c>
    </row>
    <row r="36" spans="1:53" x14ac:dyDescent="0.3">
      <c r="A36" t="s">
        <v>1058</v>
      </c>
      <c r="B36" s="18">
        <v>0</v>
      </c>
      <c r="C36" s="18"/>
      <c r="D36" s="18"/>
      <c r="E36" s="18"/>
      <c r="F36" s="18"/>
      <c r="G36" s="18"/>
      <c r="H36" s="18">
        <v>0</v>
      </c>
      <c r="Y36">
        <v>12</v>
      </c>
      <c r="Z36" s="57">
        <v>44483</v>
      </c>
      <c r="AA36" t="s">
        <v>419</v>
      </c>
      <c r="AB36" s="18"/>
      <c r="AC36" s="18"/>
      <c r="AD36" s="18">
        <v>0</v>
      </c>
      <c r="AE36" s="18"/>
      <c r="AF36" s="18"/>
      <c r="AG36" s="18"/>
      <c r="AH36" s="18">
        <v>0</v>
      </c>
      <c r="AT36">
        <v>7</v>
      </c>
      <c r="AU36" s="18"/>
      <c r="AV36" s="18"/>
      <c r="AW36" s="18">
        <v>0</v>
      </c>
      <c r="AX36" s="18"/>
      <c r="AY36" s="18"/>
      <c r="AZ36" s="18"/>
      <c r="BA36" s="18">
        <v>0</v>
      </c>
    </row>
    <row r="37" spans="1:53" x14ac:dyDescent="0.3">
      <c r="A37" t="s">
        <v>1102</v>
      </c>
      <c r="B37" s="18">
        <v>0</v>
      </c>
      <c r="C37" s="18"/>
      <c r="D37" s="18"/>
      <c r="E37" s="18"/>
      <c r="F37" s="18"/>
      <c r="G37" s="18"/>
      <c r="H37" s="18">
        <v>0</v>
      </c>
      <c r="X37">
        <v>2022</v>
      </c>
      <c r="Y37">
        <v>6</v>
      </c>
      <c r="Z37" s="57">
        <v>44660</v>
      </c>
      <c r="AA37" t="s">
        <v>689</v>
      </c>
      <c r="AB37" s="18"/>
      <c r="AC37" s="18"/>
      <c r="AD37" s="18">
        <v>0</v>
      </c>
      <c r="AE37" s="18"/>
      <c r="AF37" s="18"/>
      <c r="AG37" s="18"/>
      <c r="AH37" s="18">
        <v>0</v>
      </c>
      <c r="AT37">
        <v>8</v>
      </c>
      <c r="AU37" s="18"/>
      <c r="AV37" s="18"/>
      <c r="AW37" s="18">
        <v>220</v>
      </c>
      <c r="AX37" s="18"/>
      <c r="AY37" s="18"/>
      <c r="AZ37" s="18"/>
      <c r="BA37" s="18">
        <v>220</v>
      </c>
    </row>
    <row r="38" spans="1:53" x14ac:dyDescent="0.3">
      <c r="A38" t="s">
        <v>1101</v>
      </c>
      <c r="B38" s="18">
        <v>0</v>
      </c>
      <c r="C38" s="18"/>
      <c r="D38" s="18"/>
      <c r="E38" s="18"/>
      <c r="F38" s="18"/>
      <c r="G38" s="18"/>
      <c r="H38" s="18">
        <v>0</v>
      </c>
      <c r="Y38">
        <v>7</v>
      </c>
      <c r="Z38" s="57">
        <v>44691</v>
      </c>
      <c r="AA38" t="s">
        <v>766</v>
      </c>
      <c r="AB38" s="18"/>
      <c r="AC38" s="18"/>
      <c r="AD38" s="18">
        <v>0</v>
      </c>
      <c r="AE38" s="18"/>
      <c r="AF38" s="18"/>
      <c r="AG38" s="18"/>
      <c r="AH38" s="18">
        <v>0</v>
      </c>
      <c r="AT38">
        <v>9</v>
      </c>
      <c r="AU38" s="18"/>
      <c r="AV38" s="18"/>
      <c r="AW38" s="18">
        <v>3124</v>
      </c>
      <c r="AX38" s="18"/>
      <c r="AY38" s="18"/>
      <c r="AZ38" s="18"/>
      <c r="BA38" s="18">
        <v>3124</v>
      </c>
    </row>
    <row r="39" spans="1:53" x14ac:dyDescent="0.3">
      <c r="A39" t="s">
        <v>1197</v>
      </c>
      <c r="B39" s="18">
        <v>11076.3</v>
      </c>
      <c r="C39" s="18"/>
      <c r="D39" s="18"/>
      <c r="E39" s="18"/>
      <c r="F39" s="18"/>
      <c r="G39" s="18"/>
      <c r="H39" s="18">
        <v>11076.3</v>
      </c>
      <c r="Y39">
        <v>8</v>
      </c>
      <c r="Z39" s="57">
        <v>44726</v>
      </c>
      <c r="AA39" t="s">
        <v>837</v>
      </c>
      <c r="AB39" s="18"/>
      <c r="AC39" s="18"/>
      <c r="AD39" s="18">
        <v>0</v>
      </c>
      <c r="AE39" s="18"/>
      <c r="AF39" s="18"/>
      <c r="AG39" s="18"/>
      <c r="AH39" s="18">
        <v>0</v>
      </c>
      <c r="AT39">
        <v>10</v>
      </c>
      <c r="AU39" s="18"/>
      <c r="AV39" s="18"/>
      <c r="AW39" s="18">
        <v>220</v>
      </c>
      <c r="AX39" s="18"/>
      <c r="AY39" s="18"/>
      <c r="AZ39" s="18"/>
      <c r="BA39" s="18">
        <v>220</v>
      </c>
    </row>
    <row r="40" spans="1:53" x14ac:dyDescent="0.3">
      <c r="A40" t="s">
        <v>1258</v>
      </c>
      <c r="B40" s="18">
        <v>0</v>
      </c>
      <c r="C40" s="18"/>
      <c r="D40" s="18"/>
      <c r="E40" s="18"/>
      <c r="F40" s="18"/>
      <c r="G40" s="18"/>
      <c r="H40" s="18">
        <v>0</v>
      </c>
      <c r="Z40" s="57">
        <v>44743</v>
      </c>
      <c r="AA40" t="s">
        <v>857</v>
      </c>
      <c r="AB40" s="18"/>
      <c r="AC40" s="18"/>
      <c r="AD40" s="18">
        <v>0</v>
      </c>
      <c r="AE40" s="18"/>
      <c r="AF40" s="18"/>
      <c r="AG40" s="18"/>
      <c r="AH40" s="18">
        <v>0</v>
      </c>
      <c r="AT40">
        <v>11</v>
      </c>
      <c r="AU40" s="18"/>
      <c r="AV40" s="18"/>
      <c r="AW40" s="18">
        <v>540</v>
      </c>
      <c r="AX40" s="18"/>
      <c r="AY40" s="18"/>
      <c r="AZ40" s="18"/>
      <c r="BA40" s="18">
        <v>540</v>
      </c>
    </row>
    <row r="41" spans="1:53" x14ac:dyDescent="0.3">
      <c r="A41" t="s">
        <v>1305</v>
      </c>
      <c r="B41" s="18">
        <v>0</v>
      </c>
      <c r="C41" s="18"/>
      <c r="D41" s="18"/>
      <c r="E41" s="18"/>
      <c r="F41" s="18"/>
      <c r="G41" s="18"/>
      <c r="H41" s="18">
        <v>0</v>
      </c>
      <c r="Y41">
        <v>9</v>
      </c>
      <c r="Z41" s="57">
        <v>44771</v>
      </c>
      <c r="AA41" t="s">
        <v>874</v>
      </c>
      <c r="AB41" s="18"/>
      <c r="AC41" s="18"/>
      <c r="AD41" s="18">
        <v>0</v>
      </c>
      <c r="AE41" s="18"/>
      <c r="AF41" s="18"/>
      <c r="AG41" s="18"/>
      <c r="AH41" s="18">
        <v>0</v>
      </c>
      <c r="AT41">
        <v>12</v>
      </c>
      <c r="AU41" s="18"/>
      <c r="AV41" s="18"/>
      <c r="AW41" s="18">
        <v>6446</v>
      </c>
      <c r="AX41" s="18"/>
      <c r="AY41" s="18"/>
      <c r="AZ41" s="18"/>
      <c r="BA41" s="18">
        <v>6446</v>
      </c>
    </row>
    <row r="42" spans="1:53" x14ac:dyDescent="0.3">
      <c r="A42" t="s">
        <v>1310</v>
      </c>
      <c r="B42" s="18"/>
      <c r="C42" s="18"/>
      <c r="D42" s="18"/>
      <c r="E42" s="18"/>
      <c r="F42" s="18"/>
      <c r="G42" s="18">
        <v>11904.5</v>
      </c>
      <c r="H42" s="18">
        <v>11904.5</v>
      </c>
      <c r="Y42">
        <v>10</v>
      </c>
      <c r="Z42" s="57">
        <v>44796</v>
      </c>
      <c r="AA42" t="s">
        <v>912</v>
      </c>
      <c r="AB42" s="18"/>
      <c r="AC42" s="18"/>
      <c r="AD42" s="18">
        <v>0</v>
      </c>
      <c r="AE42" s="18"/>
      <c r="AF42" s="18"/>
      <c r="AG42" s="18"/>
      <c r="AH42" s="18">
        <v>0</v>
      </c>
      <c r="AS42">
        <v>2024</v>
      </c>
      <c r="AT42">
        <v>2</v>
      </c>
      <c r="AU42" s="18"/>
      <c r="AV42" s="18"/>
      <c r="AW42" s="18">
        <v>6070.7999999999993</v>
      </c>
      <c r="AX42" s="18"/>
      <c r="AY42" s="18"/>
      <c r="AZ42" s="18"/>
      <c r="BA42" s="18">
        <v>6070.7999999999993</v>
      </c>
    </row>
    <row r="43" spans="1:53" x14ac:dyDescent="0.3">
      <c r="A43" t="s">
        <v>1421</v>
      </c>
      <c r="B43" s="18">
        <v>0</v>
      </c>
      <c r="C43" s="18"/>
      <c r="D43" s="18"/>
      <c r="E43" s="18"/>
      <c r="F43" s="18"/>
      <c r="G43" s="18"/>
      <c r="H43" s="18">
        <v>0</v>
      </c>
      <c r="Y43">
        <v>11</v>
      </c>
      <c r="Z43" t="s">
        <v>927</v>
      </c>
      <c r="AA43" t="s">
        <v>926</v>
      </c>
      <c r="AB43" s="18"/>
      <c r="AC43" s="18"/>
      <c r="AD43" s="18">
        <v>0</v>
      </c>
      <c r="AE43" s="18"/>
      <c r="AF43" s="18"/>
      <c r="AG43" s="18"/>
      <c r="AH43" s="18">
        <v>0</v>
      </c>
      <c r="AR43" s="36" t="s">
        <v>134</v>
      </c>
      <c r="AS43" s="36"/>
      <c r="AT43" s="36"/>
      <c r="AU43" s="37"/>
      <c r="AV43" s="37"/>
      <c r="AW43" s="37">
        <v>16620.8</v>
      </c>
      <c r="AX43" s="37"/>
      <c r="AY43" s="37"/>
      <c r="AZ43" s="37"/>
      <c r="BA43" s="37">
        <v>16620.8</v>
      </c>
    </row>
    <row r="44" spans="1:53" x14ac:dyDescent="0.3">
      <c r="A44" t="s">
        <v>1454</v>
      </c>
      <c r="B44" s="18">
        <v>0</v>
      </c>
      <c r="C44" s="18"/>
      <c r="D44" s="18"/>
      <c r="E44" s="18"/>
      <c r="F44" s="18"/>
      <c r="G44" s="18"/>
      <c r="H44" s="18">
        <v>0</v>
      </c>
      <c r="Y44">
        <v>12</v>
      </c>
      <c r="Z44" s="57">
        <v>44852</v>
      </c>
      <c r="AA44" t="s">
        <v>1007</v>
      </c>
      <c r="AB44" s="18"/>
      <c r="AC44" s="18"/>
      <c r="AD44" s="18">
        <v>0</v>
      </c>
      <c r="AE44" s="18"/>
      <c r="AF44" s="18"/>
      <c r="AG44" s="18"/>
      <c r="AH44" s="18">
        <v>0</v>
      </c>
      <c r="AR44" t="s">
        <v>7</v>
      </c>
      <c r="AS44">
        <v>2020</v>
      </c>
      <c r="AT44">
        <v>6</v>
      </c>
      <c r="AU44" s="18">
        <v>0</v>
      </c>
      <c r="AV44" s="18"/>
      <c r="AW44" s="18"/>
      <c r="AX44" s="18"/>
      <c r="AY44" s="18"/>
      <c r="AZ44" s="18"/>
      <c r="BA44" s="18">
        <v>0</v>
      </c>
    </row>
    <row r="45" spans="1:53" x14ac:dyDescent="0.3">
      <c r="A45" t="s">
        <v>1698</v>
      </c>
      <c r="B45" s="18">
        <v>0</v>
      </c>
      <c r="C45" s="18"/>
      <c r="D45" s="18"/>
      <c r="E45" s="18"/>
      <c r="F45" s="18"/>
      <c r="G45" s="18"/>
      <c r="H45" s="18">
        <v>0</v>
      </c>
      <c r="Y45">
        <v>4</v>
      </c>
      <c r="Z45" s="57">
        <v>44610</v>
      </c>
      <c r="AA45" t="s">
        <v>605</v>
      </c>
      <c r="AB45" s="18"/>
      <c r="AC45" s="18"/>
      <c r="AD45" s="18">
        <v>0</v>
      </c>
      <c r="AE45" s="18"/>
      <c r="AF45" s="18"/>
      <c r="AG45" s="18"/>
      <c r="AH45" s="18">
        <v>0</v>
      </c>
      <c r="AT45">
        <v>7</v>
      </c>
      <c r="AU45" s="18">
        <v>0</v>
      </c>
      <c r="AV45" s="18"/>
      <c r="AW45" s="18"/>
      <c r="AX45" s="18"/>
      <c r="AY45" s="18"/>
      <c r="AZ45" s="18"/>
      <c r="BA45" s="18">
        <v>0</v>
      </c>
    </row>
    <row r="46" spans="1:53" x14ac:dyDescent="0.3">
      <c r="A46" t="s">
        <v>1621</v>
      </c>
      <c r="B46" s="18">
        <v>0</v>
      </c>
      <c r="C46" s="18"/>
      <c r="D46" s="18"/>
      <c r="E46" s="18"/>
      <c r="F46" s="18"/>
      <c r="G46" s="18"/>
      <c r="H46" s="18">
        <v>0</v>
      </c>
      <c r="X46">
        <v>2023</v>
      </c>
      <c r="Y46">
        <v>1</v>
      </c>
      <c r="Z46" s="57">
        <v>44868</v>
      </c>
      <c r="AA46" t="s">
        <v>1049</v>
      </c>
      <c r="AB46" s="18"/>
      <c r="AC46" s="18"/>
      <c r="AD46" s="18">
        <v>0</v>
      </c>
      <c r="AE46" s="18"/>
      <c r="AF46" s="18"/>
      <c r="AG46" s="18"/>
      <c r="AH46" s="18">
        <v>0</v>
      </c>
      <c r="AT46">
        <v>8</v>
      </c>
      <c r="AU46" s="18">
        <v>0</v>
      </c>
      <c r="AV46" s="18"/>
      <c r="AW46" s="18"/>
      <c r="AX46" s="18"/>
      <c r="AY46" s="18"/>
      <c r="AZ46" s="18"/>
      <c r="BA46" s="18">
        <v>0</v>
      </c>
    </row>
    <row r="47" spans="1:53" x14ac:dyDescent="0.3">
      <c r="A47" t="s">
        <v>1703</v>
      </c>
      <c r="B47" s="18">
        <v>0</v>
      </c>
      <c r="C47" s="18"/>
      <c r="D47" s="18"/>
      <c r="E47" s="18"/>
      <c r="F47" s="18"/>
      <c r="G47" s="18"/>
      <c r="H47" s="18">
        <v>0</v>
      </c>
      <c r="Y47">
        <v>2</v>
      </c>
      <c r="Z47" s="57">
        <v>44898</v>
      </c>
      <c r="AA47" t="s">
        <v>1114</v>
      </c>
      <c r="AB47" s="18"/>
      <c r="AC47" s="18"/>
      <c r="AD47" s="18">
        <v>0</v>
      </c>
      <c r="AE47" s="18"/>
      <c r="AF47" s="18"/>
      <c r="AG47" s="18"/>
      <c r="AH47" s="18">
        <v>0</v>
      </c>
      <c r="AT47">
        <v>9</v>
      </c>
      <c r="AU47" s="18">
        <v>0</v>
      </c>
      <c r="AV47" s="18"/>
      <c r="AW47" s="18"/>
      <c r="AX47" s="18"/>
      <c r="AY47" s="18"/>
      <c r="AZ47" s="18"/>
      <c r="BA47" s="18">
        <v>0</v>
      </c>
    </row>
    <row r="48" spans="1:53" x14ac:dyDescent="0.3">
      <c r="A48" t="s">
        <v>1705</v>
      </c>
      <c r="B48" s="18">
        <v>237</v>
      </c>
      <c r="C48" s="18"/>
      <c r="D48" s="18"/>
      <c r="E48" s="18"/>
      <c r="F48" s="18"/>
      <c r="G48" s="18"/>
      <c r="H48" s="18">
        <v>237</v>
      </c>
      <c r="Y48">
        <v>3</v>
      </c>
      <c r="Z48" s="57">
        <v>44953</v>
      </c>
      <c r="AA48" t="s">
        <v>1196</v>
      </c>
      <c r="AB48" s="18"/>
      <c r="AC48" s="18"/>
      <c r="AD48" s="18">
        <v>0</v>
      </c>
      <c r="AE48" s="18"/>
      <c r="AF48" s="18"/>
      <c r="AG48" s="18"/>
      <c r="AH48" s="18">
        <v>0</v>
      </c>
      <c r="AT48">
        <v>10</v>
      </c>
      <c r="AU48" s="18">
        <v>0</v>
      </c>
      <c r="AV48" s="18"/>
      <c r="AW48" s="18"/>
      <c r="AX48" s="18"/>
      <c r="AY48" s="18"/>
      <c r="AZ48" s="18"/>
      <c r="BA48" s="18">
        <v>0</v>
      </c>
    </row>
    <row r="49" spans="1:53" x14ac:dyDescent="0.3">
      <c r="A49" t="s">
        <v>2014</v>
      </c>
      <c r="B49" s="18">
        <v>168528.7</v>
      </c>
      <c r="C49" s="18"/>
      <c r="D49" s="18"/>
      <c r="E49" s="18"/>
      <c r="F49" s="18"/>
      <c r="G49" s="18"/>
      <c r="H49" s="18">
        <v>168528.7</v>
      </c>
      <c r="Y49">
        <v>5</v>
      </c>
      <c r="Z49" t="s">
        <v>1335</v>
      </c>
      <c r="AA49" t="s">
        <v>1339</v>
      </c>
      <c r="AB49" s="18"/>
      <c r="AC49" s="18"/>
      <c r="AD49" s="18">
        <v>0</v>
      </c>
      <c r="AE49" s="18"/>
      <c r="AF49" s="18"/>
      <c r="AG49" s="18"/>
      <c r="AH49" s="18">
        <v>0</v>
      </c>
      <c r="AT49">
        <v>11</v>
      </c>
      <c r="AU49" s="18">
        <v>0</v>
      </c>
      <c r="AV49" s="18"/>
      <c r="AW49" s="18"/>
      <c r="AX49" s="18"/>
      <c r="AY49" s="18"/>
      <c r="AZ49" s="18"/>
      <c r="BA49" s="18">
        <v>0</v>
      </c>
    </row>
    <row r="50" spans="1:53" x14ac:dyDescent="0.3">
      <c r="A50" t="s">
        <v>2024</v>
      </c>
      <c r="B50" s="18">
        <v>0</v>
      </c>
      <c r="C50" s="18"/>
      <c r="D50" s="18"/>
      <c r="E50" s="18"/>
      <c r="F50" s="18"/>
      <c r="G50" s="18"/>
      <c r="H50" s="18">
        <v>0</v>
      </c>
      <c r="Y50">
        <v>6</v>
      </c>
      <c r="Z50" t="s">
        <v>1404</v>
      </c>
      <c r="AA50" t="s">
        <v>1411</v>
      </c>
      <c r="AB50" s="18"/>
      <c r="AC50" s="18"/>
      <c r="AD50" s="18">
        <v>0</v>
      </c>
      <c r="AE50" s="18"/>
      <c r="AF50" s="18"/>
      <c r="AG50" s="18"/>
      <c r="AH50" s="18">
        <v>0</v>
      </c>
      <c r="AT50">
        <v>12</v>
      </c>
      <c r="AU50" s="18">
        <v>0</v>
      </c>
      <c r="AV50" s="18"/>
      <c r="AW50" s="18"/>
      <c r="AX50" s="18"/>
      <c r="AY50" s="18"/>
      <c r="AZ50" s="18"/>
      <c r="BA50" s="18">
        <v>0</v>
      </c>
    </row>
    <row r="51" spans="1:53" x14ac:dyDescent="0.3">
      <c r="A51" t="s">
        <v>2207</v>
      </c>
      <c r="B51" s="18">
        <v>9653.7999999999993</v>
      </c>
      <c r="C51" s="18"/>
      <c r="D51" s="18"/>
      <c r="E51" s="18"/>
      <c r="F51" s="18"/>
      <c r="G51" s="18"/>
      <c r="H51" s="18">
        <v>9653.7999999999993</v>
      </c>
      <c r="Z51" t="s">
        <v>1442</v>
      </c>
      <c r="AA51" t="s">
        <v>1441</v>
      </c>
      <c r="AB51" s="18"/>
      <c r="AC51" s="18"/>
      <c r="AD51" s="18">
        <v>0</v>
      </c>
      <c r="AE51" s="18"/>
      <c r="AF51" s="18"/>
      <c r="AG51" s="18"/>
      <c r="AH51" s="18">
        <v>0</v>
      </c>
      <c r="AS51">
        <v>2021</v>
      </c>
      <c r="AT51">
        <v>1</v>
      </c>
      <c r="AU51" s="18">
        <v>0</v>
      </c>
      <c r="AV51" s="18"/>
      <c r="AW51" s="18"/>
      <c r="AX51" s="18"/>
      <c r="AY51" s="18"/>
      <c r="AZ51" s="18"/>
      <c r="BA51" s="18">
        <v>0</v>
      </c>
    </row>
    <row r="52" spans="1:53" x14ac:dyDescent="0.3">
      <c r="A52" t="s">
        <v>2213</v>
      </c>
      <c r="B52" s="18">
        <v>2131</v>
      </c>
      <c r="C52" s="18"/>
      <c r="D52" s="18"/>
      <c r="E52" s="18"/>
      <c r="F52" s="18"/>
      <c r="G52" s="18"/>
      <c r="H52" s="18">
        <v>2131</v>
      </c>
      <c r="Y52">
        <v>7</v>
      </c>
      <c r="Z52" s="57">
        <v>45054</v>
      </c>
      <c r="AA52" t="s">
        <v>1538</v>
      </c>
      <c r="AB52" s="18"/>
      <c r="AC52" s="18"/>
      <c r="AD52" s="18">
        <v>0</v>
      </c>
      <c r="AE52" s="18"/>
      <c r="AF52" s="18"/>
      <c r="AG52" s="18"/>
      <c r="AH52" s="18">
        <v>0</v>
      </c>
      <c r="AT52">
        <v>2</v>
      </c>
      <c r="AU52" s="18">
        <v>0</v>
      </c>
      <c r="AV52" s="18"/>
      <c r="AW52" s="18"/>
      <c r="AX52" s="18"/>
      <c r="AY52" s="18"/>
      <c r="AZ52" s="18"/>
      <c r="BA52" s="18">
        <v>0</v>
      </c>
    </row>
    <row r="53" spans="1:53" x14ac:dyDescent="0.3">
      <c r="A53" t="s">
        <v>131</v>
      </c>
      <c r="B53" s="18">
        <v>727019.70000000019</v>
      </c>
      <c r="C53" s="18">
        <v>0</v>
      </c>
      <c r="D53" s="18">
        <v>16620.8</v>
      </c>
      <c r="E53" s="18">
        <v>90050.5</v>
      </c>
      <c r="F53" s="18">
        <v>0</v>
      </c>
      <c r="G53" s="18">
        <v>11904.5</v>
      </c>
      <c r="H53" s="18">
        <v>845595.50000000023</v>
      </c>
      <c r="Z53" s="57">
        <v>45072</v>
      </c>
      <c r="AA53" t="s">
        <v>1561</v>
      </c>
      <c r="AB53" s="18"/>
      <c r="AC53" s="18"/>
      <c r="AD53" s="18">
        <v>0</v>
      </c>
      <c r="AE53" s="18"/>
      <c r="AF53" s="18"/>
      <c r="AG53" s="18"/>
      <c r="AH53" s="18">
        <v>0</v>
      </c>
      <c r="AT53">
        <v>5</v>
      </c>
      <c r="AU53" s="18">
        <v>0</v>
      </c>
      <c r="AV53" s="18"/>
      <c r="AW53" s="18"/>
      <c r="AX53" s="18"/>
      <c r="AY53" s="18"/>
      <c r="AZ53" s="18"/>
      <c r="BA53" s="18">
        <v>0</v>
      </c>
    </row>
    <row r="54" spans="1:53" x14ac:dyDescent="0.3">
      <c r="Y54">
        <v>8</v>
      </c>
      <c r="Z54" t="s">
        <v>1709</v>
      </c>
      <c r="AA54" t="s">
        <v>1706</v>
      </c>
      <c r="AB54" s="18"/>
      <c r="AC54" s="18"/>
      <c r="AD54" s="18">
        <v>220</v>
      </c>
      <c r="AE54" s="18"/>
      <c r="AF54" s="18"/>
      <c r="AG54" s="18"/>
      <c r="AH54" s="18">
        <v>220</v>
      </c>
      <c r="AT54">
        <v>9</v>
      </c>
      <c r="AU54" s="18">
        <v>0</v>
      </c>
      <c r="AV54" s="18"/>
      <c r="AW54" s="18"/>
      <c r="AX54" s="18"/>
      <c r="AY54" s="18"/>
      <c r="AZ54" s="18"/>
      <c r="BA54" s="18">
        <v>0</v>
      </c>
    </row>
    <row r="55" spans="1:53" x14ac:dyDescent="0.3">
      <c r="Y55">
        <v>9</v>
      </c>
      <c r="Z55" s="57">
        <v>45139</v>
      </c>
      <c r="AA55" t="s">
        <v>1793</v>
      </c>
      <c r="AB55" s="18"/>
      <c r="AC55" s="18"/>
      <c r="AD55" s="18">
        <v>3124</v>
      </c>
      <c r="AE55" s="18"/>
      <c r="AF55" s="18"/>
      <c r="AG55" s="18"/>
      <c r="AH55" s="18">
        <v>3124</v>
      </c>
      <c r="AT55">
        <v>10</v>
      </c>
      <c r="AU55" s="18">
        <v>0</v>
      </c>
      <c r="AV55" s="18"/>
      <c r="AW55" s="18"/>
      <c r="AX55" s="18"/>
      <c r="AY55" s="18"/>
      <c r="AZ55" s="18"/>
      <c r="BA55" s="18">
        <v>0</v>
      </c>
    </row>
    <row r="56" spans="1:53" x14ac:dyDescent="0.3">
      <c r="Y56">
        <v>10</v>
      </c>
      <c r="Z56" s="57">
        <v>45147</v>
      </c>
      <c r="AA56" t="s">
        <v>1810</v>
      </c>
      <c r="AB56" s="18"/>
      <c r="AC56" s="18"/>
      <c r="AD56" s="18">
        <v>220</v>
      </c>
      <c r="AE56" s="18"/>
      <c r="AF56" s="18"/>
      <c r="AG56" s="18"/>
      <c r="AH56" s="18">
        <v>220</v>
      </c>
      <c r="AT56">
        <v>12</v>
      </c>
      <c r="AU56" s="18">
        <v>0</v>
      </c>
      <c r="AV56" s="18"/>
      <c r="AW56" s="18"/>
      <c r="AX56" s="18"/>
      <c r="AY56" s="18"/>
      <c r="AZ56" s="18"/>
      <c r="BA56" s="18">
        <v>0</v>
      </c>
    </row>
    <row r="57" spans="1:53" x14ac:dyDescent="0.3">
      <c r="Y57">
        <v>11</v>
      </c>
      <c r="Z57" s="57">
        <v>45177</v>
      </c>
      <c r="AA57" t="s">
        <v>1891</v>
      </c>
      <c r="AB57" s="18"/>
      <c r="AC57" s="18"/>
      <c r="AD57" s="18">
        <v>540</v>
      </c>
      <c r="AE57" s="18"/>
      <c r="AF57" s="18"/>
      <c r="AG57" s="18"/>
      <c r="AH57" s="18">
        <v>540</v>
      </c>
      <c r="AT57">
        <v>4</v>
      </c>
      <c r="AU57" s="18">
        <v>0</v>
      </c>
      <c r="AV57" s="18"/>
      <c r="AW57" s="18"/>
      <c r="AX57" s="18"/>
      <c r="AY57" s="18"/>
      <c r="AZ57" s="18"/>
      <c r="BA57" s="18">
        <v>0</v>
      </c>
    </row>
    <row r="58" spans="1:53" x14ac:dyDescent="0.3">
      <c r="Y58">
        <v>12</v>
      </c>
      <c r="Z58" t="s">
        <v>2011</v>
      </c>
      <c r="AA58" t="s">
        <v>2010</v>
      </c>
      <c r="AB58" s="18"/>
      <c r="AC58" s="18"/>
      <c r="AD58" s="18">
        <v>1628</v>
      </c>
      <c r="AE58" s="18"/>
      <c r="AF58" s="18"/>
      <c r="AG58" s="18"/>
      <c r="AH58" s="18">
        <v>1628</v>
      </c>
      <c r="AS58">
        <v>2019</v>
      </c>
      <c r="AT58">
        <v>12</v>
      </c>
      <c r="AU58" s="18">
        <v>0</v>
      </c>
      <c r="AV58" s="18"/>
      <c r="AW58" s="18"/>
      <c r="AX58" s="18"/>
      <c r="AY58" s="18"/>
      <c r="AZ58" s="18"/>
      <c r="BA58" s="18">
        <v>0</v>
      </c>
    </row>
    <row r="59" spans="1:53" x14ac:dyDescent="0.3">
      <c r="Z59" s="57">
        <v>45218</v>
      </c>
      <c r="AA59" t="s">
        <v>2018</v>
      </c>
      <c r="AB59" s="18"/>
      <c r="AC59" s="18"/>
      <c r="AD59" s="18">
        <v>4818</v>
      </c>
      <c r="AE59" s="18"/>
      <c r="AF59" s="18"/>
      <c r="AG59" s="18"/>
      <c r="AH59" s="18">
        <v>4818</v>
      </c>
      <c r="AS59">
        <v>2022</v>
      </c>
      <c r="AT59">
        <v>3</v>
      </c>
      <c r="AU59" s="18">
        <v>0</v>
      </c>
      <c r="AV59" s="18"/>
      <c r="AW59" s="18"/>
      <c r="AX59" s="18"/>
      <c r="AY59" s="18"/>
      <c r="AZ59" s="18"/>
      <c r="BA59" s="18">
        <v>0</v>
      </c>
    </row>
    <row r="60" spans="1:53" x14ac:dyDescent="0.3">
      <c r="X60">
        <v>2024</v>
      </c>
      <c r="Y60">
        <v>2</v>
      </c>
      <c r="Z60" s="57">
        <v>45273</v>
      </c>
      <c r="AA60" t="s">
        <v>2176</v>
      </c>
      <c r="AB60" s="18"/>
      <c r="AC60" s="18"/>
      <c r="AD60" s="18">
        <v>6070.7999999999993</v>
      </c>
      <c r="AE60" s="18"/>
      <c r="AF60" s="18"/>
      <c r="AG60" s="18"/>
      <c r="AH60" s="18">
        <v>6070.7999999999993</v>
      </c>
      <c r="AT60">
        <v>6</v>
      </c>
      <c r="AU60" s="18">
        <v>0</v>
      </c>
      <c r="AV60" s="18"/>
      <c r="AW60" s="18"/>
      <c r="AX60" s="18"/>
      <c r="AY60" s="18"/>
      <c r="AZ60" s="18"/>
      <c r="BA60" s="18">
        <v>0</v>
      </c>
    </row>
    <row r="61" spans="1:53" x14ac:dyDescent="0.3">
      <c r="W61" s="36" t="s">
        <v>134</v>
      </c>
      <c r="X61" s="36"/>
      <c r="Y61" s="36"/>
      <c r="Z61" s="36"/>
      <c r="AA61" s="36"/>
      <c r="AB61" s="37"/>
      <c r="AC61" s="37"/>
      <c r="AD61" s="37">
        <v>16620.8</v>
      </c>
      <c r="AE61" s="37"/>
      <c r="AF61" s="37"/>
      <c r="AG61" s="37"/>
      <c r="AH61" s="37">
        <v>16620.8</v>
      </c>
      <c r="AT61">
        <v>7</v>
      </c>
      <c r="AU61" s="18">
        <v>0</v>
      </c>
      <c r="AV61" s="18"/>
      <c r="AW61" s="18"/>
      <c r="AX61" s="18"/>
      <c r="AY61" s="18"/>
      <c r="AZ61" s="18"/>
      <c r="BA61" s="18">
        <v>0</v>
      </c>
    </row>
    <row r="62" spans="1:53" x14ac:dyDescent="0.3">
      <c r="W62" t="s">
        <v>7</v>
      </c>
      <c r="X62">
        <v>2020</v>
      </c>
      <c r="Y62">
        <v>6</v>
      </c>
      <c r="Z62" s="57">
        <v>43984</v>
      </c>
      <c r="AA62" t="s">
        <v>10</v>
      </c>
      <c r="AB62" s="18">
        <v>0</v>
      </c>
      <c r="AC62" s="18"/>
      <c r="AD62" s="18"/>
      <c r="AE62" s="18"/>
      <c r="AF62" s="18"/>
      <c r="AG62" s="18"/>
      <c r="AH62" s="18">
        <v>0</v>
      </c>
      <c r="AT62">
        <v>8</v>
      </c>
      <c r="AU62" s="18">
        <v>0</v>
      </c>
      <c r="AV62" s="18"/>
      <c r="AW62" s="18"/>
      <c r="AX62" s="18"/>
      <c r="AY62" s="18"/>
      <c r="AZ62" s="18"/>
      <c r="BA62" s="18">
        <v>0</v>
      </c>
    </row>
    <row r="63" spans="1:53" x14ac:dyDescent="0.3">
      <c r="Z63" s="57">
        <v>43999</v>
      </c>
      <c r="AA63" t="s">
        <v>12</v>
      </c>
      <c r="AB63" s="18">
        <v>0</v>
      </c>
      <c r="AC63" s="18"/>
      <c r="AD63" s="18"/>
      <c r="AE63" s="18"/>
      <c r="AF63" s="18"/>
      <c r="AG63" s="18"/>
      <c r="AH63" s="18">
        <v>0</v>
      </c>
      <c r="AT63">
        <v>9</v>
      </c>
      <c r="AU63" s="18">
        <v>0</v>
      </c>
      <c r="AV63" s="18"/>
      <c r="AW63" s="18"/>
      <c r="AX63" s="18"/>
      <c r="AY63" s="18"/>
      <c r="AZ63" s="18"/>
      <c r="BA63" s="18">
        <v>0</v>
      </c>
    </row>
    <row r="64" spans="1:53" x14ac:dyDescent="0.3">
      <c r="Y64">
        <v>7</v>
      </c>
      <c r="Z64" s="57">
        <v>44027</v>
      </c>
      <c r="AA64" t="s">
        <v>27</v>
      </c>
      <c r="AB64" s="18">
        <v>0</v>
      </c>
      <c r="AC64" s="18"/>
      <c r="AD64" s="18"/>
      <c r="AE64" s="18"/>
      <c r="AF64" s="18"/>
      <c r="AG64" s="18"/>
      <c r="AH64" s="18">
        <v>0</v>
      </c>
      <c r="AT64">
        <v>10</v>
      </c>
      <c r="AU64" s="18">
        <v>0</v>
      </c>
      <c r="AV64" s="18"/>
      <c r="AW64" s="18"/>
      <c r="AX64" s="18"/>
      <c r="AY64" s="18"/>
      <c r="AZ64" s="18"/>
      <c r="BA64" s="18">
        <v>0</v>
      </c>
    </row>
    <row r="65" spans="25:53" x14ac:dyDescent="0.3">
      <c r="Y65">
        <v>8</v>
      </c>
      <c r="Z65" s="57">
        <v>44055</v>
      </c>
      <c r="AA65" t="s">
        <v>37</v>
      </c>
      <c r="AB65" s="18">
        <v>0</v>
      </c>
      <c r="AC65" s="18"/>
      <c r="AD65" s="18"/>
      <c r="AE65" s="18"/>
      <c r="AF65" s="18"/>
      <c r="AG65" s="18"/>
      <c r="AH65" s="18">
        <v>0</v>
      </c>
      <c r="AT65">
        <v>11</v>
      </c>
      <c r="AU65" s="18">
        <v>0</v>
      </c>
      <c r="AV65" s="18"/>
      <c r="AW65" s="18"/>
      <c r="AX65" s="18"/>
      <c r="AY65" s="18"/>
      <c r="AZ65" s="18"/>
      <c r="BA65" s="18">
        <v>0</v>
      </c>
    </row>
    <row r="66" spans="25:53" x14ac:dyDescent="0.3">
      <c r="Z66" s="57">
        <v>44056</v>
      </c>
      <c r="AA66" t="s">
        <v>38</v>
      </c>
      <c r="AB66" s="18">
        <v>0</v>
      </c>
      <c r="AC66" s="18"/>
      <c r="AD66" s="18"/>
      <c r="AE66" s="18"/>
      <c r="AF66" s="18"/>
      <c r="AG66" s="18"/>
      <c r="AH66" s="18">
        <v>0</v>
      </c>
      <c r="AT66">
        <v>12</v>
      </c>
      <c r="AU66" s="18">
        <v>0</v>
      </c>
      <c r="AV66" s="18"/>
      <c r="AW66" s="18"/>
      <c r="AX66" s="18"/>
      <c r="AY66" s="18"/>
      <c r="AZ66" s="18"/>
      <c r="BA66" s="18">
        <v>0</v>
      </c>
    </row>
    <row r="67" spans="25:53" x14ac:dyDescent="0.3">
      <c r="Z67" s="57">
        <v>44068</v>
      </c>
      <c r="AA67" t="s">
        <v>56</v>
      </c>
      <c r="AB67" s="18">
        <v>0</v>
      </c>
      <c r="AC67" s="18"/>
      <c r="AD67" s="18"/>
      <c r="AE67" s="18"/>
      <c r="AF67" s="18"/>
      <c r="AG67" s="18"/>
      <c r="AH67" s="18">
        <v>0</v>
      </c>
      <c r="AT67">
        <v>4</v>
      </c>
      <c r="AU67" s="18">
        <v>0</v>
      </c>
      <c r="AV67" s="18"/>
      <c r="AW67" s="18"/>
      <c r="AX67" s="18"/>
      <c r="AY67" s="18"/>
      <c r="AZ67" s="18"/>
      <c r="BA67" s="18">
        <v>0</v>
      </c>
    </row>
    <row r="68" spans="25:53" x14ac:dyDescent="0.3">
      <c r="Y68">
        <v>9</v>
      </c>
      <c r="Z68" s="57">
        <v>44076</v>
      </c>
      <c r="AA68" t="s">
        <v>68</v>
      </c>
      <c r="AB68" s="18">
        <v>0</v>
      </c>
      <c r="AC68" s="18"/>
      <c r="AD68" s="18"/>
      <c r="AE68" s="18"/>
      <c r="AF68" s="18"/>
      <c r="AG68" s="18"/>
      <c r="AH68" s="18">
        <v>0</v>
      </c>
      <c r="AS68">
        <v>2023</v>
      </c>
      <c r="AT68">
        <v>1</v>
      </c>
      <c r="AU68" s="18">
        <v>0</v>
      </c>
      <c r="AV68" s="18"/>
      <c r="AW68" s="18"/>
      <c r="AX68" s="18"/>
      <c r="AY68" s="18"/>
      <c r="AZ68" s="18"/>
      <c r="BA68" s="18">
        <v>0</v>
      </c>
    </row>
    <row r="69" spans="25:53" x14ac:dyDescent="0.3">
      <c r="Z69" s="57">
        <v>44079</v>
      </c>
      <c r="AA69" t="s">
        <v>91</v>
      </c>
      <c r="AB69" s="18">
        <v>0</v>
      </c>
      <c r="AC69" s="18"/>
      <c r="AD69" s="18"/>
      <c r="AE69" s="18"/>
      <c r="AF69" s="18"/>
      <c r="AG69" s="18"/>
      <c r="AH69" s="18">
        <v>0</v>
      </c>
      <c r="AT69">
        <v>3</v>
      </c>
      <c r="AU69" s="18">
        <v>0</v>
      </c>
      <c r="AV69" s="18"/>
      <c r="AW69" s="18"/>
      <c r="AX69" s="18"/>
      <c r="AY69" s="18"/>
      <c r="AZ69" s="18"/>
      <c r="BA69" s="18">
        <v>0</v>
      </c>
    </row>
    <row r="70" spans="25:53" x14ac:dyDescent="0.3">
      <c r="Z70" s="57">
        <v>44091</v>
      </c>
      <c r="AA70" t="s">
        <v>100</v>
      </c>
      <c r="AB70" s="18">
        <v>0</v>
      </c>
      <c r="AC70" s="18"/>
      <c r="AD70" s="18"/>
      <c r="AE70" s="18"/>
      <c r="AF70" s="18"/>
      <c r="AG70" s="18"/>
      <c r="AH70" s="18">
        <v>0</v>
      </c>
      <c r="AT70">
        <v>5</v>
      </c>
      <c r="AU70" s="18">
        <v>0</v>
      </c>
      <c r="AV70" s="18"/>
      <c r="AW70" s="18"/>
      <c r="AX70" s="18"/>
      <c r="AY70" s="18"/>
      <c r="AZ70" s="18"/>
      <c r="BA70" s="18">
        <v>0</v>
      </c>
    </row>
    <row r="71" spans="25:53" x14ac:dyDescent="0.3">
      <c r="Z71" s="57">
        <v>44097</v>
      </c>
      <c r="AA71" t="s">
        <v>103</v>
      </c>
      <c r="AB71" s="18">
        <v>0</v>
      </c>
      <c r="AC71" s="18"/>
      <c r="AD71" s="18"/>
      <c r="AE71" s="18"/>
      <c r="AF71" s="18"/>
      <c r="AG71" s="18"/>
      <c r="AH71" s="18">
        <v>0</v>
      </c>
      <c r="AT71">
        <v>4</v>
      </c>
      <c r="AU71" s="18">
        <v>0</v>
      </c>
      <c r="AV71" s="18"/>
      <c r="AW71" s="18"/>
      <c r="AX71" s="18"/>
      <c r="AY71" s="18"/>
      <c r="AZ71" s="18"/>
      <c r="BA71" s="18">
        <v>0</v>
      </c>
    </row>
    <row r="72" spans="25:53" x14ac:dyDescent="0.3">
      <c r="Z72" s="57">
        <v>44100</v>
      </c>
      <c r="AA72" t="s">
        <v>105</v>
      </c>
      <c r="AB72" s="18">
        <v>0</v>
      </c>
      <c r="AC72" s="18"/>
      <c r="AD72" s="18"/>
      <c r="AE72" s="18"/>
      <c r="AF72" s="18"/>
      <c r="AG72" s="18"/>
      <c r="AH72" s="18">
        <v>0</v>
      </c>
      <c r="AR72" s="36" t="s">
        <v>135</v>
      </c>
      <c r="AS72" s="36"/>
      <c r="AT72" s="36"/>
      <c r="AU72" s="37">
        <v>0</v>
      </c>
      <c r="AV72" s="37"/>
      <c r="AW72" s="37"/>
      <c r="AX72" s="37"/>
      <c r="AY72" s="37"/>
      <c r="AZ72" s="37"/>
      <c r="BA72" s="37">
        <v>0</v>
      </c>
    </row>
    <row r="73" spans="25:53" x14ac:dyDescent="0.3">
      <c r="Y73">
        <v>10</v>
      </c>
      <c r="Z73" s="57">
        <v>44116</v>
      </c>
      <c r="AA73" t="s">
        <v>116</v>
      </c>
      <c r="AB73" s="18">
        <v>0</v>
      </c>
      <c r="AC73" s="18"/>
      <c r="AD73" s="18"/>
      <c r="AE73" s="18"/>
      <c r="AF73" s="18"/>
      <c r="AG73" s="18"/>
      <c r="AH73" s="18">
        <v>0</v>
      </c>
      <c r="AR73" t="s">
        <v>20</v>
      </c>
      <c r="AS73">
        <v>2020</v>
      </c>
      <c r="AT73">
        <v>8</v>
      </c>
      <c r="AU73" s="18"/>
      <c r="AV73" s="18">
        <v>0</v>
      </c>
      <c r="AW73" s="18"/>
      <c r="AX73" s="18"/>
      <c r="AY73" s="18"/>
      <c r="AZ73" s="18"/>
      <c r="BA73" s="18">
        <v>0</v>
      </c>
    </row>
    <row r="74" spans="25:53" x14ac:dyDescent="0.3">
      <c r="Z74" s="57">
        <v>44123</v>
      </c>
      <c r="AA74" t="s">
        <v>122</v>
      </c>
      <c r="AB74" s="18">
        <v>0</v>
      </c>
      <c r="AC74" s="18"/>
      <c r="AD74" s="18"/>
      <c r="AE74" s="18"/>
      <c r="AF74" s="18"/>
      <c r="AG74" s="18"/>
      <c r="AH74" s="18">
        <v>0</v>
      </c>
      <c r="AT74">
        <v>9</v>
      </c>
      <c r="AU74" s="18"/>
      <c r="AV74" s="18">
        <v>0</v>
      </c>
      <c r="AW74" s="18"/>
      <c r="AX74" s="18"/>
      <c r="AY74" s="18"/>
      <c r="AZ74" s="18"/>
      <c r="BA74" s="18">
        <v>0</v>
      </c>
    </row>
    <row r="75" spans="25:53" x14ac:dyDescent="0.3">
      <c r="Z75" s="57">
        <v>44135</v>
      </c>
      <c r="AA75" t="s">
        <v>148</v>
      </c>
      <c r="AB75" s="18">
        <v>0</v>
      </c>
      <c r="AC75" s="18"/>
      <c r="AD75" s="18"/>
      <c r="AE75" s="18"/>
      <c r="AF75" s="18"/>
      <c r="AG75" s="18"/>
      <c r="AH75" s="18">
        <v>0</v>
      </c>
      <c r="AT75">
        <v>10</v>
      </c>
      <c r="AU75" s="18"/>
      <c r="AV75" s="18">
        <v>0</v>
      </c>
      <c r="AW75" s="18"/>
      <c r="AX75" s="18"/>
      <c r="AY75" s="18"/>
      <c r="AZ75" s="18"/>
      <c r="BA75" s="18">
        <v>0</v>
      </c>
    </row>
    <row r="76" spans="25:53" x14ac:dyDescent="0.3">
      <c r="Y76">
        <v>11</v>
      </c>
      <c r="Z76" s="57">
        <v>44145</v>
      </c>
      <c r="AA76" t="s">
        <v>154</v>
      </c>
      <c r="AB76" s="18">
        <v>0</v>
      </c>
      <c r="AC76" s="18"/>
      <c r="AD76" s="18"/>
      <c r="AE76" s="18"/>
      <c r="AF76" s="18"/>
      <c r="AG76" s="18"/>
      <c r="AH76" s="18">
        <v>0</v>
      </c>
      <c r="AT76">
        <v>11</v>
      </c>
      <c r="AU76" s="18"/>
      <c r="AV76" s="18">
        <v>0</v>
      </c>
      <c r="AW76" s="18"/>
      <c r="AX76" s="18"/>
      <c r="AY76" s="18"/>
      <c r="AZ76" s="18"/>
      <c r="BA76" s="18">
        <v>0</v>
      </c>
    </row>
    <row r="77" spans="25:53" x14ac:dyDescent="0.3">
      <c r="Z77" s="57">
        <v>44153</v>
      </c>
      <c r="AA77" t="s">
        <v>166</v>
      </c>
      <c r="AB77" s="18">
        <v>0</v>
      </c>
      <c r="AC77" s="18"/>
      <c r="AD77" s="18"/>
      <c r="AE77" s="18"/>
      <c r="AF77" s="18"/>
      <c r="AG77" s="18"/>
      <c r="AH77" s="18">
        <v>0</v>
      </c>
      <c r="AT77">
        <v>12</v>
      </c>
      <c r="AU77" s="18"/>
      <c r="AV77" s="18">
        <v>0</v>
      </c>
      <c r="AW77" s="18"/>
      <c r="AX77" s="18"/>
      <c r="AY77" s="18"/>
      <c r="AZ77" s="18"/>
      <c r="BA77" s="18">
        <v>0</v>
      </c>
    </row>
    <row r="78" spans="25:53" x14ac:dyDescent="0.3">
      <c r="Z78" s="57">
        <v>44159</v>
      </c>
      <c r="AA78" t="s">
        <v>167</v>
      </c>
      <c r="AB78" s="18">
        <v>0</v>
      </c>
      <c r="AC78" s="18"/>
      <c r="AD78" s="18"/>
      <c r="AE78" s="18"/>
      <c r="AF78" s="18"/>
      <c r="AG78" s="18"/>
      <c r="AH78" s="18">
        <v>0</v>
      </c>
      <c r="AS78">
        <v>2021</v>
      </c>
      <c r="AT78">
        <v>1</v>
      </c>
      <c r="AU78" s="18"/>
      <c r="AV78" s="18">
        <v>0</v>
      </c>
      <c r="AW78" s="18"/>
      <c r="AX78" s="18"/>
      <c r="AY78" s="18"/>
      <c r="AZ78" s="18"/>
      <c r="BA78" s="18">
        <v>0</v>
      </c>
    </row>
    <row r="79" spans="25:53" x14ac:dyDescent="0.3">
      <c r="Z79" s="57">
        <v>44162</v>
      </c>
      <c r="AA79" t="s">
        <v>182</v>
      </c>
      <c r="AB79" s="18">
        <v>0</v>
      </c>
      <c r="AC79" s="18"/>
      <c r="AD79" s="18"/>
      <c r="AE79" s="18"/>
      <c r="AF79" s="18"/>
      <c r="AG79" s="18"/>
      <c r="AH79" s="18">
        <v>0</v>
      </c>
      <c r="AT79">
        <v>2</v>
      </c>
      <c r="AU79" s="18"/>
      <c r="AV79" s="18">
        <v>0</v>
      </c>
      <c r="AW79" s="18"/>
      <c r="AX79" s="18"/>
      <c r="AY79" s="18"/>
      <c r="AZ79" s="18"/>
      <c r="BA79" s="18">
        <v>0</v>
      </c>
    </row>
    <row r="80" spans="25:53" x14ac:dyDescent="0.3">
      <c r="Y80">
        <v>12</v>
      </c>
      <c r="Z80" s="57">
        <v>44180</v>
      </c>
      <c r="AA80" t="s">
        <v>211</v>
      </c>
      <c r="AB80" s="18">
        <v>0</v>
      </c>
      <c r="AC80" s="18"/>
      <c r="AD80" s="18"/>
      <c r="AE80" s="18"/>
      <c r="AF80" s="18"/>
      <c r="AG80" s="18"/>
      <c r="AH80" s="18">
        <v>0</v>
      </c>
      <c r="AT80">
        <v>3</v>
      </c>
      <c r="AU80" s="18"/>
      <c r="AV80" s="18">
        <v>0</v>
      </c>
      <c r="AW80" s="18"/>
      <c r="AX80" s="18"/>
      <c r="AY80" s="18"/>
      <c r="AZ80" s="18"/>
      <c r="BA80" s="18">
        <v>0</v>
      </c>
    </row>
    <row r="81" spans="24:53" x14ac:dyDescent="0.3">
      <c r="X81">
        <v>2021</v>
      </c>
      <c r="Y81">
        <v>1</v>
      </c>
      <c r="Z81" s="57">
        <v>44225</v>
      </c>
      <c r="AA81" t="s">
        <v>253</v>
      </c>
      <c r="AB81" s="18">
        <v>0</v>
      </c>
      <c r="AC81" s="18"/>
      <c r="AD81" s="18"/>
      <c r="AE81" s="18"/>
      <c r="AF81" s="18"/>
      <c r="AG81" s="18"/>
      <c r="AH81" s="18">
        <v>0</v>
      </c>
      <c r="AT81">
        <v>5</v>
      </c>
      <c r="AU81" s="18"/>
      <c r="AV81" s="18">
        <v>0</v>
      </c>
      <c r="AW81" s="18"/>
      <c r="AX81" s="18"/>
      <c r="AY81" s="18"/>
      <c r="AZ81" s="18"/>
      <c r="BA81" s="18">
        <v>0</v>
      </c>
    </row>
    <row r="82" spans="24:53" x14ac:dyDescent="0.3">
      <c r="Y82">
        <v>2</v>
      </c>
      <c r="Z82" s="57">
        <v>44246</v>
      </c>
      <c r="AA82" t="s">
        <v>274</v>
      </c>
      <c r="AB82" s="18">
        <v>0</v>
      </c>
      <c r="AC82" s="18"/>
      <c r="AD82" s="18"/>
      <c r="AE82" s="18"/>
      <c r="AF82" s="18"/>
      <c r="AG82" s="18"/>
      <c r="AH82" s="18">
        <v>0</v>
      </c>
      <c r="AT82">
        <v>10</v>
      </c>
      <c r="AU82" s="18"/>
      <c r="AV82" s="18">
        <v>0</v>
      </c>
      <c r="AW82" s="18"/>
      <c r="AX82" s="18"/>
      <c r="AY82" s="18"/>
      <c r="AZ82" s="18"/>
      <c r="BA82" s="18">
        <v>0</v>
      </c>
    </row>
    <row r="83" spans="24:53" x14ac:dyDescent="0.3">
      <c r="Y83">
        <v>5</v>
      </c>
      <c r="Z83" s="57">
        <v>44323</v>
      </c>
      <c r="AA83" t="s">
        <v>339</v>
      </c>
      <c r="AB83" s="18">
        <v>0</v>
      </c>
      <c r="AC83" s="18"/>
      <c r="AD83" s="18"/>
      <c r="AE83" s="18"/>
      <c r="AF83" s="18"/>
      <c r="AG83" s="18"/>
      <c r="AH83" s="18">
        <v>0</v>
      </c>
      <c r="AT83">
        <v>11</v>
      </c>
      <c r="AU83" s="18"/>
      <c r="AV83" s="18">
        <v>0</v>
      </c>
      <c r="AW83" s="18"/>
      <c r="AX83" s="18"/>
      <c r="AY83" s="18"/>
      <c r="AZ83" s="18"/>
      <c r="BA83" s="18">
        <v>0</v>
      </c>
    </row>
    <row r="84" spans="24:53" x14ac:dyDescent="0.3">
      <c r="Y84">
        <v>9</v>
      </c>
      <c r="Z84" s="57">
        <v>44464</v>
      </c>
      <c r="AA84" t="s">
        <v>377</v>
      </c>
      <c r="AB84" s="18">
        <v>0</v>
      </c>
      <c r="AC84" s="18"/>
      <c r="AD84" s="18"/>
      <c r="AE84" s="18"/>
      <c r="AF84" s="18"/>
      <c r="AG84" s="18"/>
      <c r="AH84" s="18">
        <v>0</v>
      </c>
      <c r="AT84">
        <v>12</v>
      </c>
      <c r="AU84" s="18"/>
      <c r="AV84" s="18">
        <v>0</v>
      </c>
      <c r="AW84" s="18"/>
      <c r="AX84" s="18"/>
      <c r="AY84" s="18"/>
      <c r="AZ84" s="18"/>
      <c r="BA84" s="18">
        <v>0</v>
      </c>
    </row>
    <row r="85" spans="24:53" x14ac:dyDescent="0.3">
      <c r="Y85">
        <v>10</v>
      </c>
      <c r="Z85" s="57">
        <v>44495</v>
      </c>
      <c r="AA85" t="s">
        <v>443</v>
      </c>
      <c r="AB85" s="18">
        <v>0</v>
      </c>
      <c r="AC85" s="18"/>
      <c r="AD85" s="18"/>
      <c r="AE85" s="18"/>
      <c r="AF85" s="18"/>
      <c r="AG85" s="18"/>
      <c r="AH85" s="18">
        <v>0</v>
      </c>
      <c r="AS85">
        <v>2022</v>
      </c>
      <c r="AT85">
        <v>1</v>
      </c>
      <c r="AU85" s="18"/>
      <c r="AV85" s="18">
        <v>0</v>
      </c>
      <c r="AW85" s="18"/>
      <c r="AX85" s="18"/>
      <c r="AY85" s="18"/>
      <c r="AZ85" s="18"/>
      <c r="BA85" s="18">
        <v>0</v>
      </c>
    </row>
    <row r="86" spans="24:53" x14ac:dyDescent="0.3">
      <c r="Y86">
        <v>12</v>
      </c>
      <c r="Z86" s="57">
        <v>44558</v>
      </c>
      <c r="AA86" t="s">
        <v>532</v>
      </c>
      <c r="AB86" s="18">
        <v>0</v>
      </c>
      <c r="AC86" s="18"/>
      <c r="AD86" s="18"/>
      <c r="AE86" s="18"/>
      <c r="AF86" s="18"/>
      <c r="AG86" s="18"/>
      <c r="AH86" s="18">
        <v>0</v>
      </c>
      <c r="AT86">
        <v>2</v>
      </c>
      <c r="AU86" s="18"/>
      <c r="AV86" s="18">
        <v>0</v>
      </c>
      <c r="AW86" s="18"/>
      <c r="AX86" s="18"/>
      <c r="AY86" s="18"/>
      <c r="AZ86" s="18"/>
      <c r="BA86" s="18">
        <v>0</v>
      </c>
    </row>
    <row r="87" spans="24:53" x14ac:dyDescent="0.3">
      <c r="Y87">
        <v>4</v>
      </c>
      <c r="Z87" s="57">
        <v>44295</v>
      </c>
      <c r="AA87" t="s">
        <v>328</v>
      </c>
      <c r="AB87" s="18">
        <v>0</v>
      </c>
      <c r="AC87" s="18"/>
      <c r="AD87" s="18"/>
      <c r="AE87" s="18"/>
      <c r="AF87" s="18"/>
      <c r="AG87" s="18"/>
      <c r="AH87" s="18">
        <v>0</v>
      </c>
      <c r="AT87">
        <v>5</v>
      </c>
      <c r="AU87" s="18"/>
      <c r="AV87" s="18">
        <v>0</v>
      </c>
      <c r="AW87" s="18"/>
      <c r="AX87" s="18"/>
      <c r="AY87" s="18"/>
      <c r="AZ87" s="18"/>
      <c r="BA87" s="18">
        <v>0</v>
      </c>
    </row>
    <row r="88" spans="24:53" x14ac:dyDescent="0.3">
      <c r="X88">
        <v>2019</v>
      </c>
      <c r="Y88">
        <v>12</v>
      </c>
      <c r="Z88" s="57">
        <v>43822</v>
      </c>
      <c r="AA88" t="s">
        <v>312</v>
      </c>
      <c r="AB88" s="18">
        <v>0</v>
      </c>
      <c r="AC88" s="18"/>
      <c r="AD88" s="18"/>
      <c r="AE88" s="18"/>
      <c r="AF88" s="18"/>
      <c r="AG88" s="18"/>
      <c r="AH88" s="18">
        <v>0</v>
      </c>
      <c r="AT88">
        <v>6</v>
      </c>
      <c r="AU88" s="18"/>
      <c r="AV88" s="18">
        <v>0</v>
      </c>
      <c r="AW88" s="18"/>
      <c r="AX88" s="18"/>
      <c r="AY88" s="18"/>
      <c r="AZ88" s="18"/>
      <c r="BA88" s="18">
        <v>0</v>
      </c>
    </row>
    <row r="89" spans="24:53" x14ac:dyDescent="0.3">
      <c r="X89">
        <v>2022</v>
      </c>
      <c r="Y89">
        <v>3</v>
      </c>
      <c r="Z89" s="57">
        <v>44649</v>
      </c>
      <c r="AA89" t="s">
        <v>662</v>
      </c>
      <c r="AB89" s="18">
        <v>0</v>
      </c>
      <c r="AC89" s="18"/>
      <c r="AD89" s="18"/>
      <c r="AE89" s="18"/>
      <c r="AF89" s="18"/>
      <c r="AG89" s="18"/>
      <c r="AH89" s="18">
        <v>0</v>
      </c>
      <c r="AT89">
        <v>9</v>
      </c>
      <c r="AU89" s="18"/>
      <c r="AV89" s="18">
        <v>0</v>
      </c>
      <c r="AW89" s="18"/>
      <c r="AX89" s="18"/>
      <c r="AY89" s="18"/>
      <c r="AZ89" s="18"/>
      <c r="BA89" s="18">
        <v>0</v>
      </c>
    </row>
    <row r="90" spans="24:53" x14ac:dyDescent="0.3">
      <c r="Y90">
        <v>6</v>
      </c>
      <c r="Z90" s="57">
        <v>44719</v>
      </c>
      <c r="AA90" t="s">
        <v>830</v>
      </c>
      <c r="AB90" s="18">
        <v>0</v>
      </c>
      <c r="AC90" s="18"/>
      <c r="AD90" s="18"/>
      <c r="AE90" s="18"/>
      <c r="AF90" s="18"/>
      <c r="AG90" s="18"/>
      <c r="AH90" s="18">
        <v>0</v>
      </c>
      <c r="AT90">
        <v>11</v>
      </c>
      <c r="AU90" s="18"/>
      <c r="AV90" s="18">
        <v>0</v>
      </c>
      <c r="AW90" s="18"/>
      <c r="AX90" s="18"/>
      <c r="AY90" s="18"/>
      <c r="AZ90" s="18"/>
      <c r="BA90" s="18">
        <v>0</v>
      </c>
    </row>
    <row r="91" spans="24:53" x14ac:dyDescent="0.3">
      <c r="Z91" s="57">
        <v>44726</v>
      </c>
      <c r="AA91" t="s">
        <v>838</v>
      </c>
      <c r="AB91" s="18">
        <v>0</v>
      </c>
      <c r="AC91" s="18"/>
      <c r="AD91" s="18"/>
      <c r="AE91" s="18"/>
      <c r="AF91" s="18"/>
      <c r="AG91" s="18"/>
      <c r="AH91" s="18">
        <v>0</v>
      </c>
      <c r="AT91">
        <v>4</v>
      </c>
      <c r="AU91" s="18"/>
      <c r="AV91" s="18">
        <v>0</v>
      </c>
      <c r="AW91" s="18"/>
      <c r="AX91" s="18"/>
      <c r="AY91" s="18"/>
      <c r="AZ91" s="18"/>
      <c r="BA91" s="18">
        <v>0</v>
      </c>
    </row>
    <row r="92" spans="24:53" x14ac:dyDescent="0.3">
      <c r="Y92">
        <v>7</v>
      </c>
      <c r="Z92" s="57">
        <v>44765</v>
      </c>
      <c r="AA92" t="s">
        <v>870</v>
      </c>
      <c r="AB92" s="18">
        <v>0</v>
      </c>
      <c r="AC92" s="18"/>
      <c r="AD92" s="18"/>
      <c r="AE92" s="18"/>
      <c r="AF92" s="18"/>
      <c r="AG92" s="18"/>
      <c r="AH92" s="18">
        <v>0</v>
      </c>
      <c r="AS92">
        <v>2023</v>
      </c>
      <c r="AT92">
        <v>1</v>
      </c>
      <c r="AU92" s="18"/>
      <c r="AV92" s="18">
        <v>0</v>
      </c>
      <c r="AW92" s="18"/>
      <c r="AX92" s="18"/>
      <c r="AY92" s="18"/>
      <c r="AZ92" s="18"/>
      <c r="BA92" s="18">
        <v>0</v>
      </c>
    </row>
    <row r="93" spans="24:53" x14ac:dyDescent="0.3">
      <c r="Y93">
        <v>8</v>
      </c>
      <c r="Z93" s="57">
        <v>44779</v>
      </c>
      <c r="AA93" t="s">
        <v>898</v>
      </c>
      <c r="AB93" s="18">
        <v>0</v>
      </c>
      <c r="AC93" s="18"/>
      <c r="AD93" s="18"/>
      <c r="AE93" s="18"/>
      <c r="AF93" s="18"/>
      <c r="AG93" s="18"/>
      <c r="AH93" s="18">
        <v>0</v>
      </c>
      <c r="AT93">
        <v>7</v>
      </c>
      <c r="AU93" s="18"/>
      <c r="AV93" s="18">
        <v>0</v>
      </c>
      <c r="AW93" s="18"/>
      <c r="AX93" s="18"/>
      <c r="AY93" s="18"/>
      <c r="AZ93" s="18"/>
      <c r="BA93" s="18">
        <v>0</v>
      </c>
    </row>
    <row r="94" spans="24:53" x14ac:dyDescent="0.3">
      <c r="Y94">
        <v>9</v>
      </c>
      <c r="Z94" s="57">
        <v>44818</v>
      </c>
      <c r="AA94" t="s">
        <v>937</v>
      </c>
      <c r="AB94" s="18">
        <v>0</v>
      </c>
      <c r="AC94" s="18"/>
      <c r="AD94" s="18"/>
      <c r="AE94" s="18"/>
      <c r="AF94" s="18"/>
      <c r="AG94" s="18"/>
      <c r="AH94" s="18">
        <v>0</v>
      </c>
      <c r="AT94">
        <v>9</v>
      </c>
      <c r="AU94" s="18"/>
      <c r="AV94" s="18">
        <v>0</v>
      </c>
      <c r="AW94" s="18"/>
      <c r="AX94" s="18"/>
      <c r="AY94" s="18"/>
      <c r="AZ94" s="18"/>
      <c r="BA94" s="18">
        <v>0</v>
      </c>
    </row>
    <row r="95" spans="24:53" x14ac:dyDescent="0.3">
      <c r="Y95">
        <v>10</v>
      </c>
      <c r="Z95" s="57">
        <v>44855</v>
      </c>
      <c r="AA95" t="s">
        <v>1010</v>
      </c>
      <c r="AB95" s="18">
        <v>0</v>
      </c>
      <c r="AC95" s="18"/>
      <c r="AD95" s="18"/>
      <c r="AE95" s="18"/>
      <c r="AF95" s="18"/>
      <c r="AG95" s="18"/>
      <c r="AH95" s="18">
        <v>0</v>
      </c>
      <c r="AT95">
        <v>10</v>
      </c>
      <c r="AU95" s="18"/>
      <c r="AV95" s="18">
        <v>0</v>
      </c>
      <c r="AW95" s="18"/>
      <c r="AX95" s="18"/>
      <c r="AY95" s="18"/>
      <c r="AZ95" s="18"/>
      <c r="BA95" s="18">
        <v>0</v>
      </c>
    </row>
    <row r="96" spans="24:53" x14ac:dyDescent="0.3">
      <c r="Y96">
        <v>11</v>
      </c>
      <c r="Z96" t="s">
        <v>1071</v>
      </c>
      <c r="AA96" t="s">
        <v>1069</v>
      </c>
      <c r="AB96" s="18">
        <v>0</v>
      </c>
      <c r="AC96" s="18"/>
      <c r="AD96" s="18"/>
      <c r="AE96" s="18"/>
      <c r="AF96" s="18"/>
      <c r="AG96" s="18"/>
      <c r="AH96" s="18">
        <v>0</v>
      </c>
      <c r="AR96" s="36" t="s">
        <v>136</v>
      </c>
      <c r="AS96" s="36"/>
      <c r="AT96" s="36"/>
      <c r="AU96" s="37"/>
      <c r="AV96" s="37">
        <v>0</v>
      </c>
      <c r="AW96" s="37"/>
      <c r="AX96" s="37"/>
      <c r="AY96" s="37"/>
      <c r="AZ96" s="37"/>
      <c r="BA96" s="37">
        <v>0</v>
      </c>
    </row>
    <row r="97" spans="23:53" x14ac:dyDescent="0.3">
      <c r="Y97">
        <v>12</v>
      </c>
      <c r="Z97" s="57">
        <v>44915</v>
      </c>
      <c r="AA97" t="s">
        <v>1129</v>
      </c>
      <c r="AB97" s="18">
        <v>0</v>
      </c>
      <c r="AC97" s="18"/>
      <c r="AD97" s="18"/>
      <c r="AE97" s="18"/>
      <c r="AF97" s="18"/>
      <c r="AG97" s="18"/>
      <c r="AH97" s="18">
        <v>0</v>
      </c>
      <c r="AR97" t="s">
        <v>43</v>
      </c>
      <c r="AS97">
        <v>2020</v>
      </c>
      <c r="AT97">
        <v>8</v>
      </c>
      <c r="AU97" s="18">
        <v>0</v>
      </c>
      <c r="AV97" s="18"/>
      <c r="AW97" s="18"/>
      <c r="AX97" s="18"/>
      <c r="AY97" s="18"/>
      <c r="AZ97" s="18"/>
      <c r="BA97" s="18">
        <v>0</v>
      </c>
    </row>
    <row r="98" spans="23:53" x14ac:dyDescent="0.3">
      <c r="Y98">
        <v>4</v>
      </c>
      <c r="Z98" s="57">
        <v>44672</v>
      </c>
      <c r="AA98" t="s">
        <v>716</v>
      </c>
      <c r="AB98" s="18">
        <v>0</v>
      </c>
      <c r="AC98" s="18"/>
      <c r="AD98" s="18"/>
      <c r="AE98" s="18"/>
      <c r="AF98" s="18"/>
      <c r="AG98" s="18"/>
      <c r="AH98" s="18">
        <v>0</v>
      </c>
      <c r="AT98">
        <v>11</v>
      </c>
      <c r="AU98" s="18">
        <v>0</v>
      </c>
      <c r="AV98" s="18"/>
      <c r="AW98" s="18"/>
      <c r="AX98" s="18"/>
      <c r="AY98" s="18"/>
      <c r="AZ98" s="18"/>
      <c r="BA98" s="18">
        <v>0</v>
      </c>
    </row>
    <row r="99" spans="23:53" x14ac:dyDescent="0.3">
      <c r="Z99" s="57">
        <v>44673</v>
      </c>
      <c r="AA99" t="s">
        <v>716</v>
      </c>
      <c r="AB99" s="18">
        <v>0</v>
      </c>
      <c r="AC99" s="18"/>
      <c r="AD99" s="18"/>
      <c r="AE99" s="18"/>
      <c r="AF99" s="18"/>
      <c r="AG99" s="18"/>
      <c r="AH99" s="18">
        <v>0</v>
      </c>
      <c r="AS99">
        <v>2021</v>
      </c>
      <c r="AT99">
        <v>10</v>
      </c>
      <c r="AU99" s="18">
        <v>0</v>
      </c>
      <c r="AV99" s="18"/>
      <c r="AW99" s="18"/>
      <c r="AX99" s="18"/>
      <c r="AY99" s="18"/>
      <c r="AZ99" s="18"/>
      <c r="BA99" s="18">
        <v>0</v>
      </c>
    </row>
    <row r="100" spans="23:53" x14ac:dyDescent="0.3">
      <c r="X100">
        <v>2023</v>
      </c>
      <c r="Y100">
        <v>1</v>
      </c>
      <c r="Z100" s="57">
        <v>44937</v>
      </c>
      <c r="AA100" t="s">
        <v>1177</v>
      </c>
      <c r="AB100" s="18">
        <v>0</v>
      </c>
      <c r="AC100" s="18"/>
      <c r="AD100" s="18"/>
      <c r="AE100" s="18"/>
      <c r="AF100" s="18"/>
      <c r="AG100" s="18"/>
      <c r="AH100" s="18">
        <v>0</v>
      </c>
      <c r="AS100">
        <v>2022</v>
      </c>
      <c r="AT100">
        <v>1</v>
      </c>
      <c r="AU100" s="18">
        <v>0</v>
      </c>
      <c r="AV100" s="18"/>
      <c r="AW100" s="18"/>
      <c r="AX100" s="18"/>
      <c r="AY100" s="18"/>
      <c r="AZ100" s="18"/>
      <c r="BA100" s="18">
        <v>0</v>
      </c>
    </row>
    <row r="101" spans="23:53" x14ac:dyDescent="0.3">
      <c r="Y101">
        <v>3</v>
      </c>
      <c r="Z101" t="s">
        <v>1304</v>
      </c>
      <c r="AA101" t="s">
        <v>1303</v>
      </c>
      <c r="AB101" s="18">
        <v>0</v>
      </c>
      <c r="AC101" s="18"/>
      <c r="AD101" s="18"/>
      <c r="AE101" s="18"/>
      <c r="AF101" s="18"/>
      <c r="AG101" s="18"/>
      <c r="AH101" s="18">
        <v>0</v>
      </c>
      <c r="AT101">
        <v>2</v>
      </c>
      <c r="AU101" s="18">
        <v>0</v>
      </c>
      <c r="AV101" s="18"/>
      <c r="AW101" s="18"/>
      <c r="AX101" s="18"/>
      <c r="AY101" s="18"/>
      <c r="AZ101" s="18"/>
      <c r="BA101" s="18">
        <v>0</v>
      </c>
    </row>
    <row r="102" spans="23:53" x14ac:dyDescent="0.3">
      <c r="Y102">
        <v>5</v>
      </c>
      <c r="Z102" s="57">
        <v>45077</v>
      </c>
      <c r="AA102" t="s">
        <v>1566</v>
      </c>
      <c r="AB102" s="18">
        <v>0</v>
      </c>
      <c r="AC102" s="18"/>
      <c r="AD102" s="18"/>
      <c r="AE102" s="18"/>
      <c r="AF102" s="18"/>
      <c r="AG102" s="18"/>
      <c r="AH102" s="18">
        <v>0</v>
      </c>
      <c r="AT102">
        <v>3</v>
      </c>
      <c r="AU102" s="18">
        <v>0</v>
      </c>
      <c r="AV102" s="18"/>
      <c r="AW102" s="18"/>
      <c r="AX102" s="18"/>
      <c r="AY102" s="18"/>
      <c r="AZ102" s="18"/>
      <c r="BA102" s="18">
        <v>0</v>
      </c>
    </row>
    <row r="103" spans="23:53" x14ac:dyDescent="0.3">
      <c r="Y103">
        <v>4</v>
      </c>
      <c r="Z103" t="s">
        <v>1459</v>
      </c>
      <c r="AA103" t="s">
        <v>1458</v>
      </c>
      <c r="AB103" s="18">
        <v>0</v>
      </c>
      <c r="AC103" s="18"/>
      <c r="AD103" s="18"/>
      <c r="AE103" s="18"/>
      <c r="AF103" s="18"/>
      <c r="AG103" s="18"/>
      <c r="AH103" s="18">
        <v>0</v>
      </c>
      <c r="AT103">
        <v>5</v>
      </c>
      <c r="AU103" s="18">
        <v>0</v>
      </c>
      <c r="AV103" s="18"/>
      <c r="AW103" s="18"/>
      <c r="AX103" s="18"/>
      <c r="AY103" s="18"/>
      <c r="AZ103" s="18"/>
      <c r="BA103" s="18">
        <v>0</v>
      </c>
    </row>
    <row r="104" spans="23:53" x14ac:dyDescent="0.3">
      <c r="W104" s="36" t="s">
        <v>135</v>
      </c>
      <c r="X104" s="36"/>
      <c r="Y104" s="36"/>
      <c r="Z104" s="36"/>
      <c r="AA104" s="36"/>
      <c r="AB104" s="37">
        <v>0</v>
      </c>
      <c r="AC104" s="37"/>
      <c r="AD104" s="37"/>
      <c r="AE104" s="37"/>
      <c r="AF104" s="37"/>
      <c r="AG104" s="37"/>
      <c r="AH104" s="37">
        <v>0</v>
      </c>
      <c r="AT104">
        <v>6</v>
      </c>
      <c r="AU104" s="18">
        <v>0</v>
      </c>
      <c r="AV104" s="18"/>
      <c r="AW104" s="18"/>
      <c r="AX104" s="18"/>
      <c r="AY104" s="18"/>
      <c r="AZ104" s="18"/>
      <c r="BA104" s="18">
        <v>0</v>
      </c>
    </row>
    <row r="105" spans="23:53" x14ac:dyDescent="0.3">
      <c r="W105" t="s">
        <v>20</v>
      </c>
      <c r="X105">
        <v>2020</v>
      </c>
      <c r="Y105">
        <v>8</v>
      </c>
      <c r="Z105" s="57">
        <v>44004</v>
      </c>
      <c r="AA105" t="s">
        <v>18</v>
      </c>
      <c r="AB105" s="18"/>
      <c r="AC105" s="18">
        <v>0</v>
      </c>
      <c r="AD105" s="18"/>
      <c r="AE105" s="18"/>
      <c r="AF105" s="18"/>
      <c r="AG105" s="18"/>
      <c r="AH105" s="18">
        <v>0</v>
      </c>
      <c r="AT105">
        <v>10</v>
      </c>
      <c r="AU105" s="18">
        <v>0</v>
      </c>
      <c r="AV105" s="18"/>
      <c r="AW105" s="18"/>
      <c r="AX105" s="18"/>
      <c r="AY105" s="18"/>
      <c r="AZ105" s="18"/>
      <c r="BA105" s="18">
        <v>0</v>
      </c>
    </row>
    <row r="106" spans="23:53" x14ac:dyDescent="0.3">
      <c r="Z106" s="57">
        <v>44026</v>
      </c>
      <c r="AA106" t="s">
        <v>26</v>
      </c>
      <c r="AB106" s="18"/>
      <c r="AC106" s="18">
        <v>0</v>
      </c>
      <c r="AD106" s="18"/>
      <c r="AE106" s="18"/>
      <c r="AF106" s="18"/>
      <c r="AG106" s="18"/>
      <c r="AH106" s="18">
        <v>0</v>
      </c>
      <c r="AS106">
        <v>2023</v>
      </c>
      <c r="AT106">
        <v>8</v>
      </c>
      <c r="AU106" s="18">
        <v>0</v>
      </c>
      <c r="AV106" s="18"/>
      <c r="AW106" s="18"/>
      <c r="AX106" s="18"/>
      <c r="AY106" s="18"/>
      <c r="AZ106" s="18"/>
      <c r="BA106" s="18">
        <v>0</v>
      </c>
    </row>
    <row r="107" spans="23:53" x14ac:dyDescent="0.3">
      <c r="Y107">
        <v>9</v>
      </c>
      <c r="Z107" s="57">
        <v>44053</v>
      </c>
      <c r="AA107" t="s">
        <v>36</v>
      </c>
      <c r="AB107" s="18"/>
      <c r="AC107" s="18">
        <v>0</v>
      </c>
      <c r="AD107" s="18"/>
      <c r="AE107" s="18"/>
      <c r="AF107" s="18"/>
      <c r="AG107" s="18"/>
      <c r="AH107" s="18">
        <v>0</v>
      </c>
      <c r="AT107">
        <v>10</v>
      </c>
      <c r="AU107" s="18">
        <v>5067.2</v>
      </c>
      <c r="AV107" s="18"/>
      <c r="AW107" s="18"/>
      <c r="AX107" s="18"/>
      <c r="AY107" s="18"/>
      <c r="AZ107" s="18"/>
      <c r="BA107" s="18">
        <v>5067.2</v>
      </c>
    </row>
    <row r="108" spans="23:53" x14ac:dyDescent="0.3">
      <c r="Y108">
        <v>10</v>
      </c>
      <c r="Z108" s="57">
        <v>44062</v>
      </c>
      <c r="AA108" t="s">
        <v>40</v>
      </c>
      <c r="AB108" s="18"/>
      <c r="AC108" s="18">
        <v>0</v>
      </c>
      <c r="AD108" s="18"/>
      <c r="AE108" s="18"/>
      <c r="AF108" s="18"/>
      <c r="AG108" s="18"/>
      <c r="AH108" s="18">
        <v>0</v>
      </c>
      <c r="AT108">
        <v>11</v>
      </c>
      <c r="AU108" s="18">
        <v>2413</v>
      </c>
      <c r="AV108" s="18"/>
      <c r="AW108" s="18"/>
      <c r="AX108" s="18"/>
      <c r="AY108" s="18"/>
      <c r="AZ108" s="18"/>
      <c r="BA108" s="18">
        <v>2413</v>
      </c>
    </row>
    <row r="109" spans="23:53" x14ac:dyDescent="0.3">
      <c r="Z109" s="57">
        <v>44067</v>
      </c>
      <c r="AA109" t="s">
        <v>53</v>
      </c>
      <c r="AB109" s="18"/>
      <c r="AC109" s="18">
        <v>0</v>
      </c>
      <c r="AD109" s="18"/>
      <c r="AE109" s="18"/>
      <c r="AF109" s="18"/>
      <c r="AG109" s="18"/>
      <c r="AH109" s="18">
        <v>0</v>
      </c>
      <c r="AT109">
        <v>4</v>
      </c>
      <c r="AU109" s="18">
        <v>0</v>
      </c>
      <c r="AV109" s="18"/>
      <c r="AW109" s="18"/>
      <c r="AX109" s="18"/>
      <c r="AY109" s="18"/>
      <c r="AZ109" s="18"/>
      <c r="BA109" s="18">
        <v>0</v>
      </c>
    </row>
    <row r="110" spans="23:53" x14ac:dyDescent="0.3">
      <c r="Y110">
        <v>11</v>
      </c>
      <c r="Z110" s="57">
        <v>44109</v>
      </c>
      <c r="AA110" t="s">
        <v>109</v>
      </c>
      <c r="AB110" s="18"/>
      <c r="AC110" s="18">
        <v>0</v>
      </c>
      <c r="AD110" s="18"/>
      <c r="AE110" s="18"/>
      <c r="AF110" s="18"/>
      <c r="AG110" s="18"/>
      <c r="AH110" s="18">
        <v>0</v>
      </c>
      <c r="AR110" s="36" t="s">
        <v>137</v>
      </c>
      <c r="AS110" s="36"/>
      <c r="AT110" s="36"/>
      <c r="AU110" s="37">
        <v>7480.2</v>
      </c>
      <c r="AV110" s="37"/>
      <c r="AW110" s="37"/>
      <c r="AX110" s="37"/>
      <c r="AY110" s="37"/>
      <c r="AZ110" s="37"/>
      <c r="BA110" s="37">
        <v>7480.2</v>
      </c>
    </row>
    <row r="111" spans="23:53" x14ac:dyDescent="0.3">
      <c r="Y111">
        <v>12</v>
      </c>
      <c r="Z111" s="57">
        <v>44121</v>
      </c>
      <c r="AA111" t="s">
        <v>118</v>
      </c>
      <c r="AB111" s="18"/>
      <c r="AC111" s="18">
        <v>0</v>
      </c>
      <c r="AD111" s="18"/>
      <c r="AE111" s="18"/>
      <c r="AF111" s="18"/>
      <c r="AG111" s="18"/>
      <c r="AH111" s="18">
        <v>0</v>
      </c>
      <c r="AR111" t="s">
        <v>23</v>
      </c>
      <c r="AS111">
        <v>2020</v>
      </c>
      <c r="AT111">
        <v>10</v>
      </c>
      <c r="AU111" s="18"/>
      <c r="AV111" s="18"/>
      <c r="AW111" s="18"/>
      <c r="AX111" s="18">
        <v>0</v>
      </c>
      <c r="AY111" s="18"/>
      <c r="AZ111" s="18"/>
      <c r="BA111" s="18">
        <v>0</v>
      </c>
    </row>
    <row r="112" spans="23:53" x14ac:dyDescent="0.3">
      <c r="AA112" t="s">
        <v>120</v>
      </c>
      <c r="AB112" s="18"/>
      <c r="AC112" s="18">
        <v>0</v>
      </c>
      <c r="AD112" s="18"/>
      <c r="AE112" s="18"/>
      <c r="AF112" s="18"/>
      <c r="AG112" s="18"/>
      <c r="AH112" s="18">
        <v>0</v>
      </c>
      <c r="AT112">
        <v>11</v>
      </c>
      <c r="AU112" s="18"/>
      <c r="AV112" s="18"/>
      <c r="AW112" s="18"/>
      <c r="AX112" s="18">
        <v>0</v>
      </c>
      <c r="AY112" s="18"/>
      <c r="AZ112" s="18"/>
      <c r="BA112" s="18">
        <v>0</v>
      </c>
    </row>
    <row r="113" spans="24:53" x14ac:dyDescent="0.3">
      <c r="Z113" s="57">
        <v>44130</v>
      </c>
      <c r="AA113" t="s">
        <v>130</v>
      </c>
      <c r="AB113" s="18"/>
      <c r="AC113" s="18">
        <v>0</v>
      </c>
      <c r="AD113" s="18"/>
      <c r="AE113" s="18"/>
      <c r="AF113" s="18"/>
      <c r="AG113" s="18"/>
      <c r="AH113" s="18">
        <v>0</v>
      </c>
      <c r="AT113">
        <v>12</v>
      </c>
      <c r="AU113" s="18"/>
      <c r="AV113" s="18"/>
      <c r="AW113" s="18"/>
      <c r="AX113" s="18">
        <v>0</v>
      </c>
      <c r="AY113" s="18"/>
      <c r="AZ113" s="18"/>
      <c r="BA113" s="18">
        <v>0</v>
      </c>
    </row>
    <row r="114" spans="24:53" x14ac:dyDescent="0.3">
      <c r="X114">
        <v>2021</v>
      </c>
      <c r="Y114">
        <v>1</v>
      </c>
      <c r="Z114" s="57">
        <v>44159</v>
      </c>
      <c r="AA114" t="s">
        <v>180</v>
      </c>
      <c r="AB114" s="18"/>
      <c r="AC114" s="18">
        <v>0</v>
      </c>
      <c r="AD114" s="18"/>
      <c r="AE114" s="18"/>
      <c r="AF114" s="18"/>
      <c r="AG114" s="18"/>
      <c r="AH114" s="18">
        <v>0</v>
      </c>
      <c r="AS114">
        <v>2021</v>
      </c>
      <c r="AT114">
        <v>1</v>
      </c>
      <c r="AU114" s="18"/>
      <c r="AV114" s="18"/>
      <c r="AW114" s="18"/>
      <c r="AX114" s="18">
        <v>0</v>
      </c>
      <c r="AY114" s="18"/>
      <c r="AZ114" s="18"/>
      <c r="BA114" s="18">
        <v>0</v>
      </c>
    </row>
    <row r="115" spans="24:53" x14ac:dyDescent="0.3">
      <c r="Y115">
        <v>2</v>
      </c>
      <c r="Z115" s="57">
        <v>44195</v>
      </c>
      <c r="AA115" t="s">
        <v>217</v>
      </c>
      <c r="AB115" s="18"/>
      <c r="AC115" s="18">
        <v>0</v>
      </c>
      <c r="AD115" s="18"/>
      <c r="AE115" s="18"/>
      <c r="AF115" s="18"/>
      <c r="AG115" s="18"/>
      <c r="AH115" s="18">
        <v>0</v>
      </c>
      <c r="AT115">
        <v>2</v>
      </c>
      <c r="AU115" s="18"/>
      <c r="AV115" s="18"/>
      <c r="AW115" s="18"/>
      <c r="AX115" s="18">
        <v>0</v>
      </c>
      <c r="AY115" s="18"/>
      <c r="AZ115" s="18"/>
      <c r="BA115" s="18">
        <v>0</v>
      </c>
    </row>
    <row r="116" spans="24:53" x14ac:dyDescent="0.3">
      <c r="Z116" s="57">
        <v>44205</v>
      </c>
      <c r="AA116" t="s">
        <v>245</v>
      </c>
      <c r="AB116" s="18"/>
      <c r="AC116" s="18">
        <v>0</v>
      </c>
      <c r="AD116" s="18"/>
      <c r="AE116" s="18"/>
      <c r="AF116" s="18"/>
      <c r="AG116" s="18"/>
      <c r="AH116" s="18">
        <v>0</v>
      </c>
      <c r="AT116">
        <v>6</v>
      </c>
      <c r="AU116" s="18"/>
      <c r="AV116" s="18"/>
      <c r="AW116" s="18"/>
      <c r="AX116" s="18">
        <v>0</v>
      </c>
      <c r="AY116" s="18"/>
      <c r="AZ116" s="18"/>
      <c r="BA116" s="18">
        <v>0</v>
      </c>
    </row>
    <row r="117" spans="24:53" x14ac:dyDescent="0.3">
      <c r="Y117">
        <v>3</v>
      </c>
      <c r="Z117" s="57">
        <v>44223</v>
      </c>
      <c r="AA117" t="s">
        <v>251</v>
      </c>
      <c r="AB117" s="18"/>
      <c r="AC117" s="18">
        <v>0</v>
      </c>
      <c r="AD117" s="18"/>
      <c r="AE117" s="18"/>
      <c r="AF117" s="18"/>
      <c r="AG117" s="18"/>
      <c r="AH117" s="18">
        <v>0</v>
      </c>
      <c r="AT117">
        <v>7</v>
      </c>
      <c r="AU117" s="18"/>
      <c r="AV117" s="18"/>
      <c r="AW117" s="18"/>
      <c r="AX117" s="18">
        <v>0</v>
      </c>
      <c r="AY117" s="18"/>
      <c r="AZ117" s="18"/>
      <c r="BA117" s="18">
        <v>0</v>
      </c>
    </row>
    <row r="118" spans="24:53" x14ac:dyDescent="0.3">
      <c r="Y118">
        <v>5</v>
      </c>
      <c r="Z118" s="57">
        <v>44287</v>
      </c>
      <c r="AA118" t="s">
        <v>324</v>
      </c>
      <c r="AB118" s="18"/>
      <c r="AC118" s="18">
        <v>0</v>
      </c>
      <c r="AD118" s="18"/>
      <c r="AE118" s="18"/>
      <c r="AF118" s="18"/>
      <c r="AG118" s="18"/>
      <c r="AH118" s="18">
        <v>0</v>
      </c>
      <c r="AT118">
        <v>8</v>
      </c>
      <c r="AU118" s="18"/>
      <c r="AV118" s="18"/>
      <c r="AW118" s="18"/>
      <c r="AX118" s="18">
        <v>0</v>
      </c>
      <c r="AY118" s="18"/>
      <c r="AZ118" s="18"/>
      <c r="BA118" s="18">
        <v>0</v>
      </c>
    </row>
    <row r="119" spans="24:53" x14ac:dyDescent="0.3">
      <c r="AA119" t="s">
        <v>325</v>
      </c>
      <c r="AB119" s="18"/>
      <c r="AC119" s="18">
        <v>0</v>
      </c>
      <c r="AD119" s="18"/>
      <c r="AE119" s="18"/>
      <c r="AF119" s="18"/>
      <c r="AG119" s="18"/>
      <c r="AH119" s="18">
        <v>0</v>
      </c>
      <c r="AT119">
        <v>12</v>
      </c>
      <c r="AU119" s="18"/>
      <c r="AV119" s="18"/>
      <c r="AW119" s="18"/>
      <c r="AX119" s="18">
        <v>0</v>
      </c>
      <c r="AY119" s="18"/>
      <c r="AZ119" s="18"/>
      <c r="BA119" s="18">
        <v>0</v>
      </c>
    </row>
    <row r="120" spans="24:53" x14ac:dyDescent="0.3">
      <c r="Z120" s="57">
        <v>44337</v>
      </c>
      <c r="AA120" t="s">
        <v>342</v>
      </c>
      <c r="AB120" s="18"/>
      <c r="AC120" s="18">
        <v>0</v>
      </c>
      <c r="AD120" s="18"/>
      <c r="AE120" s="18"/>
      <c r="AF120" s="18"/>
      <c r="AG120" s="18"/>
      <c r="AH120" s="18">
        <v>0</v>
      </c>
      <c r="AT120">
        <v>4</v>
      </c>
      <c r="AU120" s="18"/>
      <c r="AV120" s="18"/>
      <c r="AW120" s="18"/>
      <c r="AX120" s="18">
        <v>0</v>
      </c>
      <c r="AY120" s="18"/>
      <c r="AZ120" s="18"/>
      <c r="BA120" s="18">
        <v>0</v>
      </c>
    </row>
    <row r="121" spans="24:53" x14ac:dyDescent="0.3">
      <c r="Y121">
        <v>10</v>
      </c>
      <c r="Z121" s="57">
        <v>44453</v>
      </c>
      <c r="AA121" t="s">
        <v>372</v>
      </c>
      <c r="AB121" s="18"/>
      <c r="AC121" s="18">
        <v>0</v>
      </c>
      <c r="AD121" s="18"/>
      <c r="AE121" s="18"/>
      <c r="AF121" s="18"/>
      <c r="AG121" s="18"/>
      <c r="AH121" s="18">
        <v>0</v>
      </c>
      <c r="AS121">
        <v>2022</v>
      </c>
      <c r="AT121">
        <v>1</v>
      </c>
      <c r="AU121" s="18"/>
      <c r="AV121" s="18"/>
      <c r="AW121" s="18"/>
      <c r="AX121" s="18">
        <v>0</v>
      </c>
      <c r="AY121" s="18"/>
      <c r="AZ121" s="18"/>
      <c r="BA121" s="18">
        <v>0</v>
      </c>
    </row>
    <row r="122" spans="24:53" x14ac:dyDescent="0.3">
      <c r="Y122">
        <v>11</v>
      </c>
      <c r="Z122" s="57">
        <v>44476</v>
      </c>
      <c r="AA122" t="s">
        <v>404</v>
      </c>
      <c r="AB122" s="18"/>
      <c r="AC122" s="18">
        <v>0</v>
      </c>
      <c r="AD122" s="18"/>
      <c r="AE122" s="18"/>
      <c r="AF122" s="18"/>
      <c r="AG122" s="18"/>
      <c r="AH122" s="18">
        <v>0</v>
      </c>
      <c r="AT122">
        <v>5</v>
      </c>
      <c r="AU122" s="18"/>
      <c r="AV122" s="18"/>
      <c r="AW122" s="18"/>
      <c r="AX122" s="18">
        <v>0</v>
      </c>
      <c r="AY122" s="18"/>
      <c r="AZ122" s="18"/>
      <c r="BA122" s="18">
        <v>0</v>
      </c>
    </row>
    <row r="123" spans="24:53" x14ac:dyDescent="0.3">
      <c r="Z123" s="57">
        <v>44477</v>
      </c>
      <c r="AA123" t="s">
        <v>406</v>
      </c>
      <c r="AB123" s="18"/>
      <c r="AC123" s="18">
        <v>0</v>
      </c>
      <c r="AD123" s="18"/>
      <c r="AE123" s="18"/>
      <c r="AF123" s="18"/>
      <c r="AG123" s="18"/>
      <c r="AH123" s="18">
        <v>0</v>
      </c>
      <c r="AT123">
        <v>6</v>
      </c>
      <c r="AU123" s="18"/>
      <c r="AV123" s="18"/>
      <c r="AW123" s="18"/>
      <c r="AX123" s="18">
        <v>0</v>
      </c>
      <c r="AY123" s="18"/>
      <c r="AZ123" s="18"/>
      <c r="BA123" s="18">
        <v>0</v>
      </c>
    </row>
    <row r="124" spans="24:53" x14ac:dyDescent="0.3">
      <c r="Y124">
        <v>12</v>
      </c>
      <c r="Z124" s="57">
        <v>44502</v>
      </c>
      <c r="AA124" t="s">
        <v>459</v>
      </c>
      <c r="AB124" s="18"/>
      <c r="AC124" s="18">
        <v>0</v>
      </c>
      <c r="AD124" s="18"/>
      <c r="AE124" s="18"/>
      <c r="AF124" s="18"/>
      <c r="AG124" s="18"/>
      <c r="AH124" s="18">
        <v>0</v>
      </c>
      <c r="AT124">
        <v>8</v>
      </c>
      <c r="AU124" s="18"/>
      <c r="AV124" s="18"/>
      <c r="AW124" s="18"/>
      <c r="AX124" s="18">
        <v>0</v>
      </c>
      <c r="AY124" s="18"/>
      <c r="AZ124" s="18"/>
      <c r="BA124" s="18">
        <v>0</v>
      </c>
    </row>
    <row r="125" spans="24:53" x14ac:dyDescent="0.3">
      <c r="X125">
        <v>2022</v>
      </c>
      <c r="Y125">
        <v>1</v>
      </c>
      <c r="Z125" s="57">
        <v>44523</v>
      </c>
      <c r="AA125" t="s">
        <v>481</v>
      </c>
      <c r="AB125" s="18"/>
      <c r="AC125" s="18">
        <v>0</v>
      </c>
      <c r="AD125" s="18"/>
      <c r="AE125" s="18"/>
      <c r="AF125" s="18"/>
      <c r="AG125" s="18"/>
      <c r="AH125" s="18">
        <v>0</v>
      </c>
      <c r="AT125">
        <v>9</v>
      </c>
      <c r="AU125" s="18"/>
      <c r="AV125" s="18"/>
      <c r="AW125" s="18"/>
      <c r="AX125" s="18">
        <v>0</v>
      </c>
      <c r="AY125" s="18"/>
      <c r="AZ125" s="18"/>
      <c r="BA125" s="18">
        <v>0</v>
      </c>
    </row>
    <row r="126" spans="24:53" x14ac:dyDescent="0.3">
      <c r="Y126">
        <v>2</v>
      </c>
      <c r="Z126" s="57">
        <v>44571</v>
      </c>
      <c r="AA126" t="s">
        <v>551</v>
      </c>
      <c r="AB126" s="18"/>
      <c r="AC126" s="18">
        <v>0</v>
      </c>
      <c r="AD126" s="18"/>
      <c r="AE126" s="18"/>
      <c r="AF126" s="18"/>
      <c r="AG126" s="18"/>
      <c r="AH126" s="18">
        <v>0</v>
      </c>
      <c r="AT126">
        <v>12</v>
      </c>
      <c r="AU126" s="18"/>
      <c r="AV126" s="18"/>
      <c r="AW126" s="18"/>
      <c r="AX126" s="18">
        <v>0</v>
      </c>
      <c r="AY126" s="18"/>
      <c r="AZ126" s="18"/>
      <c r="BA126" s="18">
        <v>0</v>
      </c>
    </row>
    <row r="127" spans="24:53" x14ac:dyDescent="0.3">
      <c r="Y127">
        <v>5</v>
      </c>
      <c r="Z127" s="57">
        <v>44659</v>
      </c>
      <c r="AA127" t="s">
        <v>688</v>
      </c>
      <c r="AB127" s="18"/>
      <c r="AC127" s="18">
        <v>0</v>
      </c>
      <c r="AD127" s="18"/>
      <c r="AE127" s="18"/>
      <c r="AF127" s="18"/>
      <c r="AG127" s="18"/>
      <c r="AH127" s="18">
        <v>0</v>
      </c>
      <c r="AT127">
        <v>4</v>
      </c>
      <c r="AU127" s="18"/>
      <c r="AV127" s="18"/>
      <c r="AW127" s="18"/>
      <c r="AX127" s="18">
        <v>0</v>
      </c>
      <c r="AY127" s="18"/>
      <c r="AZ127" s="18"/>
      <c r="BA127" s="18">
        <v>0</v>
      </c>
    </row>
    <row r="128" spans="24:53" x14ac:dyDescent="0.3">
      <c r="Y128">
        <v>6</v>
      </c>
      <c r="Z128" s="57">
        <v>44697</v>
      </c>
      <c r="AA128" t="s">
        <v>780</v>
      </c>
      <c r="AB128" s="18"/>
      <c r="AC128" s="18">
        <v>0</v>
      </c>
      <c r="AD128" s="18"/>
      <c r="AE128" s="18"/>
      <c r="AF128" s="18"/>
      <c r="AG128" s="18"/>
      <c r="AH128" s="18">
        <v>0</v>
      </c>
      <c r="AS128">
        <v>2023</v>
      </c>
      <c r="AT128">
        <v>2</v>
      </c>
      <c r="AU128" s="18"/>
      <c r="AV128" s="18"/>
      <c r="AW128" s="18"/>
      <c r="AX128" s="18">
        <v>0</v>
      </c>
      <c r="AY128" s="18"/>
      <c r="AZ128" s="18"/>
      <c r="BA128" s="18">
        <v>0</v>
      </c>
    </row>
    <row r="129" spans="23:53" x14ac:dyDescent="0.3">
      <c r="Y129">
        <v>9</v>
      </c>
      <c r="Z129" s="57">
        <v>44788</v>
      </c>
      <c r="AA129" t="s">
        <v>907</v>
      </c>
      <c r="AB129" s="18"/>
      <c r="AC129" s="18">
        <v>0</v>
      </c>
      <c r="AD129" s="18"/>
      <c r="AE129" s="18"/>
      <c r="AF129" s="18"/>
      <c r="AG129" s="18"/>
      <c r="AH129" s="18">
        <v>0</v>
      </c>
      <c r="AT129">
        <v>3</v>
      </c>
      <c r="AU129" s="18"/>
      <c r="AV129" s="18"/>
      <c r="AW129" s="18"/>
      <c r="AX129" s="18">
        <v>0</v>
      </c>
      <c r="AY129" s="18"/>
      <c r="AZ129" s="18"/>
      <c r="BA129" s="18">
        <v>0</v>
      </c>
    </row>
    <row r="130" spans="23:53" x14ac:dyDescent="0.3">
      <c r="Y130">
        <v>11</v>
      </c>
      <c r="Z130" s="57">
        <v>44836</v>
      </c>
      <c r="AA130" t="s">
        <v>996</v>
      </c>
      <c r="AB130" s="18"/>
      <c r="AC130" s="18">
        <v>0</v>
      </c>
      <c r="AD130" s="18"/>
      <c r="AE130" s="18"/>
      <c r="AF130" s="18"/>
      <c r="AG130" s="18"/>
      <c r="AH130" s="18">
        <v>0</v>
      </c>
      <c r="AT130">
        <v>6</v>
      </c>
      <c r="AU130" s="18"/>
      <c r="AV130" s="18"/>
      <c r="AW130" s="18"/>
      <c r="AX130" s="18">
        <v>0</v>
      </c>
      <c r="AY130" s="18"/>
      <c r="AZ130" s="18"/>
      <c r="BA130" s="18">
        <v>0</v>
      </c>
    </row>
    <row r="131" spans="23:53" x14ac:dyDescent="0.3">
      <c r="AA131" t="s">
        <v>997</v>
      </c>
      <c r="AB131" s="18"/>
      <c r="AC131" s="18">
        <v>0</v>
      </c>
      <c r="AD131" s="18"/>
      <c r="AE131" s="18"/>
      <c r="AF131" s="18"/>
      <c r="AG131" s="18"/>
      <c r="AH131" s="18">
        <v>0</v>
      </c>
      <c r="AR131" s="36" t="s">
        <v>138</v>
      </c>
      <c r="AS131" s="36"/>
      <c r="AT131" s="36"/>
      <c r="AU131" s="37"/>
      <c r="AV131" s="37"/>
      <c r="AW131" s="37"/>
      <c r="AX131" s="37">
        <v>0</v>
      </c>
      <c r="AY131" s="37"/>
      <c r="AZ131" s="37"/>
      <c r="BA131" s="37">
        <v>0</v>
      </c>
    </row>
    <row r="132" spans="23:53" x14ac:dyDescent="0.3">
      <c r="Y132">
        <v>4</v>
      </c>
      <c r="Z132" s="57">
        <v>44611</v>
      </c>
      <c r="AA132" t="s">
        <v>606</v>
      </c>
      <c r="AB132" s="18"/>
      <c r="AC132" s="18">
        <v>0</v>
      </c>
      <c r="AD132" s="18"/>
      <c r="AE132" s="18"/>
      <c r="AF132" s="18"/>
      <c r="AG132" s="18"/>
      <c r="AH132" s="18">
        <v>0</v>
      </c>
      <c r="AR132" t="s">
        <v>14</v>
      </c>
      <c r="AS132">
        <v>2020</v>
      </c>
      <c r="AT132">
        <v>6</v>
      </c>
      <c r="AU132" s="18">
        <v>0</v>
      </c>
      <c r="AV132" s="18"/>
      <c r="AW132" s="18"/>
      <c r="AX132" s="18"/>
      <c r="AY132" s="18"/>
      <c r="AZ132" s="18"/>
      <c r="BA132" s="18">
        <v>0</v>
      </c>
    </row>
    <row r="133" spans="23:53" x14ac:dyDescent="0.3">
      <c r="Z133" s="57">
        <v>44618</v>
      </c>
      <c r="AA133" t="s">
        <v>612</v>
      </c>
      <c r="AB133" s="18"/>
      <c r="AC133" s="18">
        <v>0</v>
      </c>
      <c r="AD133" s="18"/>
      <c r="AE133" s="18"/>
      <c r="AF133" s="18"/>
      <c r="AG133" s="18"/>
      <c r="AH133" s="18">
        <v>0</v>
      </c>
      <c r="AS133">
        <v>2021</v>
      </c>
      <c r="AT133">
        <v>9</v>
      </c>
      <c r="AU133" s="18">
        <v>0</v>
      </c>
      <c r="AV133" s="18"/>
      <c r="AW133" s="18"/>
      <c r="AX133" s="18"/>
      <c r="AY133" s="18"/>
      <c r="AZ133" s="18"/>
      <c r="BA133" s="18">
        <v>0</v>
      </c>
    </row>
    <row r="134" spans="23:53" x14ac:dyDescent="0.3">
      <c r="X134">
        <v>2023</v>
      </c>
      <c r="Y134">
        <v>1</v>
      </c>
      <c r="Z134" s="57">
        <v>44894</v>
      </c>
      <c r="AA134" t="s">
        <v>1092</v>
      </c>
      <c r="AB134" s="18"/>
      <c r="AC134" s="18">
        <v>0</v>
      </c>
      <c r="AD134" s="18"/>
      <c r="AE134" s="18"/>
      <c r="AF134" s="18"/>
      <c r="AG134" s="18"/>
      <c r="AH134" s="18">
        <v>0</v>
      </c>
      <c r="AR134" s="36" t="s">
        <v>139</v>
      </c>
      <c r="AS134" s="36"/>
      <c r="AT134" s="36"/>
      <c r="AU134" s="37">
        <v>0</v>
      </c>
      <c r="AV134" s="37"/>
      <c r="AW134" s="37"/>
      <c r="AX134" s="37"/>
      <c r="AY134" s="37"/>
      <c r="AZ134" s="37"/>
      <c r="BA134" s="37">
        <v>0</v>
      </c>
    </row>
    <row r="135" spans="23:53" x14ac:dyDescent="0.3">
      <c r="Y135">
        <v>7</v>
      </c>
      <c r="Z135" s="57">
        <v>45063</v>
      </c>
      <c r="AA135" t="s">
        <v>1548</v>
      </c>
      <c r="AB135" s="18"/>
      <c r="AC135" s="18">
        <v>0</v>
      </c>
      <c r="AD135" s="18"/>
      <c r="AE135" s="18"/>
      <c r="AF135" s="18"/>
      <c r="AG135" s="18"/>
      <c r="AH135" s="18">
        <v>0</v>
      </c>
      <c r="AR135" t="s">
        <v>52</v>
      </c>
      <c r="AS135">
        <v>2020</v>
      </c>
      <c r="AT135">
        <v>8</v>
      </c>
      <c r="AU135" s="18">
        <v>0</v>
      </c>
      <c r="AV135" s="18"/>
      <c r="AW135" s="18"/>
      <c r="AX135" s="18"/>
      <c r="AY135" s="18"/>
      <c r="AZ135" s="18"/>
      <c r="BA135" s="18">
        <v>0</v>
      </c>
    </row>
    <row r="136" spans="23:53" x14ac:dyDescent="0.3">
      <c r="Y136">
        <v>9</v>
      </c>
      <c r="Z136" s="57">
        <v>45134</v>
      </c>
      <c r="AA136" t="s">
        <v>1738</v>
      </c>
      <c r="AB136" s="18"/>
      <c r="AC136" s="18">
        <v>0</v>
      </c>
      <c r="AD136" s="18"/>
      <c r="AE136" s="18"/>
      <c r="AF136" s="18"/>
      <c r="AG136" s="18"/>
      <c r="AH136" s="18">
        <v>0</v>
      </c>
      <c r="AT136">
        <v>9</v>
      </c>
      <c r="AU136" s="18">
        <v>0</v>
      </c>
      <c r="AV136" s="18"/>
      <c r="AW136" s="18"/>
      <c r="AX136" s="18"/>
      <c r="AY136" s="18"/>
      <c r="AZ136" s="18"/>
      <c r="BA136" s="18">
        <v>0</v>
      </c>
    </row>
    <row r="137" spans="23:53" x14ac:dyDescent="0.3">
      <c r="Z137" s="57">
        <v>45135</v>
      </c>
      <c r="AA137" t="s">
        <v>1738</v>
      </c>
      <c r="AB137" s="18"/>
      <c r="AC137" s="18">
        <v>0</v>
      </c>
      <c r="AD137" s="18"/>
      <c r="AE137" s="18"/>
      <c r="AF137" s="18"/>
      <c r="AG137" s="18"/>
      <c r="AH137" s="18">
        <v>0</v>
      </c>
      <c r="AT137">
        <v>11</v>
      </c>
      <c r="AU137" s="18">
        <v>0</v>
      </c>
      <c r="AV137" s="18"/>
      <c r="AW137" s="18"/>
      <c r="AX137" s="18"/>
      <c r="AY137" s="18"/>
      <c r="AZ137" s="18"/>
      <c r="BA137" s="18">
        <v>0</v>
      </c>
    </row>
    <row r="138" spans="23:53" x14ac:dyDescent="0.3">
      <c r="Z138" s="57">
        <v>45154</v>
      </c>
      <c r="AA138" t="s">
        <v>1820</v>
      </c>
      <c r="AB138" s="18"/>
      <c r="AC138" s="18">
        <v>0</v>
      </c>
      <c r="AD138" s="18"/>
      <c r="AE138" s="18"/>
      <c r="AF138" s="18"/>
      <c r="AG138" s="18"/>
      <c r="AH138" s="18">
        <v>0</v>
      </c>
      <c r="AS138">
        <v>2021</v>
      </c>
      <c r="AT138">
        <v>2</v>
      </c>
      <c r="AU138" s="18">
        <v>0</v>
      </c>
      <c r="AV138" s="18"/>
      <c r="AW138" s="18"/>
      <c r="AX138" s="18"/>
      <c r="AY138" s="18"/>
      <c r="AZ138" s="18"/>
      <c r="BA138" s="18">
        <v>0</v>
      </c>
    </row>
    <row r="139" spans="23:53" x14ac:dyDescent="0.3">
      <c r="Y139">
        <v>10</v>
      </c>
      <c r="Z139" s="57">
        <v>45180</v>
      </c>
      <c r="AA139" t="s">
        <v>1899</v>
      </c>
      <c r="AB139" s="18"/>
      <c r="AC139" s="18">
        <v>0</v>
      </c>
      <c r="AD139" s="18"/>
      <c r="AE139" s="18"/>
      <c r="AF139" s="18"/>
      <c r="AG139" s="18"/>
      <c r="AH139" s="18">
        <v>0</v>
      </c>
      <c r="AT139">
        <v>10</v>
      </c>
      <c r="AU139" s="18">
        <v>0</v>
      </c>
      <c r="AV139" s="18"/>
      <c r="AW139" s="18"/>
      <c r="AX139" s="18"/>
      <c r="AY139" s="18"/>
      <c r="AZ139" s="18"/>
      <c r="BA139" s="18">
        <v>0</v>
      </c>
    </row>
    <row r="140" spans="23:53" x14ac:dyDescent="0.3">
      <c r="W140" s="36" t="s">
        <v>136</v>
      </c>
      <c r="X140" s="36"/>
      <c r="Y140" s="36"/>
      <c r="Z140" s="36"/>
      <c r="AA140" s="36"/>
      <c r="AB140" s="37"/>
      <c r="AC140" s="37">
        <v>0</v>
      </c>
      <c r="AD140" s="37"/>
      <c r="AE140" s="37"/>
      <c r="AF140" s="37"/>
      <c r="AG140" s="37"/>
      <c r="AH140" s="37">
        <v>0</v>
      </c>
      <c r="AT140">
        <v>11</v>
      </c>
      <c r="AU140" s="18">
        <v>0</v>
      </c>
      <c r="AV140" s="18"/>
      <c r="AW140" s="18"/>
      <c r="AX140" s="18"/>
      <c r="AY140" s="18"/>
      <c r="AZ140" s="18"/>
      <c r="BA140" s="18">
        <v>0</v>
      </c>
    </row>
    <row r="141" spans="23:53" x14ac:dyDescent="0.3">
      <c r="W141" t="s">
        <v>43</v>
      </c>
      <c r="X141">
        <v>2020</v>
      </c>
      <c r="Y141">
        <v>8</v>
      </c>
      <c r="Z141" s="57">
        <v>44062</v>
      </c>
      <c r="AA141" t="s">
        <v>41</v>
      </c>
      <c r="AB141" s="18">
        <v>0</v>
      </c>
      <c r="AC141" s="18"/>
      <c r="AD141" s="18"/>
      <c r="AE141" s="18"/>
      <c r="AF141" s="18"/>
      <c r="AG141" s="18"/>
      <c r="AH141" s="18">
        <v>0</v>
      </c>
      <c r="AR141" s="36" t="s">
        <v>140</v>
      </c>
      <c r="AS141" s="36"/>
      <c r="AT141" s="36"/>
      <c r="AU141" s="37">
        <v>0</v>
      </c>
      <c r="AV141" s="37"/>
      <c r="AW141" s="37"/>
      <c r="AX141" s="37"/>
      <c r="AY141" s="37"/>
      <c r="AZ141" s="37"/>
      <c r="BA141" s="37">
        <v>0</v>
      </c>
    </row>
    <row r="142" spans="23:53" x14ac:dyDescent="0.3">
      <c r="Y142">
        <v>11</v>
      </c>
      <c r="Z142" s="57">
        <v>44144</v>
      </c>
      <c r="AA142" t="s">
        <v>152</v>
      </c>
      <c r="AB142" s="18">
        <v>0</v>
      </c>
      <c r="AC142" s="18"/>
      <c r="AD142" s="18"/>
      <c r="AE142" s="18"/>
      <c r="AF142" s="18"/>
      <c r="AG142" s="18"/>
      <c r="AH142" s="18">
        <v>0</v>
      </c>
      <c r="AR142" t="s">
        <v>62</v>
      </c>
      <c r="AS142">
        <v>2020</v>
      </c>
      <c r="AT142">
        <v>12</v>
      </c>
      <c r="AU142" s="18"/>
      <c r="AV142" s="18"/>
      <c r="AW142" s="18"/>
      <c r="AX142" s="18">
        <v>0</v>
      </c>
      <c r="AY142" s="18"/>
      <c r="AZ142" s="18"/>
      <c r="BA142" s="18">
        <v>0</v>
      </c>
    </row>
    <row r="143" spans="23:53" x14ac:dyDescent="0.3">
      <c r="X143">
        <v>2021</v>
      </c>
      <c r="Y143">
        <v>10</v>
      </c>
      <c r="Z143" s="57">
        <v>44470</v>
      </c>
      <c r="AA143" t="s">
        <v>398</v>
      </c>
      <c r="AB143" s="18">
        <v>0</v>
      </c>
      <c r="AC143" s="18"/>
      <c r="AD143" s="18"/>
      <c r="AE143" s="18"/>
      <c r="AF143" s="18"/>
      <c r="AG143" s="18"/>
      <c r="AH143" s="18">
        <v>0</v>
      </c>
      <c r="AS143">
        <v>2021</v>
      </c>
      <c r="AT143">
        <v>1</v>
      </c>
      <c r="AU143" s="18"/>
      <c r="AV143" s="18"/>
      <c r="AW143" s="18"/>
      <c r="AX143" s="18">
        <v>0</v>
      </c>
      <c r="AY143" s="18"/>
      <c r="AZ143" s="18"/>
      <c r="BA143" s="18">
        <v>0</v>
      </c>
    </row>
    <row r="144" spans="23:53" x14ac:dyDescent="0.3">
      <c r="X144">
        <v>2022</v>
      </c>
      <c r="Y144">
        <v>1</v>
      </c>
      <c r="Z144" s="57">
        <v>44586</v>
      </c>
      <c r="AA144" t="s">
        <v>569</v>
      </c>
      <c r="AB144" s="18">
        <v>0</v>
      </c>
      <c r="AC144" s="18"/>
      <c r="AD144" s="18"/>
      <c r="AE144" s="18"/>
      <c r="AF144" s="18"/>
      <c r="AG144" s="18"/>
      <c r="AH144" s="18">
        <v>0</v>
      </c>
      <c r="AT144">
        <v>2</v>
      </c>
      <c r="AU144" s="18"/>
      <c r="AV144" s="18"/>
      <c r="AW144" s="18"/>
      <c r="AX144" s="18">
        <v>0</v>
      </c>
      <c r="AY144" s="18"/>
      <c r="AZ144" s="18"/>
      <c r="BA144" s="18">
        <v>0</v>
      </c>
    </row>
    <row r="145" spans="23:53" x14ac:dyDescent="0.3">
      <c r="Y145">
        <v>2</v>
      </c>
      <c r="Z145" s="57">
        <v>44613</v>
      </c>
      <c r="AA145" t="s">
        <v>608</v>
      </c>
      <c r="AB145" s="18">
        <v>0</v>
      </c>
      <c r="AC145" s="18"/>
      <c r="AD145" s="18"/>
      <c r="AE145" s="18"/>
      <c r="AF145" s="18"/>
      <c r="AG145" s="18"/>
      <c r="AH145" s="18">
        <v>0</v>
      </c>
      <c r="AT145">
        <v>3</v>
      </c>
      <c r="AU145" s="18"/>
      <c r="AV145" s="18"/>
      <c r="AW145" s="18"/>
      <c r="AX145" s="18">
        <v>0</v>
      </c>
      <c r="AY145" s="18"/>
      <c r="AZ145" s="18"/>
      <c r="BA145" s="18">
        <v>0</v>
      </c>
    </row>
    <row r="146" spans="23:53" x14ac:dyDescent="0.3">
      <c r="Y146">
        <v>3</v>
      </c>
      <c r="Z146" s="57">
        <v>44632</v>
      </c>
      <c r="AA146" t="s">
        <v>646</v>
      </c>
      <c r="AB146" s="18">
        <v>0</v>
      </c>
      <c r="AC146" s="18"/>
      <c r="AD146" s="18"/>
      <c r="AE146" s="18"/>
      <c r="AF146" s="18"/>
      <c r="AG146" s="18"/>
      <c r="AH146" s="18">
        <v>0</v>
      </c>
      <c r="AT146">
        <v>5</v>
      </c>
      <c r="AU146" s="18"/>
      <c r="AV146" s="18"/>
      <c r="AW146" s="18"/>
      <c r="AX146" s="18">
        <v>0</v>
      </c>
      <c r="AY146" s="18"/>
      <c r="AZ146" s="18"/>
      <c r="BA146" s="18">
        <v>0</v>
      </c>
    </row>
    <row r="147" spans="23:53" x14ac:dyDescent="0.3">
      <c r="Z147" s="57">
        <v>44641</v>
      </c>
      <c r="AA147" t="s">
        <v>653</v>
      </c>
      <c r="AB147" s="18">
        <v>0</v>
      </c>
      <c r="AC147" s="18"/>
      <c r="AD147" s="18"/>
      <c r="AE147" s="18"/>
      <c r="AF147" s="18"/>
      <c r="AG147" s="18"/>
      <c r="AH147" s="18">
        <v>0</v>
      </c>
      <c r="AT147">
        <v>7</v>
      </c>
      <c r="AU147" s="18"/>
      <c r="AV147" s="18"/>
      <c r="AW147" s="18"/>
      <c r="AX147" s="18">
        <v>0</v>
      </c>
      <c r="AY147" s="18"/>
      <c r="AZ147" s="18"/>
      <c r="BA147" s="18">
        <v>0</v>
      </c>
    </row>
    <row r="148" spans="23:53" x14ac:dyDescent="0.3">
      <c r="Y148">
        <v>5</v>
      </c>
      <c r="Z148" t="s">
        <v>768</v>
      </c>
      <c r="AA148" t="s">
        <v>767</v>
      </c>
      <c r="AB148" s="18">
        <v>0</v>
      </c>
      <c r="AC148" s="18"/>
      <c r="AD148" s="18"/>
      <c r="AE148" s="18"/>
      <c r="AF148" s="18"/>
      <c r="AG148" s="18"/>
      <c r="AH148" s="18">
        <v>0</v>
      </c>
      <c r="AT148">
        <v>8</v>
      </c>
      <c r="AU148" s="18"/>
      <c r="AV148" s="18"/>
      <c r="AW148" s="18"/>
      <c r="AX148" s="18">
        <v>-179.39999999999998</v>
      </c>
      <c r="AY148" s="18"/>
      <c r="AZ148" s="18"/>
      <c r="BA148" s="18">
        <v>-179.39999999999998</v>
      </c>
    </row>
    <row r="149" spans="23:53" x14ac:dyDescent="0.3">
      <c r="Z149" s="57">
        <v>44695</v>
      </c>
      <c r="AA149" t="s">
        <v>777</v>
      </c>
      <c r="AB149" s="18">
        <v>0</v>
      </c>
      <c r="AC149" s="18"/>
      <c r="AD149" s="18"/>
      <c r="AE149" s="18"/>
      <c r="AF149" s="18"/>
      <c r="AG149" s="18"/>
      <c r="AH149" s="18">
        <v>0</v>
      </c>
      <c r="AT149">
        <v>9</v>
      </c>
      <c r="AU149" s="18"/>
      <c r="AV149" s="18"/>
      <c r="AW149" s="18"/>
      <c r="AX149" s="18">
        <v>0</v>
      </c>
      <c r="AY149" s="18"/>
      <c r="AZ149" s="18"/>
      <c r="BA149" s="18">
        <v>0</v>
      </c>
    </row>
    <row r="150" spans="23:53" x14ac:dyDescent="0.3">
      <c r="Y150">
        <v>6</v>
      </c>
      <c r="Z150" s="57">
        <v>44732</v>
      </c>
      <c r="AA150" t="s">
        <v>844</v>
      </c>
      <c r="AB150" s="18">
        <v>0</v>
      </c>
      <c r="AC150" s="18"/>
      <c r="AD150" s="18"/>
      <c r="AE150" s="18"/>
      <c r="AF150" s="18"/>
      <c r="AG150" s="18"/>
      <c r="AH150" s="18">
        <v>0</v>
      </c>
      <c r="AT150">
        <v>4</v>
      </c>
      <c r="AU150" s="18"/>
      <c r="AV150" s="18"/>
      <c r="AW150" s="18"/>
      <c r="AX150" s="18">
        <v>0</v>
      </c>
      <c r="AY150" s="18"/>
      <c r="AZ150" s="18"/>
      <c r="BA150" s="18">
        <v>0</v>
      </c>
    </row>
    <row r="151" spans="23:53" x14ac:dyDescent="0.3">
      <c r="Y151">
        <v>10</v>
      </c>
      <c r="Z151" s="57">
        <v>44845</v>
      </c>
      <c r="AA151" t="s">
        <v>998</v>
      </c>
      <c r="AB151" s="18">
        <v>0</v>
      </c>
      <c r="AC151" s="18"/>
      <c r="AD151" s="18"/>
      <c r="AE151" s="18"/>
      <c r="AF151" s="18"/>
      <c r="AG151" s="18"/>
      <c r="AH151" s="18">
        <v>0</v>
      </c>
      <c r="AS151">
        <v>2022</v>
      </c>
      <c r="AT151">
        <v>1</v>
      </c>
      <c r="AU151" s="18"/>
      <c r="AV151" s="18"/>
      <c r="AW151" s="18"/>
      <c r="AX151" s="18">
        <v>0</v>
      </c>
      <c r="AY151" s="18"/>
      <c r="AZ151" s="18"/>
      <c r="BA151" s="18">
        <v>0</v>
      </c>
    </row>
    <row r="152" spans="23:53" x14ac:dyDescent="0.3">
      <c r="X152">
        <v>2023</v>
      </c>
      <c r="Y152">
        <v>8</v>
      </c>
      <c r="Z152" s="57">
        <v>45141</v>
      </c>
      <c r="AA152" t="s">
        <v>1798</v>
      </c>
      <c r="AB152" s="18">
        <v>0</v>
      </c>
      <c r="AC152" s="18"/>
      <c r="AD152" s="18"/>
      <c r="AE152" s="18"/>
      <c r="AF152" s="18"/>
      <c r="AG152" s="18"/>
      <c r="AH152" s="18">
        <v>0</v>
      </c>
      <c r="AT152">
        <v>2</v>
      </c>
      <c r="AU152" s="18"/>
      <c r="AV152" s="18"/>
      <c r="AW152" s="18"/>
      <c r="AX152" s="18">
        <v>0</v>
      </c>
      <c r="AY152" s="18"/>
      <c r="AZ152" s="18"/>
      <c r="BA152" s="18">
        <v>0</v>
      </c>
    </row>
    <row r="153" spans="23:53" x14ac:dyDescent="0.3">
      <c r="Z153" s="57">
        <v>45159</v>
      </c>
      <c r="AA153" t="s">
        <v>1823</v>
      </c>
      <c r="AB153" s="18">
        <v>0</v>
      </c>
      <c r="AC153" s="18"/>
      <c r="AD153" s="18"/>
      <c r="AE153" s="18"/>
      <c r="AF153" s="18"/>
      <c r="AG153" s="18"/>
      <c r="AH153" s="18">
        <v>0</v>
      </c>
      <c r="AT153">
        <v>3</v>
      </c>
      <c r="AU153" s="18"/>
      <c r="AV153" s="18"/>
      <c r="AW153" s="18"/>
      <c r="AX153" s="18">
        <v>0</v>
      </c>
      <c r="AY153" s="18"/>
      <c r="AZ153" s="18"/>
      <c r="BA153" s="18">
        <v>0</v>
      </c>
    </row>
    <row r="154" spans="23:53" x14ac:dyDescent="0.3">
      <c r="Y154">
        <v>10</v>
      </c>
      <c r="Z154" s="57">
        <v>45206</v>
      </c>
      <c r="AA154" t="s">
        <v>2002</v>
      </c>
      <c r="AB154" s="18">
        <v>5067.2</v>
      </c>
      <c r="AC154" s="18"/>
      <c r="AD154" s="18"/>
      <c r="AE154" s="18"/>
      <c r="AF154" s="18"/>
      <c r="AG154" s="18"/>
      <c r="AH154" s="18">
        <v>5067.2</v>
      </c>
      <c r="AT154">
        <v>5</v>
      </c>
      <c r="AU154" s="18"/>
      <c r="AV154" s="18"/>
      <c r="AW154" s="18"/>
      <c r="AX154" s="18">
        <v>0</v>
      </c>
      <c r="AY154" s="18"/>
      <c r="AZ154" s="18"/>
      <c r="BA154" s="18">
        <v>0</v>
      </c>
    </row>
    <row r="155" spans="23:53" x14ac:dyDescent="0.3">
      <c r="Y155">
        <v>11</v>
      </c>
      <c r="Z155" s="57">
        <v>45252</v>
      </c>
      <c r="AA155" t="s">
        <v>2122</v>
      </c>
      <c r="AB155" s="18">
        <v>2413</v>
      </c>
      <c r="AC155" s="18"/>
      <c r="AD155" s="18"/>
      <c r="AE155" s="18"/>
      <c r="AF155" s="18"/>
      <c r="AG155" s="18"/>
      <c r="AH155" s="18">
        <v>2413</v>
      </c>
      <c r="AT155">
        <v>6</v>
      </c>
      <c r="AU155" s="18"/>
      <c r="AV155" s="18"/>
      <c r="AW155" s="18"/>
      <c r="AX155" s="18">
        <v>0</v>
      </c>
      <c r="AY155" s="18"/>
      <c r="AZ155" s="18"/>
      <c r="BA155" s="18">
        <v>0</v>
      </c>
    </row>
    <row r="156" spans="23:53" x14ac:dyDescent="0.3">
      <c r="Y156">
        <v>4</v>
      </c>
      <c r="Z156" t="s">
        <v>1415</v>
      </c>
      <c r="AA156" t="s">
        <v>1416</v>
      </c>
      <c r="AB156" s="18">
        <v>0</v>
      </c>
      <c r="AC156" s="18"/>
      <c r="AD156" s="18"/>
      <c r="AE156" s="18"/>
      <c r="AF156" s="18"/>
      <c r="AG156" s="18"/>
      <c r="AH156" s="18">
        <v>0</v>
      </c>
      <c r="AT156">
        <v>7</v>
      </c>
      <c r="AU156" s="18"/>
      <c r="AV156" s="18"/>
      <c r="AW156" s="18"/>
      <c r="AX156" s="18">
        <v>0</v>
      </c>
      <c r="AY156" s="18"/>
      <c r="AZ156" s="18"/>
      <c r="BA156" s="18">
        <v>0</v>
      </c>
    </row>
    <row r="157" spans="23:53" x14ac:dyDescent="0.3">
      <c r="W157" s="36" t="s">
        <v>137</v>
      </c>
      <c r="X157" s="36"/>
      <c r="Y157" s="36"/>
      <c r="Z157" s="36"/>
      <c r="AA157" s="36"/>
      <c r="AB157" s="37">
        <v>7480.2</v>
      </c>
      <c r="AC157" s="37"/>
      <c r="AD157" s="37"/>
      <c r="AE157" s="37"/>
      <c r="AF157" s="37"/>
      <c r="AG157" s="37"/>
      <c r="AH157" s="37">
        <v>7480.2</v>
      </c>
      <c r="AT157">
        <v>8</v>
      </c>
      <c r="AU157" s="18"/>
      <c r="AV157" s="18"/>
      <c r="AW157" s="18"/>
      <c r="AX157" s="18">
        <v>0</v>
      </c>
      <c r="AY157" s="18"/>
      <c r="AZ157" s="18"/>
      <c r="BA157" s="18">
        <v>0</v>
      </c>
    </row>
    <row r="158" spans="23:53" x14ac:dyDescent="0.3">
      <c r="W158" t="s">
        <v>23</v>
      </c>
      <c r="X158">
        <v>2020</v>
      </c>
      <c r="Y158">
        <v>10</v>
      </c>
      <c r="Z158" s="57">
        <v>44013</v>
      </c>
      <c r="AA158" t="s">
        <v>21</v>
      </c>
      <c r="AB158" s="18"/>
      <c r="AC158" s="18"/>
      <c r="AD158" s="18"/>
      <c r="AE158" s="18">
        <v>0</v>
      </c>
      <c r="AF158" s="18"/>
      <c r="AG158" s="18"/>
      <c r="AH158" s="18">
        <v>0</v>
      </c>
      <c r="AT158">
        <v>9</v>
      </c>
      <c r="AU158" s="18"/>
      <c r="AV158" s="18"/>
      <c r="AW158" s="18"/>
      <c r="AX158" s="18">
        <v>0</v>
      </c>
      <c r="AY158" s="18"/>
      <c r="AZ158" s="18"/>
      <c r="BA158" s="18">
        <v>0</v>
      </c>
    </row>
    <row r="159" spans="23:53" x14ac:dyDescent="0.3">
      <c r="Y159">
        <v>11</v>
      </c>
      <c r="Z159" s="57">
        <v>44044</v>
      </c>
      <c r="AA159" t="s">
        <v>30</v>
      </c>
      <c r="AB159" s="18"/>
      <c r="AC159" s="18"/>
      <c r="AD159" s="18"/>
      <c r="AE159" s="18">
        <v>0</v>
      </c>
      <c r="AF159" s="18"/>
      <c r="AG159" s="18"/>
      <c r="AH159" s="18">
        <v>0</v>
      </c>
      <c r="AT159">
        <v>10</v>
      </c>
      <c r="AU159" s="18"/>
      <c r="AV159" s="18"/>
      <c r="AW159" s="18"/>
      <c r="AX159" s="18">
        <v>0</v>
      </c>
      <c r="AY159" s="18"/>
      <c r="AZ159" s="18"/>
      <c r="BA159" s="18">
        <v>0</v>
      </c>
    </row>
    <row r="160" spans="23:53" x14ac:dyDescent="0.3">
      <c r="Y160">
        <v>12</v>
      </c>
      <c r="Z160" s="57">
        <v>44051</v>
      </c>
      <c r="AA160" t="s">
        <v>31</v>
      </c>
      <c r="AB160" s="18"/>
      <c r="AC160" s="18"/>
      <c r="AD160" s="18"/>
      <c r="AE160" s="18">
        <v>0</v>
      </c>
      <c r="AF160" s="18"/>
      <c r="AG160" s="18"/>
      <c r="AH160" s="18">
        <v>0</v>
      </c>
      <c r="AT160">
        <v>11</v>
      </c>
      <c r="AU160" s="18"/>
      <c r="AV160" s="18"/>
      <c r="AW160" s="18"/>
      <c r="AX160" s="18">
        <v>0</v>
      </c>
      <c r="AY160" s="18"/>
      <c r="AZ160" s="18"/>
      <c r="BA160" s="18">
        <v>0</v>
      </c>
    </row>
    <row r="161" spans="24:53" x14ac:dyDescent="0.3">
      <c r="AA161" t="s">
        <v>32</v>
      </c>
      <c r="AB161" s="18"/>
      <c r="AC161" s="18"/>
      <c r="AD161" s="18"/>
      <c r="AE161" s="18">
        <v>0</v>
      </c>
      <c r="AF161" s="18"/>
      <c r="AG161" s="18"/>
      <c r="AH161" s="18">
        <v>0</v>
      </c>
      <c r="AT161">
        <v>12</v>
      </c>
      <c r="AU161" s="18"/>
      <c r="AV161" s="18"/>
      <c r="AW161" s="18"/>
      <c r="AX161" s="18">
        <v>0</v>
      </c>
      <c r="AY161" s="18"/>
      <c r="AZ161" s="18"/>
      <c r="BA161" s="18">
        <v>0</v>
      </c>
    </row>
    <row r="162" spans="24:53" x14ac:dyDescent="0.3">
      <c r="X162">
        <v>2021</v>
      </c>
      <c r="Y162">
        <v>1</v>
      </c>
      <c r="Z162" s="57">
        <v>44091</v>
      </c>
      <c r="AA162" t="s">
        <v>99</v>
      </c>
      <c r="AB162" s="18"/>
      <c r="AC162" s="18"/>
      <c r="AD162" s="18"/>
      <c r="AE162" s="18">
        <v>0</v>
      </c>
      <c r="AF162" s="18"/>
      <c r="AG162" s="18"/>
      <c r="AH162" s="18">
        <v>0</v>
      </c>
      <c r="AT162">
        <v>4</v>
      </c>
      <c r="AU162" s="18"/>
      <c r="AV162" s="18"/>
      <c r="AW162" s="18"/>
      <c r="AX162" s="18">
        <v>0</v>
      </c>
      <c r="AY162" s="18"/>
      <c r="AZ162" s="18"/>
      <c r="BA162" s="18">
        <v>0</v>
      </c>
    </row>
    <row r="163" spans="24:53" x14ac:dyDescent="0.3">
      <c r="Z163" s="57">
        <v>44096</v>
      </c>
      <c r="AA163" t="s">
        <v>101</v>
      </c>
      <c r="AB163" s="18"/>
      <c r="AC163" s="18"/>
      <c r="AD163" s="18"/>
      <c r="AE163" s="18">
        <v>0</v>
      </c>
      <c r="AF163" s="18"/>
      <c r="AG163" s="18"/>
      <c r="AH163" s="18">
        <v>0</v>
      </c>
      <c r="AS163">
        <v>2023</v>
      </c>
      <c r="AT163">
        <v>1</v>
      </c>
      <c r="AU163" s="18"/>
      <c r="AV163" s="18"/>
      <c r="AW163" s="18"/>
      <c r="AX163" s="18">
        <v>0</v>
      </c>
      <c r="AY163" s="18"/>
      <c r="AZ163" s="18"/>
      <c r="BA163" s="18">
        <v>0</v>
      </c>
    </row>
    <row r="164" spans="24:53" x14ac:dyDescent="0.3">
      <c r="Y164">
        <v>2</v>
      </c>
      <c r="Z164" s="57">
        <v>44112</v>
      </c>
      <c r="AA164" t="s">
        <v>110</v>
      </c>
      <c r="AB164" s="18"/>
      <c r="AC164" s="18"/>
      <c r="AD164" s="18"/>
      <c r="AE164" s="18">
        <v>0</v>
      </c>
      <c r="AF164" s="18"/>
      <c r="AG164" s="18"/>
      <c r="AH164" s="18">
        <v>0</v>
      </c>
      <c r="AT164">
        <v>2</v>
      </c>
      <c r="AU164" s="18"/>
      <c r="AV164" s="18"/>
      <c r="AW164" s="18"/>
      <c r="AX164" s="18">
        <v>0</v>
      </c>
      <c r="AY164" s="18"/>
      <c r="AZ164" s="18"/>
      <c r="BA164" s="18">
        <v>0</v>
      </c>
    </row>
    <row r="165" spans="24:53" x14ac:dyDescent="0.3">
      <c r="Z165" s="57">
        <v>44116</v>
      </c>
      <c r="AA165" t="s">
        <v>112</v>
      </c>
      <c r="AB165" s="18"/>
      <c r="AC165" s="18"/>
      <c r="AD165" s="18"/>
      <c r="AE165" s="18">
        <v>0</v>
      </c>
      <c r="AF165" s="18"/>
      <c r="AG165" s="18"/>
      <c r="AH165" s="18">
        <v>0</v>
      </c>
      <c r="AT165">
        <v>3</v>
      </c>
      <c r="AU165" s="18"/>
      <c r="AV165" s="18"/>
      <c r="AW165" s="18"/>
      <c r="AX165" s="18">
        <v>0</v>
      </c>
      <c r="AY165" s="18"/>
      <c r="AZ165" s="18"/>
      <c r="BA165" s="18">
        <v>0</v>
      </c>
    </row>
    <row r="166" spans="24:53" x14ac:dyDescent="0.3">
      <c r="Y166">
        <v>6</v>
      </c>
      <c r="Z166" s="57">
        <v>44251</v>
      </c>
      <c r="AA166" t="s">
        <v>275</v>
      </c>
      <c r="AB166" s="18"/>
      <c r="AC166" s="18"/>
      <c r="AD166" s="18"/>
      <c r="AE166" s="18">
        <v>0</v>
      </c>
      <c r="AF166" s="18"/>
      <c r="AG166" s="18"/>
      <c r="AH166" s="18">
        <v>0</v>
      </c>
      <c r="AT166">
        <v>5</v>
      </c>
      <c r="AU166" s="18"/>
      <c r="AV166" s="18"/>
      <c r="AW166" s="18"/>
      <c r="AX166" s="18">
        <v>0</v>
      </c>
      <c r="AY166" s="18"/>
      <c r="AZ166" s="18"/>
      <c r="BA166" s="18">
        <v>0</v>
      </c>
    </row>
    <row r="167" spans="24:53" x14ac:dyDescent="0.3">
      <c r="Y167">
        <v>7</v>
      </c>
      <c r="Z167" s="57">
        <v>44263</v>
      </c>
      <c r="AA167" t="s">
        <v>286</v>
      </c>
      <c r="AB167" s="18"/>
      <c r="AC167" s="18"/>
      <c r="AD167" s="18"/>
      <c r="AE167" s="18">
        <v>0</v>
      </c>
      <c r="AF167" s="18"/>
      <c r="AG167" s="18"/>
      <c r="AH167" s="18">
        <v>0</v>
      </c>
      <c r="AT167">
        <v>6</v>
      </c>
      <c r="AU167" s="18"/>
      <c r="AV167" s="18"/>
      <c r="AW167" s="18"/>
      <c r="AX167" s="18">
        <v>0</v>
      </c>
      <c r="AY167" s="18"/>
      <c r="AZ167" s="18"/>
      <c r="BA167" s="18">
        <v>0</v>
      </c>
    </row>
    <row r="168" spans="24:53" x14ac:dyDescent="0.3">
      <c r="Z168" s="57">
        <v>44278</v>
      </c>
      <c r="AA168" t="s">
        <v>319</v>
      </c>
      <c r="AB168" s="18"/>
      <c r="AC168" s="18"/>
      <c r="AD168" s="18"/>
      <c r="AE168" s="18">
        <v>0</v>
      </c>
      <c r="AF168" s="18"/>
      <c r="AG168" s="18"/>
      <c r="AH168" s="18">
        <v>0</v>
      </c>
      <c r="AT168">
        <v>7</v>
      </c>
      <c r="AU168" s="18"/>
      <c r="AV168" s="18"/>
      <c r="AW168" s="18"/>
      <c r="AX168" s="18">
        <v>0</v>
      </c>
      <c r="AY168" s="18"/>
      <c r="AZ168" s="18"/>
      <c r="BA168" s="18">
        <v>0</v>
      </c>
    </row>
    <row r="169" spans="24:53" x14ac:dyDescent="0.3">
      <c r="Z169" s="57">
        <v>44285</v>
      </c>
      <c r="AA169" t="s">
        <v>323</v>
      </c>
      <c r="AB169" s="18"/>
      <c r="AC169" s="18"/>
      <c r="AD169" s="18"/>
      <c r="AE169" s="18">
        <v>0</v>
      </c>
      <c r="AF169" s="18"/>
      <c r="AG169" s="18"/>
      <c r="AH169" s="18">
        <v>0</v>
      </c>
      <c r="AT169">
        <v>8</v>
      </c>
      <c r="AU169" s="18"/>
      <c r="AV169" s="18"/>
      <c r="AW169" s="18"/>
      <c r="AX169" s="18">
        <v>0</v>
      </c>
      <c r="AY169" s="18"/>
      <c r="AZ169" s="18"/>
      <c r="BA169" s="18">
        <v>0</v>
      </c>
    </row>
    <row r="170" spans="24:53" x14ac:dyDescent="0.3">
      <c r="Y170">
        <v>8</v>
      </c>
      <c r="Z170" s="57">
        <v>44319</v>
      </c>
      <c r="AA170" t="s">
        <v>330</v>
      </c>
      <c r="AB170" s="18"/>
      <c r="AC170" s="18"/>
      <c r="AD170" s="18"/>
      <c r="AE170" s="18">
        <v>0</v>
      </c>
      <c r="AF170" s="18"/>
      <c r="AG170" s="18"/>
      <c r="AH170" s="18">
        <v>0</v>
      </c>
      <c r="AT170">
        <v>9</v>
      </c>
      <c r="AU170" s="18"/>
      <c r="AV170" s="18"/>
      <c r="AW170" s="18"/>
      <c r="AX170" s="18">
        <v>0</v>
      </c>
      <c r="AY170" s="18"/>
      <c r="AZ170" s="18"/>
      <c r="BA170" s="18">
        <v>0</v>
      </c>
    </row>
    <row r="171" spans="24:53" x14ac:dyDescent="0.3">
      <c r="Y171">
        <v>12</v>
      </c>
      <c r="Z171" s="57">
        <v>44440</v>
      </c>
      <c r="AA171" t="s">
        <v>370</v>
      </c>
      <c r="AB171" s="18"/>
      <c r="AC171" s="18"/>
      <c r="AD171" s="18"/>
      <c r="AE171" s="18">
        <v>0</v>
      </c>
      <c r="AF171" s="18"/>
      <c r="AG171" s="18"/>
      <c r="AH171" s="18">
        <v>0</v>
      </c>
      <c r="AT171">
        <v>10</v>
      </c>
      <c r="AU171" s="18"/>
      <c r="AV171" s="18"/>
      <c r="AW171" s="18"/>
      <c r="AX171" s="18">
        <v>0</v>
      </c>
      <c r="AY171" s="18"/>
      <c r="AZ171" s="18"/>
      <c r="BA171" s="18">
        <v>0</v>
      </c>
    </row>
    <row r="172" spans="24:53" x14ac:dyDescent="0.3">
      <c r="Y172">
        <v>4</v>
      </c>
      <c r="Z172" s="57">
        <v>44191</v>
      </c>
      <c r="AA172" t="s">
        <v>212</v>
      </c>
      <c r="AB172" s="18"/>
      <c r="AC172" s="18"/>
      <c r="AD172" s="18"/>
      <c r="AE172" s="18">
        <v>0</v>
      </c>
      <c r="AF172" s="18"/>
      <c r="AG172" s="18"/>
      <c r="AH172" s="18">
        <v>0</v>
      </c>
      <c r="AT172">
        <v>11</v>
      </c>
      <c r="AU172" s="18"/>
      <c r="AV172" s="18"/>
      <c r="AW172" s="18"/>
      <c r="AX172" s="18">
        <v>38598</v>
      </c>
      <c r="AY172" s="18"/>
      <c r="AZ172" s="18"/>
      <c r="BA172" s="18">
        <v>38598</v>
      </c>
    </row>
    <row r="173" spans="24:53" x14ac:dyDescent="0.3">
      <c r="X173">
        <v>2022</v>
      </c>
      <c r="Y173">
        <v>1</v>
      </c>
      <c r="Z173" s="57">
        <v>44466</v>
      </c>
      <c r="AA173" t="s">
        <v>378</v>
      </c>
      <c r="AB173" s="18"/>
      <c r="AC173" s="18"/>
      <c r="AD173" s="18"/>
      <c r="AE173" s="18">
        <v>0</v>
      </c>
      <c r="AF173" s="18"/>
      <c r="AG173" s="18"/>
      <c r="AH173" s="18">
        <v>0</v>
      </c>
      <c r="AT173">
        <v>4</v>
      </c>
      <c r="AU173" s="18"/>
      <c r="AV173" s="18"/>
      <c r="AW173" s="18"/>
      <c r="AX173" s="18">
        <v>0</v>
      </c>
      <c r="AY173" s="18"/>
      <c r="AZ173" s="18"/>
      <c r="BA173" s="18">
        <v>0</v>
      </c>
    </row>
    <row r="174" spans="24:53" x14ac:dyDescent="0.3">
      <c r="Z174" s="57">
        <v>44469</v>
      </c>
      <c r="AA174" t="s">
        <v>381</v>
      </c>
      <c r="AB174" s="18"/>
      <c r="AC174" s="18"/>
      <c r="AD174" s="18"/>
      <c r="AE174" s="18">
        <v>0</v>
      </c>
      <c r="AF174" s="18"/>
      <c r="AG174" s="18"/>
      <c r="AH174" s="18">
        <v>0</v>
      </c>
      <c r="AS174">
        <v>2024</v>
      </c>
      <c r="AT174">
        <v>1</v>
      </c>
      <c r="AU174" s="18"/>
      <c r="AV174" s="18"/>
      <c r="AW174" s="18"/>
      <c r="AX174" s="18">
        <v>12167</v>
      </c>
      <c r="AY174" s="18"/>
      <c r="AZ174" s="18"/>
      <c r="BA174" s="18">
        <v>12167</v>
      </c>
    </row>
    <row r="175" spans="24:53" x14ac:dyDescent="0.3">
      <c r="Y175">
        <v>5</v>
      </c>
      <c r="Z175" s="57">
        <v>44575</v>
      </c>
      <c r="AA175" t="s">
        <v>560</v>
      </c>
      <c r="AB175" s="18"/>
      <c r="AC175" s="18"/>
      <c r="AD175" s="18"/>
      <c r="AE175" s="18">
        <v>0</v>
      </c>
      <c r="AF175" s="18"/>
      <c r="AG175" s="18"/>
      <c r="AH175" s="18">
        <v>0</v>
      </c>
      <c r="AT175">
        <v>2</v>
      </c>
      <c r="AU175" s="18"/>
      <c r="AV175" s="18"/>
      <c r="AW175" s="18"/>
      <c r="AX175" s="18">
        <v>11769</v>
      </c>
      <c r="AY175" s="18"/>
      <c r="AZ175" s="18"/>
      <c r="BA175" s="18">
        <v>11769</v>
      </c>
    </row>
    <row r="176" spans="24:53" x14ac:dyDescent="0.3">
      <c r="AA176" t="s">
        <v>562</v>
      </c>
      <c r="AB176" s="18"/>
      <c r="AC176" s="18"/>
      <c r="AD176" s="18"/>
      <c r="AE176" s="18">
        <v>0</v>
      </c>
      <c r="AF176" s="18"/>
      <c r="AG176" s="18"/>
      <c r="AH176" s="18">
        <v>0</v>
      </c>
      <c r="AT176">
        <v>3</v>
      </c>
      <c r="AU176" s="18"/>
      <c r="AV176" s="18"/>
      <c r="AW176" s="18"/>
      <c r="AX176" s="18">
        <v>26999.9</v>
      </c>
      <c r="AY176" s="18"/>
      <c r="AZ176" s="18"/>
      <c r="BA176" s="18">
        <v>26999.9</v>
      </c>
    </row>
    <row r="177" spans="23:53" x14ac:dyDescent="0.3">
      <c r="Z177" s="57">
        <v>44578</v>
      </c>
      <c r="AA177" t="s">
        <v>563</v>
      </c>
      <c r="AB177" s="18"/>
      <c r="AC177" s="18"/>
      <c r="AD177" s="18"/>
      <c r="AE177" s="18">
        <v>0</v>
      </c>
      <c r="AF177" s="18"/>
      <c r="AG177" s="18"/>
      <c r="AH177" s="18">
        <v>0</v>
      </c>
      <c r="AT177">
        <v>4</v>
      </c>
      <c r="AU177" s="18"/>
      <c r="AV177" s="18"/>
      <c r="AW177" s="18"/>
      <c r="AX177" s="18">
        <v>696</v>
      </c>
      <c r="AY177" s="18"/>
      <c r="AZ177" s="18"/>
      <c r="BA177" s="18">
        <v>696</v>
      </c>
    </row>
    <row r="178" spans="23:53" x14ac:dyDescent="0.3">
      <c r="Z178" s="57">
        <v>44587</v>
      </c>
      <c r="AA178" t="s">
        <v>570</v>
      </c>
      <c r="AB178" s="18"/>
      <c r="AC178" s="18"/>
      <c r="AD178" s="18"/>
      <c r="AE178" s="18">
        <v>0</v>
      </c>
      <c r="AF178" s="18"/>
      <c r="AG178" s="18"/>
      <c r="AH178" s="18">
        <v>0</v>
      </c>
      <c r="AR178" s="36" t="s">
        <v>205</v>
      </c>
      <c r="AS178" s="36"/>
      <c r="AT178" s="36"/>
      <c r="AU178" s="37"/>
      <c r="AV178" s="37"/>
      <c r="AW178" s="37"/>
      <c r="AX178" s="37">
        <v>90050.5</v>
      </c>
      <c r="AY178" s="37"/>
      <c r="AZ178" s="37"/>
      <c r="BA178" s="37">
        <v>90050.5</v>
      </c>
    </row>
    <row r="179" spans="23:53" x14ac:dyDescent="0.3">
      <c r="Y179">
        <v>6</v>
      </c>
      <c r="Z179" s="57">
        <v>44607</v>
      </c>
      <c r="AA179" t="s">
        <v>603</v>
      </c>
      <c r="AB179" s="18"/>
      <c r="AC179" s="18"/>
      <c r="AD179" s="18"/>
      <c r="AE179" s="18">
        <v>0</v>
      </c>
      <c r="AF179" s="18"/>
      <c r="AG179" s="18"/>
      <c r="AH179" s="18">
        <v>0</v>
      </c>
      <c r="AR179" t="s">
        <v>174</v>
      </c>
      <c r="AS179">
        <v>2020</v>
      </c>
      <c r="AT179">
        <v>11</v>
      </c>
      <c r="AU179" s="18">
        <v>0</v>
      </c>
      <c r="AV179" s="18"/>
      <c r="AW179" s="18"/>
      <c r="AX179" s="18"/>
      <c r="AY179" s="18"/>
      <c r="AZ179" s="18"/>
      <c r="BA179" s="18">
        <v>0</v>
      </c>
    </row>
    <row r="180" spans="23:53" x14ac:dyDescent="0.3">
      <c r="Y180">
        <v>8</v>
      </c>
      <c r="Z180" s="57">
        <v>44672</v>
      </c>
      <c r="AA180" t="s">
        <v>701</v>
      </c>
      <c r="AB180" s="18"/>
      <c r="AC180" s="18"/>
      <c r="AD180" s="18"/>
      <c r="AE180" s="18">
        <v>0</v>
      </c>
      <c r="AF180" s="18"/>
      <c r="AG180" s="18"/>
      <c r="AH180" s="18">
        <v>0</v>
      </c>
      <c r="AR180" s="36" t="s">
        <v>186</v>
      </c>
      <c r="AS180" s="36"/>
      <c r="AT180" s="36"/>
      <c r="AU180" s="37">
        <v>0</v>
      </c>
      <c r="AV180" s="37"/>
      <c r="AW180" s="37"/>
      <c r="AX180" s="37"/>
      <c r="AY180" s="37"/>
      <c r="AZ180" s="37"/>
      <c r="BA180" s="37">
        <v>0</v>
      </c>
    </row>
    <row r="181" spans="23:53" x14ac:dyDescent="0.3">
      <c r="Y181">
        <v>9</v>
      </c>
      <c r="Z181" s="57">
        <v>44705</v>
      </c>
      <c r="AA181" t="s">
        <v>796</v>
      </c>
      <c r="AB181" s="18"/>
      <c r="AC181" s="18"/>
      <c r="AD181" s="18"/>
      <c r="AE181" s="18">
        <v>0</v>
      </c>
      <c r="AF181" s="18"/>
      <c r="AG181" s="18"/>
      <c r="AH181" s="18">
        <v>0</v>
      </c>
      <c r="AR181" t="s">
        <v>224</v>
      </c>
      <c r="AS181" t="s">
        <v>1764</v>
      </c>
      <c r="AT181" t="s">
        <v>1764</v>
      </c>
      <c r="AU181" s="18"/>
      <c r="AV181" s="18"/>
      <c r="AW181" s="18"/>
      <c r="AX181" s="18"/>
      <c r="AY181" s="18">
        <v>0</v>
      </c>
      <c r="AZ181" s="18"/>
      <c r="BA181" s="18">
        <v>0</v>
      </c>
    </row>
    <row r="182" spans="23:53" x14ac:dyDescent="0.3">
      <c r="Y182">
        <v>12</v>
      </c>
      <c r="Z182" s="57">
        <v>44788</v>
      </c>
      <c r="AA182" t="s">
        <v>903</v>
      </c>
      <c r="AB182" s="18"/>
      <c r="AC182" s="18"/>
      <c r="AD182" s="18"/>
      <c r="AE182" s="18">
        <v>0</v>
      </c>
      <c r="AF182" s="18"/>
      <c r="AG182" s="18"/>
      <c r="AH182" s="18">
        <v>0</v>
      </c>
      <c r="AR182" s="36" t="s">
        <v>225</v>
      </c>
      <c r="AS182" s="36"/>
      <c r="AT182" s="36"/>
      <c r="AU182" s="37"/>
      <c r="AV182" s="37"/>
      <c r="AW182" s="37"/>
      <c r="AX182" s="37"/>
      <c r="AY182" s="37">
        <v>0</v>
      </c>
      <c r="AZ182" s="37"/>
      <c r="BA182" s="37">
        <v>0</v>
      </c>
    </row>
    <row r="183" spans="23:53" x14ac:dyDescent="0.3">
      <c r="Y183">
        <v>4</v>
      </c>
      <c r="Z183" s="57">
        <v>44545</v>
      </c>
      <c r="AA183" t="s">
        <v>509</v>
      </c>
      <c r="AB183" s="18"/>
      <c r="AC183" s="18"/>
      <c r="AD183" s="18"/>
      <c r="AE183" s="18">
        <v>0</v>
      </c>
      <c r="AF183" s="18"/>
      <c r="AG183" s="18"/>
      <c r="AH183" s="18">
        <v>0</v>
      </c>
      <c r="AR183" t="s">
        <v>229</v>
      </c>
      <c r="AS183" t="s">
        <v>1764</v>
      </c>
      <c r="AT183" t="s">
        <v>1764</v>
      </c>
      <c r="AU183" s="18"/>
      <c r="AV183" s="18"/>
      <c r="AW183" s="18"/>
      <c r="AX183" s="18"/>
      <c r="AY183" s="18">
        <v>0</v>
      </c>
      <c r="AZ183" s="18"/>
      <c r="BA183" s="18">
        <v>0</v>
      </c>
    </row>
    <row r="184" spans="23:53" x14ac:dyDescent="0.3">
      <c r="Z184" s="57">
        <v>44546</v>
      </c>
      <c r="AA184" t="s">
        <v>511</v>
      </c>
      <c r="AB184" s="18"/>
      <c r="AC184" s="18"/>
      <c r="AD184" s="18"/>
      <c r="AE184" s="18">
        <v>0</v>
      </c>
      <c r="AF184" s="18"/>
      <c r="AG184" s="18"/>
      <c r="AH184" s="18">
        <v>0</v>
      </c>
      <c r="AR184" s="36" t="s">
        <v>256</v>
      </c>
      <c r="AS184" s="36"/>
      <c r="AT184" s="36"/>
      <c r="AU184" s="37"/>
      <c r="AV184" s="37"/>
      <c r="AW184" s="37"/>
      <c r="AX184" s="37"/>
      <c r="AY184" s="37">
        <v>0</v>
      </c>
      <c r="AZ184" s="37"/>
      <c r="BA184" s="37">
        <v>0</v>
      </c>
    </row>
    <row r="185" spans="23:53" x14ac:dyDescent="0.3">
      <c r="Z185" s="57">
        <v>44551</v>
      </c>
      <c r="AA185" t="s">
        <v>513</v>
      </c>
      <c r="AB185" s="18"/>
      <c r="AC185" s="18"/>
      <c r="AD185" s="18"/>
      <c r="AE185" s="18">
        <v>0</v>
      </c>
      <c r="AF185" s="18"/>
      <c r="AG185" s="18"/>
      <c r="AH185" s="18">
        <v>0</v>
      </c>
      <c r="AR185" t="s">
        <v>263</v>
      </c>
      <c r="AS185">
        <v>2021</v>
      </c>
      <c r="AT185">
        <v>2</v>
      </c>
      <c r="AU185" s="18">
        <v>0</v>
      </c>
      <c r="AV185" s="18"/>
      <c r="AW185" s="18"/>
      <c r="AX185" s="18"/>
      <c r="AY185" s="18"/>
      <c r="AZ185" s="18"/>
      <c r="BA185" s="18">
        <v>0</v>
      </c>
    </row>
    <row r="186" spans="23:53" x14ac:dyDescent="0.3">
      <c r="X186">
        <v>2023</v>
      </c>
      <c r="Y186">
        <v>2</v>
      </c>
      <c r="Z186" s="57">
        <v>44854</v>
      </c>
      <c r="AA186" t="s">
        <v>1009</v>
      </c>
      <c r="AB186" s="18"/>
      <c r="AC186" s="18"/>
      <c r="AD186" s="18"/>
      <c r="AE186" s="18">
        <v>0</v>
      </c>
      <c r="AF186" s="18"/>
      <c r="AG186" s="18"/>
      <c r="AH186" s="18">
        <v>0</v>
      </c>
      <c r="AT186">
        <v>3</v>
      </c>
      <c r="AU186" s="18">
        <v>0</v>
      </c>
      <c r="AV186" s="18"/>
      <c r="AW186" s="18"/>
      <c r="AX186" s="18"/>
      <c r="AY186" s="18"/>
      <c r="AZ186" s="18"/>
      <c r="BA186" s="18">
        <v>0</v>
      </c>
    </row>
    <row r="187" spans="23:53" x14ac:dyDescent="0.3">
      <c r="Y187">
        <v>3</v>
      </c>
      <c r="Z187" s="57">
        <v>44866</v>
      </c>
      <c r="AA187" t="s">
        <v>1047</v>
      </c>
      <c r="AB187" s="18"/>
      <c r="AC187" s="18"/>
      <c r="AD187" s="18"/>
      <c r="AE187" s="18">
        <v>0</v>
      </c>
      <c r="AF187" s="18"/>
      <c r="AG187" s="18"/>
      <c r="AH187" s="18">
        <v>0</v>
      </c>
      <c r="AT187">
        <v>10</v>
      </c>
      <c r="AU187" s="18">
        <v>0</v>
      </c>
      <c r="AV187" s="18"/>
      <c r="AW187" s="18"/>
      <c r="AX187" s="18"/>
      <c r="AY187" s="18"/>
      <c r="AZ187" s="18"/>
      <c r="BA187" s="18">
        <v>0</v>
      </c>
    </row>
    <row r="188" spans="23:53" x14ac:dyDescent="0.3">
      <c r="Y188">
        <v>6</v>
      </c>
      <c r="Z188" s="57">
        <v>44978</v>
      </c>
      <c r="AA188" t="s">
        <v>1274</v>
      </c>
      <c r="AB188" s="18"/>
      <c r="AC188" s="18"/>
      <c r="AD188" s="18"/>
      <c r="AE188" s="18">
        <v>0</v>
      </c>
      <c r="AF188" s="18"/>
      <c r="AG188" s="18"/>
      <c r="AH188" s="18">
        <v>0</v>
      </c>
      <c r="AS188">
        <v>2023</v>
      </c>
      <c r="AT188">
        <v>1</v>
      </c>
      <c r="AU188" s="18">
        <v>0</v>
      </c>
      <c r="AV188" s="18"/>
      <c r="AW188" s="18"/>
      <c r="AX188" s="18"/>
      <c r="AY188" s="18"/>
      <c r="AZ188" s="18"/>
      <c r="BA188" s="18">
        <v>0</v>
      </c>
    </row>
    <row r="189" spans="23:53" x14ac:dyDescent="0.3">
      <c r="W189" s="36" t="s">
        <v>138</v>
      </c>
      <c r="X189" s="36"/>
      <c r="Y189" s="36"/>
      <c r="Z189" s="36"/>
      <c r="AA189" s="36"/>
      <c r="AB189" s="37"/>
      <c r="AC189" s="37"/>
      <c r="AD189" s="37"/>
      <c r="AE189" s="37">
        <v>0</v>
      </c>
      <c r="AF189" s="37"/>
      <c r="AG189" s="37"/>
      <c r="AH189" s="37">
        <v>0</v>
      </c>
      <c r="AT189">
        <v>3</v>
      </c>
      <c r="AU189" s="18">
        <v>0</v>
      </c>
      <c r="AV189" s="18"/>
      <c r="AW189" s="18"/>
      <c r="AX189" s="18"/>
      <c r="AY189" s="18"/>
      <c r="AZ189" s="18"/>
      <c r="BA189" s="18">
        <v>0</v>
      </c>
    </row>
    <row r="190" spans="23:53" x14ac:dyDescent="0.3">
      <c r="W190" t="s">
        <v>14</v>
      </c>
      <c r="X190">
        <v>2020</v>
      </c>
      <c r="Y190">
        <v>6</v>
      </c>
      <c r="Z190" s="57">
        <v>43993</v>
      </c>
      <c r="AA190" t="s">
        <v>11</v>
      </c>
      <c r="AB190" s="18">
        <v>0</v>
      </c>
      <c r="AC190" s="18"/>
      <c r="AD190" s="18"/>
      <c r="AE190" s="18"/>
      <c r="AF190" s="18"/>
      <c r="AG190" s="18"/>
      <c r="AH190" s="18">
        <v>0</v>
      </c>
      <c r="AT190">
        <v>5</v>
      </c>
      <c r="AU190" s="18">
        <v>0</v>
      </c>
      <c r="AV190" s="18"/>
      <c r="AW190" s="18"/>
      <c r="AX190" s="18"/>
      <c r="AY190" s="18"/>
      <c r="AZ190" s="18"/>
      <c r="BA190" s="18">
        <v>0</v>
      </c>
    </row>
    <row r="191" spans="23:53" x14ac:dyDescent="0.3">
      <c r="X191">
        <v>2021</v>
      </c>
      <c r="Y191">
        <v>9</v>
      </c>
      <c r="Z191" s="57">
        <v>44440</v>
      </c>
      <c r="AA191" t="s">
        <v>371</v>
      </c>
      <c r="AB191" s="18">
        <v>0</v>
      </c>
      <c r="AC191" s="18"/>
      <c r="AD191" s="18"/>
      <c r="AE191" s="18"/>
      <c r="AF191" s="18"/>
      <c r="AG191" s="18"/>
      <c r="AH191" s="18">
        <v>0</v>
      </c>
      <c r="AT191">
        <v>6</v>
      </c>
      <c r="AU191" s="18">
        <v>0</v>
      </c>
      <c r="AV191" s="18"/>
      <c r="AW191" s="18"/>
      <c r="AX191" s="18"/>
      <c r="AY191" s="18"/>
      <c r="AZ191" s="18"/>
      <c r="BA191" s="18">
        <v>0</v>
      </c>
    </row>
    <row r="192" spans="23:53" x14ac:dyDescent="0.3">
      <c r="W192" s="36" t="s">
        <v>139</v>
      </c>
      <c r="X192" s="36"/>
      <c r="Y192" s="36"/>
      <c r="Z192" s="36"/>
      <c r="AA192" s="36"/>
      <c r="AB192" s="37">
        <v>0</v>
      </c>
      <c r="AC192" s="37"/>
      <c r="AD192" s="37"/>
      <c r="AE192" s="37"/>
      <c r="AF192" s="37"/>
      <c r="AG192" s="37"/>
      <c r="AH192" s="37">
        <v>0</v>
      </c>
      <c r="AT192">
        <v>7</v>
      </c>
      <c r="AU192" s="18">
        <v>0</v>
      </c>
      <c r="AV192" s="18"/>
      <c r="AW192" s="18"/>
      <c r="AX192" s="18"/>
      <c r="AY192" s="18"/>
      <c r="AZ192" s="18"/>
      <c r="BA192" s="18">
        <v>0</v>
      </c>
    </row>
    <row r="193" spans="23:53" x14ac:dyDescent="0.3">
      <c r="W193" t="s">
        <v>52</v>
      </c>
      <c r="X193">
        <v>2020</v>
      </c>
      <c r="Y193">
        <v>8</v>
      </c>
      <c r="Z193" s="57">
        <v>44065</v>
      </c>
      <c r="AA193" t="s">
        <v>50</v>
      </c>
      <c r="AB193" s="18">
        <v>0</v>
      </c>
      <c r="AC193" s="18"/>
      <c r="AD193" s="18"/>
      <c r="AE193" s="18"/>
      <c r="AF193" s="18"/>
      <c r="AG193" s="18"/>
      <c r="AH193" s="18">
        <v>0</v>
      </c>
      <c r="AT193">
        <v>8</v>
      </c>
      <c r="AU193" s="18">
        <v>0</v>
      </c>
      <c r="AV193" s="18"/>
      <c r="AW193" s="18"/>
      <c r="AX193" s="18"/>
      <c r="AY193" s="18"/>
      <c r="AZ193" s="18"/>
      <c r="BA193" s="18">
        <v>0</v>
      </c>
    </row>
    <row r="194" spans="23:53" x14ac:dyDescent="0.3">
      <c r="Y194">
        <v>9</v>
      </c>
      <c r="Z194" s="57">
        <v>44075</v>
      </c>
      <c r="AA194" t="s">
        <v>66</v>
      </c>
      <c r="AB194" s="18">
        <v>0</v>
      </c>
      <c r="AC194" s="18"/>
      <c r="AD194" s="18"/>
      <c r="AE194" s="18"/>
      <c r="AF194" s="18"/>
      <c r="AG194" s="18"/>
      <c r="AH194" s="18">
        <v>0</v>
      </c>
      <c r="AT194">
        <v>9</v>
      </c>
      <c r="AU194" s="18">
        <v>0</v>
      </c>
      <c r="AV194" s="18"/>
      <c r="AW194" s="18"/>
      <c r="AX194" s="18"/>
      <c r="AY194" s="18"/>
      <c r="AZ194" s="18"/>
      <c r="BA194" s="18">
        <v>0</v>
      </c>
    </row>
    <row r="195" spans="23:53" x14ac:dyDescent="0.3">
      <c r="Y195">
        <v>11</v>
      </c>
      <c r="Z195" s="57">
        <v>44156</v>
      </c>
      <c r="AA195" t="s">
        <v>171</v>
      </c>
      <c r="AB195" s="18">
        <v>0</v>
      </c>
      <c r="AC195" s="18"/>
      <c r="AD195" s="18"/>
      <c r="AE195" s="18"/>
      <c r="AF195" s="18"/>
      <c r="AG195" s="18"/>
      <c r="AH195" s="18">
        <v>0</v>
      </c>
      <c r="AT195">
        <v>10</v>
      </c>
      <c r="AU195" s="18">
        <v>0</v>
      </c>
      <c r="AV195" s="18"/>
      <c r="AW195" s="18"/>
      <c r="AX195" s="18"/>
      <c r="AY195" s="18"/>
      <c r="AZ195" s="18"/>
      <c r="BA195" s="18">
        <v>0</v>
      </c>
    </row>
    <row r="196" spans="23:53" x14ac:dyDescent="0.3">
      <c r="Z196" s="57">
        <v>44165</v>
      </c>
      <c r="AA196" t="s">
        <v>184</v>
      </c>
      <c r="AB196" s="18">
        <v>0</v>
      </c>
      <c r="AC196" s="18"/>
      <c r="AD196" s="18"/>
      <c r="AE196" s="18"/>
      <c r="AF196" s="18"/>
      <c r="AG196" s="18"/>
      <c r="AH196" s="18">
        <v>0</v>
      </c>
      <c r="AT196">
        <v>11</v>
      </c>
      <c r="AU196" s="18">
        <v>0</v>
      </c>
      <c r="AV196" s="18"/>
      <c r="AW196" s="18"/>
      <c r="AX196" s="18"/>
      <c r="AY196" s="18"/>
      <c r="AZ196" s="18"/>
      <c r="BA196" s="18">
        <v>0</v>
      </c>
    </row>
    <row r="197" spans="23:53" x14ac:dyDescent="0.3">
      <c r="X197">
        <v>2021</v>
      </c>
      <c r="Y197">
        <v>2</v>
      </c>
      <c r="Z197" s="57">
        <v>44250</v>
      </c>
      <c r="AA197" t="s">
        <v>276</v>
      </c>
      <c r="AB197" s="18">
        <v>0</v>
      </c>
      <c r="AC197" s="18"/>
      <c r="AD197" s="18"/>
      <c r="AE197" s="18"/>
      <c r="AF197" s="18"/>
      <c r="AG197" s="18"/>
      <c r="AH197" s="18">
        <v>0</v>
      </c>
      <c r="AT197">
        <v>12</v>
      </c>
      <c r="AU197" s="18">
        <v>11435.8</v>
      </c>
      <c r="AV197" s="18"/>
      <c r="AW197" s="18"/>
      <c r="AX197" s="18"/>
      <c r="AY197" s="18"/>
      <c r="AZ197" s="18"/>
      <c r="BA197" s="18">
        <v>11435.8</v>
      </c>
    </row>
    <row r="198" spans="23:53" x14ac:dyDescent="0.3">
      <c r="Y198">
        <v>10</v>
      </c>
      <c r="Z198" s="57">
        <v>44492</v>
      </c>
      <c r="AA198" t="s">
        <v>442</v>
      </c>
      <c r="AB198" s="18">
        <v>0</v>
      </c>
      <c r="AC198" s="18"/>
      <c r="AD198" s="18"/>
      <c r="AE198" s="18"/>
      <c r="AF198" s="18"/>
      <c r="AG198" s="18"/>
      <c r="AH198" s="18">
        <v>0</v>
      </c>
      <c r="AT198">
        <v>4</v>
      </c>
      <c r="AU198" s="18">
        <v>0</v>
      </c>
      <c r="AV198" s="18"/>
      <c r="AW198" s="18"/>
      <c r="AX198" s="18"/>
      <c r="AY198" s="18"/>
      <c r="AZ198" s="18"/>
      <c r="BA198" s="18">
        <v>0</v>
      </c>
    </row>
    <row r="199" spans="23:53" x14ac:dyDescent="0.3">
      <c r="Z199" s="57">
        <v>44497</v>
      </c>
      <c r="AA199" t="s">
        <v>445</v>
      </c>
      <c r="AB199" s="18">
        <v>0</v>
      </c>
      <c r="AC199" s="18"/>
      <c r="AD199" s="18"/>
      <c r="AE199" s="18"/>
      <c r="AF199" s="18"/>
      <c r="AG199" s="18"/>
      <c r="AH199" s="18">
        <v>0</v>
      </c>
      <c r="AR199" s="36" t="s">
        <v>264</v>
      </c>
      <c r="AS199" s="36"/>
      <c r="AT199" s="36"/>
      <c r="AU199" s="37">
        <v>11435.8</v>
      </c>
      <c r="AV199" s="37"/>
      <c r="AW199" s="37"/>
      <c r="AX199" s="37"/>
      <c r="AY199" s="37"/>
      <c r="AZ199" s="37"/>
      <c r="BA199" s="37">
        <v>11435.8</v>
      </c>
    </row>
    <row r="200" spans="23:53" x14ac:dyDescent="0.3">
      <c r="Y200">
        <v>11</v>
      </c>
      <c r="Z200" s="57">
        <v>44529</v>
      </c>
      <c r="AA200" t="s">
        <v>485</v>
      </c>
      <c r="AB200" s="18">
        <v>0</v>
      </c>
      <c r="AC200" s="18"/>
      <c r="AD200" s="18"/>
      <c r="AE200" s="18"/>
      <c r="AF200" s="18"/>
      <c r="AG200" s="18"/>
      <c r="AH200" s="18">
        <v>0</v>
      </c>
      <c r="AR200" t="s">
        <v>281</v>
      </c>
      <c r="AS200">
        <v>2021</v>
      </c>
      <c r="AT200">
        <v>2</v>
      </c>
      <c r="AU200" s="18">
        <v>0</v>
      </c>
      <c r="AV200" s="18"/>
      <c r="AW200" s="18"/>
      <c r="AX200" s="18"/>
      <c r="AY200" s="18"/>
      <c r="AZ200" s="18"/>
      <c r="BA200" s="18">
        <v>0</v>
      </c>
    </row>
    <row r="201" spans="23:53" x14ac:dyDescent="0.3">
      <c r="W201" s="36" t="s">
        <v>140</v>
      </c>
      <c r="X201" s="36"/>
      <c r="Y201" s="36"/>
      <c r="Z201" s="36"/>
      <c r="AA201" s="36"/>
      <c r="AB201" s="37">
        <v>0</v>
      </c>
      <c r="AC201" s="37"/>
      <c r="AD201" s="37"/>
      <c r="AE201" s="37"/>
      <c r="AF201" s="37"/>
      <c r="AG201" s="37"/>
      <c r="AH201" s="37">
        <v>0</v>
      </c>
      <c r="AT201">
        <v>4</v>
      </c>
      <c r="AU201" s="18">
        <v>0</v>
      </c>
      <c r="AV201" s="18"/>
      <c r="AW201" s="18"/>
      <c r="AX201" s="18"/>
      <c r="AY201" s="18"/>
      <c r="AZ201" s="18"/>
      <c r="BA201" s="18">
        <v>0</v>
      </c>
    </row>
    <row r="202" spans="23:53" x14ac:dyDescent="0.3">
      <c r="W202" t="s">
        <v>62</v>
      </c>
      <c r="X202">
        <v>2020</v>
      </c>
      <c r="Y202">
        <v>12</v>
      </c>
      <c r="Z202" s="57">
        <v>44070</v>
      </c>
      <c r="AA202" t="s">
        <v>60</v>
      </c>
      <c r="AB202" s="18"/>
      <c r="AC202" s="18"/>
      <c r="AD202" s="18"/>
      <c r="AE202" s="18">
        <v>0</v>
      </c>
      <c r="AF202" s="18"/>
      <c r="AG202" s="18"/>
      <c r="AH202" s="18">
        <v>0</v>
      </c>
      <c r="AR202" s="36" t="s">
        <v>282</v>
      </c>
      <c r="AS202" s="36"/>
      <c r="AT202" s="36"/>
      <c r="AU202" s="37">
        <v>0</v>
      </c>
      <c r="AV202" s="37"/>
      <c r="AW202" s="37"/>
      <c r="AX202" s="37"/>
      <c r="AY202" s="37"/>
      <c r="AZ202" s="37"/>
      <c r="BA202" s="37">
        <v>0</v>
      </c>
    </row>
    <row r="203" spans="23:53" x14ac:dyDescent="0.3">
      <c r="X203">
        <v>2021</v>
      </c>
      <c r="Y203">
        <v>1</v>
      </c>
      <c r="Z203" s="57">
        <v>44097</v>
      </c>
      <c r="AA203" t="s">
        <v>102</v>
      </c>
      <c r="AB203" s="18"/>
      <c r="AC203" s="18"/>
      <c r="AD203" s="18"/>
      <c r="AE203" s="18">
        <v>0</v>
      </c>
      <c r="AF203" s="18"/>
      <c r="AG203" s="18"/>
      <c r="AH203" s="18">
        <v>0</v>
      </c>
      <c r="AR203" t="s">
        <v>290</v>
      </c>
      <c r="AS203">
        <v>2021</v>
      </c>
      <c r="AT203">
        <v>3</v>
      </c>
      <c r="AU203" s="18">
        <v>0</v>
      </c>
      <c r="AV203" s="18"/>
      <c r="AW203" s="18"/>
      <c r="AX203" s="18"/>
      <c r="AY203" s="18"/>
      <c r="AZ203" s="18"/>
      <c r="BA203" s="18">
        <v>0</v>
      </c>
    </row>
    <row r="204" spans="23:53" x14ac:dyDescent="0.3">
      <c r="Y204">
        <v>2</v>
      </c>
      <c r="Z204" s="57">
        <v>44125</v>
      </c>
      <c r="AA204" t="s">
        <v>127</v>
      </c>
      <c r="AB204" s="18"/>
      <c r="AC204" s="18"/>
      <c r="AD204" s="18"/>
      <c r="AE204" s="18">
        <v>0</v>
      </c>
      <c r="AF204" s="18"/>
      <c r="AG204" s="18"/>
      <c r="AH204" s="18">
        <v>0</v>
      </c>
      <c r="AR204" s="36" t="s">
        <v>292</v>
      </c>
      <c r="AS204" s="36"/>
      <c r="AT204" s="36"/>
      <c r="AU204" s="37">
        <v>0</v>
      </c>
      <c r="AV204" s="37"/>
      <c r="AW204" s="37"/>
      <c r="AX204" s="37"/>
      <c r="AY204" s="37"/>
      <c r="AZ204" s="37"/>
      <c r="BA204" s="37">
        <v>0</v>
      </c>
    </row>
    <row r="205" spans="23:53" x14ac:dyDescent="0.3">
      <c r="Y205">
        <v>3</v>
      </c>
      <c r="Z205" s="57">
        <v>44155</v>
      </c>
      <c r="AA205" t="s">
        <v>168</v>
      </c>
      <c r="AB205" s="18"/>
      <c r="AC205" s="18"/>
      <c r="AD205" s="18"/>
      <c r="AE205" s="18">
        <v>0</v>
      </c>
      <c r="AF205" s="18"/>
      <c r="AG205" s="18"/>
      <c r="AH205" s="18">
        <v>0</v>
      </c>
      <c r="AR205" t="s">
        <v>376</v>
      </c>
      <c r="AS205">
        <v>2021</v>
      </c>
      <c r="AT205">
        <v>9</v>
      </c>
      <c r="AU205" s="18">
        <v>0</v>
      </c>
      <c r="AV205" s="18"/>
      <c r="AW205" s="18"/>
      <c r="AX205" s="18"/>
      <c r="AY205" s="18"/>
      <c r="AZ205" s="18"/>
      <c r="BA205" s="18">
        <v>0</v>
      </c>
    </row>
    <row r="206" spans="23:53" x14ac:dyDescent="0.3">
      <c r="Z206" s="57">
        <v>44165</v>
      </c>
      <c r="AA206" t="s">
        <v>185</v>
      </c>
      <c r="AB206" s="18"/>
      <c r="AC206" s="18"/>
      <c r="AD206" s="18"/>
      <c r="AE206" s="18">
        <v>0</v>
      </c>
      <c r="AF206" s="18"/>
      <c r="AG206" s="18"/>
      <c r="AH206" s="18">
        <v>0</v>
      </c>
      <c r="AR206" s="36" t="s">
        <v>383</v>
      </c>
      <c r="AS206" s="36"/>
      <c r="AT206" s="36"/>
      <c r="AU206" s="37">
        <v>0</v>
      </c>
      <c r="AV206" s="37"/>
      <c r="AW206" s="37"/>
      <c r="AX206" s="37"/>
      <c r="AY206" s="37"/>
      <c r="AZ206" s="37"/>
      <c r="BA206" s="37">
        <v>0</v>
      </c>
    </row>
    <row r="207" spans="23:53" x14ac:dyDescent="0.3">
      <c r="AA207" t="s">
        <v>201</v>
      </c>
      <c r="AB207" s="18"/>
      <c r="AC207" s="18"/>
      <c r="AD207" s="18"/>
      <c r="AE207" s="18">
        <v>0</v>
      </c>
      <c r="AF207" s="18"/>
      <c r="AG207" s="18"/>
      <c r="AH207" s="18">
        <v>0</v>
      </c>
      <c r="AR207" t="s">
        <v>401</v>
      </c>
      <c r="AS207">
        <v>2021</v>
      </c>
      <c r="AT207">
        <v>10</v>
      </c>
      <c r="AU207" s="18">
        <v>0</v>
      </c>
      <c r="AV207" s="18"/>
      <c r="AW207" s="18"/>
      <c r="AX207" s="18"/>
      <c r="AY207" s="18"/>
      <c r="AZ207" s="18"/>
      <c r="BA207" s="18">
        <v>0</v>
      </c>
    </row>
    <row r="208" spans="23:53" x14ac:dyDescent="0.3">
      <c r="Y208">
        <v>5</v>
      </c>
      <c r="Z208" s="57">
        <v>44207</v>
      </c>
      <c r="AA208" t="s">
        <v>240</v>
      </c>
      <c r="AB208" s="18"/>
      <c r="AC208" s="18"/>
      <c r="AD208" s="18"/>
      <c r="AE208" s="18">
        <v>0</v>
      </c>
      <c r="AF208" s="18"/>
      <c r="AG208" s="18"/>
      <c r="AH208" s="18">
        <v>0</v>
      </c>
      <c r="AT208">
        <v>11</v>
      </c>
      <c r="AU208" s="18">
        <v>0</v>
      </c>
      <c r="AV208" s="18"/>
      <c r="AW208" s="18"/>
      <c r="AX208" s="18"/>
      <c r="AY208" s="18"/>
      <c r="AZ208" s="18"/>
      <c r="BA208" s="18">
        <v>0</v>
      </c>
    </row>
    <row r="209" spans="24:53" x14ac:dyDescent="0.3">
      <c r="Z209" s="57">
        <v>44225</v>
      </c>
      <c r="AA209" t="s">
        <v>254</v>
      </c>
      <c r="AB209" s="18"/>
      <c r="AC209" s="18"/>
      <c r="AD209" s="18"/>
      <c r="AE209" s="18">
        <v>0</v>
      </c>
      <c r="AF209" s="18"/>
      <c r="AG209" s="18"/>
      <c r="AH209" s="18">
        <v>0</v>
      </c>
      <c r="AT209">
        <v>12</v>
      </c>
      <c r="AU209" s="18">
        <v>0</v>
      </c>
      <c r="AV209" s="18"/>
      <c r="AW209" s="18"/>
      <c r="AX209" s="18"/>
      <c r="AY209" s="18"/>
      <c r="AZ209" s="18"/>
      <c r="BA209" s="18">
        <v>0</v>
      </c>
    </row>
    <row r="210" spans="24:53" x14ac:dyDescent="0.3">
      <c r="Y210">
        <v>7</v>
      </c>
      <c r="Z210" s="57">
        <v>44279</v>
      </c>
      <c r="AA210" t="s">
        <v>321</v>
      </c>
      <c r="AB210" s="18"/>
      <c r="AC210" s="18"/>
      <c r="AD210" s="18"/>
      <c r="AE210" s="18">
        <v>0</v>
      </c>
      <c r="AF210" s="18"/>
      <c r="AG210" s="18"/>
      <c r="AH210" s="18">
        <v>0</v>
      </c>
      <c r="AS210">
        <v>2022</v>
      </c>
      <c r="AT210">
        <v>1</v>
      </c>
      <c r="AU210" s="18">
        <v>0</v>
      </c>
      <c r="AV210" s="18"/>
      <c r="AW210" s="18"/>
      <c r="AX210" s="18"/>
      <c r="AY210" s="18"/>
      <c r="AZ210" s="18"/>
      <c r="BA210" s="18">
        <v>0</v>
      </c>
    </row>
    <row r="211" spans="24:53" x14ac:dyDescent="0.3">
      <c r="Y211">
        <v>8</v>
      </c>
      <c r="Z211" s="57">
        <v>44294</v>
      </c>
      <c r="AA211" t="s">
        <v>327</v>
      </c>
      <c r="AB211" s="18"/>
      <c r="AC211" s="18"/>
      <c r="AD211" s="18"/>
      <c r="AE211" s="18">
        <v>0</v>
      </c>
      <c r="AF211" s="18"/>
      <c r="AG211" s="18"/>
      <c r="AH211" s="18">
        <v>0</v>
      </c>
      <c r="AT211">
        <v>2</v>
      </c>
      <c r="AU211" s="18">
        <v>0</v>
      </c>
      <c r="AV211" s="18"/>
      <c r="AW211" s="18"/>
      <c r="AX211" s="18"/>
      <c r="AY211" s="18"/>
      <c r="AZ211" s="18"/>
      <c r="BA211" s="18">
        <v>0</v>
      </c>
    </row>
    <row r="212" spans="24:53" x14ac:dyDescent="0.3">
      <c r="Z212" s="57">
        <v>44315</v>
      </c>
      <c r="AA212" t="s">
        <v>332</v>
      </c>
      <c r="AB212" s="18"/>
      <c r="AC212" s="18"/>
      <c r="AD212" s="18"/>
      <c r="AE212" s="18">
        <v>-179.39999999999998</v>
      </c>
      <c r="AF212" s="18"/>
      <c r="AG212" s="18"/>
      <c r="AH212" s="18">
        <v>-179.39999999999998</v>
      </c>
      <c r="AT212">
        <v>3</v>
      </c>
      <c r="AU212" s="18">
        <v>0</v>
      </c>
      <c r="AV212" s="18"/>
      <c r="AW212" s="18"/>
      <c r="AX212" s="18"/>
      <c r="AY212" s="18"/>
      <c r="AZ212" s="18"/>
      <c r="BA212" s="18">
        <v>0</v>
      </c>
    </row>
    <row r="213" spans="24:53" x14ac:dyDescent="0.3">
      <c r="Y213">
        <v>9</v>
      </c>
      <c r="Z213" s="57">
        <v>44348</v>
      </c>
      <c r="AA213" t="s">
        <v>356</v>
      </c>
      <c r="AB213" s="18"/>
      <c r="AC213" s="18"/>
      <c r="AD213" s="18"/>
      <c r="AE213" s="18">
        <v>0</v>
      </c>
      <c r="AF213" s="18"/>
      <c r="AG213" s="18"/>
      <c r="AH213" s="18">
        <v>0</v>
      </c>
      <c r="AT213">
        <v>5</v>
      </c>
      <c r="AU213" s="18">
        <v>0</v>
      </c>
      <c r="AV213" s="18"/>
      <c r="AW213" s="18"/>
      <c r="AX213" s="18"/>
      <c r="AY213" s="18"/>
      <c r="AZ213" s="18"/>
      <c r="BA213" s="18">
        <v>0</v>
      </c>
    </row>
    <row r="214" spans="24:53" x14ac:dyDescent="0.3">
      <c r="AA214" t="s">
        <v>359</v>
      </c>
      <c r="AB214" s="18"/>
      <c r="AC214" s="18"/>
      <c r="AD214" s="18"/>
      <c r="AE214" s="18">
        <v>0</v>
      </c>
      <c r="AF214" s="18"/>
      <c r="AG214" s="18"/>
      <c r="AH214" s="18">
        <v>0</v>
      </c>
      <c r="AT214">
        <v>6</v>
      </c>
      <c r="AU214" s="18">
        <v>0</v>
      </c>
      <c r="AV214" s="18"/>
      <c r="AW214" s="18"/>
      <c r="AX214" s="18"/>
      <c r="AY214" s="18"/>
      <c r="AZ214" s="18"/>
      <c r="BA214" s="18">
        <v>0</v>
      </c>
    </row>
    <row r="215" spans="24:53" x14ac:dyDescent="0.3">
      <c r="Y215">
        <v>4</v>
      </c>
      <c r="Z215" s="57">
        <v>44196</v>
      </c>
      <c r="AA215" t="s">
        <v>218</v>
      </c>
      <c r="AB215" s="18"/>
      <c r="AC215" s="18"/>
      <c r="AD215" s="18"/>
      <c r="AE215" s="18">
        <v>0</v>
      </c>
      <c r="AF215" s="18"/>
      <c r="AG215" s="18"/>
      <c r="AH215" s="18">
        <v>0</v>
      </c>
      <c r="AT215">
        <v>7</v>
      </c>
      <c r="AU215" s="18">
        <v>0</v>
      </c>
      <c r="AV215" s="18"/>
      <c r="AW215" s="18"/>
      <c r="AX215" s="18"/>
      <c r="AY215" s="18"/>
      <c r="AZ215" s="18"/>
      <c r="BA215" s="18">
        <v>0</v>
      </c>
    </row>
    <row r="216" spans="24:53" x14ac:dyDescent="0.3">
      <c r="X216">
        <v>2022</v>
      </c>
      <c r="Y216">
        <v>1</v>
      </c>
      <c r="Z216" s="57">
        <v>44453</v>
      </c>
      <c r="AA216" t="s">
        <v>373</v>
      </c>
      <c r="AB216" s="18"/>
      <c r="AC216" s="18"/>
      <c r="AD216" s="18"/>
      <c r="AE216" s="18">
        <v>0</v>
      </c>
      <c r="AF216" s="18"/>
      <c r="AG216" s="18"/>
      <c r="AH216" s="18">
        <v>0</v>
      </c>
      <c r="AT216">
        <v>8</v>
      </c>
      <c r="AU216" s="18">
        <v>0</v>
      </c>
      <c r="AV216" s="18"/>
      <c r="AW216" s="18"/>
      <c r="AX216" s="18"/>
      <c r="AY216" s="18"/>
      <c r="AZ216" s="18"/>
      <c r="BA216" s="18">
        <v>0</v>
      </c>
    </row>
    <row r="217" spans="24:53" x14ac:dyDescent="0.3">
      <c r="Y217">
        <v>2</v>
      </c>
      <c r="Z217" s="57">
        <v>44474</v>
      </c>
      <c r="AA217" t="s">
        <v>403</v>
      </c>
      <c r="AB217" s="18"/>
      <c r="AC217" s="18"/>
      <c r="AD217" s="18"/>
      <c r="AE217" s="18">
        <v>0</v>
      </c>
      <c r="AF217" s="18"/>
      <c r="AG217" s="18"/>
      <c r="AH217" s="18">
        <v>0</v>
      </c>
      <c r="AT217">
        <v>9</v>
      </c>
      <c r="AU217" s="18">
        <v>0</v>
      </c>
      <c r="AV217" s="18"/>
      <c r="AW217" s="18"/>
      <c r="AX217" s="18"/>
      <c r="AY217" s="18"/>
      <c r="AZ217" s="18"/>
      <c r="BA217" s="18">
        <v>0</v>
      </c>
    </row>
    <row r="218" spans="24:53" x14ac:dyDescent="0.3">
      <c r="Z218" s="57">
        <v>44497</v>
      </c>
      <c r="AA218" t="s">
        <v>447</v>
      </c>
      <c r="AB218" s="18"/>
      <c r="AC218" s="18"/>
      <c r="AD218" s="18"/>
      <c r="AE218" s="18">
        <v>0</v>
      </c>
      <c r="AF218" s="18"/>
      <c r="AG218" s="18"/>
      <c r="AH218" s="18">
        <v>0</v>
      </c>
      <c r="AT218">
        <v>10</v>
      </c>
      <c r="AU218" s="18">
        <v>0</v>
      </c>
      <c r="AV218" s="18"/>
      <c r="AW218" s="18"/>
      <c r="AX218" s="18"/>
      <c r="AY218" s="18"/>
      <c r="AZ218" s="18"/>
      <c r="BA218" s="18">
        <v>0</v>
      </c>
    </row>
    <row r="219" spans="24:53" x14ac:dyDescent="0.3">
      <c r="Z219" s="57">
        <v>44499</v>
      </c>
      <c r="AA219" t="s">
        <v>450</v>
      </c>
      <c r="AB219" s="18"/>
      <c r="AC219" s="18"/>
      <c r="AD219" s="18"/>
      <c r="AE219" s="18">
        <v>0</v>
      </c>
      <c r="AF219" s="18"/>
      <c r="AG219" s="18"/>
      <c r="AH219" s="18">
        <v>0</v>
      </c>
      <c r="AT219">
        <v>11</v>
      </c>
      <c r="AU219" s="18">
        <v>0</v>
      </c>
      <c r="AV219" s="18"/>
      <c r="AW219" s="18"/>
      <c r="AX219" s="18"/>
      <c r="AY219" s="18"/>
      <c r="AZ219" s="18"/>
      <c r="BA219" s="18">
        <v>0</v>
      </c>
    </row>
    <row r="220" spans="24:53" x14ac:dyDescent="0.3">
      <c r="Y220">
        <v>3</v>
      </c>
      <c r="Z220" s="57">
        <v>44503</v>
      </c>
      <c r="AA220" t="s">
        <v>461</v>
      </c>
      <c r="AB220" s="18"/>
      <c r="AC220" s="18"/>
      <c r="AD220" s="18"/>
      <c r="AE220" s="18">
        <v>0</v>
      </c>
      <c r="AF220" s="18"/>
      <c r="AG220" s="18"/>
      <c r="AH220" s="18">
        <v>0</v>
      </c>
      <c r="AT220">
        <v>12</v>
      </c>
      <c r="AU220" s="18">
        <v>0</v>
      </c>
      <c r="AV220" s="18"/>
      <c r="AW220" s="18"/>
      <c r="AX220" s="18"/>
      <c r="AY220" s="18"/>
      <c r="AZ220" s="18"/>
      <c r="BA220" s="18">
        <v>0</v>
      </c>
    </row>
    <row r="221" spans="24:53" x14ac:dyDescent="0.3">
      <c r="Z221" s="57">
        <v>44508</v>
      </c>
      <c r="AA221" t="s">
        <v>466</v>
      </c>
      <c r="AB221" s="18"/>
      <c r="AC221" s="18"/>
      <c r="AD221" s="18"/>
      <c r="AE221" s="18">
        <v>0</v>
      </c>
      <c r="AF221" s="18"/>
      <c r="AG221" s="18"/>
      <c r="AH221" s="18">
        <v>0</v>
      </c>
      <c r="AT221">
        <v>4</v>
      </c>
      <c r="AU221" s="18">
        <v>0</v>
      </c>
      <c r="AV221" s="18"/>
      <c r="AW221" s="18"/>
      <c r="AX221" s="18"/>
      <c r="AY221" s="18"/>
      <c r="AZ221" s="18"/>
      <c r="BA221" s="18">
        <v>0</v>
      </c>
    </row>
    <row r="222" spans="24:53" x14ac:dyDescent="0.3">
      <c r="Y222">
        <v>5</v>
      </c>
      <c r="Z222" s="57">
        <v>44572</v>
      </c>
      <c r="AA222" t="s">
        <v>553</v>
      </c>
      <c r="AB222" s="18"/>
      <c r="AC222" s="18"/>
      <c r="AD222" s="18"/>
      <c r="AE222" s="18">
        <v>0</v>
      </c>
      <c r="AF222" s="18"/>
      <c r="AG222" s="18"/>
      <c r="AH222" s="18">
        <v>0</v>
      </c>
      <c r="AS222">
        <v>2023</v>
      </c>
      <c r="AT222">
        <v>1</v>
      </c>
      <c r="AU222" s="18">
        <v>0</v>
      </c>
      <c r="AV222" s="18"/>
      <c r="AW222" s="18"/>
      <c r="AX222" s="18"/>
      <c r="AY222" s="18"/>
      <c r="AZ222" s="18"/>
      <c r="BA222" s="18">
        <v>0</v>
      </c>
    </row>
    <row r="223" spans="24:53" x14ac:dyDescent="0.3">
      <c r="Z223" s="57">
        <v>44585</v>
      </c>
      <c r="AA223" t="s">
        <v>568</v>
      </c>
      <c r="AB223" s="18"/>
      <c r="AC223" s="18"/>
      <c r="AD223" s="18"/>
      <c r="AE223" s="18">
        <v>0</v>
      </c>
      <c r="AF223" s="18"/>
      <c r="AG223" s="18"/>
      <c r="AH223" s="18">
        <v>0</v>
      </c>
      <c r="AT223">
        <v>2</v>
      </c>
      <c r="AU223" s="18">
        <v>0</v>
      </c>
      <c r="AV223" s="18"/>
      <c r="AW223" s="18"/>
      <c r="AX223" s="18"/>
      <c r="AY223" s="18"/>
      <c r="AZ223" s="18"/>
      <c r="BA223" s="18">
        <v>0</v>
      </c>
    </row>
    <row r="224" spans="24:53" x14ac:dyDescent="0.3">
      <c r="Y224">
        <v>6</v>
      </c>
      <c r="Z224" s="57">
        <v>44609</v>
      </c>
      <c r="AA224" t="s">
        <v>604</v>
      </c>
      <c r="AB224" s="18"/>
      <c r="AC224" s="18"/>
      <c r="AD224" s="18"/>
      <c r="AE224" s="18">
        <v>0</v>
      </c>
      <c r="AF224" s="18"/>
      <c r="AG224" s="18"/>
      <c r="AH224" s="18">
        <v>0</v>
      </c>
      <c r="AT224">
        <v>3</v>
      </c>
      <c r="AU224" s="18">
        <v>-1.1368683772161603E-13</v>
      </c>
      <c r="AV224" s="18"/>
      <c r="AW224" s="18"/>
      <c r="AX224" s="18"/>
      <c r="AY224" s="18"/>
      <c r="AZ224" s="18"/>
      <c r="BA224" s="18">
        <v>-1.1368683772161603E-13</v>
      </c>
    </row>
    <row r="225" spans="24:53" x14ac:dyDescent="0.3">
      <c r="Y225">
        <v>7</v>
      </c>
      <c r="Z225" s="57">
        <v>44628</v>
      </c>
      <c r="AA225" t="s">
        <v>636</v>
      </c>
      <c r="AB225" s="18"/>
      <c r="AC225" s="18"/>
      <c r="AD225" s="18"/>
      <c r="AE225" s="18">
        <v>0</v>
      </c>
      <c r="AF225" s="18"/>
      <c r="AG225" s="18"/>
      <c r="AH225" s="18">
        <v>0</v>
      </c>
      <c r="AT225">
        <v>5</v>
      </c>
      <c r="AU225" s="18">
        <v>0</v>
      </c>
      <c r="AV225" s="18"/>
      <c r="AW225" s="18"/>
      <c r="AX225" s="18"/>
      <c r="AY225" s="18"/>
      <c r="AZ225" s="18"/>
      <c r="BA225" s="18">
        <v>0</v>
      </c>
    </row>
    <row r="226" spans="24:53" x14ac:dyDescent="0.3">
      <c r="Z226" s="57">
        <v>44635</v>
      </c>
      <c r="AA226" t="s">
        <v>648</v>
      </c>
      <c r="AB226" s="18"/>
      <c r="AC226" s="18"/>
      <c r="AD226" s="18"/>
      <c r="AE226" s="18">
        <v>0</v>
      </c>
      <c r="AF226" s="18"/>
      <c r="AG226" s="18"/>
      <c r="AH226" s="18">
        <v>0</v>
      </c>
      <c r="AT226">
        <v>6</v>
      </c>
      <c r="AU226" s="18">
        <v>8841.7999999999993</v>
      </c>
      <c r="AV226" s="18"/>
      <c r="AW226" s="18"/>
      <c r="AX226" s="18"/>
      <c r="AY226" s="18"/>
      <c r="AZ226" s="18"/>
      <c r="BA226" s="18">
        <v>8841.7999999999993</v>
      </c>
    </row>
    <row r="227" spans="24:53" x14ac:dyDescent="0.3">
      <c r="Y227">
        <v>8</v>
      </c>
      <c r="Z227" s="57">
        <v>44678</v>
      </c>
      <c r="AA227" t="s">
        <v>724</v>
      </c>
      <c r="AB227" s="18"/>
      <c r="AC227" s="18"/>
      <c r="AD227" s="18"/>
      <c r="AE227" s="18">
        <v>0</v>
      </c>
      <c r="AF227" s="18"/>
      <c r="AG227" s="18"/>
      <c r="AH227" s="18">
        <v>0</v>
      </c>
      <c r="AT227">
        <v>7</v>
      </c>
      <c r="AU227" s="18">
        <v>5658.9</v>
      </c>
      <c r="AV227" s="18"/>
      <c r="AW227" s="18"/>
      <c r="AX227" s="18"/>
      <c r="AY227" s="18"/>
      <c r="AZ227" s="18"/>
      <c r="BA227" s="18">
        <v>5658.9</v>
      </c>
    </row>
    <row r="228" spans="24:53" x14ac:dyDescent="0.3">
      <c r="Y228">
        <v>9</v>
      </c>
      <c r="Z228" s="57">
        <v>44704</v>
      </c>
      <c r="AA228" t="s">
        <v>791</v>
      </c>
      <c r="AB228" s="18"/>
      <c r="AC228" s="18"/>
      <c r="AD228" s="18"/>
      <c r="AE228" s="18">
        <v>0</v>
      </c>
      <c r="AF228" s="18"/>
      <c r="AG228" s="18"/>
      <c r="AH228" s="18">
        <v>0</v>
      </c>
      <c r="AT228">
        <v>8</v>
      </c>
      <c r="AU228" s="18">
        <v>9840.7000000000007</v>
      </c>
      <c r="AV228" s="18"/>
      <c r="AW228" s="18"/>
      <c r="AX228" s="18"/>
      <c r="AY228" s="18"/>
      <c r="AZ228" s="18"/>
      <c r="BA228" s="18">
        <v>9840.7000000000007</v>
      </c>
    </row>
    <row r="229" spans="24:53" x14ac:dyDescent="0.3">
      <c r="Y229">
        <v>10</v>
      </c>
      <c r="Z229" s="57">
        <v>44721</v>
      </c>
      <c r="AA229" t="s">
        <v>832</v>
      </c>
      <c r="AB229" s="18"/>
      <c r="AC229" s="18"/>
      <c r="AD229" s="18"/>
      <c r="AE229" s="18">
        <v>0</v>
      </c>
      <c r="AF229" s="18"/>
      <c r="AG229" s="18"/>
      <c r="AH229" s="18">
        <v>0</v>
      </c>
      <c r="AT229">
        <v>9</v>
      </c>
      <c r="AU229" s="18">
        <v>6652.3</v>
      </c>
      <c r="AV229" s="18"/>
      <c r="AW229" s="18"/>
      <c r="AX229" s="18"/>
      <c r="AY229" s="18"/>
      <c r="AZ229" s="18"/>
      <c r="BA229" s="18">
        <v>6652.3</v>
      </c>
    </row>
    <row r="230" spans="24:53" x14ac:dyDescent="0.3">
      <c r="Z230" s="57">
        <v>44741</v>
      </c>
      <c r="AA230" t="s">
        <v>848</v>
      </c>
      <c r="AB230" s="18"/>
      <c r="AC230" s="18"/>
      <c r="AD230" s="18"/>
      <c r="AE230" s="18">
        <v>0</v>
      </c>
      <c r="AF230" s="18"/>
      <c r="AG230" s="18"/>
      <c r="AH230" s="18">
        <v>0</v>
      </c>
      <c r="AT230">
        <v>10</v>
      </c>
      <c r="AU230" s="18">
        <v>7536.7</v>
      </c>
      <c r="AV230" s="18"/>
      <c r="AW230" s="18"/>
      <c r="AX230" s="18"/>
      <c r="AY230" s="18"/>
      <c r="AZ230" s="18"/>
      <c r="BA230" s="18">
        <v>7536.7</v>
      </c>
    </row>
    <row r="231" spans="24:53" x14ac:dyDescent="0.3">
      <c r="Y231">
        <v>11</v>
      </c>
      <c r="Z231" s="57">
        <v>44768</v>
      </c>
      <c r="AA231" t="s">
        <v>871</v>
      </c>
      <c r="AB231" s="18"/>
      <c r="AC231" s="18"/>
      <c r="AD231" s="18"/>
      <c r="AE231" s="18">
        <v>0</v>
      </c>
      <c r="AF231" s="18"/>
      <c r="AG231" s="18"/>
      <c r="AH231" s="18">
        <v>0</v>
      </c>
      <c r="AT231">
        <v>11</v>
      </c>
      <c r="AU231" s="18">
        <v>8927.7999999999993</v>
      </c>
      <c r="AV231" s="18"/>
      <c r="AW231" s="18"/>
      <c r="AX231" s="18"/>
      <c r="AY231" s="18"/>
      <c r="AZ231" s="18"/>
      <c r="BA231" s="18">
        <v>8927.7999999999993</v>
      </c>
    </row>
    <row r="232" spans="24:53" x14ac:dyDescent="0.3">
      <c r="Y232">
        <v>12</v>
      </c>
      <c r="Z232" s="57">
        <v>44798</v>
      </c>
      <c r="AA232" t="s">
        <v>913</v>
      </c>
      <c r="AB232" s="18"/>
      <c r="AC232" s="18"/>
      <c r="AD232" s="18"/>
      <c r="AE232" s="18">
        <v>0</v>
      </c>
      <c r="AF232" s="18"/>
      <c r="AG232" s="18"/>
      <c r="AH232" s="18">
        <v>0</v>
      </c>
      <c r="AT232">
        <v>12</v>
      </c>
      <c r="AU232" s="18">
        <v>7964</v>
      </c>
      <c r="AV232" s="18"/>
      <c r="AW232" s="18"/>
      <c r="AX232" s="18"/>
      <c r="AY232" s="18"/>
      <c r="AZ232" s="18"/>
      <c r="BA232" s="18">
        <v>7964</v>
      </c>
    </row>
    <row r="233" spans="24:53" x14ac:dyDescent="0.3">
      <c r="Y233">
        <v>4</v>
      </c>
      <c r="Z233" s="57">
        <v>44545</v>
      </c>
      <c r="AA233" t="s">
        <v>508</v>
      </c>
      <c r="AB233" s="18"/>
      <c r="AC233" s="18"/>
      <c r="AD233" s="18"/>
      <c r="AE233" s="18">
        <v>0</v>
      </c>
      <c r="AF233" s="18"/>
      <c r="AG233" s="18"/>
      <c r="AH233" s="18">
        <v>0</v>
      </c>
      <c r="AT233">
        <v>4</v>
      </c>
      <c r="AU233" s="18">
        <v>0</v>
      </c>
      <c r="AV233" s="18"/>
      <c r="AW233" s="18"/>
      <c r="AX233" s="18"/>
      <c r="AY233" s="18"/>
      <c r="AZ233" s="18"/>
      <c r="BA233" s="18">
        <v>0</v>
      </c>
    </row>
    <row r="234" spans="24:53" x14ac:dyDescent="0.3">
      <c r="Z234" s="57">
        <v>44561</v>
      </c>
      <c r="AA234" t="s">
        <v>536</v>
      </c>
      <c r="AB234" s="18"/>
      <c r="AC234" s="18"/>
      <c r="AD234" s="18"/>
      <c r="AE234" s="18">
        <v>0</v>
      </c>
      <c r="AF234" s="18"/>
      <c r="AG234" s="18"/>
      <c r="AH234" s="18">
        <v>0</v>
      </c>
      <c r="AR234" s="36" t="s">
        <v>422</v>
      </c>
      <c r="AS234" s="36"/>
      <c r="AT234" s="36"/>
      <c r="AU234" s="37">
        <v>55422.2</v>
      </c>
      <c r="AV234" s="37"/>
      <c r="AW234" s="37"/>
      <c r="AX234" s="37"/>
      <c r="AY234" s="37"/>
      <c r="AZ234" s="37"/>
      <c r="BA234" s="37">
        <v>55422.2</v>
      </c>
    </row>
    <row r="235" spans="24:53" x14ac:dyDescent="0.3">
      <c r="X235">
        <v>2023</v>
      </c>
      <c r="Y235">
        <v>1</v>
      </c>
      <c r="Z235" s="57">
        <v>44828</v>
      </c>
      <c r="AA235" t="s">
        <v>948</v>
      </c>
      <c r="AB235" s="18"/>
      <c r="AC235" s="18"/>
      <c r="AD235" s="18"/>
      <c r="AE235" s="18">
        <v>0</v>
      </c>
      <c r="AF235" s="18"/>
      <c r="AG235" s="18"/>
      <c r="AH235" s="18">
        <v>0</v>
      </c>
      <c r="AR235" t="s">
        <v>410</v>
      </c>
      <c r="AS235">
        <v>2021</v>
      </c>
      <c r="AT235">
        <v>10</v>
      </c>
      <c r="AU235" s="18">
        <v>0</v>
      </c>
      <c r="AV235" s="18"/>
      <c r="AW235" s="18"/>
      <c r="AX235" s="18"/>
      <c r="AY235" s="18"/>
      <c r="AZ235" s="18"/>
      <c r="BA235" s="18">
        <v>0</v>
      </c>
    </row>
    <row r="236" spans="24:53" x14ac:dyDescent="0.3">
      <c r="Z236" s="57">
        <v>44835</v>
      </c>
      <c r="AA236" t="s">
        <v>987</v>
      </c>
      <c r="AB236" s="18"/>
      <c r="AC236" s="18"/>
      <c r="AD236" s="18"/>
      <c r="AE236" s="18">
        <v>0</v>
      </c>
      <c r="AF236" s="18"/>
      <c r="AG236" s="18"/>
      <c r="AH236" s="18">
        <v>0</v>
      </c>
      <c r="AT236">
        <v>11</v>
      </c>
      <c r="AU236" s="18">
        <v>0</v>
      </c>
      <c r="AV236" s="18"/>
      <c r="AW236" s="18"/>
      <c r="AX236" s="18"/>
      <c r="AY236" s="18"/>
      <c r="AZ236" s="18"/>
      <c r="BA236" s="18">
        <v>0</v>
      </c>
    </row>
    <row r="237" spans="24:53" x14ac:dyDescent="0.3">
      <c r="Y237">
        <v>2</v>
      </c>
      <c r="Z237" s="57">
        <v>44849</v>
      </c>
      <c r="AA237" t="s">
        <v>1002</v>
      </c>
      <c r="AB237" s="18"/>
      <c r="AC237" s="18"/>
      <c r="AD237" s="18"/>
      <c r="AE237" s="18">
        <v>0</v>
      </c>
      <c r="AF237" s="18"/>
      <c r="AG237" s="18"/>
      <c r="AH237" s="18">
        <v>0</v>
      </c>
      <c r="AT237">
        <v>12</v>
      </c>
      <c r="AU237" s="18">
        <v>0</v>
      </c>
      <c r="AV237" s="18"/>
      <c r="AW237" s="18"/>
      <c r="AX237" s="18"/>
      <c r="AY237" s="18"/>
      <c r="AZ237" s="18"/>
      <c r="BA237" s="18">
        <v>0</v>
      </c>
    </row>
    <row r="238" spans="24:53" x14ac:dyDescent="0.3">
      <c r="Z238" s="57">
        <v>44851</v>
      </c>
      <c r="AA238" t="s">
        <v>1006</v>
      </c>
      <c r="AB238" s="18"/>
      <c r="AC238" s="18"/>
      <c r="AD238" s="18"/>
      <c r="AE238" s="18">
        <v>0</v>
      </c>
      <c r="AF238" s="18"/>
      <c r="AG238" s="18"/>
      <c r="AH238" s="18">
        <v>0</v>
      </c>
      <c r="AS238">
        <v>2022</v>
      </c>
      <c r="AT238">
        <v>1</v>
      </c>
      <c r="AU238" s="18">
        <v>0</v>
      </c>
      <c r="AV238" s="18"/>
      <c r="AW238" s="18"/>
      <c r="AX238" s="18"/>
      <c r="AY238" s="18"/>
      <c r="AZ238" s="18"/>
      <c r="BA238" s="18">
        <v>0</v>
      </c>
    </row>
    <row r="239" spans="24:53" x14ac:dyDescent="0.3">
      <c r="Y239">
        <v>3</v>
      </c>
      <c r="Z239" s="57">
        <v>44866</v>
      </c>
      <c r="AA239" t="s">
        <v>1048</v>
      </c>
      <c r="AB239" s="18"/>
      <c r="AC239" s="18"/>
      <c r="AD239" s="18"/>
      <c r="AE239" s="18">
        <v>0</v>
      </c>
      <c r="AF239" s="18"/>
      <c r="AG239" s="18"/>
      <c r="AH239" s="18">
        <v>0</v>
      </c>
      <c r="AT239">
        <v>2</v>
      </c>
      <c r="AU239" s="18">
        <v>0</v>
      </c>
      <c r="AV239" s="18"/>
      <c r="AW239" s="18"/>
      <c r="AX239" s="18"/>
      <c r="AY239" s="18"/>
      <c r="AZ239" s="18"/>
      <c r="BA239" s="18">
        <v>0</v>
      </c>
    </row>
    <row r="240" spans="24:53" x14ac:dyDescent="0.3">
      <c r="Z240" s="57">
        <v>44894</v>
      </c>
      <c r="AA240" t="s">
        <v>1093</v>
      </c>
      <c r="AB240" s="18"/>
      <c r="AC240" s="18"/>
      <c r="AD240" s="18"/>
      <c r="AE240" s="18">
        <v>0</v>
      </c>
      <c r="AF240" s="18"/>
      <c r="AG240" s="18"/>
      <c r="AH240" s="18">
        <v>0</v>
      </c>
      <c r="AT240">
        <v>3</v>
      </c>
      <c r="AU240" s="18">
        <v>0</v>
      </c>
      <c r="AV240" s="18"/>
      <c r="AW240" s="18"/>
      <c r="AX240" s="18"/>
      <c r="AY240" s="18"/>
      <c r="AZ240" s="18"/>
      <c r="BA240" s="18">
        <v>0</v>
      </c>
    </row>
    <row r="241" spans="24:53" x14ac:dyDescent="0.3">
      <c r="Y241">
        <v>5</v>
      </c>
      <c r="Z241" s="57">
        <v>44938</v>
      </c>
      <c r="AA241" t="s">
        <v>1181</v>
      </c>
      <c r="AB241" s="18"/>
      <c r="AC241" s="18"/>
      <c r="AD241" s="18"/>
      <c r="AE241" s="18">
        <v>0</v>
      </c>
      <c r="AF241" s="18"/>
      <c r="AG241" s="18"/>
      <c r="AH241" s="18">
        <v>0</v>
      </c>
      <c r="AT241">
        <v>5</v>
      </c>
      <c r="AU241" s="18">
        <v>0</v>
      </c>
      <c r="AV241" s="18"/>
      <c r="AW241" s="18"/>
      <c r="AX241" s="18"/>
      <c r="AY241" s="18"/>
      <c r="AZ241" s="18"/>
      <c r="BA241" s="18">
        <v>0</v>
      </c>
    </row>
    <row r="242" spans="24:53" x14ac:dyDescent="0.3">
      <c r="Z242" s="57">
        <v>44944</v>
      </c>
      <c r="AA242" t="s">
        <v>1193</v>
      </c>
      <c r="AB242" s="18"/>
      <c r="AC242" s="18"/>
      <c r="AD242" s="18"/>
      <c r="AE242" s="18">
        <v>0</v>
      </c>
      <c r="AF242" s="18"/>
      <c r="AG242" s="18"/>
      <c r="AH242" s="18">
        <v>0</v>
      </c>
      <c r="AT242">
        <v>6</v>
      </c>
      <c r="AU242" s="18">
        <v>0</v>
      </c>
      <c r="AV242" s="18"/>
      <c r="AW242" s="18"/>
      <c r="AX242" s="18"/>
      <c r="AY242" s="18"/>
      <c r="AZ242" s="18"/>
      <c r="BA242" s="18">
        <v>0</v>
      </c>
    </row>
    <row r="243" spans="24:53" x14ac:dyDescent="0.3">
      <c r="Y243">
        <v>6</v>
      </c>
      <c r="Z243" t="s">
        <v>1251</v>
      </c>
      <c r="AA243" t="s">
        <v>1252</v>
      </c>
      <c r="AB243" s="18"/>
      <c r="AC243" s="18"/>
      <c r="AD243" s="18"/>
      <c r="AE243" s="18">
        <v>0</v>
      </c>
      <c r="AF243" s="18"/>
      <c r="AG243" s="18"/>
      <c r="AH243" s="18">
        <v>0</v>
      </c>
      <c r="AT243">
        <v>7</v>
      </c>
      <c r="AU243" s="18">
        <v>0</v>
      </c>
      <c r="AV243" s="18"/>
      <c r="AW243" s="18"/>
      <c r="AX243" s="18"/>
      <c r="AY243" s="18"/>
      <c r="AZ243" s="18"/>
      <c r="BA243" s="18">
        <v>0</v>
      </c>
    </row>
    <row r="244" spans="24:53" x14ac:dyDescent="0.3">
      <c r="Y244">
        <v>7</v>
      </c>
      <c r="Z244" t="s">
        <v>1335</v>
      </c>
      <c r="AA244" t="s">
        <v>1334</v>
      </c>
      <c r="AB244" s="18"/>
      <c r="AC244" s="18"/>
      <c r="AD244" s="18"/>
      <c r="AE244" s="18">
        <v>0</v>
      </c>
      <c r="AF244" s="18"/>
      <c r="AG244" s="18"/>
      <c r="AH244" s="18">
        <v>0</v>
      </c>
      <c r="AT244">
        <v>8</v>
      </c>
      <c r="AU244" s="18">
        <v>0</v>
      </c>
      <c r="AV244" s="18"/>
      <c r="AW244" s="18"/>
      <c r="AX244" s="18"/>
      <c r="AY244" s="18"/>
      <c r="AZ244" s="18"/>
      <c r="BA244" s="18">
        <v>0</v>
      </c>
    </row>
    <row r="245" spans="24:53" x14ac:dyDescent="0.3">
      <c r="Y245">
        <v>8</v>
      </c>
      <c r="Z245" t="s">
        <v>1404</v>
      </c>
      <c r="AA245" t="s">
        <v>1405</v>
      </c>
      <c r="AB245" s="18"/>
      <c r="AC245" s="18"/>
      <c r="AD245" s="18"/>
      <c r="AE245" s="18">
        <v>0</v>
      </c>
      <c r="AF245" s="18"/>
      <c r="AG245" s="18"/>
      <c r="AH245" s="18">
        <v>0</v>
      </c>
      <c r="AT245">
        <v>9</v>
      </c>
      <c r="AU245" s="18">
        <v>0</v>
      </c>
      <c r="AV245" s="18"/>
      <c r="AW245" s="18"/>
      <c r="AX245" s="18"/>
      <c r="AY245" s="18"/>
      <c r="AZ245" s="18"/>
      <c r="BA245" s="18">
        <v>0</v>
      </c>
    </row>
    <row r="246" spans="24:53" x14ac:dyDescent="0.3">
      <c r="Y246">
        <v>9</v>
      </c>
      <c r="Z246" s="57">
        <v>45056</v>
      </c>
      <c r="AA246" t="s">
        <v>1543</v>
      </c>
      <c r="AB246" s="18"/>
      <c r="AC246" s="18"/>
      <c r="AD246" s="18"/>
      <c r="AE246" s="18">
        <v>0</v>
      </c>
      <c r="AF246" s="18"/>
      <c r="AG246" s="18"/>
      <c r="AH246" s="18">
        <v>0</v>
      </c>
      <c r="AT246">
        <v>10</v>
      </c>
      <c r="AU246" s="18">
        <v>0</v>
      </c>
      <c r="AV246" s="18"/>
      <c r="AW246" s="18"/>
      <c r="AX246" s="18"/>
      <c r="AY246" s="18"/>
      <c r="AZ246" s="18"/>
      <c r="BA246" s="18">
        <v>0</v>
      </c>
    </row>
    <row r="247" spans="24:53" x14ac:dyDescent="0.3">
      <c r="Y247">
        <v>10</v>
      </c>
      <c r="Z247" s="57">
        <v>45083</v>
      </c>
      <c r="AA247" t="s">
        <v>1617</v>
      </c>
      <c r="AB247" s="18"/>
      <c r="AC247" s="18"/>
      <c r="AD247" s="18"/>
      <c r="AE247" s="18">
        <v>0</v>
      </c>
      <c r="AF247" s="18"/>
      <c r="AG247" s="18"/>
      <c r="AH247" s="18">
        <v>0</v>
      </c>
      <c r="AT247">
        <v>11</v>
      </c>
      <c r="AU247" s="18">
        <v>0</v>
      </c>
      <c r="AV247" s="18"/>
      <c r="AW247" s="18"/>
      <c r="AX247" s="18"/>
      <c r="AY247" s="18"/>
      <c r="AZ247" s="18"/>
      <c r="BA247" s="18">
        <v>0</v>
      </c>
    </row>
    <row r="248" spans="24:53" x14ac:dyDescent="0.3">
      <c r="Y248">
        <v>11</v>
      </c>
      <c r="Z248" s="57">
        <v>45117</v>
      </c>
      <c r="AA248" t="s">
        <v>1717</v>
      </c>
      <c r="AB248" s="18"/>
      <c r="AC248" s="18"/>
      <c r="AD248" s="18"/>
      <c r="AE248" s="18">
        <v>13666</v>
      </c>
      <c r="AF248" s="18"/>
      <c r="AG248" s="18"/>
      <c r="AH248" s="18">
        <v>13666</v>
      </c>
      <c r="AT248">
        <v>12</v>
      </c>
      <c r="AU248" s="18">
        <v>0</v>
      </c>
      <c r="AV248" s="18"/>
      <c r="AW248" s="18"/>
      <c r="AX248" s="18"/>
      <c r="AY248" s="18"/>
      <c r="AZ248" s="18"/>
      <c r="BA248" s="18">
        <v>0</v>
      </c>
    </row>
    <row r="249" spans="24:53" x14ac:dyDescent="0.3">
      <c r="Z249" s="57">
        <v>45128</v>
      </c>
      <c r="AA249" t="s">
        <v>1728</v>
      </c>
      <c r="AB249" s="18"/>
      <c r="AC249" s="18"/>
      <c r="AD249" s="18"/>
      <c r="AE249" s="18">
        <v>11398.5</v>
      </c>
      <c r="AF249" s="18"/>
      <c r="AG249" s="18"/>
      <c r="AH249" s="18">
        <v>11398.5</v>
      </c>
      <c r="AT249">
        <v>4</v>
      </c>
      <c r="AU249" s="18">
        <v>0</v>
      </c>
      <c r="AV249" s="18"/>
      <c r="AW249" s="18"/>
      <c r="AX249" s="18"/>
      <c r="AY249" s="18"/>
      <c r="AZ249" s="18"/>
      <c r="BA249" s="18">
        <v>0</v>
      </c>
    </row>
    <row r="250" spans="24:53" x14ac:dyDescent="0.3">
      <c r="Z250" s="57">
        <v>45140</v>
      </c>
      <c r="AA250" t="s">
        <v>1796</v>
      </c>
      <c r="AB250" s="18"/>
      <c r="AC250" s="18"/>
      <c r="AD250" s="18"/>
      <c r="AE250" s="18">
        <v>13533.5</v>
      </c>
      <c r="AF250" s="18"/>
      <c r="AG250" s="18"/>
      <c r="AH250" s="18">
        <v>13533.5</v>
      </c>
      <c r="AS250">
        <v>2023</v>
      </c>
      <c r="AT250">
        <v>1</v>
      </c>
      <c r="AU250" s="18">
        <v>0</v>
      </c>
      <c r="AV250" s="18"/>
      <c r="AW250" s="18"/>
      <c r="AX250" s="18"/>
      <c r="AY250" s="18"/>
      <c r="AZ250" s="18"/>
      <c r="BA250" s="18">
        <v>0</v>
      </c>
    </row>
    <row r="251" spans="24:53" x14ac:dyDescent="0.3">
      <c r="Y251">
        <v>4</v>
      </c>
      <c r="Z251" s="57">
        <v>44922</v>
      </c>
      <c r="AA251" t="s">
        <v>1138</v>
      </c>
      <c r="AB251" s="18"/>
      <c r="AC251" s="18"/>
      <c r="AD251" s="18"/>
      <c r="AE251" s="18">
        <v>0</v>
      </c>
      <c r="AF251" s="18"/>
      <c r="AG251" s="18"/>
      <c r="AH251" s="18">
        <v>0</v>
      </c>
      <c r="AT251">
        <v>2</v>
      </c>
      <c r="AU251" s="18">
        <v>14204.1</v>
      </c>
      <c r="AV251" s="18"/>
      <c r="AW251" s="18"/>
      <c r="AX251" s="18"/>
      <c r="AY251" s="18"/>
      <c r="AZ251" s="18"/>
      <c r="BA251" s="18">
        <v>14204.1</v>
      </c>
    </row>
    <row r="252" spans="24:53" x14ac:dyDescent="0.3">
      <c r="X252">
        <v>2024</v>
      </c>
      <c r="Y252">
        <v>1</v>
      </c>
      <c r="Z252" s="57">
        <v>45174</v>
      </c>
      <c r="AA252" t="s">
        <v>1884</v>
      </c>
      <c r="AB252" s="18"/>
      <c r="AC252" s="18"/>
      <c r="AD252" s="18"/>
      <c r="AE252" s="18">
        <v>12167</v>
      </c>
      <c r="AF252" s="18"/>
      <c r="AG252" s="18"/>
      <c r="AH252" s="18">
        <v>12167</v>
      </c>
      <c r="AT252">
        <v>3</v>
      </c>
      <c r="AU252" s="18">
        <v>102281.5</v>
      </c>
      <c r="AV252" s="18"/>
      <c r="AW252" s="18"/>
      <c r="AX252" s="18"/>
      <c r="AY252" s="18"/>
      <c r="AZ252" s="18"/>
      <c r="BA252" s="18">
        <v>102281.5</v>
      </c>
    </row>
    <row r="253" spans="24:53" x14ac:dyDescent="0.3">
      <c r="Y253">
        <v>2</v>
      </c>
      <c r="Z253" s="57">
        <v>45205</v>
      </c>
      <c r="AA253" t="s">
        <v>2000</v>
      </c>
      <c r="AB253" s="18"/>
      <c r="AC253" s="18"/>
      <c r="AD253" s="18"/>
      <c r="AE253" s="18">
        <v>11769</v>
      </c>
      <c r="AF253" s="18"/>
      <c r="AG253" s="18"/>
      <c r="AH253" s="18">
        <v>11769</v>
      </c>
      <c r="AT253">
        <v>5</v>
      </c>
      <c r="AU253" s="18">
        <v>68007.100000000006</v>
      </c>
      <c r="AV253" s="18"/>
      <c r="AW253" s="18"/>
      <c r="AX253" s="18"/>
      <c r="AY253" s="18"/>
      <c r="AZ253" s="18"/>
      <c r="BA253" s="18">
        <v>68007.100000000006</v>
      </c>
    </row>
    <row r="254" spans="24:53" x14ac:dyDescent="0.3">
      <c r="Y254">
        <v>3</v>
      </c>
      <c r="Z254" s="57">
        <v>45245</v>
      </c>
      <c r="AA254" t="s">
        <v>2113</v>
      </c>
      <c r="AB254" s="18"/>
      <c r="AC254" s="18"/>
      <c r="AD254" s="18"/>
      <c r="AE254" s="18">
        <v>12406</v>
      </c>
      <c r="AF254" s="18"/>
      <c r="AG254" s="18"/>
      <c r="AH254" s="18">
        <v>12406</v>
      </c>
      <c r="AT254">
        <v>6</v>
      </c>
      <c r="AU254" s="18">
        <v>16742</v>
      </c>
      <c r="AV254" s="18"/>
      <c r="AW254" s="18"/>
      <c r="AX254" s="18"/>
      <c r="AY254" s="18"/>
      <c r="AZ254" s="18"/>
      <c r="BA254" s="18">
        <v>16742</v>
      </c>
    </row>
    <row r="255" spans="24:53" x14ac:dyDescent="0.3">
      <c r="AA255" t="s">
        <v>2114</v>
      </c>
      <c r="AB255" s="18"/>
      <c r="AC255" s="18"/>
      <c r="AD255" s="18"/>
      <c r="AE255" s="18">
        <v>1597.5</v>
      </c>
      <c r="AF255" s="18"/>
      <c r="AG255" s="18"/>
      <c r="AH255" s="18">
        <v>1597.5</v>
      </c>
      <c r="AT255">
        <v>7</v>
      </c>
      <c r="AU255" s="18">
        <v>13677.9</v>
      </c>
      <c r="AV255" s="18"/>
      <c r="AW255" s="18"/>
      <c r="AX255" s="18"/>
      <c r="AY255" s="18"/>
      <c r="AZ255" s="18"/>
      <c r="BA255" s="18">
        <v>13677.9</v>
      </c>
    </row>
    <row r="256" spans="24:53" x14ac:dyDescent="0.3">
      <c r="Z256" s="57">
        <v>45261</v>
      </c>
      <c r="AA256" t="s">
        <v>2162</v>
      </c>
      <c r="AB256" s="18"/>
      <c r="AC256" s="18"/>
      <c r="AD256" s="18"/>
      <c r="AE256" s="18">
        <v>12996.4</v>
      </c>
      <c r="AF256" s="18"/>
      <c r="AG256" s="18"/>
      <c r="AH256" s="18">
        <v>12996.4</v>
      </c>
      <c r="AT256">
        <v>8</v>
      </c>
      <c r="AU256" s="18">
        <v>30275.5</v>
      </c>
      <c r="AV256" s="18"/>
      <c r="AW256" s="18"/>
      <c r="AX256" s="18"/>
      <c r="AY256" s="18"/>
      <c r="AZ256" s="18"/>
      <c r="BA256" s="18">
        <v>30275.5</v>
      </c>
    </row>
    <row r="257" spans="23:53" x14ac:dyDescent="0.3">
      <c r="Y257">
        <v>4</v>
      </c>
      <c r="Z257" s="57">
        <v>45278</v>
      </c>
      <c r="AA257" t="s">
        <v>2186</v>
      </c>
      <c r="AB257" s="18"/>
      <c r="AC257" s="18"/>
      <c r="AD257" s="18"/>
      <c r="AE257" s="18">
        <v>696</v>
      </c>
      <c r="AF257" s="18"/>
      <c r="AG257" s="18"/>
      <c r="AH257" s="18">
        <v>696</v>
      </c>
      <c r="AT257">
        <v>9</v>
      </c>
      <c r="AU257" s="18">
        <v>70955.5</v>
      </c>
      <c r="AV257" s="18"/>
      <c r="AW257" s="18"/>
      <c r="AX257" s="18"/>
      <c r="AY257" s="18"/>
      <c r="AZ257" s="18"/>
      <c r="BA257" s="18">
        <v>70955.5</v>
      </c>
    </row>
    <row r="258" spans="23:53" x14ac:dyDescent="0.3">
      <c r="W258" s="36" t="s">
        <v>205</v>
      </c>
      <c r="X258" s="36"/>
      <c r="Y258" s="36"/>
      <c r="Z258" s="36"/>
      <c r="AA258" s="36"/>
      <c r="AB258" s="37"/>
      <c r="AC258" s="37"/>
      <c r="AD258" s="37"/>
      <c r="AE258" s="37">
        <v>90050.5</v>
      </c>
      <c r="AF258" s="37"/>
      <c r="AG258" s="37"/>
      <c r="AH258" s="37">
        <v>90050.5</v>
      </c>
      <c r="AT258">
        <v>10</v>
      </c>
      <c r="AU258" s="18">
        <v>7798</v>
      </c>
      <c r="AV258" s="18"/>
      <c r="AW258" s="18"/>
      <c r="AX258" s="18"/>
      <c r="AY258" s="18"/>
      <c r="AZ258" s="18"/>
      <c r="BA258" s="18">
        <v>7798</v>
      </c>
    </row>
    <row r="259" spans="23:53" x14ac:dyDescent="0.3">
      <c r="W259" t="s">
        <v>174</v>
      </c>
      <c r="X259">
        <v>2020</v>
      </c>
      <c r="Y259">
        <v>11</v>
      </c>
      <c r="Z259" s="57">
        <v>44159</v>
      </c>
      <c r="AA259" t="s">
        <v>176</v>
      </c>
      <c r="AB259" s="18">
        <v>0</v>
      </c>
      <c r="AC259" s="18"/>
      <c r="AD259" s="18"/>
      <c r="AE259" s="18"/>
      <c r="AF259" s="18"/>
      <c r="AG259" s="18"/>
      <c r="AH259" s="18">
        <v>0</v>
      </c>
      <c r="AT259">
        <v>4</v>
      </c>
      <c r="AU259" s="18">
        <v>49405.7</v>
      </c>
      <c r="AV259" s="18"/>
      <c r="AW259" s="18"/>
      <c r="AX259" s="18"/>
      <c r="AY259" s="18"/>
      <c r="AZ259" s="18"/>
      <c r="BA259" s="18">
        <v>49405.7</v>
      </c>
    </row>
    <row r="260" spans="23:53" x14ac:dyDescent="0.3">
      <c r="W260" s="36" t="s">
        <v>186</v>
      </c>
      <c r="X260" s="36"/>
      <c r="Y260" s="36"/>
      <c r="Z260" s="36"/>
      <c r="AA260" s="36"/>
      <c r="AB260" s="37">
        <v>0</v>
      </c>
      <c r="AC260" s="37"/>
      <c r="AD260" s="37"/>
      <c r="AE260" s="37"/>
      <c r="AF260" s="37"/>
      <c r="AG260" s="37"/>
      <c r="AH260" s="37">
        <v>0</v>
      </c>
      <c r="AR260" s="36" t="s">
        <v>423</v>
      </c>
      <c r="AS260" s="36"/>
      <c r="AT260" s="36"/>
      <c r="AU260" s="37">
        <v>373347.3</v>
      </c>
      <c r="AV260" s="37"/>
      <c r="AW260" s="37"/>
      <c r="AX260" s="37"/>
      <c r="AY260" s="37"/>
      <c r="AZ260" s="37"/>
      <c r="BA260" s="37">
        <v>373347.3</v>
      </c>
    </row>
    <row r="261" spans="23:53" x14ac:dyDescent="0.3">
      <c r="W261" t="s">
        <v>224</v>
      </c>
      <c r="X261" t="s">
        <v>1764</v>
      </c>
      <c r="Y261" t="s">
        <v>1764</v>
      </c>
      <c r="Z261" s="57">
        <v>44170</v>
      </c>
      <c r="AA261" t="s">
        <v>210</v>
      </c>
      <c r="AB261" s="18"/>
      <c r="AC261" s="18"/>
      <c r="AD261" s="18"/>
      <c r="AE261" s="18"/>
      <c r="AF261" s="18">
        <v>0</v>
      </c>
      <c r="AG261" s="18"/>
      <c r="AH261" s="18">
        <v>0</v>
      </c>
      <c r="AR261" t="s">
        <v>470</v>
      </c>
      <c r="AS261" t="s">
        <v>1764</v>
      </c>
      <c r="AT261" t="s">
        <v>1764</v>
      </c>
      <c r="AU261" s="18"/>
      <c r="AV261" s="18"/>
      <c r="AW261" s="18"/>
      <c r="AX261" s="18"/>
      <c r="AY261" s="18">
        <v>0</v>
      </c>
      <c r="AZ261" s="18"/>
      <c r="BA261" s="18">
        <v>0</v>
      </c>
    </row>
    <row r="262" spans="23:53" x14ac:dyDescent="0.3">
      <c r="W262" s="36" t="s">
        <v>225</v>
      </c>
      <c r="X262" s="36"/>
      <c r="Y262" s="36"/>
      <c r="Z262" s="36"/>
      <c r="AA262" s="36"/>
      <c r="AB262" s="37"/>
      <c r="AC262" s="37"/>
      <c r="AD262" s="37"/>
      <c r="AE262" s="37"/>
      <c r="AF262" s="37">
        <v>0</v>
      </c>
      <c r="AG262" s="37"/>
      <c r="AH262" s="37">
        <v>0</v>
      </c>
      <c r="AR262" s="36" t="s">
        <v>484</v>
      </c>
      <c r="AS262" s="36"/>
      <c r="AT262" s="36"/>
      <c r="AU262" s="37"/>
      <c r="AV262" s="37"/>
      <c r="AW262" s="37"/>
      <c r="AX262" s="37"/>
      <c r="AY262" s="37">
        <v>0</v>
      </c>
      <c r="AZ262" s="37"/>
      <c r="BA262" s="37">
        <v>0</v>
      </c>
    </row>
    <row r="263" spans="23:53" x14ac:dyDescent="0.3">
      <c r="W263" t="s">
        <v>229</v>
      </c>
      <c r="X263" t="s">
        <v>1764</v>
      </c>
      <c r="Y263" t="s">
        <v>1764</v>
      </c>
      <c r="Z263" s="57">
        <v>44513</v>
      </c>
      <c r="AA263" t="s">
        <v>477</v>
      </c>
      <c r="AB263" s="18"/>
      <c r="AC263" s="18"/>
      <c r="AD263" s="18"/>
      <c r="AE263" s="18"/>
      <c r="AF263" s="18">
        <v>0</v>
      </c>
      <c r="AG263" s="18"/>
      <c r="AH263" s="18">
        <v>0</v>
      </c>
      <c r="AR263" t="s">
        <v>492</v>
      </c>
      <c r="AS263">
        <v>2021</v>
      </c>
      <c r="AT263">
        <v>11</v>
      </c>
      <c r="AU263" s="18">
        <v>0</v>
      </c>
      <c r="AV263" s="18"/>
      <c r="AW263" s="18"/>
      <c r="AX263" s="18"/>
      <c r="AY263" s="18"/>
      <c r="AZ263" s="18"/>
      <c r="BA263" s="18">
        <v>0</v>
      </c>
    </row>
    <row r="264" spans="23:53" x14ac:dyDescent="0.3">
      <c r="W264" s="36" t="s">
        <v>256</v>
      </c>
      <c r="X264" s="36"/>
      <c r="Y264" s="36"/>
      <c r="Z264" s="36"/>
      <c r="AA264" s="36"/>
      <c r="AB264" s="37"/>
      <c r="AC264" s="37"/>
      <c r="AD264" s="37"/>
      <c r="AE264" s="37"/>
      <c r="AF264" s="37">
        <v>0</v>
      </c>
      <c r="AG264" s="37"/>
      <c r="AH264" s="37">
        <v>0</v>
      </c>
      <c r="AS264">
        <v>2022</v>
      </c>
      <c r="AT264">
        <v>2</v>
      </c>
      <c r="AU264" s="18">
        <v>0</v>
      </c>
      <c r="AV264" s="18"/>
      <c r="AW264" s="18"/>
      <c r="AX264" s="18"/>
      <c r="AY264" s="18"/>
      <c r="AZ264" s="18"/>
      <c r="BA264" s="18">
        <v>0</v>
      </c>
    </row>
    <row r="265" spans="23:53" x14ac:dyDescent="0.3">
      <c r="W265" t="s">
        <v>263</v>
      </c>
      <c r="X265">
        <v>2021</v>
      </c>
      <c r="Y265">
        <v>2</v>
      </c>
      <c r="Z265" s="57">
        <v>44230</v>
      </c>
      <c r="AA265" t="s">
        <v>257</v>
      </c>
      <c r="AB265" s="18">
        <v>0</v>
      </c>
      <c r="AC265" s="18"/>
      <c r="AD265" s="18"/>
      <c r="AE265" s="18"/>
      <c r="AF265" s="18"/>
      <c r="AG265" s="18"/>
      <c r="AH265" s="18">
        <v>0</v>
      </c>
      <c r="AT265">
        <v>3</v>
      </c>
      <c r="AU265" s="18">
        <v>0</v>
      </c>
      <c r="AV265" s="18"/>
      <c r="AW265" s="18"/>
      <c r="AX265" s="18"/>
      <c r="AY265" s="18"/>
      <c r="AZ265" s="18"/>
      <c r="BA265" s="18">
        <v>0</v>
      </c>
    </row>
    <row r="266" spans="23:53" x14ac:dyDescent="0.3">
      <c r="Z266" s="57">
        <v>44233</v>
      </c>
      <c r="AA266" t="s">
        <v>262</v>
      </c>
      <c r="AB266" s="18">
        <v>0</v>
      </c>
      <c r="AC266" s="18"/>
      <c r="AD266" s="18"/>
      <c r="AE266" s="18"/>
      <c r="AF266" s="18"/>
      <c r="AG266" s="18"/>
      <c r="AH266" s="18">
        <v>0</v>
      </c>
      <c r="AT266">
        <v>5</v>
      </c>
      <c r="AU266" s="18">
        <v>0</v>
      </c>
      <c r="AV266" s="18"/>
      <c r="AW266" s="18"/>
      <c r="AX266" s="18"/>
      <c r="AY266" s="18"/>
      <c r="AZ266" s="18"/>
      <c r="BA266" s="18">
        <v>0</v>
      </c>
    </row>
    <row r="267" spans="23:53" x14ac:dyDescent="0.3">
      <c r="Y267">
        <v>3</v>
      </c>
      <c r="Z267" s="57">
        <v>44280</v>
      </c>
      <c r="AA267" t="s">
        <v>322</v>
      </c>
      <c r="AB267" s="18">
        <v>0</v>
      </c>
      <c r="AC267" s="18"/>
      <c r="AD267" s="18"/>
      <c r="AE267" s="18"/>
      <c r="AF267" s="18"/>
      <c r="AG267" s="18"/>
      <c r="AH267" s="18">
        <v>0</v>
      </c>
      <c r="AT267">
        <v>6</v>
      </c>
      <c r="AU267" s="18">
        <v>0</v>
      </c>
      <c r="AV267" s="18"/>
      <c r="AW267" s="18"/>
      <c r="AX267" s="18"/>
      <c r="AY267" s="18"/>
      <c r="AZ267" s="18"/>
      <c r="BA267" s="18">
        <v>0</v>
      </c>
    </row>
    <row r="268" spans="23:53" x14ac:dyDescent="0.3">
      <c r="Y268">
        <v>10</v>
      </c>
      <c r="Z268" s="57">
        <v>44484</v>
      </c>
      <c r="AA268" t="s">
        <v>420</v>
      </c>
      <c r="AB268" s="18">
        <v>0</v>
      </c>
      <c r="AC268" s="18"/>
      <c r="AD268" s="18"/>
      <c r="AE268" s="18"/>
      <c r="AF268" s="18"/>
      <c r="AG268" s="18"/>
      <c r="AH268" s="18">
        <v>0</v>
      </c>
      <c r="AT268">
        <v>7</v>
      </c>
      <c r="AU268" s="18">
        <v>0</v>
      </c>
      <c r="AV268" s="18"/>
      <c r="AW268" s="18"/>
      <c r="AX268" s="18"/>
      <c r="AY268" s="18"/>
      <c r="AZ268" s="18"/>
      <c r="BA268" s="18">
        <v>0</v>
      </c>
    </row>
    <row r="269" spans="23:53" x14ac:dyDescent="0.3">
      <c r="X269">
        <v>2023</v>
      </c>
      <c r="Y269">
        <v>1</v>
      </c>
      <c r="Z269" s="57">
        <v>44937</v>
      </c>
      <c r="AA269" t="s">
        <v>1178</v>
      </c>
      <c r="AB269" s="18">
        <v>0</v>
      </c>
      <c r="AC269" s="18"/>
      <c r="AD269" s="18"/>
      <c r="AE269" s="18"/>
      <c r="AF269" s="18"/>
      <c r="AG269" s="18"/>
      <c r="AH269" s="18">
        <v>0</v>
      </c>
      <c r="AT269">
        <v>8</v>
      </c>
      <c r="AU269" s="18">
        <v>0</v>
      </c>
      <c r="AV269" s="18"/>
      <c r="AW269" s="18"/>
      <c r="AX269" s="18"/>
      <c r="AY269" s="18"/>
      <c r="AZ269" s="18"/>
      <c r="BA269" s="18">
        <v>0</v>
      </c>
    </row>
    <row r="270" spans="23:53" x14ac:dyDescent="0.3">
      <c r="Y270">
        <v>3</v>
      </c>
      <c r="Z270" t="s">
        <v>1331</v>
      </c>
      <c r="AA270" t="s">
        <v>1330</v>
      </c>
      <c r="AB270" s="18">
        <v>0</v>
      </c>
      <c r="AC270" s="18"/>
      <c r="AD270" s="18"/>
      <c r="AE270" s="18"/>
      <c r="AF270" s="18"/>
      <c r="AG270" s="18"/>
      <c r="AH270" s="18">
        <v>0</v>
      </c>
      <c r="AT270">
        <v>9</v>
      </c>
      <c r="AU270" s="18">
        <v>0</v>
      </c>
      <c r="AV270" s="18"/>
      <c r="AW270" s="18"/>
      <c r="AX270" s="18"/>
      <c r="AY270" s="18"/>
      <c r="AZ270" s="18"/>
      <c r="BA270" s="18">
        <v>0</v>
      </c>
    </row>
    <row r="271" spans="23:53" x14ac:dyDescent="0.3">
      <c r="Z271" t="s">
        <v>1341</v>
      </c>
      <c r="AA271" t="s">
        <v>1342</v>
      </c>
      <c r="AB271" s="18">
        <v>0</v>
      </c>
      <c r="AC271" s="18"/>
      <c r="AD271" s="18"/>
      <c r="AE271" s="18"/>
      <c r="AF271" s="18"/>
      <c r="AG271" s="18"/>
      <c r="AH271" s="18">
        <v>0</v>
      </c>
      <c r="AT271">
        <v>10</v>
      </c>
      <c r="AU271" s="18">
        <v>0</v>
      </c>
      <c r="AV271" s="18"/>
      <c r="AW271" s="18"/>
      <c r="AX271" s="18"/>
      <c r="AY271" s="18"/>
      <c r="AZ271" s="18"/>
      <c r="BA271" s="18">
        <v>0</v>
      </c>
    </row>
    <row r="272" spans="23:53" x14ac:dyDescent="0.3">
      <c r="Y272">
        <v>5</v>
      </c>
      <c r="Z272" s="57">
        <v>45054</v>
      </c>
      <c r="AA272" t="s">
        <v>1541</v>
      </c>
      <c r="AB272" s="18">
        <v>0</v>
      </c>
      <c r="AC272" s="18"/>
      <c r="AD272" s="18"/>
      <c r="AE272" s="18"/>
      <c r="AF272" s="18"/>
      <c r="AG272" s="18"/>
      <c r="AH272" s="18">
        <v>0</v>
      </c>
      <c r="AT272">
        <v>11</v>
      </c>
      <c r="AU272" s="18">
        <v>0</v>
      </c>
      <c r="AV272" s="18"/>
      <c r="AW272" s="18"/>
      <c r="AX272" s="18"/>
      <c r="AY272" s="18"/>
      <c r="AZ272" s="18"/>
      <c r="BA272" s="18">
        <v>0</v>
      </c>
    </row>
    <row r="273" spans="25:53" x14ac:dyDescent="0.3">
      <c r="Z273" s="57">
        <v>45066</v>
      </c>
      <c r="AA273" t="s">
        <v>1558</v>
      </c>
      <c r="AB273" s="18">
        <v>0</v>
      </c>
      <c r="AC273" s="18"/>
      <c r="AD273" s="18"/>
      <c r="AE273" s="18"/>
      <c r="AF273" s="18"/>
      <c r="AG273" s="18"/>
      <c r="AH273" s="18">
        <v>0</v>
      </c>
      <c r="AT273">
        <v>12</v>
      </c>
      <c r="AU273" s="18">
        <v>0</v>
      </c>
      <c r="AV273" s="18"/>
      <c r="AW273" s="18"/>
      <c r="AX273" s="18"/>
      <c r="AY273" s="18"/>
      <c r="AZ273" s="18"/>
      <c r="BA273" s="18">
        <v>0</v>
      </c>
    </row>
    <row r="274" spans="25:53" x14ac:dyDescent="0.3">
      <c r="Z274" s="57">
        <v>45071</v>
      </c>
      <c r="AA274" t="s">
        <v>1558</v>
      </c>
      <c r="AB274" s="18">
        <v>0</v>
      </c>
      <c r="AC274" s="18"/>
      <c r="AD274" s="18"/>
      <c r="AE274" s="18"/>
      <c r="AF274" s="18"/>
      <c r="AG274" s="18"/>
      <c r="AH274" s="18">
        <v>0</v>
      </c>
      <c r="AT274">
        <v>4</v>
      </c>
      <c r="AU274" s="18">
        <v>0</v>
      </c>
      <c r="AV274" s="18"/>
      <c r="AW274" s="18"/>
      <c r="AX274" s="18"/>
      <c r="AY274" s="18"/>
      <c r="AZ274" s="18"/>
      <c r="BA274" s="18">
        <v>0</v>
      </c>
    </row>
    <row r="275" spans="25:53" x14ac:dyDescent="0.3">
      <c r="Z275" s="57">
        <v>45072</v>
      </c>
      <c r="AA275" t="s">
        <v>1562</v>
      </c>
      <c r="AB275" s="18">
        <v>0</v>
      </c>
      <c r="AC275" s="18"/>
      <c r="AD275" s="18"/>
      <c r="AE275" s="18"/>
      <c r="AF275" s="18"/>
      <c r="AG275" s="18"/>
      <c r="AH275" s="18">
        <v>0</v>
      </c>
      <c r="AS275">
        <v>2023</v>
      </c>
      <c r="AT275">
        <v>1</v>
      </c>
      <c r="AU275" s="18">
        <v>0</v>
      </c>
      <c r="AV275" s="18"/>
      <c r="AW275" s="18"/>
      <c r="AX275" s="18"/>
      <c r="AY275" s="18"/>
      <c r="AZ275" s="18"/>
      <c r="BA275" s="18">
        <v>0</v>
      </c>
    </row>
    <row r="276" spans="25:53" x14ac:dyDescent="0.3">
      <c r="Z276" s="57">
        <v>45076</v>
      </c>
      <c r="AA276" t="s">
        <v>1562</v>
      </c>
      <c r="AB276" s="18">
        <v>0</v>
      </c>
      <c r="AC276" s="18"/>
      <c r="AD276" s="18"/>
      <c r="AE276" s="18"/>
      <c r="AF276" s="18"/>
      <c r="AG276" s="18"/>
      <c r="AH276" s="18">
        <v>0</v>
      </c>
      <c r="AT276">
        <v>2</v>
      </c>
      <c r="AU276" s="18">
        <v>0</v>
      </c>
      <c r="AV276" s="18"/>
      <c r="AW276" s="18"/>
      <c r="AX276" s="18"/>
      <c r="AY276" s="18"/>
      <c r="AZ276" s="18"/>
      <c r="BA276" s="18">
        <v>0</v>
      </c>
    </row>
    <row r="277" spans="25:53" x14ac:dyDescent="0.3">
      <c r="Y277">
        <v>6</v>
      </c>
      <c r="Z277" s="57">
        <v>45084</v>
      </c>
      <c r="AA277" t="s">
        <v>1618</v>
      </c>
      <c r="AB277" s="18">
        <v>0</v>
      </c>
      <c r="AC277" s="18"/>
      <c r="AD277" s="18"/>
      <c r="AE277" s="18"/>
      <c r="AF277" s="18"/>
      <c r="AG277" s="18"/>
      <c r="AH277" s="18">
        <v>0</v>
      </c>
      <c r="AT277">
        <v>3</v>
      </c>
      <c r="AU277" s="18">
        <v>0</v>
      </c>
      <c r="AV277" s="18"/>
      <c r="AW277" s="18"/>
      <c r="AX277" s="18"/>
      <c r="AY277" s="18"/>
      <c r="AZ277" s="18"/>
      <c r="BA277" s="18">
        <v>0</v>
      </c>
    </row>
    <row r="278" spans="25:53" x14ac:dyDescent="0.3">
      <c r="Z278" s="57">
        <v>45092</v>
      </c>
      <c r="AA278" t="s">
        <v>1629</v>
      </c>
      <c r="AB278" s="18">
        <v>0</v>
      </c>
      <c r="AC278" s="18"/>
      <c r="AD278" s="18"/>
      <c r="AE278" s="18"/>
      <c r="AF278" s="18"/>
      <c r="AG278" s="18"/>
      <c r="AH278" s="18">
        <v>0</v>
      </c>
      <c r="AT278">
        <v>5</v>
      </c>
      <c r="AU278" s="18">
        <v>2475</v>
      </c>
      <c r="AV278" s="18"/>
      <c r="AW278" s="18"/>
      <c r="AX278" s="18"/>
      <c r="AY278" s="18"/>
      <c r="AZ278" s="18"/>
      <c r="BA278" s="18">
        <v>2475</v>
      </c>
    </row>
    <row r="279" spans="25:53" x14ac:dyDescent="0.3">
      <c r="Z279" s="57">
        <v>45101</v>
      </c>
      <c r="AA279" t="s">
        <v>1651</v>
      </c>
      <c r="AB279" s="18">
        <v>0</v>
      </c>
      <c r="AC279" s="18"/>
      <c r="AD279" s="18"/>
      <c r="AE279" s="18"/>
      <c r="AF279" s="18"/>
      <c r="AG279" s="18"/>
      <c r="AH279" s="18">
        <v>0</v>
      </c>
      <c r="AT279">
        <v>6</v>
      </c>
      <c r="AU279" s="18">
        <v>4950</v>
      </c>
      <c r="AV279" s="18"/>
      <c r="AW279" s="18"/>
      <c r="AX279" s="18"/>
      <c r="AY279" s="18"/>
      <c r="AZ279" s="18"/>
      <c r="BA279" s="18">
        <v>4950</v>
      </c>
    </row>
    <row r="280" spans="25:53" x14ac:dyDescent="0.3">
      <c r="Y280">
        <v>7</v>
      </c>
      <c r="Z280" s="57">
        <v>45113</v>
      </c>
      <c r="AA280" t="s">
        <v>1715</v>
      </c>
      <c r="AB280" s="18">
        <v>0</v>
      </c>
      <c r="AC280" s="18"/>
      <c r="AD280" s="18"/>
      <c r="AE280" s="18"/>
      <c r="AF280" s="18"/>
      <c r="AG280" s="18"/>
      <c r="AH280" s="18">
        <v>0</v>
      </c>
      <c r="AT280">
        <v>7</v>
      </c>
      <c r="AU280" s="18">
        <v>8043.5</v>
      </c>
      <c r="AV280" s="18"/>
      <c r="AW280" s="18"/>
      <c r="AX280" s="18"/>
      <c r="AY280" s="18"/>
      <c r="AZ280" s="18"/>
      <c r="BA280" s="18">
        <v>8043.5</v>
      </c>
    </row>
    <row r="281" spans="25:53" x14ac:dyDescent="0.3">
      <c r="Y281">
        <v>8</v>
      </c>
      <c r="Z281" s="57">
        <v>45139</v>
      </c>
      <c r="AA281" t="s">
        <v>1795</v>
      </c>
      <c r="AB281" s="18">
        <v>0</v>
      </c>
      <c r="AC281" s="18"/>
      <c r="AD281" s="18"/>
      <c r="AE281" s="18"/>
      <c r="AF281" s="18"/>
      <c r="AG281" s="18"/>
      <c r="AH281" s="18">
        <v>0</v>
      </c>
      <c r="AT281">
        <v>8</v>
      </c>
      <c r="AU281" s="18">
        <v>0</v>
      </c>
      <c r="AV281" s="18"/>
      <c r="AW281" s="18"/>
      <c r="AX281" s="18"/>
      <c r="AY281" s="18"/>
      <c r="AZ281" s="18"/>
      <c r="BA281" s="18">
        <v>0</v>
      </c>
    </row>
    <row r="282" spans="25:53" x14ac:dyDescent="0.3">
      <c r="Z282" s="57">
        <v>45145</v>
      </c>
      <c r="AA282" t="s">
        <v>1805</v>
      </c>
      <c r="AB282" s="18">
        <v>0</v>
      </c>
      <c r="AC282" s="18"/>
      <c r="AD282" s="18"/>
      <c r="AE282" s="18"/>
      <c r="AF282" s="18"/>
      <c r="AG282" s="18"/>
      <c r="AH282" s="18">
        <v>0</v>
      </c>
      <c r="AT282">
        <v>9</v>
      </c>
      <c r="AU282" s="18">
        <v>2613.5</v>
      </c>
      <c r="AV282" s="18"/>
      <c r="AW282" s="18"/>
      <c r="AX282" s="18"/>
      <c r="AY282" s="18"/>
      <c r="AZ282" s="18"/>
      <c r="BA282" s="18">
        <v>2613.5</v>
      </c>
    </row>
    <row r="283" spans="25:53" x14ac:dyDescent="0.3">
      <c r="Z283" s="57">
        <v>45155</v>
      </c>
      <c r="AA283" t="s">
        <v>1821</v>
      </c>
      <c r="AB283" s="18">
        <v>0</v>
      </c>
      <c r="AC283" s="18"/>
      <c r="AD283" s="18"/>
      <c r="AE283" s="18"/>
      <c r="AF283" s="18"/>
      <c r="AG283" s="18"/>
      <c r="AH283" s="18">
        <v>0</v>
      </c>
      <c r="AT283">
        <v>10</v>
      </c>
      <c r="AU283" s="18">
        <v>5096</v>
      </c>
      <c r="AV283" s="18"/>
      <c r="AW283" s="18"/>
      <c r="AX283" s="18"/>
      <c r="AY283" s="18"/>
      <c r="AZ283" s="18"/>
      <c r="BA283" s="18">
        <v>5096</v>
      </c>
    </row>
    <row r="284" spans="25:53" x14ac:dyDescent="0.3">
      <c r="Y284">
        <v>9</v>
      </c>
      <c r="Z284" s="57">
        <v>45175</v>
      </c>
      <c r="AA284" t="s">
        <v>1886</v>
      </c>
      <c r="AB284" s="18">
        <v>0</v>
      </c>
      <c r="AC284" s="18"/>
      <c r="AD284" s="18"/>
      <c r="AE284" s="18"/>
      <c r="AF284" s="18"/>
      <c r="AG284" s="18"/>
      <c r="AH284" s="18">
        <v>0</v>
      </c>
      <c r="AT284">
        <v>11</v>
      </c>
      <c r="AU284" s="18">
        <v>5326.5</v>
      </c>
      <c r="AV284" s="18"/>
      <c r="AW284" s="18"/>
      <c r="AX284" s="18"/>
      <c r="AY284" s="18"/>
      <c r="AZ284" s="18"/>
      <c r="BA284" s="18">
        <v>5326.5</v>
      </c>
    </row>
    <row r="285" spans="25:53" x14ac:dyDescent="0.3">
      <c r="AA285" t="s">
        <v>1888</v>
      </c>
      <c r="AB285" s="18">
        <v>0</v>
      </c>
      <c r="AC285" s="18"/>
      <c r="AD285" s="18"/>
      <c r="AE285" s="18"/>
      <c r="AF285" s="18"/>
      <c r="AG285" s="18"/>
      <c r="AH285" s="18">
        <v>0</v>
      </c>
      <c r="AT285">
        <v>12</v>
      </c>
      <c r="AU285" s="18">
        <v>16361.5</v>
      </c>
      <c r="AV285" s="18"/>
      <c r="AW285" s="18"/>
      <c r="AX285" s="18"/>
      <c r="AY285" s="18"/>
      <c r="AZ285" s="18"/>
      <c r="BA285" s="18">
        <v>16361.5</v>
      </c>
    </row>
    <row r="286" spans="25:53" x14ac:dyDescent="0.3">
      <c r="Z286" s="57">
        <v>45183</v>
      </c>
      <c r="AA286" t="s">
        <v>1900</v>
      </c>
      <c r="AB286" s="18">
        <v>0</v>
      </c>
      <c r="AC286" s="18"/>
      <c r="AD286" s="18"/>
      <c r="AE286" s="18"/>
      <c r="AF286" s="18"/>
      <c r="AG286" s="18"/>
      <c r="AH286" s="18">
        <v>0</v>
      </c>
      <c r="AT286">
        <v>4</v>
      </c>
      <c r="AU286" s="18">
        <v>1965</v>
      </c>
      <c r="AV286" s="18"/>
      <c r="AW286" s="18"/>
      <c r="AX286" s="18"/>
      <c r="AY286" s="18"/>
      <c r="AZ286" s="18"/>
      <c r="BA286" s="18">
        <v>1965</v>
      </c>
    </row>
    <row r="287" spans="25:53" x14ac:dyDescent="0.3">
      <c r="Z287" t="s">
        <v>1916</v>
      </c>
      <c r="AA287" t="s">
        <v>1915</v>
      </c>
      <c r="AB287" s="18">
        <v>0</v>
      </c>
      <c r="AC287" s="18"/>
      <c r="AD287" s="18"/>
      <c r="AE287" s="18"/>
      <c r="AF287" s="18"/>
      <c r="AG287" s="18"/>
      <c r="AH287" s="18">
        <v>0</v>
      </c>
      <c r="AR287" s="36" t="s">
        <v>501</v>
      </c>
      <c r="AS287" s="36"/>
      <c r="AT287" s="36"/>
      <c r="AU287" s="37">
        <v>46831</v>
      </c>
      <c r="AV287" s="37"/>
      <c r="AW287" s="37"/>
      <c r="AX287" s="37"/>
      <c r="AY287" s="37"/>
      <c r="AZ287" s="37"/>
      <c r="BA287" s="37">
        <v>46831</v>
      </c>
    </row>
    <row r="288" spans="25:53" x14ac:dyDescent="0.3">
      <c r="Y288">
        <v>10</v>
      </c>
      <c r="Z288" s="57">
        <v>45201</v>
      </c>
      <c r="AA288" t="s">
        <v>1990</v>
      </c>
      <c r="AB288" s="18">
        <v>0</v>
      </c>
      <c r="AC288" s="18"/>
      <c r="AD288" s="18"/>
      <c r="AE288" s="18"/>
      <c r="AF288" s="18"/>
      <c r="AG288" s="18"/>
      <c r="AH288" s="18">
        <v>0</v>
      </c>
      <c r="AR288" t="s">
        <v>638</v>
      </c>
      <c r="AS288">
        <v>2022</v>
      </c>
      <c r="AT288">
        <v>3</v>
      </c>
      <c r="AU288" s="18">
        <v>0</v>
      </c>
      <c r="AV288" s="18"/>
      <c r="AW288" s="18"/>
      <c r="AX288" s="18"/>
      <c r="AY288" s="18"/>
      <c r="AZ288" s="18"/>
      <c r="BA288" s="18">
        <v>0</v>
      </c>
    </row>
    <row r="289" spans="23:53" x14ac:dyDescent="0.3">
      <c r="Z289" t="s">
        <v>2006</v>
      </c>
      <c r="AA289" t="s">
        <v>2007</v>
      </c>
      <c r="AB289" s="18">
        <v>0</v>
      </c>
      <c r="AC289" s="18"/>
      <c r="AD289" s="18"/>
      <c r="AE289" s="18"/>
      <c r="AF289" s="18"/>
      <c r="AG289" s="18"/>
      <c r="AH289" s="18">
        <v>0</v>
      </c>
      <c r="AT289">
        <v>5</v>
      </c>
      <c r="AU289" s="18">
        <v>0</v>
      </c>
      <c r="AV289" s="18"/>
      <c r="AW289" s="18"/>
      <c r="AX289" s="18"/>
      <c r="AY289" s="18"/>
      <c r="AZ289" s="18"/>
      <c r="BA289" s="18">
        <v>0</v>
      </c>
    </row>
    <row r="290" spans="23:53" x14ac:dyDescent="0.3">
      <c r="Y290">
        <v>11</v>
      </c>
      <c r="Z290" s="57">
        <v>45239</v>
      </c>
      <c r="AA290" t="s">
        <v>2105</v>
      </c>
      <c r="AB290" s="18">
        <v>0</v>
      </c>
      <c r="AC290" s="18"/>
      <c r="AD290" s="18"/>
      <c r="AE290" s="18"/>
      <c r="AF290" s="18"/>
      <c r="AG290" s="18"/>
      <c r="AH290" s="18">
        <v>0</v>
      </c>
      <c r="AT290">
        <v>6</v>
      </c>
      <c r="AU290" s="18">
        <v>0</v>
      </c>
      <c r="AV290" s="18"/>
      <c r="AW290" s="18"/>
      <c r="AX290" s="18"/>
      <c r="AY290" s="18"/>
      <c r="AZ290" s="18"/>
      <c r="BA290" s="18">
        <v>0</v>
      </c>
    </row>
    <row r="291" spans="23:53" x14ac:dyDescent="0.3">
      <c r="Z291" s="57">
        <v>45245</v>
      </c>
      <c r="AA291" t="s">
        <v>2111</v>
      </c>
      <c r="AB291" s="18">
        <v>0</v>
      </c>
      <c r="AC291" s="18"/>
      <c r="AD291" s="18"/>
      <c r="AE291" s="18"/>
      <c r="AF291" s="18"/>
      <c r="AG291" s="18"/>
      <c r="AH291" s="18">
        <v>0</v>
      </c>
      <c r="AT291">
        <v>9</v>
      </c>
      <c r="AU291" s="18">
        <v>0</v>
      </c>
      <c r="AV291" s="18"/>
      <c r="AW291" s="18"/>
      <c r="AX291" s="18"/>
      <c r="AY291" s="18"/>
      <c r="AZ291" s="18"/>
      <c r="BA291" s="18">
        <v>0</v>
      </c>
    </row>
    <row r="292" spans="23:53" x14ac:dyDescent="0.3">
      <c r="Z292" s="57">
        <v>45251</v>
      </c>
      <c r="AA292" t="s">
        <v>2119</v>
      </c>
      <c r="AB292" s="18">
        <v>0</v>
      </c>
      <c r="AC292" s="18"/>
      <c r="AD292" s="18"/>
      <c r="AE292" s="18"/>
      <c r="AF292" s="18"/>
      <c r="AG292" s="18"/>
      <c r="AH292" s="18">
        <v>0</v>
      </c>
      <c r="AT292">
        <v>11</v>
      </c>
      <c r="AU292" s="18">
        <v>0</v>
      </c>
      <c r="AV292" s="18"/>
      <c r="AW292" s="18"/>
      <c r="AX292" s="18"/>
      <c r="AY292" s="18"/>
      <c r="AZ292" s="18"/>
      <c r="BA292" s="18">
        <v>0</v>
      </c>
    </row>
    <row r="293" spans="23:53" x14ac:dyDescent="0.3">
      <c r="Y293">
        <v>12</v>
      </c>
      <c r="Z293" s="57">
        <v>45262</v>
      </c>
      <c r="AA293" t="s">
        <v>2166</v>
      </c>
      <c r="AB293" s="18">
        <v>5479.9</v>
      </c>
      <c r="AC293" s="18"/>
      <c r="AD293" s="18"/>
      <c r="AE293" s="18"/>
      <c r="AF293" s="18"/>
      <c r="AG293" s="18"/>
      <c r="AH293" s="18">
        <v>5479.9</v>
      </c>
      <c r="AT293">
        <v>12</v>
      </c>
      <c r="AU293" s="18">
        <v>0</v>
      </c>
      <c r="AV293" s="18"/>
      <c r="AW293" s="18"/>
      <c r="AX293" s="18"/>
      <c r="AY293" s="18"/>
      <c r="AZ293" s="18"/>
      <c r="BA293" s="18">
        <v>0</v>
      </c>
    </row>
    <row r="294" spans="23:53" x14ac:dyDescent="0.3">
      <c r="Z294" s="57">
        <v>45276</v>
      </c>
      <c r="AA294" t="s">
        <v>2181</v>
      </c>
      <c r="AB294" s="18">
        <v>5955.9</v>
      </c>
      <c r="AC294" s="18"/>
      <c r="AD294" s="18"/>
      <c r="AE294" s="18"/>
      <c r="AF294" s="18"/>
      <c r="AG294" s="18"/>
      <c r="AH294" s="18">
        <v>5955.9</v>
      </c>
      <c r="AT294">
        <v>4</v>
      </c>
      <c r="AU294" s="18">
        <v>0</v>
      </c>
      <c r="AV294" s="18"/>
      <c r="AW294" s="18"/>
      <c r="AX294" s="18"/>
      <c r="AY294" s="18"/>
      <c r="AZ294" s="18"/>
      <c r="BA294" s="18">
        <v>0</v>
      </c>
    </row>
    <row r="295" spans="23:53" x14ac:dyDescent="0.3">
      <c r="Y295">
        <v>4</v>
      </c>
      <c r="Z295" t="s">
        <v>1459</v>
      </c>
      <c r="AA295" t="s">
        <v>1457</v>
      </c>
      <c r="AB295" s="18">
        <v>0</v>
      </c>
      <c r="AC295" s="18"/>
      <c r="AD295" s="18"/>
      <c r="AE295" s="18"/>
      <c r="AF295" s="18"/>
      <c r="AG295" s="18"/>
      <c r="AH295" s="18">
        <v>0</v>
      </c>
      <c r="AS295">
        <v>2023</v>
      </c>
      <c r="AT295">
        <v>1</v>
      </c>
      <c r="AU295" s="18">
        <v>0</v>
      </c>
      <c r="AV295" s="18"/>
      <c r="AW295" s="18"/>
      <c r="AX295" s="18"/>
      <c r="AY295" s="18"/>
      <c r="AZ295" s="18"/>
      <c r="BA295" s="18">
        <v>0</v>
      </c>
    </row>
    <row r="296" spans="23:53" x14ac:dyDescent="0.3">
      <c r="W296" s="36" t="s">
        <v>264</v>
      </c>
      <c r="X296" s="36"/>
      <c r="Y296" s="36"/>
      <c r="Z296" s="36"/>
      <c r="AA296" s="36"/>
      <c r="AB296" s="37">
        <v>11435.8</v>
      </c>
      <c r="AC296" s="37"/>
      <c r="AD296" s="37"/>
      <c r="AE296" s="37"/>
      <c r="AF296" s="37"/>
      <c r="AG296" s="37"/>
      <c r="AH296" s="37">
        <v>11435.8</v>
      </c>
      <c r="AT296">
        <v>2</v>
      </c>
      <c r="AU296" s="18">
        <v>0</v>
      </c>
      <c r="AV296" s="18"/>
      <c r="AW296" s="18"/>
      <c r="AX296" s="18"/>
      <c r="AY296" s="18"/>
      <c r="AZ296" s="18"/>
      <c r="BA296" s="18">
        <v>0</v>
      </c>
    </row>
    <row r="297" spans="23:53" x14ac:dyDescent="0.3">
      <c r="W297" t="s">
        <v>281</v>
      </c>
      <c r="X297">
        <v>2021</v>
      </c>
      <c r="Y297">
        <v>2</v>
      </c>
      <c r="Z297" s="57">
        <v>44253</v>
      </c>
      <c r="AA297" t="s">
        <v>279</v>
      </c>
      <c r="AB297" s="18">
        <v>0</v>
      </c>
      <c r="AC297" s="18"/>
      <c r="AD297" s="18"/>
      <c r="AE297" s="18"/>
      <c r="AF297" s="18"/>
      <c r="AG297" s="18"/>
      <c r="AH297" s="18">
        <v>0</v>
      </c>
      <c r="AT297">
        <v>3</v>
      </c>
      <c r="AU297" s="18">
        <v>0</v>
      </c>
      <c r="AV297" s="18"/>
      <c r="AW297" s="18"/>
      <c r="AX297" s="18"/>
      <c r="AY297" s="18"/>
      <c r="AZ297" s="18"/>
      <c r="BA297" s="18">
        <v>0</v>
      </c>
    </row>
    <row r="298" spans="23:53" x14ac:dyDescent="0.3">
      <c r="Y298">
        <v>4</v>
      </c>
      <c r="Z298" s="57">
        <v>44294</v>
      </c>
      <c r="AA298" t="s">
        <v>326</v>
      </c>
      <c r="AB298" s="18">
        <v>0</v>
      </c>
      <c r="AC298" s="18"/>
      <c r="AD298" s="18"/>
      <c r="AE298" s="18"/>
      <c r="AF298" s="18"/>
      <c r="AG298" s="18"/>
      <c r="AH298" s="18">
        <v>0</v>
      </c>
      <c r="AT298">
        <v>7</v>
      </c>
      <c r="AU298" s="18">
        <v>100</v>
      </c>
      <c r="AV298" s="18"/>
      <c r="AW298" s="18"/>
      <c r="AX298" s="18"/>
      <c r="AY298" s="18"/>
      <c r="AZ298" s="18"/>
      <c r="BA298" s="18">
        <v>100</v>
      </c>
    </row>
    <row r="299" spans="23:53" x14ac:dyDescent="0.3">
      <c r="W299" s="36" t="s">
        <v>282</v>
      </c>
      <c r="X299" s="36"/>
      <c r="Y299" s="36"/>
      <c r="Z299" s="36"/>
      <c r="AA299" s="36"/>
      <c r="AB299" s="37">
        <v>0</v>
      </c>
      <c r="AC299" s="37"/>
      <c r="AD299" s="37"/>
      <c r="AE299" s="37"/>
      <c r="AF299" s="37"/>
      <c r="AG299" s="37"/>
      <c r="AH299" s="37">
        <v>0</v>
      </c>
      <c r="AT299">
        <v>9</v>
      </c>
      <c r="AU299" s="18">
        <v>6699</v>
      </c>
      <c r="AV299" s="18"/>
      <c r="AW299" s="18"/>
      <c r="AX299" s="18"/>
      <c r="AY299" s="18"/>
      <c r="AZ299" s="18"/>
      <c r="BA299" s="18">
        <v>6699</v>
      </c>
    </row>
    <row r="300" spans="23:53" x14ac:dyDescent="0.3">
      <c r="W300" t="s">
        <v>290</v>
      </c>
      <c r="X300">
        <v>2021</v>
      </c>
      <c r="Y300">
        <v>3</v>
      </c>
      <c r="Z300" s="57">
        <v>44265</v>
      </c>
      <c r="AA300" t="s">
        <v>316</v>
      </c>
      <c r="AB300" s="18">
        <v>0</v>
      </c>
      <c r="AC300" s="18"/>
      <c r="AD300" s="18"/>
      <c r="AE300" s="18"/>
      <c r="AF300" s="18"/>
      <c r="AG300" s="18"/>
      <c r="AH300" s="18">
        <v>0</v>
      </c>
      <c r="AT300">
        <v>10</v>
      </c>
      <c r="AU300" s="18">
        <v>6150</v>
      </c>
      <c r="AV300" s="18"/>
      <c r="AW300" s="18"/>
      <c r="AX300" s="18"/>
      <c r="AY300" s="18"/>
      <c r="AZ300" s="18"/>
      <c r="BA300" s="18">
        <v>6150</v>
      </c>
    </row>
    <row r="301" spans="23:53" x14ac:dyDescent="0.3">
      <c r="W301" s="36" t="s">
        <v>292</v>
      </c>
      <c r="X301" s="36"/>
      <c r="Y301" s="36"/>
      <c r="Z301" s="36"/>
      <c r="AA301" s="36"/>
      <c r="AB301" s="37">
        <v>0</v>
      </c>
      <c r="AC301" s="37"/>
      <c r="AD301" s="37"/>
      <c r="AE301" s="37"/>
      <c r="AF301" s="37"/>
      <c r="AG301" s="37"/>
      <c r="AH301" s="37">
        <v>0</v>
      </c>
      <c r="AT301">
        <v>12</v>
      </c>
      <c r="AU301" s="18">
        <v>9018</v>
      </c>
      <c r="AV301" s="18"/>
      <c r="AW301" s="18"/>
      <c r="AX301" s="18"/>
      <c r="AY301" s="18"/>
      <c r="AZ301" s="18"/>
      <c r="BA301" s="18">
        <v>9018</v>
      </c>
    </row>
    <row r="302" spans="23:53" x14ac:dyDescent="0.3">
      <c r="W302" t="s">
        <v>376</v>
      </c>
      <c r="X302">
        <v>2021</v>
      </c>
      <c r="Y302">
        <v>9</v>
      </c>
      <c r="Z302" s="57">
        <v>44460</v>
      </c>
      <c r="AA302" t="s">
        <v>374</v>
      </c>
      <c r="AB302" s="18">
        <v>0</v>
      </c>
      <c r="AC302" s="18"/>
      <c r="AD302" s="18"/>
      <c r="AE302" s="18"/>
      <c r="AF302" s="18"/>
      <c r="AG302" s="18"/>
      <c r="AH302" s="18">
        <v>0</v>
      </c>
      <c r="AT302">
        <v>4</v>
      </c>
      <c r="AU302" s="18">
        <v>617.20000000000005</v>
      </c>
      <c r="AV302" s="18"/>
      <c r="AW302" s="18"/>
      <c r="AX302" s="18"/>
      <c r="AY302" s="18"/>
      <c r="AZ302" s="18"/>
      <c r="BA302" s="18">
        <v>617.20000000000005</v>
      </c>
    </row>
    <row r="303" spans="23:53" x14ac:dyDescent="0.3">
      <c r="W303" s="36" t="s">
        <v>383</v>
      </c>
      <c r="X303" s="36"/>
      <c r="Y303" s="36"/>
      <c r="Z303" s="36"/>
      <c r="AA303" s="36"/>
      <c r="AB303" s="37">
        <v>0</v>
      </c>
      <c r="AC303" s="37"/>
      <c r="AD303" s="37"/>
      <c r="AE303" s="37"/>
      <c r="AF303" s="37"/>
      <c r="AG303" s="37"/>
      <c r="AH303" s="37">
        <v>0</v>
      </c>
      <c r="AR303" s="36" t="s">
        <v>642</v>
      </c>
      <c r="AS303" s="36"/>
      <c r="AT303" s="36"/>
      <c r="AU303" s="37">
        <v>22584.2</v>
      </c>
      <c r="AV303" s="37"/>
      <c r="AW303" s="37"/>
      <c r="AX303" s="37"/>
      <c r="AY303" s="37"/>
      <c r="AZ303" s="37"/>
      <c r="BA303" s="37">
        <v>22584.2</v>
      </c>
    </row>
    <row r="304" spans="23:53" x14ac:dyDescent="0.3">
      <c r="W304" t="s">
        <v>401</v>
      </c>
      <c r="X304">
        <v>2021</v>
      </c>
      <c r="Y304">
        <v>10</v>
      </c>
      <c r="Z304" s="57">
        <v>44471</v>
      </c>
      <c r="AA304" t="s">
        <v>399</v>
      </c>
      <c r="AB304" s="18">
        <v>0</v>
      </c>
      <c r="AC304" s="18"/>
      <c r="AD304" s="18"/>
      <c r="AE304" s="18"/>
      <c r="AF304" s="18"/>
      <c r="AG304" s="18"/>
      <c r="AH304" s="18">
        <v>0</v>
      </c>
      <c r="AR304" t="s">
        <v>666</v>
      </c>
      <c r="AS304">
        <v>2022</v>
      </c>
      <c r="AT304">
        <v>3</v>
      </c>
      <c r="AU304" s="18">
        <v>0</v>
      </c>
      <c r="AV304" s="18"/>
      <c r="AW304" s="18"/>
      <c r="AX304" s="18"/>
      <c r="AY304" s="18"/>
      <c r="AZ304" s="18"/>
      <c r="BA304" s="18">
        <v>0</v>
      </c>
    </row>
    <row r="305" spans="24:53" x14ac:dyDescent="0.3">
      <c r="Z305" s="57">
        <v>44474</v>
      </c>
      <c r="AA305" t="s">
        <v>402</v>
      </c>
      <c r="AB305" s="18">
        <v>0</v>
      </c>
      <c r="AC305" s="18"/>
      <c r="AD305" s="18"/>
      <c r="AE305" s="18"/>
      <c r="AF305" s="18"/>
      <c r="AG305" s="18"/>
      <c r="AH305" s="18">
        <v>0</v>
      </c>
      <c r="AT305">
        <v>5</v>
      </c>
      <c r="AU305" s="18">
        <v>0</v>
      </c>
      <c r="AV305" s="18"/>
      <c r="AW305" s="18"/>
      <c r="AX305" s="18"/>
      <c r="AY305" s="18"/>
      <c r="AZ305" s="18"/>
      <c r="BA305" s="18">
        <v>0</v>
      </c>
    </row>
    <row r="306" spans="24:53" x14ac:dyDescent="0.3">
      <c r="Z306" s="57">
        <v>44482</v>
      </c>
      <c r="AA306" t="s">
        <v>416</v>
      </c>
      <c r="AB306" s="18">
        <v>0</v>
      </c>
      <c r="AC306" s="18"/>
      <c r="AD306" s="18"/>
      <c r="AE306" s="18"/>
      <c r="AF306" s="18"/>
      <c r="AG306" s="18"/>
      <c r="AH306" s="18">
        <v>0</v>
      </c>
      <c r="AT306">
        <v>6</v>
      </c>
      <c r="AU306" s="18">
        <v>0</v>
      </c>
      <c r="AV306" s="18"/>
      <c r="AW306" s="18"/>
      <c r="AX306" s="18"/>
      <c r="AY306" s="18"/>
      <c r="AZ306" s="18"/>
      <c r="BA306" s="18">
        <v>0</v>
      </c>
    </row>
    <row r="307" spans="24:53" x14ac:dyDescent="0.3">
      <c r="Z307" s="57">
        <v>44483</v>
      </c>
      <c r="AA307" t="s">
        <v>417</v>
      </c>
      <c r="AB307" s="18">
        <v>0</v>
      </c>
      <c r="AC307" s="18"/>
      <c r="AD307" s="18"/>
      <c r="AE307" s="18"/>
      <c r="AF307" s="18"/>
      <c r="AG307" s="18"/>
      <c r="AH307" s="18">
        <v>0</v>
      </c>
      <c r="AT307">
        <v>4</v>
      </c>
      <c r="AU307" s="18">
        <v>0</v>
      </c>
      <c r="AV307" s="18"/>
      <c r="AW307" s="18"/>
      <c r="AX307" s="18"/>
      <c r="AY307" s="18"/>
      <c r="AZ307" s="18"/>
      <c r="BA307" s="18">
        <v>0</v>
      </c>
    </row>
    <row r="308" spans="24:53" x14ac:dyDescent="0.3">
      <c r="Z308" s="57">
        <v>44497</v>
      </c>
      <c r="AA308" t="s">
        <v>448</v>
      </c>
      <c r="AB308" s="18">
        <v>0</v>
      </c>
      <c r="AC308" s="18"/>
      <c r="AD308" s="18"/>
      <c r="AE308" s="18"/>
      <c r="AF308" s="18"/>
      <c r="AG308" s="18"/>
      <c r="AH308" s="18">
        <v>0</v>
      </c>
      <c r="AS308">
        <v>2023</v>
      </c>
      <c r="AT308">
        <v>1</v>
      </c>
      <c r="AU308" s="18">
        <v>0</v>
      </c>
      <c r="AV308" s="18"/>
      <c r="AW308" s="18"/>
      <c r="AX308" s="18"/>
      <c r="AY308" s="18"/>
      <c r="AZ308" s="18"/>
      <c r="BA308" s="18">
        <v>0</v>
      </c>
    </row>
    <row r="309" spans="24:53" x14ac:dyDescent="0.3">
      <c r="Y309">
        <v>11</v>
      </c>
      <c r="Z309" s="57">
        <v>44502</v>
      </c>
      <c r="AA309" t="s">
        <v>458</v>
      </c>
      <c r="AB309" s="18">
        <v>0</v>
      </c>
      <c r="AC309" s="18"/>
      <c r="AD309" s="18"/>
      <c r="AE309" s="18"/>
      <c r="AF309" s="18"/>
      <c r="AG309" s="18"/>
      <c r="AH309" s="18">
        <v>0</v>
      </c>
      <c r="AT309">
        <v>6</v>
      </c>
      <c r="AU309" s="18">
        <v>0</v>
      </c>
      <c r="AV309" s="18"/>
      <c r="AW309" s="18"/>
      <c r="AX309" s="18"/>
      <c r="AY309" s="18"/>
      <c r="AZ309" s="18"/>
      <c r="BA309" s="18">
        <v>0</v>
      </c>
    </row>
    <row r="310" spans="24:53" x14ac:dyDescent="0.3">
      <c r="Z310" s="57">
        <v>44513</v>
      </c>
      <c r="AA310" t="s">
        <v>478</v>
      </c>
      <c r="AB310" s="18">
        <v>0</v>
      </c>
      <c r="AC310" s="18"/>
      <c r="AD310" s="18"/>
      <c r="AE310" s="18"/>
      <c r="AF310" s="18"/>
      <c r="AG310" s="18"/>
      <c r="AH310" s="18">
        <v>0</v>
      </c>
      <c r="AR310" s="36" t="s">
        <v>680</v>
      </c>
      <c r="AS310" s="36"/>
      <c r="AT310" s="36"/>
      <c r="AU310" s="37">
        <v>0</v>
      </c>
      <c r="AV310" s="37"/>
      <c r="AW310" s="37"/>
      <c r="AX310" s="37"/>
      <c r="AY310" s="37"/>
      <c r="AZ310" s="37"/>
      <c r="BA310" s="37">
        <v>0</v>
      </c>
    </row>
    <row r="311" spans="24:53" x14ac:dyDescent="0.3">
      <c r="Z311" s="57">
        <v>44526</v>
      </c>
      <c r="AA311" t="s">
        <v>482</v>
      </c>
      <c r="AB311" s="18">
        <v>0</v>
      </c>
      <c r="AC311" s="18"/>
      <c r="AD311" s="18"/>
      <c r="AE311" s="18"/>
      <c r="AF311" s="18"/>
      <c r="AG311" s="18"/>
      <c r="AH311" s="18">
        <v>0</v>
      </c>
      <c r="AR311" t="s">
        <v>710</v>
      </c>
      <c r="AS311">
        <v>2022</v>
      </c>
      <c r="AT311">
        <v>4</v>
      </c>
      <c r="AU311" s="18">
        <v>0</v>
      </c>
      <c r="AV311" s="18"/>
      <c r="AW311" s="18"/>
      <c r="AX311" s="18"/>
      <c r="AY311" s="18"/>
      <c r="AZ311" s="18"/>
      <c r="BA311" s="18">
        <v>0</v>
      </c>
    </row>
    <row r="312" spans="24:53" x14ac:dyDescent="0.3">
      <c r="AA312" t="s">
        <v>483</v>
      </c>
      <c r="AB312" s="18">
        <v>0</v>
      </c>
      <c r="AC312" s="18"/>
      <c r="AD312" s="18"/>
      <c r="AE312" s="18"/>
      <c r="AF312" s="18"/>
      <c r="AG312" s="18"/>
      <c r="AH312" s="18">
        <v>0</v>
      </c>
      <c r="AR312" s="36" t="s">
        <v>755</v>
      </c>
      <c r="AS312" s="36"/>
      <c r="AT312" s="36"/>
      <c r="AU312" s="37">
        <v>0</v>
      </c>
      <c r="AV312" s="37"/>
      <c r="AW312" s="37"/>
      <c r="AX312" s="37"/>
      <c r="AY312" s="37"/>
      <c r="AZ312" s="37"/>
      <c r="BA312" s="37">
        <v>0</v>
      </c>
    </row>
    <row r="313" spans="24:53" x14ac:dyDescent="0.3">
      <c r="Y313">
        <v>12</v>
      </c>
      <c r="Z313" s="57">
        <v>44561</v>
      </c>
      <c r="AA313" t="s">
        <v>537</v>
      </c>
      <c r="AB313" s="18">
        <v>0</v>
      </c>
      <c r="AC313" s="18"/>
      <c r="AD313" s="18"/>
      <c r="AE313" s="18"/>
      <c r="AF313" s="18"/>
      <c r="AG313" s="18"/>
      <c r="AH313" s="18">
        <v>0</v>
      </c>
      <c r="AR313" t="s">
        <v>774</v>
      </c>
      <c r="AS313">
        <v>2022</v>
      </c>
      <c r="AT313">
        <v>5</v>
      </c>
      <c r="AU313" s="18">
        <v>0</v>
      </c>
      <c r="AV313" s="18"/>
      <c r="AW313" s="18"/>
      <c r="AX313" s="18"/>
      <c r="AY313" s="18"/>
      <c r="AZ313" s="18"/>
      <c r="BA313" s="18">
        <v>0</v>
      </c>
    </row>
    <row r="314" spans="24:53" x14ac:dyDescent="0.3">
      <c r="X314">
        <v>2022</v>
      </c>
      <c r="Y314">
        <v>1</v>
      </c>
      <c r="Z314" s="57">
        <v>44567</v>
      </c>
      <c r="AA314" t="s">
        <v>548</v>
      </c>
      <c r="AB314" s="18">
        <v>0</v>
      </c>
      <c r="AC314" s="18"/>
      <c r="AD314" s="18"/>
      <c r="AE314" s="18"/>
      <c r="AF314" s="18"/>
      <c r="AG314" s="18"/>
      <c r="AH314" s="18">
        <v>0</v>
      </c>
      <c r="AT314">
        <v>4</v>
      </c>
      <c r="AU314" s="18">
        <v>0</v>
      </c>
      <c r="AV314" s="18"/>
      <c r="AW314" s="18"/>
      <c r="AX314" s="18"/>
      <c r="AY314" s="18"/>
      <c r="AZ314" s="18"/>
      <c r="BA314" s="18">
        <v>0</v>
      </c>
    </row>
    <row r="315" spans="24:53" x14ac:dyDescent="0.3">
      <c r="Z315" s="57">
        <v>44574</v>
      </c>
      <c r="AA315" t="s">
        <v>558</v>
      </c>
      <c r="AB315" s="18">
        <v>0</v>
      </c>
      <c r="AC315" s="18"/>
      <c r="AD315" s="18"/>
      <c r="AE315" s="18"/>
      <c r="AF315" s="18"/>
      <c r="AG315" s="18"/>
      <c r="AH315" s="18">
        <v>0</v>
      </c>
      <c r="AR315" s="36" t="s">
        <v>799</v>
      </c>
      <c r="AS315" s="36"/>
      <c r="AT315" s="36"/>
      <c r="AU315" s="37">
        <v>0</v>
      </c>
      <c r="AV315" s="37"/>
      <c r="AW315" s="37"/>
      <c r="AX315" s="37"/>
      <c r="AY315" s="37"/>
      <c r="AZ315" s="37"/>
      <c r="BA315" s="37">
        <v>0</v>
      </c>
    </row>
    <row r="316" spans="24:53" x14ac:dyDescent="0.3">
      <c r="Z316" s="57">
        <v>44583</v>
      </c>
      <c r="AA316" t="s">
        <v>566</v>
      </c>
      <c r="AB316" s="18">
        <v>0</v>
      </c>
      <c r="AC316" s="18"/>
      <c r="AD316" s="18"/>
      <c r="AE316" s="18"/>
      <c r="AF316" s="18"/>
      <c r="AG316" s="18"/>
      <c r="AH316" s="18">
        <v>0</v>
      </c>
      <c r="AR316" t="s">
        <v>785</v>
      </c>
      <c r="AS316">
        <v>2022</v>
      </c>
      <c r="AT316">
        <v>5</v>
      </c>
      <c r="AU316" s="18">
        <v>0</v>
      </c>
      <c r="AV316" s="18"/>
      <c r="AW316" s="18"/>
      <c r="AX316" s="18"/>
      <c r="AY316" s="18"/>
      <c r="AZ316" s="18"/>
      <c r="BA316" s="18">
        <v>0</v>
      </c>
    </row>
    <row r="317" spans="24:53" x14ac:dyDescent="0.3">
      <c r="Y317">
        <v>2</v>
      </c>
      <c r="Z317" s="57">
        <v>44602</v>
      </c>
      <c r="AA317" t="s">
        <v>602</v>
      </c>
      <c r="AB317" s="18">
        <v>0</v>
      </c>
      <c r="AC317" s="18"/>
      <c r="AD317" s="18"/>
      <c r="AE317" s="18"/>
      <c r="AF317" s="18"/>
      <c r="AG317" s="18"/>
      <c r="AH317" s="18">
        <v>0</v>
      </c>
      <c r="AT317">
        <v>8</v>
      </c>
      <c r="AU317" s="18">
        <v>0</v>
      </c>
      <c r="AV317" s="18"/>
      <c r="AW317" s="18"/>
      <c r="AX317" s="18"/>
      <c r="AY317" s="18"/>
      <c r="AZ317" s="18"/>
      <c r="BA317" s="18">
        <v>0</v>
      </c>
    </row>
    <row r="318" spans="24:53" x14ac:dyDescent="0.3">
      <c r="Z318" s="57">
        <v>44614</v>
      </c>
      <c r="AA318" t="s">
        <v>609</v>
      </c>
      <c r="AB318" s="18">
        <v>0</v>
      </c>
      <c r="AC318" s="18"/>
      <c r="AD318" s="18"/>
      <c r="AE318" s="18"/>
      <c r="AF318" s="18"/>
      <c r="AG318" s="18"/>
      <c r="AH318" s="18">
        <v>0</v>
      </c>
      <c r="AT318">
        <v>10</v>
      </c>
      <c r="AU318" s="18">
        <v>0</v>
      </c>
      <c r="AV318" s="18"/>
      <c r="AW318" s="18"/>
      <c r="AX318" s="18"/>
      <c r="AY318" s="18"/>
      <c r="AZ318" s="18"/>
      <c r="BA318" s="18">
        <v>0</v>
      </c>
    </row>
    <row r="319" spans="24:53" x14ac:dyDescent="0.3">
      <c r="Y319">
        <v>3</v>
      </c>
      <c r="Z319" s="57">
        <v>44631</v>
      </c>
      <c r="AA319" t="s">
        <v>644</v>
      </c>
      <c r="AB319" s="18">
        <v>0</v>
      </c>
      <c r="AC319" s="18"/>
      <c r="AD319" s="18"/>
      <c r="AE319" s="18"/>
      <c r="AF319" s="18"/>
      <c r="AG319" s="18"/>
      <c r="AH319" s="18">
        <v>0</v>
      </c>
      <c r="AT319">
        <v>12</v>
      </c>
      <c r="AU319" s="18">
        <v>0</v>
      </c>
      <c r="AV319" s="18"/>
      <c r="AW319" s="18"/>
      <c r="AX319" s="18"/>
      <c r="AY319" s="18"/>
      <c r="AZ319" s="18"/>
      <c r="BA319" s="18">
        <v>0</v>
      </c>
    </row>
    <row r="320" spans="24:53" x14ac:dyDescent="0.3">
      <c r="Z320" s="57">
        <v>44637</v>
      </c>
      <c r="AA320" t="s">
        <v>650</v>
      </c>
      <c r="AB320" s="18">
        <v>0</v>
      </c>
      <c r="AC320" s="18"/>
      <c r="AD320" s="18"/>
      <c r="AE320" s="18"/>
      <c r="AF320" s="18"/>
      <c r="AG320" s="18"/>
      <c r="AH320" s="18">
        <v>0</v>
      </c>
      <c r="AS320">
        <v>2023</v>
      </c>
      <c r="AT320">
        <v>3</v>
      </c>
      <c r="AU320" s="18">
        <v>0</v>
      </c>
      <c r="AV320" s="18"/>
      <c r="AW320" s="18"/>
      <c r="AX320" s="18"/>
      <c r="AY320" s="18"/>
      <c r="AZ320" s="18"/>
      <c r="BA320" s="18">
        <v>0</v>
      </c>
    </row>
    <row r="321" spans="24:53" x14ac:dyDescent="0.3">
      <c r="Y321">
        <v>5</v>
      </c>
      <c r="Z321" s="57">
        <v>44704</v>
      </c>
      <c r="AA321" t="s">
        <v>795</v>
      </c>
      <c r="AB321" s="18">
        <v>0</v>
      </c>
      <c r="AC321" s="18"/>
      <c r="AD321" s="18"/>
      <c r="AE321" s="18"/>
      <c r="AF321" s="18"/>
      <c r="AG321" s="18"/>
      <c r="AH321" s="18">
        <v>0</v>
      </c>
      <c r="AT321">
        <v>12</v>
      </c>
      <c r="AU321" s="18">
        <v>946.3</v>
      </c>
      <c r="AV321" s="18"/>
      <c r="AW321" s="18"/>
      <c r="AX321" s="18"/>
      <c r="AY321" s="18"/>
      <c r="AZ321" s="18"/>
      <c r="BA321" s="18">
        <v>946.3</v>
      </c>
    </row>
    <row r="322" spans="24:53" x14ac:dyDescent="0.3">
      <c r="Y322">
        <v>6</v>
      </c>
      <c r="Z322" s="57">
        <v>44740</v>
      </c>
      <c r="AA322" t="s">
        <v>847</v>
      </c>
      <c r="AB322" s="18">
        <v>0</v>
      </c>
      <c r="AC322" s="18"/>
      <c r="AD322" s="18"/>
      <c r="AE322" s="18"/>
      <c r="AF322" s="18"/>
      <c r="AG322" s="18"/>
      <c r="AH322" s="18">
        <v>0</v>
      </c>
      <c r="AR322" s="36" t="s">
        <v>800</v>
      </c>
      <c r="AS322" s="36"/>
      <c r="AT322" s="36"/>
      <c r="AU322" s="37">
        <v>946.3</v>
      </c>
      <c r="AV322" s="37"/>
      <c r="AW322" s="37"/>
      <c r="AX322" s="37"/>
      <c r="AY322" s="37"/>
      <c r="AZ322" s="37"/>
      <c r="BA322" s="37">
        <v>946.3</v>
      </c>
    </row>
    <row r="323" spans="24:53" x14ac:dyDescent="0.3">
      <c r="Y323">
        <v>7</v>
      </c>
      <c r="Z323" s="57">
        <v>44754</v>
      </c>
      <c r="AA323" t="s">
        <v>858</v>
      </c>
      <c r="AB323" s="18">
        <v>0</v>
      </c>
      <c r="AC323" s="18"/>
      <c r="AD323" s="18"/>
      <c r="AE323" s="18"/>
      <c r="AF323" s="18"/>
      <c r="AG323" s="18"/>
      <c r="AH323" s="18">
        <v>0</v>
      </c>
      <c r="AR323" t="s">
        <v>860</v>
      </c>
      <c r="AS323">
        <v>2022</v>
      </c>
      <c r="AT323">
        <v>7</v>
      </c>
      <c r="AU323" s="18">
        <v>0</v>
      </c>
      <c r="AV323" s="18"/>
      <c r="AW323" s="18"/>
      <c r="AX323" s="18"/>
      <c r="AY323" s="18"/>
      <c r="AZ323" s="18"/>
      <c r="BA323" s="18">
        <v>0</v>
      </c>
    </row>
    <row r="324" spans="24:53" x14ac:dyDescent="0.3">
      <c r="Y324">
        <v>8</v>
      </c>
      <c r="Z324" s="57">
        <v>44798</v>
      </c>
      <c r="AA324" t="s">
        <v>916</v>
      </c>
      <c r="AB324" s="18">
        <v>0</v>
      </c>
      <c r="AC324" s="18"/>
      <c r="AD324" s="18"/>
      <c r="AE324" s="18"/>
      <c r="AF324" s="18"/>
      <c r="AG324" s="18"/>
      <c r="AH324" s="18">
        <v>0</v>
      </c>
      <c r="AT324">
        <v>8</v>
      </c>
      <c r="AU324" s="18">
        <v>0.20000000000004547</v>
      </c>
      <c r="AV324" s="18"/>
      <c r="AW324" s="18"/>
      <c r="AX324" s="18"/>
      <c r="AY324" s="18"/>
      <c r="AZ324" s="18"/>
      <c r="BA324" s="18">
        <v>0.20000000000004547</v>
      </c>
    </row>
    <row r="325" spans="24:53" x14ac:dyDescent="0.3">
      <c r="Z325" s="57">
        <v>44799</v>
      </c>
      <c r="AA325" t="s">
        <v>916</v>
      </c>
      <c r="AB325" s="18">
        <v>0</v>
      </c>
      <c r="AC325" s="18"/>
      <c r="AD325" s="18"/>
      <c r="AE325" s="18"/>
      <c r="AF325" s="18"/>
      <c r="AG325" s="18"/>
      <c r="AH325" s="18">
        <v>0</v>
      </c>
      <c r="AT325">
        <v>9</v>
      </c>
      <c r="AU325" s="18">
        <v>0</v>
      </c>
      <c r="AV325" s="18"/>
      <c r="AW325" s="18"/>
      <c r="AX325" s="18"/>
      <c r="AY325" s="18"/>
      <c r="AZ325" s="18"/>
      <c r="BA325" s="18">
        <v>0</v>
      </c>
    </row>
    <row r="326" spans="24:53" x14ac:dyDescent="0.3">
      <c r="Y326">
        <v>9</v>
      </c>
      <c r="Z326" s="57">
        <v>44827</v>
      </c>
      <c r="AA326" t="s">
        <v>944</v>
      </c>
      <c r="AB326" s="18">
        <v>0</v>
      </c>
      <c r="AC326" s="18"/>
      <c r="AD326" s="18"/>
      <c r="AE326" s="18"/>
      <c r="AF326" s="18"/>
      <c r="AG326" s="18"/>
      <c r="AH326" s="18">
        <v>0</v>
      </c>
      <c r="AT326">
        <v>11</v>
      </c>
      <c r="AU326" s="18">
        <v>0</v>
      </c>
      <c r="AV326" s="18"/>
      <c r="AW326" s="18"/>
      <c r="AX326" s="18"/>
      <c r="AY326" s="18"/>
      <c r="AZ326" s="18"/>
      <c r="BA326" s="18">
        <v>0</v>
      </c>
    </row>
    <row r="327" spans="24:53" x14ac:dyDescent="0.3">
      <c r="Y327">
        <v>10</v>
      </c>
      <c r="Z327" s="57">
        <v>44845</v>
      </c>
      <c r="AA327" t="s">
        <v>999</v>
      </c>
      <c r="AB327" s="18">
        <v>0</v>
      </c>
      <c r="AC327" s="18"/>
      <c r="AD327" s="18"/>
      <c r="AE327" s="18"/>
      <c r="AF327" s="18"/>
      <c r="AG327" s="18"/>
      <c r="AH327" s="18">
        <v>0</v>
      </c>
      <c r="AS327">
        <v>2023</v>
      </c>
      <c r="AT327">
        <v>2</v>
      </c>
      <c r="AU327" s="18">
        <v>0</v>
      </c>
      <c r="AV327" s="18"/>
      <c r="AW327" s="18"/>
      <c r="AX327" s="18"/>
      <c r="AY327" s="18"/>
      <c r="AZ327" s="18"/>
      <c r="BA327" s="18">
        <v>0</v>
      </c>
    </row>
    <row r="328" spans="24:53" x14ac:dyDescent="0.3">
      <c r="Y328">
        <v>11</v>
      </c>
      <c r="Z328" s="57">
        <v>44880</v>
      </c>
      <c r="AA328" t="s">
        <v>1067</v>
      </c>
      <c r="AB328" s="18">
        <v>0</v>
      </c>
      <c r="AC328" s="18"/>
      <c r="AD328" s="18"/>
      <c r="AE328" s="18"/>
      <c r="AF328" s="18"/>
      <c r="AG328" s="18"/>
      <c r="AH328" s="18">
        <v>0</v>
      </c>
      <c r="AT328">
        <v>5</v>
      </c>
      <c r="AU328" s="18">
        <v>3784</v>
      </c>
      <c r="AV328" s="18"/>
      <c r="AW328" s="18"/>
      <c r="AX328" s="18"/>
      <c r="AY328" s="18"/>
      <c r="AZ328" s="18"/>
      <c r="BA328" s="18">
        <v>3784</v>
      </c>
    </row>
    <row r="329" spans="24:53" x14ac:dyDescent="0.3">
      <c r="Z329" t="s">
        <v>1070</v>
      </c>
      <c r="AA329" t="s">
        <v>1068</v>
      </c>
      <c r="AB329" s="18">
        <v>0</v>
      </c>
      <c r="AC329" s="18"/>
      <c r="AD329" s="18"/>
      <c r="AE329" s="18"/>
      <c r="AF329" s="18"/>
      <c r="AG329" s="18"/>
      <c r="AH329" s="18">
        <v>0</v>
      </c>
      <c r="AT329">
        <v>7</v>
      </c>
      <c r="AU329" s="18">
        <v>2516</v>
      </c>
      <c r="AV329" s="18"/>
      <c r="AW329" s="18"/>
      <c r="AX329" s="18"/>
      <c r="AY329" s="18"/>
      <c r="AZ329" s="18"/>
      <c r="BA329" s="18">
        <v>2516</v>
      </c>
    </row>
    <row r="330" spans="24:53" x14ac:dyDescent="0.3">
      <c r="Y330">
        <v>12</v>
      </c>
      <c r="Z330" t="s">
        <v>1135</v>
      </c>
      <c r="AA330" t="s">
        <v>1134</v>
      </c>
      <c r="AB330" s="18">
        <v>0</v>
      </c>
      <c r="AC330" s="18"/>
      <c r="AD330" s="18"/>
      <c r="AE330" s="18"/>
      <c r="AF330" s="18"/>
      <c r="AG330" s="18"/>
      <c r="AH330" s="18">
        <v>0</v>
      </c>
      <c r="AT330">
        <v>11</v>
      </c>
      <c r="AU330" s="18">
        <v>4987.1000000000004</v>
      </c>
      <c r="AV330" s="18"/>
      <c r="AW330" s="18"/>
      <c r="AX330" s="18"/>
      <c r="AY330" s="18"/>
      <c r="AZ330" s="18"/>
      <c r="BA330" s="18">
        <v>4987.1000000000004</v>
      </c>
    </row>
    <row r="331" spans="24:53" x14ac:dyDescent="0.3">
      <c r="Y331">
        <v>4</v>
      </c>
      <c r="Z331" s="57">
        <v>44659</v>
      </c>
      <c r="AA331" t="s">
        <v>687</v>
      </c>
      <c r="AB331" s="18">
        <v>0</v>
      </c>
      <c r="AC331" s="18"/>
      <c r="AD331" s="18"/>
      <c r="AE331" s="18"/>
      <c r="AF331" s="18"/>
      <c r="AG331" s="18"/>
      <c r="AH331" s="18">
        <v>0</v>
      </c>
      <c r="AT331">
        <v>4</v>
      </c>
      <c r="AU331" s="18">
        <v>6058.6</v>
      </c>
      <c r="AV331" s="18"/>
      <c r="AW331" s="18"/>
      <c r="AX331" s="18"/>
      <c r="AY331" s="18"/>
      <c r="AZ331" s="18"/>
      <c r="BA331" s="18">
        <v>6058.6</v>
      </c>
    </row>
    <row r="332" spans="24:53" x14ac:dyDescent="0.3">
      <c r="Z332" s="57">
        <v>44679</v>
      </c>
      <c r="AA332" t="s">
        <v>727</v>
      </c>
      <c r="AB332" s="18">
        <v>0</v>
      </c>
      <c r="AC332" s="18"/>
      <c r="AD332" s="18"/>
      <c r="AE332" s="18"/>
      <c r="AF332" s="18"/>
      <c r="AG332" s="18"/>
      <c r="AH332" s="18">
        <v>0</v>
      </c>
      <c r="AR332" s="36" t="s">
        <v>875</v>
      </c>
      <c r="AS332" s="36"/>
      <c r="AT332" s="36"/>
      <c r="AU332" s="37">
        <v>17345.900000000001</v>
      </c>
      <c r="AV332" s="37"/>
      <c r="AW332" s="37"/>
      <c r="AX332" s="37"/>
      <c r="AY332" s="37"/>
      <c r="AZ332" s="37"/>
      <c r="BA332" s="37">
        <v>17345.900000000001</v>
      </c>
    </row>
    <row r="333" spans="24:53" x14ac:dyDescent="0.3">
      <c r="X333">
        <v>2023</v>
      </c>
      <c r="Y333">
        <v>1</v>
      </c>
      <c r="Z333" s="57">
        <v>44946</v>
      </c>
      <c r="AA333" t="s">
        <v>1195</v>
      </c>
      <c r="AB333" s="18">
        <v>0</v>
      </c>
      <c r="AC333" s="18"/>
      <c r="AD333" s="18"/>
      <c r="AE333" s="18"/>
      <c r="AF333" s="18"/>
      <c r="AG333" s="18"/>
      <c r="AH333" s="18">
        <v>0</v>
      </c>
      <c r="AR333" t="s">
        <v>959</v>
      </c>
      <c r="AS333">
        <v>2022</v>
      </c>
      <c r="AT333">
        <v>9</v>
      </c>
      <c r="AU333" s="18">
        <v>0</v>
      </c>
      <c r="AV333" s="18"/>
      <c r="AW333" s="18"/>
      <c r="AX333" s="18"/>
      <c r="AY333" s="18"/>
      <c r="AZ333" s="18"/>
      <c r="BA333" s="18">
        <v>0</v>
      </c>
    </row>
    <row r="334" spans="24:53" x14ac:dyDescent="0.3">
      <c r="Y334">
        <v>2</v>
      </c>
      <c r="Z334" s="57">
        <v>44968</v>
      </c>
      <c r="AA334" t="s">
        <v>1257</v>
      </c>
      <c r="AB334" s="18">
        <v>0</v>
      </c>
      <c r="AC334" s="18"/>
      <c r="AD334" s="18"/>
      <c r="AE334" s="18"/>
      <c r="AF334" s="18"/>
      <c r="AG334" s="18"/>
      <c r="AH334" s="18">
        <v>0</v>
      </c>
      <c r="AS334">
        <v>2023</v>
      </c>
      <c r="AT334">
        <v>1</v>
      </c>
      <c r="AU334" s="18">
        <v>0</v>
      </c>
      <c r="AV334" s="18"/>
      <c r="AW334" s="18"/>
      <c r="AX334" s="18"/>
      <c r="AY334" s="18"/>
      <c r="AZ334" s="18"/>
      <c r="BA334" s="18">
        <v>0</v>
      </c>
    </row>
    <row r="335" spans="24:53" x14ac:dyDescent="0.3">
      <c r="Z335" t="s">
        <v>1280</v>
      </c>
      <c r="AA335" t="s">
        <v>1281</v>
      </c>
      <c r="AB335" s="18">
        <v>0</v>
      </c>
      <c r="AC335" s="18"/>
      <c r="AD335" s="18"/>
      <c r="AE335" s="18"/>
      <c r="AF335" s="18"/>
      <c r="AG335" s="18"/>
      <c r="AH335" s="18">
        <v>0</v>
      </c>
      <c r="AR335" s="36" t="s">
        <v>986</v>
      </c>
      <c r="AS335" s="36"/>
      <c r="AT335" s="36"/>
      <c r="AU335" s="37">
        <v>0</v>
      </c>
      <c r="AV335" s="37"/>
      <c r="AW335" s="37"/>
      <c r="AX335" s="37"/>
      <c r="AY335" s="37"/>
      <c r="AZ335" s="37"/>
      <c r="BA335" s="37">
        <v>0</v>
      </c>
    </row>
    <row r="336" spans="24:53" x14ac:dyDescent="0.3">
      <c r="Z336" t="s">
        <v>1284</v>
      </c>
      <c r="AA336" t="s">
        <v>1282</v>
      </c>
      <c r="AB336" s="18">
        <v>0</v>
      </c>
      <c r="AC336" s="18"/>
      <c r="AD336" s="18"/>
      <c r="AE336" s="18"/>
      <c r="AF336" s="18"/>
      <c r="AG336" s="18"/>
      <c r="AH336" s="18">
        <v>0</v>
      </c>
      <c r="AR336" t="s">
        <v>1045</v>
      </c>
      <c r="AS336" t="s">
        <v>1764</v>
      </c>
      <c r="AT336" t="s">
        <v>1764</v>
      </c>
      <c r="AU336" s="18"/>
      <c r="AV336" s="18"/>
      <c r="AW336" s="18"/>
      <c r="AX336" s="18"/>
      <c r="AY336" s="18">
        <v>0</v>
      </c>
      <c r="AZ336" s="18"/>
      <c r="BA336" s="18">
        <v>0</v>
      </c>
    </row>
    <row r="337" spans="25:53" x14ac:dyDescent="0.3">
      <c r="Y337">
        <v>3</v>
      </c>
      <c r="Z337" t="s">
        <v>1322</v>
      </c>
      <c r="AA337" t="s">
        <v>1320</v>
      </c>
      <c r="AB337" s="18">
        <v>-1.1368683772161603E-13</v>
      </c>
      <c r="AC337" s="18"/>
      <c r="AD337" s="18"/>
      <c r="AE337" s="18"/>
      <c r="AF337" s="18"/>
      <c r="AG337" s="18"/>
      <c r="AH337" s="18">
        <v>-1.1368683772161603E-13</v>
      </c>
      <c r="AR337" s="36" t="s">
        <v>1046</v>
      </c>
      <c r="AS337" s="36"/>
      <c r="AT337" s="36"/>
      <c r="AU337" s="37"/>
      <c r="AV337" s="37"/>
      <c r="AW337" s="37"/>
      <c r="AX337" s="37"/>
      <c r="AY337" s="37">
        <v>0</v>
      </c>
      <c r="AZ337" s="37"/>
      <c r="BA337" s="37">
        <v>0</v>
      </c>
    </row>
    <row r="338" spans="25:53" x14ac:dyDescent="0.3">
      <c r="Z338" t="s">
        <v>1325</v>
      </c>
      <c r="AA338" t="s">
        <v>1321</v>
      </c>
      <c r="AB338" s="18">
        <v>0</v>
      </c>
      <c r="AC338" s="18"/>
      <c r="AD338" s="18"/>
      <c r="AE338" s="18"/>
      <c r="AF338" s="18"/>
      <c r="AG338" s="18"/>
      <c r="AH338" s="18">
        <v>0</v>
      </c>
      <c r="AR338" t="s">
        <v>1052</v>
      </c>
      <c r="AS338">
        <v>2022</v>
      </c>
      <c r="AT338">
        <v>11</v>
      </c>
      <c r="AU338" s="18">
        <v>0</v>
      </c>
      <c r="AV338" s="18"/>
      <c r="AW338" s="18"/>
      <c r="AX338" s="18"/>
      <c r="AY338" s="18"/>
      <c r="AZ338" s="18"/>
      <c r="BA338" s="18">
        <v>0</v>
      </c>
    </row>
    <row r="339" spans="25:53" x14ac:dyDescent="0.3">
      <c r="Z339" t="s">
        <v>1335</v>
      </c>
      <c r="AA339" t="s">
        <v>1338</v>
      </c>
      <c r="AB339" s="18">
        <v>0</v>
      </c>
      <c r="AC339" s="18"/>
      <c r="AD339" s="18"/>
      <c r="AE339" s="18"/>
      <c r="AF339" s="18"/>
      <c r="AG339" s="18"/>
      <c r="AH339" s="18">
        <v>0</v>
      </c>
      <c r="AT339">
        <v>12</v>
      </c>
      <c r="AU339" s="18">
        <v>0</v>
      </c>
      <c r="AV339" s="18"/>
      <c r="AW339" s="18"/>
      <c r="AX339" s="18"/>
      <c r="AY339" s="18"/>
      <c r="AZ339" s="18"/>
      <c r="BA339" s="18">
        <v>0</v>
      </c>
    </row>
    <row r="340" spans="25:53" x14ac:dyDescent="0.3">
      <c r="Y340">
        <v>5</v>
      </c>
      <c r="Z340" s="57">
        <v>45058</v>
      </c>
      <c r="AA340" t="s">
        <v>1542</v>
      </c>
      <c r="AB340" s="18">
        <v>0</v>
      </c>
      <c r="AC340" s="18"/>
      <c r="AD340" s="18"/>
      <c r="AE340" s="18"/>
      <c r="AF340" s="18"/>
      <c r="AG340" s="18"/>
      <c r="AH340" s="18">
        <v>0</v>
      </c>
      <c r="AR340" s="36" t="s">
        <v>1089</v>
      </c>
      <c r="AS340" s="36"/>
      <c r="AT340" s="36"/>
      <c r="AU340" s="37">
        <v>0</v>
      </c>
      <c r="AV340" s="37"/>
      <c r="AW340" s="37"/>
      <c r="AX340" s="37"/>
      <c r="AY340" s="37"/>
      <c r="AZ340" s="37"/>
      <c r="BA340" s="37">
        <v>0</v>
      </c>
    </row>
    <row r="341" spans="25:53" x14ac:dyDescent="0.3">
      <c r="Y341">
        <v>6</v>
      </c>
      <c r="Z341" t="s">
        <v>1612</v>
      </c>
      <c r="AA341" t="s">
        <v>1611</v>
      </c>
      <c r="AB341" s="18">
        <v>3101.8999999999996</v>
      </c>
      <c r="AC341" s="18"/>
      <c r="AD341" s="18"/>
      <c r="AE341" s="18"/>
      <c r="AF341" s="18"/>
      <c r="AG341" s="18"/>
      <c r="AH341" s="18">
        <v>3101.8999999999996</v>
      </c>
      <c r="AR341" t="s">
        <v>1058</v>
      </c>
      <c r="AS341">
        <v>2022</v>
      </c>
      <c r="AT341">
        <v>11</v>
      </c>
      <c r="AU341" s="18">
        <v>0</v>
      </c>
      <c r="AV341" s="18"/>
      <c r="AW341" s="18"/>
      <c r="AX341" s="18"/>
      <c r="AY341" s="18"/>
      <c r="AZ341" s="18"/>
      <c r="BA341" s="18">
        <v>0</v>
      </c>
    </row>
    <row r="342" spans="25:53" x14ac:dyDescent="0.3">
      <c r="Z342" s="57">
        <v>45091</v>
      </c>
      <c r="AA342" t="s">
        <v>1627</v>
      </c>
      <c r="AB342" s="18">
        <v>410</v>
      </c>
      <c r="AC342" s="18"/>
      <c r="AD342" s="18"/>
      <c r="AE342" s="18"/>
      <c r="AF342" s="18"/>
      <c r="AG342" s="18"/>
      <c r="AH342" s="18">
        <v>410</v>
      </c>
      <c r="AR342" s="36" t="s">
        <v>1090</v>
      </c>
      <c r="AS342" s="36"/>
      <c r="AT342" s="36"/>
      <c r="AU342" s="37">
        <v>0</v>
      </c>
      <c r="AV342" s="37"/>
      <c r="AW342" s="37"/>
      <c r="AX342" s="37"/>
      <c r="AY342" s="37"/>
      <c r="AZ342" s="37"/>
      <c r="BA342" s="37">
        <v>0</v>
      </c>
    </row>
    <row r="343" spans="25:53" x14ac:dyDescent="0.3">
      <c r="Z343" s="57">
        <v>45101</v>
      </c>
      <c r="AA343" t="s">
        <v>1652</v>
      </c>
      <c r="AB343" s="18">
        <v>5329.9</v>
      </c>
      <c r="AC343" s="18"/>
      <c r="AD343" s="18"/>
      <c r="AE343" s="18"/>
      <c r="AF343" s="18"/>
      <c r="AG343" s="18"/>
      <c r="AH343" s="18">
        <v>5329.9</v>
      </c>
      <c r="AR343" t="s">
        <v>1102</v>
      </c>
      <c r="AS343">
        <v>2022</v>
      </c>
      <c r="AT343">
        <v>11</v>
      </c>
      <c r="AU343" s="18">
        <v>0</v>
      </c>
      <c r="AV343" s="18"/>
      <c r="AW343" s="18"/>
      <c r="AX343" s="18"/>
      <c r="AY343" s="18"/>
      <c r="AZ343" s="18"/>
      <c r="BA343" s="18">
        <v>0</v>
      </c>
    </row>
    <row r="344" spans="25:53" x14ac:dyDescent="0.3">
      <c r="Y344">
        <v>7</v>
      </c>
      <c r="Z344" t="s">
        <v>1725</v>
      </c>
      <c r="AA344" t="s">
        <v>1724</v>
      </c>
      <c r="AB344" s="18">
        <v>5238.8999999999996</v>
      </c>
      <c r="AC344" s="18"/>
      <c r="AD344" s="18"/>
      <c r="AE344" s="18"/>
      <c r="AF344" s="18"/>
      <c r="AG344" s="18"/>
      <c r="AH344" s="18">
        <v>5238.8999999999996</v>
      </c>
      <c r="AR344" s="36" t="s">
        <v>1105</v>
      </c>
      <c r="AS344" s="36"/>
      <c r="AT344" s="36"/>
      <c r="AU344" s="37">
        <v>0</v>
      </c>
      <c r="AV344" s="37"/>
      <c r="AW344" s="37"/>
      <c r="AX344" s="37"/>
      <c r="AY344" s="37"/>
      <c r="AZ344" s="37"/>
      <c r="BA344" s="37">
        <v>0</v>
      </c>
    </row>
    <row r="345" spans="25:53" x14ac:dyDescent="0.3">
      <c r="Z345" s="57">
        <v>45127</v>
      </c>
      <c r="AA345" t="s">
        <v>1727</v>
      </c>
      <c r="AB345" s="18">
        <v>420</v>
      </c>
      <c r="AC345" s="18"/>
      <c r="AD345" s="18"/>
      <c r="AE345" s="18"/>
      <c r="AF345" s="18"/>
      <c r="AG345" s="18"/>
      <c r="AH345" s="18">
        <v>420</v>
      </c>
      <c r="AR345" t="s">
        <v>1101</v>
      </c>
      <c r="AS345">
        <v>2022</v>
      </c>
      <c r="AT345">
        <v>11</v>
      </c>
      <c r="AU345" s="18">
        <v>0</v>
      </c>
      <c r="AV345" s="18"/>
      <c r="AW345" s="18"/>
      <c r="AX345" s="18"/>
      <c r="AY345" s="18"/>
      <c r="AZ345" s="18"/>
      <c r="BA345" s="18">
        <v>0</v>
      </c>
    </row>
    <row r="346" spans="25:53" x14ac:dyDescent="0.3">
      <c r="Y346">
        <v>8</v>
      </c>
      <c r="Z346" s="57">
        <v>45142</v>
      </c>
      <c r="AA346" t="s">
        <v>1799</v>
      </c>
      <c r="AB346" s="18">
        <v>3565.5</v>
      </c>
      <c r="AC346" s="18"/>
      <c r="AD346" s="18"/>
      <c r="AE346" s="18"/>
      <c r="AF346" s="18"/>
      <c r="AG346" s="18"/>
      <c r="AH346" s="18">
        <v>3565.5</v>
      </c>
      <c r="AR346" s="36" t="s">
        <v>1106</v>
      </c>
      <c r="AS346" s="36"/>
      <c r="AT346" s="36"/>
      <c r="AU346" s="37">
        <v>0</v>
      </c>
      <c r="AV346" s="37"/>
      <c r="AW346" s="37"/>
      <c r="AX346" s="37"/>
      <c r="AY346" s="37"/>
      <c r="AZ346" s="37"/>
      <c r="BA346" s="37">
        <v>0</v>
      </c>
    </row>
    <row r="347" spans="25:53" x14ac:dyDescent="0.3">
      <c r="Z347" s="57">
        <v>45153</v>
      </c>
      <c r="AA347" t="s">
        <v>1813</v>
      </c>
      <c r="AB347" s="18">
        <v>1738</v>
      </c>
      <c r="AC347" s="18"/>
      <c r="AD347" s="18"/>
      <c r="AE347" s="18"/>
      <c r="AF347" s="18"/>
      <c r="AG347" s="18"/>
      <c r="AH347" s="18">
        <v>1738</v>
      </c>
      <c r="AR347" t="s">
        <v>1197</v>
      </c>
      <c r="AS347">
        <v>2023</v>
      </c>
      <c r="AT347">
        <v>1</v>
      </c>
      <c r="AU347" s="18">
        <v>0</v>
      </c>
      <c r="AV347" s="18"/>
      <c r="AW347" s="18"/>
      <c r="AX347" s="18"/>
      <c r="AY347" s="18"/>
      <c r="AZ347" s="18"/>
      <c r="BA347" s="18">
        <v>0</v>
      </c>
    </row>
    <row r="348" spans="25:53" x14ac:dyDescent="0.3">
      <c r="Z348" s="57">
        <v>45155</v>
      </c>
      <c r="AA348" t="s">
        <v>1822</v>
      </c>
      <c r="AB348" s="18">
        <v>250</v>
      </c>
      <c r="AC348" s="18"/>
      <c r="AD348" s="18"/>
      <c r="AE348" s="18"/>
      <c r="AF348" s="18"/>
      <c r="AG348" s="18"/>
      <c r="AH348" s="18">
        <v>250</v>
      </c>
      <c r="AT348">
        <v>2</v>
      </c>
      <c r="AU348" s="18">
        <v>0</v>
      </c>
      <c r="AV348" s="18"/>
      <c r="AW348" s="18"/>
      <c r="AX348" s="18"/>
      <c r="AY348" s="18"/>
      <c r="AZ348" s="18"/>
      <c r="BA348" s="18">
        <v>0</v>
      </c>
    </row>
    <row r="349" spans="25:53" x14ac:dyDescent="0.3">
      <c r="Z349" s="57">
        <v>45160</v>
      </c>
      <c r="AA349" t="s">
        <v>1827</v>
      </c>
      <c r="AB349" s="18">
        <v>1738</v>
      </c>
      <c r="AC349" s="18"/>
      <c r="AD349" s="18"/>
      <c r="AE349" s="18"/>
      <c r="AF349" s="18"/>
      <c r="AG349" s="18"/>
      <c r="AH349" s="18">
        <v>1738</v>
      </c>
      <c r="AT349">
        <v>3</v>
      </c>
      <c r="AU349" s="18">
        <v>0</v>
      </c>
      <c r="AV349" s="18"/>
      <c r="AW349" s="18"/>
      <c r="AX349" s="18"/>
      <c r="AY349" s="18"/>
      <c r="AZ349" s="18"/>
      <c r="BA349" s="18">
        <v>0</v>
      </c>
    </row>
    <row r="350" spans="25:53" x14ac:dyDescent="0.3">
      <c r="Z350" s="57">
        <v>45164</v>
      </c>
      <c r="AA350" t="s">
        <v>1831</v>
      </c>
      <c r="AB350" s="18">
        <v>811.2</v>
      </c>
      <c r="AC350" s="18"/>
      <c r="AD350" s="18"/>
      <c r="AE350" s="18"/>
      <c r="AF350" s="18"/>
      <c r="AG350" s="18"/>
      <c r="AH350" s="18">
        <v>811.2</v>
      </c>
      <c r="AT350">
        <v>5</v>
      </c>
      <c r="AU350" s="18">
        <v>0</v>
      </c>
      <c r="AV350" s="18"/>
      <c r="AW350" s="18"/>
      <c r="AX350" s="18"/>
      <c r="AY350" s="18"/>
      <c r="AZ350" s="18"/>
      <c r="BA350" s="18">
        <v>0</v>
      </c>
    </row>
    <row r="351" spans="25:53" x14ac:dyDescent="0.3">
      <c r="Z351" s="57">
        <v>45168</v>
      </c>
      <c r="AA351" t="s">
        <v>1836</v>
      </c>
      <c r="AB351" s="18">
        <v>1738</v>
      </c>
      <c r="AC351" s="18"/>
      <c r="AD351" s="18"/>
      <c r="AE351" s="18"/>
      <c r="AF351" s="18"/>
      <c r="AG351" s="18"/>
      <c r="AH351" s="18">
        <v>1738</v>
      </c>
      <c r="AT351">
        <v>6</v>
      </c>
      <c r="AU351" s="18">
        <v>0</v>
      </c>
      <c r="AV351" s="18"/>
      <c r="AW351" s="18"/>
      <c r="AX351" s="18"/>
      <c r="AY351" s="18"/>
      <c r="AZ351" s="18"/>
      <c r="BA351" s="18">
        <v>0</v>
      </c>
    </row>
    <row r="352" spans="25:53" x14ac:dyDescent="0.3">
      <c r="Y352">
        <v>9</v>
      </c>
      <c r="Z352" s="57">
        <v>45177</v>
      </c>
      <c r="AA352" t="s">
        <v>1890</v>
      </c>
      <c r="AB352" s="18">
        <v>3005.6</v>
      </c>
      <c r="AC352" s="18"/>
      <c r="AD352" s="18"/>
      <c r="AE352" s="18"/>
      <c r="AF352" s="18"/>
      <c r="AG352" s="18"/>
      <c r="AH352" s="18">
        <v>3005.6</v>
      </c>
      <c r="AT352">
        <v>7</v>
      </c>
      <c r="AU352" s="18">
        <v>0</v>
      </c>
      <c r="AV352" s="18"/>
      <c r="AW352" s="18"/>
      <c r="AX352" s="18"/>
      <c r="AY352" s="18"/>
      <c r="AZ352" s="18"/>
      <c r="BA352" s="18">
        <v>0</v>
      </c>
    </row>
    <row r="353" spans="25:53" x14ac:dyDescent="0.3">
      <c r="Z353" s="57">
        <v>45182</v>
      </c>
      <c r="AA353" t="s">
        <v>1903</v>
      </c>
      <c r="AB353" s="18">
        <v>322.5</v>
      </c>
      <c r="AC353" s="18"/>
      <c r="AD353" s="18"/>
      <c r="AE353" s="18"/>
      <c r="AF353" s="18"/>
      <c r="AG353" s="18"/>
      <c r="AH353" s="18">
        <v>322.5</v>
      </c>
      <c r="AT353">
        <v>8</v>
      </c>
      <c r="AU353" s="18">
        <v>0</v>
      </c>
      <c r="AV353" s="18"/>
      <c r="AW353" s="18"/>
      <c r="AX353" s="18"/>
      <c r="AY353" s="18"/>
      <c r="AZ353" s="18"/>
      <c r="BA353" s="18">
        <v>0</v>
      </c>
    </row>
    <row r="354" spans="25:53" x14ac:dyDescent="0.3">
      <c r="Z354" s="57">
        <v>45192</v>
      </c>
      <c r="AA354" t="s">
        <v>1917</v>
      </c>
      <c r="AB354" s="18">
        <v>2128</v>
      </c>
      <c r="AC354" s="18"/>
      <c r="AD354" s="18"/>
      <c r="AE354" s="18"/>
      <c r="AF354" s="18"/>
      <c r="AG354" s="18"/>
      <c r="AH354" s="18">
        <v>2128</v>
      </c>
      <c r="AT354">
        <v>9</v>
      </c>
      <c r="AU354" s="18">
        <v>5258.3</v>
      </c>
      <c r="AV354" s="18"/>
      <c r="AW354" s="18"/>
      <c r="AX354" s="18"/>
      <c r="AY354" s="18"/>
      <c r="AZ354" s="18"/>
      <c r="BA354" s="18">
        <v>5258.3</v>
      </c>
    </row>
    <row r="355" spans="25:53" x14ac:dyDescent="0.3">
      <c r="Z355" s="57">
        <v>45195</v>
      </c>
      <c r="AA355" t="s">
        <v>1921</v>
      </c>
      <c r="AB355" s="18">
        <v>1196.2</v>
      </c>
      <c r="AC355" s="18"/>
      <c r="AD355" s="18"/>
      <c r="AE355" s="18"/>
      <c r="AF355" s="18"/>
      <c r="AG355" s="18"/>
      <c r="AH355" s="18">
        <v>1196.2</v>
      </c>
      <c r="AT355">
        <v>10</v>
      </c>
      <c r="AU355" s="18">
        <v>2740</v>
      </c>
      <c r="AV355" s="18"/>
      <c r="AW355" s="18"/>
      <c r="AX355" s="18"/>
      <c r="AY355" s="18"/>
      <c r="AZ355" s="18"/>
      <c r="BA355" s="18">
        <v>2740</v>
      </c>
    </row>
    <row r="356" spans="25:53" x14ac:dyDescent="0.3">
      <c r="Y356">
        <v>10</v>
      </c>
      <c r="Z356" s="57">
        <v>45202</v>
      </c>
      <c r="AA356" t="s">
        <v>1993</v>
      </c>
      <c r="AB356" s="18">
        <v>2615.1999999999998</v>
      </c>
      <c r="AC356" s="18"/>
      <c r="AD356" s="18"/>
      <c r="AE356" s="18"/>
      <c r="AF356" s="18"/>
      <c r="AG356" s="18"/>
      <c r="AH356" s="18">
        <v>2615.1999999999998</v>
      </c>
      <c r="AT356">
        <v>11</v>
      </c>
      <c r="AU356" s="18">
        <v>3078</v>
      </c>
      <c r="AV356" s="18"/>
      <c r="AW356" s="18"/>
      <c r="AX356" s="18"/>
      <c r="AY356" s="18"/>
      <c r="AZ356" s="18"/>
      <c r="BA356" s="18">
        <v>3078</v>
      </c>
    </row>
    <row r="357" spans="25:53" x14ac:dyDescent="0.3">
      <c r="Z357" t="s">
        <v>2011</v>
      </c>
      <c r="AA357" t="s">
        <v>2012</v>
      </c>
      <c r="AB357" s="18">
        <v>1738</v>
      </c>
      <c r="AC357" s="18"/>
      <c r="AD357" s="18"/>
      <c r="AE357" s="18"/>
      <c r="AF357" s="18"/>
      <c r="AG357" s="18"/>
      <c r="AH357" s="18">
        <v>1738</v>
      </c>
      <c r="AT357">
        <v>4</v>
      </c>
      <c r="AU357" s="18">
        <v>0</v>
      </c>
      <c r="AV357" s="18"/>
      <c r="AW357" s="18"/>
      <c r="AX357" s="18"/>
      <c r="AY357" s="18"/>
      <c r="AZ357" s="18"/>
      <c r="BA357" s="18">
        <v>0</v>
      </c>
    </row>
    <row r="358" spans="25:53" x14ac:dyDescent="0.3">
      <c r="Z358" s="57">
        <v>45225</v>
      </c>
      <c r="AA358" t="s">
        <v>2033</v>
      </c>
      <c r="AB358" s="18">
        <v>2535.5</v>
      </c>
      <c r="AC358" s="18"/>
      <c r="AD358" s="18"/>
      <c r="AE358" s="18"/>
      <c r="AF358" s="18"/>
      <c r="AG358" s="18"/>
      <c r="AH358" s="18">
        <v>2535.5</v>
      </c>
      <c r="AR358" s="36" t="s">
        <v>1233</v>
      </c>
      <c r="AS358" s="36"/>
      <c r="AT358" s="36"/>
      <c r="AU358" s="37">
        <v>11076.3</v>
      </c>
      <c r="AV358" s="37"/>
      <c r="AW358" s="37"/>
      <c r="AX358" s="37"/>
      <c r="AY358" s="37"/>
      <c r="AZ358" s="37"/>
      <c r="BA358" s="37">
        <v>11076.3</v>
      </c>
    </row>
    <row r="359" spans="25:53" x14ac:dyDescent="0.3">
      <c r="Z359" s="57">
        <v>45226</v>
      </c>
      <c r="AA359" t="s">
        <v>2035</v>
      </c>
      <c r="AB359" s="18">
        <v>648</v>
      </c>
      <c r="AC359" s="18"/>
      <c r="AD359" s="18"/>
      <c r="AE359" s="18"/>
      <c r="AF359" s="18"/>
      <c r="AG359" s="18"/>
      <c r="AH359" s="18">
        <v>648</v>
      </c>
      <c r="AR359" t="s">
        <v>1258</v>
      </c>
      <c r="AS359">
        <v>2023</v>
      </c>
      <c r="AT359">
        <v>2</v>
      </c>
      <c r="AU359" s="18">
        <v>0</v>
      </c>
      <c r="AV359" s="18"/>
      <c r="AW359" s="18"/>
      <c r="AX359" s="18"/>
      <c r="AY359" s="18"/>
      <c r="AZ359" s="18"/>
      <c r="BA359" s="18">
        <v>0</v>
      </c>
    </row>
    <row r="360" spans="25:53" x14ac:dyDescent="0.3">
      <c r="Y360">
        <v>11</v>
      </c>
      <c r="Z360" s="57">
        <v>45233</v>
      </c>
      <c r="AA360" t="s">
        <v>2099</v>
      </c>
      <c r="AB360" s="18">
        <v>2418</v>
      </c>
      <c r="AC360" s="18"/>
      <c r="AD360" s="18"/>
      <c r="AE360" s="18"/>
      <c r="AF360" s="18"/>
      <c r="AG360" s="18"/>
      <c r="AH360" s="18">
        <v>2418</v>
      </c>
      <c r="AT360">
        <v>4</v>
      </c>
      <c r="AU360" s="18">
        <v>0</v>
      </c>
      <c r="AV360" s="18"/>
      <c r="AW360" s="18"/>
      <c r="AX360" s="18"/>
      <c r="AY360" s="18"/>
      <c r="AZ360" s="18"/>
      <c r="BA360" s="18">
        <v>0</v>
      </c>
    </row>
    <row r="361" spans="25:53" x14ac:dyDescent="0.3">
      <c r="Z361" s="57">
        <v>45245</v>
      </c>
      <c r="AA361" t="s">
        <v>2116</v>
      </c>
      <c r="AB361" s="18">
        <v>3085.5</v>
      </c>
      <c r="AC361" s="18"/>
      <c r="AD361" s="18"/>
      <c r="AE361" s="18"/>
      <c r="AF361" s="18"/>
      <c r="AG361" s="18"/>
      <c r="AH361" s="18">
        <v>3085.5</v>
      </c>
      <c r="AR361" s="36" t="s">
        <v>1388</v>
      </c>
      <c r="AS361" s="36"/>
      <c r="AT361" s="36"/>
      <c r="AU361" s="37">
        <v>0</v>
      </c>
      <c r="AV361" s="37"/>
      <c r="AW361" s="37"/>
      <c r="AX361" s="37"/>
      <c r="AY361" s="37"/>
      <c r="AZ361" s="37"/>
      <c r="BA361" s="37">
        <v>0</v>
      </c>
    </row>
    <row r="362" spans="25:53" x14ac:dyDescent="0.3">
      <c r="Z362" s="57">
        <v>45259</v>
      </c>
      <c r="AA362" t="s">
        <v>2129</v>
      </c>
      <c r="AB362" s="18">
        <v>3424.3</v>
      </c>
      <c r="AC362" s="18"/>
      <c r="AD362" s="18"/>
      <c r="AE362" s="18"/>
      <c r="AF362" s="18"/>
      <c r="AG362" s="18"/>
      <c r="AH362" s="18">
        <v>3424.3</v>
      </c>
      <c r="AR362" t="s">
        <v>1305</v>
      </c>
      <c r="AS362">
        <v>2023</v>
      </c>
      <c r="AT362">
        <v>3</v>
      </c>
      <c r="AU362" s="18">
        <v>0</v>
      </c>
      <c r="AV362" s="18"/>
      <c r="AW362" s="18"/>
      <c r="AX362" s="18"/>
      <c r="AY362" s="18"/>
      <c r="AZ362" s="18"/>
      <c r="BA362" s="18">
        <v>0</v>
      </c>
    </row>
    <row r="363" spans="25:53" x14ac:dyDescent="0.3">
      <c r="Y363">
        <v>12</v>
      </c>
      <c r="Z363" s="57">
        <v>45268</v>
      </c>
      <c r="AA363" t="s">
        <v>2173</v>
      </c>
      <c r="AB363" s="18">
        <v>2693</v>
      </c>
      <c r="AC363" s="18"/>
      <c r="AD363" s="18"/>
      <c r="AE363" s="18"/>
      <c r="AF363" s="18"/>
      <c r="AG363" s="18"/>
      <c r="AH363" s="18">
        <v>2693</v>
      </c>
      <c r="AR363" s="36" t="s">
        <v>1389</v>
      </c>
      <c r="AS363" s="36"/>
      <c r="AT363" s="36"/>
      <c r="AU363" s="37">
        <v>0</v>
      </c>
      <c r="AV363" s="37"/>
      <c r="AW363" s="37"/>
      <c r="AX363" s="37"/>
      <c r="AY363" s="37"/>
      <c r="AZ363" s="37"/>
      <c r="BA363" s="37">
        <v>0</v>
      </c>
    </row>
    <row r="364" spans="25:53" x14ac:dyDescent="0.3">
      <c r="Z364" s="57">
        <v>45279</v>
      </c>
      <c r="AA364" t="s">
        <v>2187</v>
      </c>
      <c r="AB364" s="18">
        <v>2918</v>
      </c>
      <c r="AC364" s="18"/>
      <c r="AD364" s="18"/>
      <c r="AE364" s="18"/>
      <c r="AF364" s="18"/>
      <c r="AG364" s="18"/>
      <c r="AH364" s="18">
        <v>2918</v>
      </c>
      <c r="AR364" t="s">
        <v>1310</v>
      </c>
      <c r="AS364">
        <v>2023</v>
      </c>
      <c r="AT364">
        <v>5</v>
      </c>
      <c r="AU364" s="18"/>
      <c r="AV364" s="18"/>
      <c r="AW364" s="18"/>
      <c r="AX364" s="18"/>
      <c r="AY364" s="18"/>
      <c r="AZ364" s="18">
        <v>0</v>
      </c>
      <c r="BA364" s="18">
        <v>0</v>
      </c>
    </row>
    <row r="365" spans="25:53" x14ac:dyDescent="0.3">
      <c r="Z365" s="57">
        <v>45290</v>
      </c>
      <c r="AA365" t="s">
        <v>2201</v>
      </c>
      <c r="AB365" s="18">
        <v>2353</v>
      </c>
      <c r="AC365" s="18"/>
      <c r="AD365" s="18"/>
      <c r="AE365" s="18"/>
      <c r="AF365" s="18"/>
      <c r="AG365" s="18"/>
      <c r="AH365" s="18">
        <v>2353</v>
      </c>
      <c r="AT365">
        <v>6</v>
      </c>
      <c r="AU365" s="18"/>
      <c r="AV365" s="18"/>
      <c r="AW365" s="18"/>
      <c r="AX365" s="18"/>
      <c r="AY365" s="18"/>
      <c r="AZ365" s="18">
        <v>0</v>
      </c>
      <c r="BA365" s="18">
        <v>0</v>
      </c>
    </row>
    <row r="366" spans="25:53" x14ac:dyDescent="0.3">
      <c r="Y366">
        <v>4</v>
      </c>
      <c r="Z366" t="s">
        <v>1463</v>
      </c>
      <c r="AA366" t="s">
        <v>1462</v>
      </c>
      <c r="AB366" s="18">
        <v>0</v>
      </c>
      <c r="AC366" s="18"/>
      <c r="AD366" s="18"/>
      <c r="AE366" s="18"/>
      <c r="AF366" s="18"/>
      <c r="AG366" s="18"/>
      <c r="AH366" s="18">
        <v>0</v>
      </c>
      <c r="AT366">
        <v>7</v>
      </c>
      <c r="AU366" s="18"/>
      <c r="AV366" s="18"/>
      <c r="AW366" s="18"/>
      <c r="AX366" s="18"/>
      <c r="AY366" s="18"/>
      <c r="AZ366" s="18">
        <v>0</v>
      </c>
      <c r="BA366" s="18">
        <v>0</v>
      </c>
    </row>
    <row r="367" spans="25:53" x14ac:dyDescent="0.3">
      <c r="AA367" t="s">
        <v>1468</v>
      </c>
      <c r="AB367" s="18">
        <v>0</v>
      </c>
      <c r="AC367" s="18"/>
      <c r="AD367" s="18"/>
      <c r="AE367" s="18"/>
      <c r="AF367" s="18"/>
      <c r="AG367" s="18"/>
      <c r="AH367" s="18">
        <v>0</v>
      </c>
      <c r="AT367">
        <v>8</v>
      </c>
      <c r="AU367" s="18"/>
      <c r="AV367" s="18"/>
      <c r="AW367" s="18"/>
      <c r="AX367" s="18"/>
      <c r="AY367" s="18"/>
      <c r="AZ367" s="18">
        <v>0</v>
      </c>
      <c r="BA367" s="18">
        <v>0</v>
      </c>
    </row>
    <row r="368" spans="25:53" x14ac:dyDescent="0.3">
      <c r="Z368" s="57">
        <v>45023</v>
      </c>
      <c r="AA368" t="s">
        <v>1413</v>
      </c>
      <c r="AB368" s="18">
        <v>0</v>
      </c>
      <c r="AC368" s="18"/>
      <c r="AD368" s="18"/>
      <c r="AE368" s="18"/>
      <c r="AF368" s="18"/>
      <c r="AG368" s="18"/>
      <c r="AH368" s="18">
        <v>0</v>
      </c>
      <c r="AT368">
        <v>9</v>
      </c>
      <c r="AU368" s="18"/>
      <c r="AV368" s="18"/>
      <c r="AW368" s="18"/>
      <c r="AX368" s="18"/>
      <c r="AY368" s="18"/>
      <c r="AZ368" s="18">
        <v>0</v>
      </c>
      <c r="BA368" s="18">
        <v>0</v>
      </c>
    </row>
    <row r="369" spans="23:53" x14ac:dyDescent="0.3">
      <c r="W369" s="36" t="s">
        <v>422</v>
      </c>
      <c r="X369" s="36"/>
      <c r="Y369" s="36"/>
      <c r="Z369" s="36"/>
      <c r="AA369" s="36"/>
      <c r="AB369" s="37">
        <v>55422.2</v>
      </c>
      <c r="AC369" s="37"/>
      <c r="AD369" s="37"/>
      <c r="AE369" s="37"/>
      <c r="AF369" s="37"/>
      <c r="AG369" s="37"/>
      <c r="AH369" s="37">
        <v>55422.2</v>
      </c>
      <c r="AT369">
        <v>10</v>
      </c>
      <c r="AU369" s="18"/>
      <c r="AV369" s="18"/>
      <c r="AW369" s="18"/>
      <c r="AX369" s="18"/>
      <c r="AY369" s="18"/>
      <c r="AZ369" s="18">
        <v>0</v>
      </c>
      <c r="BA369" s="18">
        <v>0</v>
      </c>
    </row>
    <row r="370" spans="23:53" x14ac:dyDescent="0.3">
      <c r="W370" t="s">
        <v>410</v>
      </c>
      <c r="X370">
        <v>2021</v>
      </c>
      <c r="Y370">
        <v>10</v>
      </c>
      <c r="Z370" s="57">
        <v>44478</v>
      </c>
      <c r="AA370" t="s">
        <v>408</v>
      </c>
      <c r="AB370" s="18">
        <v>0</v>
      </c>
      <c r="AC370" s="18"/>
      <c r="AD370" s="18"/>
      <c r="AE370" s="18"/>
      <c r="AF370" s="18"/>
      <c r="AG370" s="18"/>
      <c r="AH370" s="18">
        <v>0</v>
      </c>
      <c r="AT370">
        <v>11</v>
      </c>
      <c r="AU370" s="18"/>
      <c r="AV370" s="18"/>
      <c r="AW370" s="18"/>
      <c r="AX370" s="18"/>
      <c r="AY370" s="18"/>
      <c r="AZ370" s="18">
        <v>0</v>
      </c>
      <c r="BA370" s="18">
        <v>0</v>
      </c>
    </row>
    <row r="371" spans="23:53" x14ac:dyDescent="0.3">
      <c r="Z371" s="57">
        <v>44481</v>
      </c>
      <c r="AA371" t="s">
        <v>412</v>
      </c>
      <c r="AB371" s="18">
        <v>0</v>
      </c>
      <c r="AC371" s="18"/>
      <c r="AD371" s="18"/>
      <c r="AE371" s="18"/>
      <c r="AF371" s="18"/>
      <c r="AG371" s="18"/>
      <c r="AH371" s="18">
        <v>0</v>
      </c>
      <c r="AT371">
        <v>4</v>
      </c>
      <c r="AU371" s="18"/>
      <c r="AV371" s="18"/>
      <c r="AW371" s="18"/>
      <c r="AX371" s="18"/>
      <c r="AY371" s="18"/>
      <c r="AZ371" s="18">
        <v>0</v>
      </c>
      <c r="BA371" s="18">
        <v>0</v>
      </c>
    </row>
    <row r="372" spans="23:53" x14ac:dyDescent="0.3">
      <c r="Z372" s="57">
        <v>44484</v>
      </c>
      <c r="AA372" t="s">
        <v>425</v>
      </c>
      <c r="AB372" s="18">
        <v>0</v>
      </c>
      <c r="AC372" s="18"/>
      <c r="AD372" s="18"/>
      <c r="AE372" s="18"/>
      <c r="AF372" s="18"/>
      <c r="AG372" s="18"/>
      <c r="AH372" s="18">
        <v>0</v>
      </c>
      <c r="AS372">
        <v>2024</v>
      </c>
      <c r="AT372">
        <v>1</v>
      </c>
      <c r="AU372" s="18"/>
      <c r="AV372" s="18"/>
      <c r="AW372" s="18"/>
      <c r="AX372" s="18"/>
      <c r="AY372" s="18"/>
      <c r="AZ372" s="18">
        <v>11904.5</v>
      </c>
      <c r="BA372" s="18">
        <v>11904.5</v>
      </c>
    </row>
    <row r="373" spans="23:53" x14ac:dyDescent="0.3">
      <c r="Z373" s="57">
        <v>44487</v>
      </c>
      <c r="AA373" t="s">
        <v>426</v>
      </c>
      <c r="AB373" s="18">
        <v>0</v>
      </c>
      <c r="AC373" s="18"/>
      <c r="AD373" s="18"/>
      <c r="AE373" s="18"/>
      <c r="AF373" s="18"/>
      <c r="AG373" s="18"/>
      <c r="AH373" s="18">
        <v>0</v>
      </c>
      <c r="AR373" s="36" t="s">
        <v>1390</v>
      </c>
      <c r="AS373" s="36"/>
      <c r="AT373" s="36"/>
      <c r="AU373" s="37"/>
      <c r="AV373" s="37"/>
      <c r="AW373" s="37"/>
      <c r="AX373" s="37"/>
      <c r="AY373" s="37"/>
      <c r="AZ373" s="37">
        <v>11904.5</v>
      </c>
      <c r="BA373" s="37">
        <v>11904.5</v>
      </c>
    </row>
    <row r="374" spans="23:53" x14ac:dyDescent="0.3">
      <c r="Z374" s="57">
        <v>44488</v>
      </c>
      <c r="AA374" t="s">
        <v>427</v>
      </c>
      <c r="AB374" s="18">
        <v>0</v>
      </c>
      <c r="AC374" s="18"/>
      <c r="AD374" s="18"/>
      <c r="AE374" s="18"/>
      <c r="AF374" s="18"/>
      <c r="AG374" s="18"/>
      <c r="AH374" s="18">
        <v>0</v>
      </c>
      <c r="AR374" t="s">
        <v>1421</v>
      </c>
      <c r="AS374">
        <v>2023</v>
      </c>
      <c r="AT374">
        <v>5</v>
      </c>
      <c r="AU374" s="18">
        <v>0</v>
      </c>
      <c r="AV374" s="18"/>
      <c r="AW374" s="18"/>
      <c r="AX374" s="18"/>
      <c r="AY374" s="18"/>
      <c r="AZ374" s="18"/>
      <c r="BA374" s="18">
        <v>0</v>
      </c>
    </row>
    <row r="375" spans="23:53" x14ac:dyDescent="0.3">
      <c r="Z375" s="57">
        <v>44489</v>
      </c>
      <c r="AA375" t="s">
        <v>428</v>
      </c>
      <c r="AB375" s="18">
        <v>0</v>
      </c>
      <c r="AC375" s="18"/>
      <c r="AD375" s="18"/>
      <c r="AE375" s="18"/>
      <c r="AF375" s="18"/>
      <c r="AG375" s="18"/>
      <c r="AH375" s="18">
        <v>0</v>
      </c>
      <c r="AT375">
        <v>6</v>
      </c>
      <c r="AU375" s="18">
        <v>0</v>
      </c>
      <c r="AV375" s="18"/>
      <c r="AW375" s="18"/>
      <c r="AX375" s="18"/>
      <c r="AY375" s="18"/>
      <c r="AZ375" s="18"/>
      <c r="BA375" s="18">
        <v>0</v>
      </c>
    </row>
    <row r="376" spans="23:53" x14ac:dyDescent="0.3">
      <c r="Z376" s="57">
        <v>44495</v>
      </c>
      <c r="AA376" t="s">
        <v>444</v>
      </c>
      <c r="AB376" s="18">
        <v>0</v>
      </c>
      <c r="AC376" s="18"/>
      <c r="AD376" s="18"/>
      <c r="AE376" s="18"/>
      <c r="AF376" s="18"/>
      <c r="AG376" s="18"/>
      <c r="AH376" s="18">
        <v>0</v>
      </c>
      <c r="AT376">
        <v>7</v>
      </c>
      <c r="AU376" s="18">
        <v>0</v>
      </c>
      <c r="AV376" s="18"/>
      <c r="AW376" s="18"/>
      <c r="AX376" s="18"/>
      <c r="AY376" s="18"/>
      <c r="AZ376" s="18"/>
      <c r="BA376" s="18">
        <v>0</v>
      </c>
    </row>
    <row r="377" spans="23:53" x14ac:dyDescent="0.3">
      <c r="Z377" s="57">
        <v>44496</v>
      </c>
      <c r="AA377" t="s">
        <v>446</v>
      </c>
      <c r="AB377" s="18">
        <v>0</v>
      </c>
      <c r="AC377" s="18"/>
      <c r="AD377" s="18"/>
      <c r="AE377" s="18"/>
      <c r="AF377" s="18"/>
      <c r="AG377" s="18"/>
      <c r="AH377" s="18">
        <v>0</v>
      </c>
      <c r="AT377">
        <v>4</v>
      </c>
      <c r="AU377" s="18">
        <v>0</v>
      </c>
      <c r="AV377" s="18"/>
      <c r="AW377" s="18"/>
      <c r="AX377" s="18"/>
      <c r="AY377" s="18"/>
      <c r="AZ377" s="18"/>
      <c r="BA377" s="18">
        <v>0</v>
      </c>
    </row>
    <row r="378" spans="23:53" x14ac:dyDescent="0.3">
      <c r="Y378">
        <v>11</v>
      </c>
      <c r="Z378" s="57">
        <v>44503</v>
      </c>
      <c r="AA378" t="s">
        <v>460</v>
      </c>
      <c r="AB378" s="18">
        <v>0</v>
      </c>
      <c r="AC378" s="18"/>
      <c r="AD378" s="18"/>
      <c r="AE378" s="18"/>
      <c r="AF378" s="18"/>
      <c r="AG378" s="18"/>
      <c r="AH378" s="18">
        <v>0</v>
      </c>
      <c r="AR378" s="36" t="s">
        <v>1437</v>
      </c>
      <c r="AS378" s="36"/>
      <c r="AT378" s="36"/>
      <c r="AU378" s="37">
        <v>0</v>
      </c>
      <c r="AV378" s="37"/>
      <c r="AW378" s="37"/>
      <c r="AX378" s="37"/>
      <c r="AY378" s="37"/>
      <c r="AZ378" s="37"/>
      <c r="BA378" s="37">
        <v>0</v>
      </c>
    </row>
    <row r="379" spans="23:53" x14ac:dyDescent="0.3">
      <c r="Z379" s="57">
        <v>44506</v>
      </c>
      <c r="AA379" t="s">
        <v>465</v>
      </c>
      <c r="AB379" s="18">
        <v>0</v>
      </c>
      <c r="AC379" s="18"/>
      <c r="AD379" s="18"/>
      <c r="AE379" s="18"/>
      <c r="AF379" s="18"/>
      <c r="AG379" s="18"/>
      <c r="AH379" s="18">
        <v>0</v>
      </c>
      <c r="AR379" t="s">
        <v>1454</v>
      </c>
      <c r="AS379">
        <v>2021</v>
      </c>
      <c r="AT379">
        <v>1</v>
      </c>
      <c r="AU379" s="18">
        <v>0</v>
      </c>
      <c r="AV379" s="18"/>
      <c r="AW379" s="18"/>
      <c r="AX379" s="18"/>
      <c r="AY379" s="18"/>
      <c r="AZ379" s="18"/>
      <c r="BA379" s="18">
        <v>0</v>
      </c>
    </row>
    <row r="380" spans="23:53" x14ac:dyDescent="0.3">
      <c r="Z380" s="57">
        <v>44511</v>
      </c>
      <c r="AA380" t="s">
        <v>474</v>
      </c>
      <c r="AB380" s="18">
        <v>0</v>
      </c>
      <c r="AC380" s="18"/>
      <c r="AD380" s="18"/>
      <c r="AE380" s="18"/>
      <c r="AF380" s="18"/>
      <c r="AG380" s="18"/>
      <c r="AH380" s="18">
        <v>0</v>
      </c>
      <c r="AT380">
        <v>2</v>
      </c>
      <c r="AU380" s="18">
        <v>0</v>
      </c>
      <c r="AV380" s="18"/>
      <c r="AW380" s="18"/>
      <c r="AX380" s="18"/>
      <c r="AY380" s="18"/>
      <c r="AZ380" s="18"/>
      <c r="BA380" s="18">
        <v>0</v>
      </c>
    </row>
    <row r="381" spans="23:53" x14ac:dyDescent="0.3">
      <c r="AA381" t="s">
        <v>476</v>
      </c>
      <c r="AB381" s="18">
        <v>0</v>
      </c>
      <c r="AC381" s="18"/>
      <c r="AD381" s="18"/>
      <c r="AE381" s="18"/>
      <c r="AF381" s="18"/>
      <c r="AG381" s="18"/>
      <c r="AH381" s="18">
        <v>0</v>
      </c>
      <c r="AT381">
        <v>5</v>
      </c>
      <c r="AU381" s="18">
        <v>0</v>
      </c>
      <c r="AV381" s="18"/>
      <c r="AW381" s="18"/>
      <c r="AX381" s="18"/>
      <c r="AY381" s="18"/>
      <c r="AZ381" s="18"/>
      <c r="BA381" s="18">
        <v>0</v>
      </c>
    </row>
    <row r="382" spans="23:53" x14ac:dyDescent="0.3">
      <c r="Y382">
        <v>12</v>
      </c>
      <c r="Z382" s="57">
        <v>44537</v>
      </c>
      <c r="AA382" t="s">
        <v>502</v>
      </c>
      <c r="AB382" s="18">
        <v>0</v>
      </c>
      <c r="AC382" s="18"/>
      <c r="AD382" s="18"/>
      <c r="AE382" s="18"/>
      <c r="AF382" s="18"/>
      <c r="AG382" s="18"/>
      <c r="AH382" s="18">
        <v>0</v>
      </c>
      <c r="AT382">
        <v>10</v>
      </c>
      <c r="AU382" s="18">
        <v>0</v>
      </c>
      <c r="AV382" s="18"/>
      <c r="AW382" s="18"/>
      <c r="AX382" s="18"/>
      <c r="AY382" s="18"/>
      <c r="AZ382" s="18"/>
      <c r="BA382" s="18">
        <v>0</v>
      </c>
    </row>
    <row r="383" spans="23:53" x14ac:dyDescent="0.3">
      <c r="Z383" s="57">
        <v>44540</v>
      </c>
      <c r="AA383" t="s">
        <v>505</v>
      </c>
      <c r="AB383" s="18">
        <v>0</v>
      </c>
      <c r="AC383" s="18"/>
      <c r="AD383" s="18"/>
      <c r="AE383" s="18"/>
      <c r="AF383" s="18"/>
      <c r="AG383" s="18"/>
      <c r="AH383" s="18">
        <v>0</v>
      </c>
      <c r="AT383">
        <v>12</v>
      </c>
      <c r="AU383" s="18">
        <v>0</v>
      </c>
      <c r="AV383" s="18"/>
      <c r="AW383" s="18"/>
      <c r="AX383" s="18"/>
      <c r="AY383" s="18"/>
      <c r="AZ383" s="18"/>
      <c r="BA383" s="18">
        <v>0</v>
      </c>
    </row>
    <row r="384" spans="23:53" x14ac:dyDescent="0.3">
      <c r="Z384" s="57">
        <v>44550</v>
      </c>
      <c r="AA384" t="s">
        <v>512</v>
      </c>
      <c r="AB384" s="18">
        <v>0</v>
      </c>
      <c r="AC384" s="18"/>
      <c r="AD384" s="18"/>
      <c r="AE384" s="18"/>
      <c r="AF384" s="18"/>
      <c r="AG384" s="18"/>
      <c r="AH384" s="18">
        <v>0</v>
      </c>
      <c r="AS384">
        <v>2023</v>
      </c>
      <c r="AT384">
        <v>5</v>
      </c>
      <c r="AU384" s="18">
        <v>0</v>
      </c>
      <c r="AV384" s="18"/>
      <c r="AW384" s="18"/>
      <c r="AX384" s="18"/>
      <c r="AY384" s="18"/>
      <c r="AZ384" s="18"/>
      <c r="BA384" s="18">
        <v>0</v>
      </c>
    </row>
    <row r="385" spans="24:53" x14ac:dyDescent="0.3">
      <c r="Z385" s="57">
        <v>44552</v>
      </c>
      <c r="AA385" t="s">
        <v>523</v>
      </c>
      <c r="AB385" s="18">
        <v>0</v>
      </c>
      <c r="AC385" s="18"/>
      <c r="AD385" s="18"/>
      <c r="AE385" s="18"/>
      <c r="AF385" s="18"/>
      <c r="AG385" s="18"/>
      <c r="AH385" s="18">
        <v>0</v>
      </c>
      <c r="AT385">
        <v>6</v>
      </c>
      <c r="AU385" s="18">
        <v>0</v>
      </c>
      <c r="AV385" s="18"/>
      <c r="AW385" s="18"/>
      <c r="AX385" s="18"/>
      <c r="AY385" s="18"/>
      <c r="AZ385" s="18"/>
      <c r="BA385" s="18">
        <v>0</v>
      </c>
    </row>
    <row r="386" spans="24:53" x14ac:dyDescent="0.3">
      <c r="Z386" s="57">
        <v>44554</v>
      </c>
      <c r="AA386" t="s">
        <v>530</v>
      </c>
      <c r="AB386" s="18">
        <v>0</v>
      </c>
      <c r="AC386" s="18"/>
      <c r="AD386" s="18"/>
      <c r="AE386" s="18"/>
      <c r="AF386" s="18"/>
      <c r="AG386" s="18"/>
      <c r="AH386" s="18">
        <v>0</v>
      </c>
      <c r="AT386">
        <v>7</v>
      </c>
      <c r="AU386" s="18">
        <v>0</v>
      </c>
      <c r="AV386" s="18"/>
      <c r="AW386" s="18"/>
      <c r="AX386" s="18"/>
      <c r="AY386" s="18"/>
      <c r="AZ386" s="18"/>
      <c r="BA386" s="18">
        <v>0</v>
      </c>
    </row>
    <row r="387" spans="24:53" x14ac:dyDescent="0.3">
      <c r="Z387" s="57">
        <v>44557</v>
      </c>
      <c r="AA387" t="s">
        <v>531</v>
      </c>
      <c r="AB387" s="18">
        <v>0</v>
      </c>
      <c r="AC387" s="18"/>
      <c r="AD387" s="18"/>
      <c r="AE387" s="18"/>
      <c r="AF387" s="18"/>
      <c r="AG387" s="18"/>
      <c r="AH387" s="18">
        <v>0</v>
      </c>
      <c r="AT387">
        <v>9</v>
      </c>
      <c r="AU387" s="18">
        <v>0</v>
      </c>
      <c r="AV387" s="18"/>
      <c r="AW387" s="18"/>
      <c r="AX387" s="18"/>
      <c r="AY387" s="18"/>
      <c r="AZ387" s="18"/>
      <c r="BA387" s="18">
        <v>0</v>
      </c>
    </row>
    <row r="388" spans="24:53" x14ac:dyDescent="0.3">
      <c r="Z388" s="57">
        <v>44560</v>
      </c>
      <c r="AA388" t="s">
        <v>533</v>
      </c>
      <c r="AB388" s="18">
        <v>0</v>
      </c>
      <c r="AC388" s="18"/>
      <c r="AD388" s="18"/>
      <c r="AE388" s="18"/>
      <c r="AF388" s="18"/>
      <c r="AG388" s="18"/>
      <c r="AH388" s="18">
        <v>0</v>
      </c>
      <c r="AT388">
        <v>10</v>
      </c>
      <c r="AU388" s="18">
        <v>0</v>
      </c>
      <c r="AV388" s="18"/>
      <c r="AW388" s="18"/>
      <c r="AX388" s="18"/>
      <c r="AY388" s="18"/>
      <c r="AZ388" s="18"/>
      <c r="BA388" s="18">
        <v>0</v>
      </c>
    </row>
    <row r="389" spans="24:53" x14ac:dyDescent="0.3">
      <c r="X389">
        <v>2022</v>
      </c>
      <c r="Y389">
        <v>1</v>
      </c>
      <c r="Z389" s="57">
        <v>44564</v>
      </c>
      <c r="AA389" t="s">
        <v>547</v>
      </c>
      <c r="AB389" s="18">
        <v>0</v>
      </c>
      <c r="AC389" s="18"/>
      <c r="AD389" s="18"/>
      <c r="AE389" s="18"/>
      <c r="AF389" s="18"/>
      <c r="AG389" s="18"/>
      <c r="AH389" s="18">
        <v>0</v>
      </c>
      <c r="AT389">
        <v>11</v>
      </c>
      <c r="AU389" s="18">
        <v>0</v>
      </c>
      <c r="AV389" s="18"/>
      <c r="AW389" s="18"/>
      <c r="AX389" s="18"/>
      <c r="AY389" s="18"/>
      <c r="AZ389" s="18"/>
      <c r="BA389" s="18">
        <v>0</v>
      </c>
    </row>
    <row r="390" spans="24:53" x14ac:dyDescent="0.3">
      <c r="Z390" s="57">
        <v>44568</v>
      </c>
      <c r="AA390" t="s">
        <v>549</v>
      </c>
      <c r="AB390" s="18">
        <v>0</v>
      </c>
      <c r="AC390" s="18"/>
      <c r="AD390" s="18"/>
      <c r="AE390" s="18"/>
      <c r="AF390" s="18"/>
      <c r="AG390" s="18"/>
      <c r="AH390" s="18">
        <v>0</v>
      </c>
      <c r="AT390">
        <v>4</v>
      </c>
      <c r="AU390" s="18">
        <v>0</v>
      </c>
      <c r="AV390" s="18"/>
      <c r="AW390" s="18"/>
      <c r="AX390" s="18"/>
      <c r="AY390" s="18"/>
      <c r="AZ390" s="18"/>
      <c r="BA390" s="18">
        <v>0</v>
      </c>
    </row>
    <row r="391" spans="24:53" x14ac:dyDescent="0.3">
      <c r="Z391" s="57">
        <v>44569</v>
      </c>
      <c r="AA391" t="s">
        <v>550</v>
      </c>
      <c r="AB391" s="18">
        <v>0</v>
      </c>
      <c r="AC391" s="18"/>
      <c r="AD391" s="18"/>
      <c r="AE391" s="18"/>
      <c r="AF391" s="18"/>
      <c r="AG391" s="18"/>
      <c r="AH391" s="18">
        <v>0</v>
      </c>
      <c r="AR391" s="36" t="s">
        <v>1529</v>
      </c>
      <c r="AS391" s="36"/>
      <c r="AT391" s="36"/>
      <c r="AU391" s="37">
        <v>0</v>
      </c>
      <c r="AV391" s="37"/>
      <c r="AW391" s="37"/>
      <c r="AX391" s="37"/>
      <c r="AY391" s="37"/>
      <c r="AZ391" s="37"/>
      <c r="BA391" s="37">
        <v>0</v>
      </c>
    </row>
    <row r="392" spans="24:53" x14ac:dyDescent="0.3">
      <c r="Z392" s="57">
        <v>44574</v>
      </c>
      <c r="AA392" t="s">
        <v>559</v>
      </c>
      <c r="AB392" s="18">
        <v>0</v>
      </c>
      <c r="AC392" s="18"/>
      <c r="AD392" s="18"/>
      <c r="AE392" s="18"/>
      <c r="AF392" s="18"/>
      <c r="AG392" s="18"/>
      <c r="AH392" s="18">
        <v>0</v>
      </c>
      <c r="AR392" t="s">
        <v>1698</v>
      </c>
      <c r="AS392">
        <v>2021</v>
      </c>
      <c r="AT392">
        <v>9</v>
      </c>
      <c r="AU392" s="18">
        <v>0</v>
      </c>
      <c r="AV392" s="18"/>
      <c r="AW392" s="18"/>
      <c r="AX392" s="18"/>
      <c r="AY392" s="18"/>
      <c r="AZ392" s="18"/>
      <c r="BA392" s="18">
        <v>0</v>
      </c>
    </row>
    <row r="393" spans="24:53" x14ac:dyDescent="0.3">
      <c r="Z393" s="57">
        <v>44579</v>
      </c>
      <c r="AA393" t="s">
        <v>565</v>
      </c>
      <c r="AB393" s="18">
        <v>0</v>
      </c>
      <c r="AC393" s="18"/>
      <c r="AD393" s="18"/>
      <c r="AE393" s="18"/>
      <c r="AF393" s="18"/>
      <c r="AG393" s="18"/>
      <c r="AH393" s="18">
        <v>0</v>
      </c>
      <c r="AR393" s="36" t="s">
        <v>1790</v>
      </c>
      <c r="AS393" s="36"/>
      <c r="AT393" s="36"/>
      <c r="AU393" s="37">
        <v>0</v>
      </c>
      <c r="AV393" s="37"/>
      <c r="AW393" s="37"/>
      <c r="AX393" s="37"/>
      <c r="AY393" s="37"/>
      <c r="AZ393" s="37"/>
      <c r="BA393" s="37">
        <v>0</v>
      </c>
    </row>
    <row r="394" spans="24:53" x14ac:dyDescent="0.3">
      <c r="Y394">
        <v>2</v>
      </c>
      <c r="Z394" s="57">
        <v>44616</v>
      </c>
      <c r="AA394" t="s">
        <v>610</v>
      </c>
      <c r="AB394" s="18">
        <v>0</v>
      </c>
      <c r="AC394" s="18"/>
      <c r="AD394" s="18"/>
      <c r="AE394" s="18"/>
      <c r="AF394" s="18"/>
      <c r="AG394" s="18"/>
      <c r="AH394" s="18">
        <v>0</v>
      </c>
      <c r="AR394" t="s">
        <v>1621</v>
      </c>
      <c r="AS394">
        <v>2023</v>
      </c>
      <c r="AT394">
        <v>6</v>
      </c>
      <c r="AU394" s="18">
        <v>0</v>
      </c>
      <c r="AV394" s="18"/>
      <c r="AW394" s="18"/>
      <c r="AX394" s="18"/>
      <c r="AY394" s="18"/>
      <c r="AZ394" s="18"/>
      <c r="BA394" s="18">
        <v>0</v>
      </c>
    </row>
    <row r="395" spans="24:53" x14ac:dyDescent="0.3">
      <c r="Z395" s="57">
        <v>44618</v>
      </c>
      <c r="AA395" t="s">
        <v>611</v>
      </c>
      <c r="AB395" s="18">
        <v>0</v>
      </c>
      <c r="AC395" s="18"/>
      <c r="AD395" s="18"/>
      <c r="AE395" s="18"/>
      <c r="AF395" s="18"/>
      <c r="AG395" s="18"/>
      <c r="AH395" s="18">
        <v>0</v>
      </c>
      <c r="AT395">
        <v>8</v>
      </c>
      <c r="AU395" s="18">
        <v>0</v>
      </c>
      <c r="AV395" s="18"/>
      <c r="AW395" s="18"/>
      <c r="AX395" s="18"/>
      <c r="AY395" s="18"/>
      <c r="AZ395" s="18"/>
      <c r="BA395" s="18">
        <v>0</v>
      </c>
    </row>
    <row r="396" spans="24:53" x14ac:dyDescent="0.3">
      <c r="Y396">
        <v>3</v>
      </c>
      <c r="Z396" s="57">
        <v>44634</v>
      </c>
      <c r="AA396" t="s">
        <v>647</v>
      </c>
      <c r="AB396" s="18">
        <v>0</v>
      </c>
      <c r="AC396" s="18"/>
      <c r="AD396" s="18"/>
      <c r="AE396" s="18"/>
      <c r="AF396" s="18"/>
      <c r="AG396" s="18"/>
      <c r="AH396" s="18">
        <v>0</v>
      </c>
      <c r="AR396" s="36" t="s">
        <v>1791</v>
      </c>
      <c r="AS396" s="36"/>
      <c r="AT396" s="36"/>
      <c r="AU396" s="37">
        <v>0</v>
      </c>
      <c r="AV396" s="37"/>
      <c r="AW396" s="37"/>
      <c r="AX396" s="37"/>
      <c r="AY396" s="37"/>
      <c r="AZ396" s="37"/>
      <c r="BA396" s="37">
        <v>0</v>
      </c>
    </row>
    <row r="397" spans="24:53" x14ac:dyDescent="0.3">
      <c r="Z397" s="57">
        <v>44635</v>
      </c>
      <c r="AA397" t="s">
        <v>649</v>
      </c>
      <c r="AB397" s="18">
        <v>0</v>
      </c>
      <c r="AC397" s="18"/>
      <c r="AD397" s="18"/>
      <c r="AE397" s="18"/>
      <c r="AF397" s="18"/>
      <c r="AG397" s="18"/>
      <c r="AH397" s="18">
        <v>0</v>
      </c>
      <c r="AR397" t="s">
        <v>1703</v>
      </c>
      <c r="AS397">
        <v>2023</v>
      </c>
      <c r="AT397">
        <v>9</v>
      </c>
      <c r="AU397" s="18">
        <v>0</v>
      </c>
      <c r="AV397" s="18"/>
      <c r="AW397" s="18"/>
      <c r="AX397" s="18"/>
      <c r="AY397" s="18"/>
      <c r="AZ397" s="18"/>
      <c r="BA397" s="18">
        <v>0</v>
      </c>
    </row>
    <row r="398" spans="24:53" x14ac:dyDescent="0.3">
      <c r="Z398" s="57">
        <v>44638</v>
      </c>
      <c r="AA398" t="s">
        <v>651</v>
      </c>
      <c r="AB398" s="18">
        <v>0</v>
      </c>
      <c r="AC398" s="18"/>
      <c r="AD398" s="18"/>
      <c r="AE398" s="18"/>
      <c r="AF398" s="18"/>
      <c r="AG398" s="18"/>
      <c r="AH398" s="18">
        <v>0</v>
      </c>
      <c r="AR398" s="36" t="s">
        <v>1987</v>
      </c>
      <c r="AS398" s="36"/>
      <c r="AT398" s="36"/>
      <c r="AU398" s="37">
        <v>0</v>
      </c>
      <c r="AV398" s="37"/>
      <c r="AW398" s="37"/>
      <c r="AX398" s="37"/>
      <c r="AY398" s="37"/>
      <c r="AZ398" s="37"/>
      <c r="BA398" s="37">
        <v>0</v>
      </c>
    </row>
    <row r="399" spans="24:53" x14ac:dyDescent="0.3">
      <c r="Z399" s="57">
        <v>44643</v>
      </c>
      <c r="AA399" t="s">
        <v>654</v>
      </c>
      <c r="AB399" s="18">
        <v>0</v>
      </c>
      <c r="AC399" s="18"/>
      <c r="AD399" s="18"/>
      <c r="AE399" s="18"/>
      <c r="AF399" s="18"/>
      <c r="AG399" s="18"/>
      <c r="AH399" s="18">
        <v>0</v>
      </c>
      <c r="AR399" t="s">
        <v>1705</v>
      </c>
      <c r="AS399">
        <v>2023</v>
      </c>
      <c r="AT399">
        <v>9</v>
      </c>
      <c r="AU399" s="18">
        <v>0</v>
      </c>
      <c r="AV399" s="18"/>
      <c r="AW399" s="18"/>
      <c r="AX399" s="18"/>
      <c r="AY399" s="18"/>
      <c r="AZ399" s="18"/>
      <c r="BA399" s="18">
        <v>0</v>
      </c>
    </row>
    <row r="400" spans="24:53" x14ac:dyDescent="0.3">
      <c r="Z400" s="57">
        <v>44645</v>
      </c>
      <c r="AA400" t="s">
        <v>661</v>
      </c>
      <c r="AB400" s="18">
        <v>0</v>
      </c>
      <c r="AC400" s="18"/>
      <c r="AD400" s="18"/>
      <c r="AE400" s="18"/>
      <c r="AF400" s="18"/>
      <c r="AG400" s="18"/>
      <c r="AH400" s="18">
        <v>0</v>
      </c>
      <c r="AT400">
        <v>12</v>
      </c>
      <c r="AU400" s="18">
        <v>237</v>
      </c>
      <c r="AV400" s="18"/>
      <c r="AW400" s="18"/>
      <c r="AX400" s="18"/>
      <c r="AY400" s="18"/>
      <c r="AZ400" s="18"/>
      <c r="BA400" s="18">
        <v>237</v>
      </c>
    </row>
    <row r="401" spans="25:53" x14ac:dyDescent="0.3">
      <c r="Z401" s="57">
        <v>44649</v>
      </c>
      <c r="AA401" t="s">
        <v>663</v>
      </c>
      <c r="AB401" s="18">
        <v>0</v>
      </c>
      <c r="AC401" s="18"/>
      <c r="AD401" s="18"/>
      <c r="AE401" s="18"/>
      <c r="AF401" s="18"/>
      <c r="AG401" s="18"/>
      <c r="AH401" s="18">
        <v>0</v>
      </c>
      <c r="AR401" s="36" t="s">
        <v>1988</v>
      </c>
      <c r="AS401" s="36"/>
      <c r="AT401" s="36"/>
      <c r="AU401" s="37">
        <v>237</v>
      </c>
      <c r="AV401" s="37"/>
      <c r="AW401" s="37"/>
      <c r="AX401" s="37"/>
      <c r="AY401" s="37"/>
      <c r="AZ401" s="37"/>
      <c r="BA401" s="37">
        <v>237</v>
      </c>
    </row>
    <row r="402" spans="25:53" x14ac:dyDescent="0.3">
      <c r="Y402">
        <v>5</v>
      </c>
      <c r="Z402" s="57">
        <v>44687</v>
      </c>
      <c r="AA402" t="s">
        <v>763</v>
      </c>
      <c r="AB402" s="18">
        <v>0</v>
      </c>
      <c r="AC402" s="18"/>
      <c r="AD402" s="18"/>
      <c r="AE402" s="18"/>
      <c r="AF402" s="18"/>
      <c r="AG402" s="18"/>
      <c r="AH402" s="18">
        <v>0</v>
      </c>
      <c r="AR402" t="s">
        <v>2014</v>
      </c>
      <c r="AS402">
        <v>2023</v>
      </c>
      <c r="AT402">
        <v>10</v>
      </c>
      <c r="AU402" s="18">
        <v>35464</v>
      </c>
      <c r="AV402" s="18"/>
      <c r="AW402" s="18"/>
      <c r="AX402" s="18"/>
      <c r="AY402" s="18"/>
      <c r="AZ402" s="18"/>
      <c r="BA402" s="18">
        <v>35464</v>
      </c>
    </row>
    <row r="403" spans="25:53" x14ac:dyDescent="0.3">
      <c r="Z403" s="57">
        <v>44688</v>
      </c>
      <c r="AA403" t="s">
        <v>765</v>
      </c>
      <c r="AB403" s="18">
        <v>0</v>
      </c>
      <c r="AC403" s="18"/>
      <c r="AD403" s="18"/>
      <c r="AE403" s="18"/>
      <c r="AF403" s="18"/>
      <c r="AG403" s="18"/>
      <c r="AH403" s="18">
        <v>0</v>
      </c>
      <c r="AT403">
        <v>11</v>
      </c>
      <c r="AU403" s="18">
        <v>50031.199999999997</v>
      </c>
      <c r="AV403" s="18"/>
      <c r="AW403" s="18"/>
      <c r="AX403" s="18"/>
      <c r="AY403" s="18"/>
      <c r="AZ403" s="18"/>
      <c r="BA403" s="18">
        <v>50031.199999999997</v>
      </c>
    </row>
    <row r="404" spans="25:53" x14ac:dyDescent="0.3">
      <c r="Z404" s="57">
        <v>44695</v>
      </c>
      <c r="AA404" t="s">
        <v>778</v>
      </c>
      <c r="AB404" s="18">
        <v>0</v>
      </c>
      <c r="AC404" s="18"/>
      <c r="AD404" s="18"/>
      <c r="AE404" s="18"/>
      <c r="AF404" s="18"/>
      <c r="AG404" s="18"/>
      <c r="AH404" s="18">
        <v>0</v>
      </c>
      <c r="AT404">
        <v>12</v>
      </c>
      <c r="AU404" s="18">
        <v>83033.5</v>
      </c>
      <c r="AV404" s="18"/>
      <c r="AW404" s="18"/>
      <c r="AX404" s="18"/>
      <c r="AY404" s="18"/>
      <c r="AZ404" s="18"/>
      <c r="BA404" s="18">
        <v>83033.5</v>
      </c>
    </row>
    <row r="405" spans="25:53" x14ac:dyDescent="0.3">
      <c r="Z405" s="57">
        <v>44699</v>
      </c>
      <c r="AA405" t="s">
        <v>781</v>
      </c>
      <c r="AB405" s="18">
        <v>0</v>
      </c>
      <c r="AC405" s="18"/>
      <c r="AD405" s="18"/>
      <c r="AE405" s="18"/>
      <c r="AF405" s="18"/>
      <c r="AG405" s="18"/>
      <c r="AH405" s="18">
        <v>0</v>
      </c>
      <c r="AR405" s="36" t="s">
        <v>2040</v>
      </c>
      <c r="AS405" s="36"/>
      <c r="AT405" s="36"/>
      <c r="AU405" s="37">
        <v>168528.7</v>
      </c>
      <c r="AV405" s="37"/>
      <c r="AW405" s="37"/>
      <c r="AX405" s="37"/>
      <c r="AY405" s="37"/>
      <c r="AZ405" s="37"/>
      <c r="BA405" s="37">
        <v>168528.7</v>
      </c>
    </row>
    <row r="406" spans="25:53" x14ac:dyDescent="0.3">
      <c r="Z406" s="57">
        <v>44701</v>
      </c>
      <c r="AA406" t="s">
        <v>784</v>
      </c>
      <c r="AB406" s="18">
        <v>0</v>
      </c>
      <c r="AC406" s="18"/>
      <c r="AD406" s="18"/>
      <c r="AE406" s="18"/>
      <c r="AF406" s="18"/>
      <c r="AG406" s="18"/>
      <c r="AH406" s="18">
        <v>0</v>
      </c>
      <c r="AR406" t="s">
        <v>2024</v>
      </c>
      <c r="AS406">
        <v>2023</v>
      </c>
      <c r="AT406">
        <v>10</v>
      </c>
      <c r="AU406" s="18">
        <v>0</v>
      </c>
      <c r="AV406" s="18"/>
      <c r="AW406" s="18"/>
      <c r="AX406" s="18"/>
      <c r="AY406" s="18"/>
      <c r="AZ406" s="18"/>
      <c r="BA406" s="18">
        <v>0</v>
      </c>
    </row>
    <row r="407" spans="25:53" x14ac:dyDescent="0.3">
      <c r="Z407" s="57">
        <v>44702</v>
      </c>
      <c r="AA407" t="s">
        <v>790</v>
      </c>
      <c r="AB407" s="18">
        <v>0</v>
      </c>
      <c r="AC407" s="18"/>
      <c r="AD407" s="18"/>
      <c r="AE407" s="18"/>
      <c r="AF407" s="18"/>
      <c r="AG407" s="18"/>
      <c r="AH407" s="18">
        <v>0</v>
      </c>
      <c r="AT407">
        <v>11</v>
      </c>
      <c r="AU407" s="18">
        <v>0</v>
      </c>
      <c r="AV407" s="18"/>
      <c r="AW407" s="18"/>
      <c r="AX407" s="18"/>
      <c r="AY407" s="18"/>
      <c r="AZ407" s="18"/>
      <c r="BA407" s="18">
        <v>0</v>
      </c>
    </row>
    <row r="408" spans="25:53" x14ac:dyDescent="0.3">
      <c r="Z408" s="57">
        <v>44704</v>
      </c>
      <c r="AA408" t="s">
        <v>794</v>
      </c>
      <c r="AB408" s="18">
        <v>0</v>
      </c>
      <c r="AC408" s="18"/>
      <c r="AD408" s="18"/>
      <c r="AE408" s="18"/>
      <c r="AF408" s="18"/>
      <c r="AG408" s="18"/>
      <c r="AH408" s="18">
        <v>0</v>
      </c>
      <c r="AR408" s="36" t="s">
        <v>2041</v>
      </c>
      <c r="AS408" s="36"/>
      <c r="AT408" s="36"/>
      <c r="AU408" s="37">
        <v>0</v>
      </c>
      <c r="AV408" s="37"/>
      <c r="AW408" s="37"/>
      <c r="AX408" s="37"/>
      <c r="AY408" s="37"/>
      <c r="AZ408" s="37"/>
      <c r="BA408" s="37">
        <v>0</v>
      </c>
    </row>
    <row r="409" spans="25:53" x14ac:dyDescent="0.3">
      <c r="Z409" s="57">
        <v>44706</v>
      </c>
      <c r="AA409" t="s">
        <v>797</v>
      </c>
      <c r="AB409" s="18">
        <v>0</v>
      </c>
      <c r="AC409" s="18"/>
      <c r="AD409" s="18"/>
      <c r="AE409" s="18"/>
      <c r="AF409" s="18"/>
      <c r="AG409" s="18"/>
      <c r="AH409" s="18">
        <v>0</v>
      </c>
      <c r="AR409" t="s">
        <v>2207</v>
      </c>
      <c r="AS409">
        <v>2023</v>
      </c>
      <c r="AT409">
        <v>12</v>
      </c>
      <c r="AU409" s="18">
        <v>9653.7999999999993</v>
      </c>
      <c r="AV409" s="18"/>
      <c r="AW409" s="18"/>
      <c r="AX409" s="18"/>
      <c r="AY409" s="18"/>
      <c r="AZ409" s="18"/>
      <c r="BA409" s="18">
        <v>9653.7999999999993</v>
      </c>
    </row>
    <row r="410" spans="25:53" x14ac:dyDescent="0.3">
      <c r="Y410">
        <v>6</v>
      </c>
      <c r="Z410" s="57">
        <v>44714</v>
      </c>
      <c r="AA410" t="s">
        <v>827</v>
      </c>
      <c r="AB410" s="18">
        <v>0</v>
      </c>
      <c r="AC410" s="18"/>
      <c r="AD410" s="18"/>
      <c r="AE410" s="18"/>
      <c r="AF410" s="18"/>
      <c r="AG410" s="18"/>
      <c r="AH410" s="18">
        <v>0</v>
      </c>
      <c r="AR410" s="36" t="s">
        <v>2222</v>
      </c>
      <c r="AS410" s="36"/>
      <c r="AT410" s="36"/>
      <c r="AU410" s="37">
        <v>9653.7999999999993</v>
      </c>
      <c r="AV410" s="37"/>
      <c r="AW410" s="37"/>
      <c r="AX410" s="37"/>
      <c r="AY410" s="37"/>
      <c r="AZ410" s="37"/>
      <c r="BA410" s="37">
        <v>9653.7999999999993</v>
      </c>
    </row>
    <row r="411" spans="25:53" x14ac:dyDescent="0.3">
      <c r="Z411" s="57">
        <v>44716</v>
      </c>
      <c r="AA411" t="s">
        <v>829</v>
      </c>
      <c r="AB411" s="18">
        <v>0</v>
      </c>
      <c r="AC411" s="18"/>
      <c r="AD411" s="18"/>
      <c r="AE411" s="18"/>
      <c r="AF411" s="18"/>
      <c r="AG411" s="18"/>
      <c r="AH411" s="18">
        <v>0</v>
      </c>
      <c r="AR411" t="s">
        <v>2213</v>
      </c>
      <c r="AS411">
        <v>2023</v>
      </c>
      <c r="AT411">
        <v>12</v>
      </c>
      <c r="AU411" s="18">
        <v>2131</v>
      </c>
      <c r="AV411" s="18"/>
      <c r="AW411" s="18"/>
      <c r="AX411" s="18"/>
      <c r="AY411" s="18"/>
      <c r="AZ411" s="18"/>
      <c r="BA411" s="18">
        <v>2131</v>
      </c>
    </row>
    <row r="412" spans="25:53" x14ac:dyDescent="0.3">
      <c r="Z412" s="57">
        <v>44723</v>
      </c>
      <c r="AA412" t="s">
        <v>835</v>
      </c>
      <c r="AB412" s="18">
        <v>0</v>
      </c>
      <c r="AC412" s="18"/>
      <c r="AD412" s="18"/>
      <c r="AE412" s="18"/>
      <c r="AF412" s="18"/>
      <c r="AG412" s="18"/>
      <c r="AH412" s="18">
        <v>0</v>
      </c>
      <c r="AR412" s="36" t="s">
        <v>2223</v>
      </c>
      <c r="AS412" s="36"/>
      <c r="AT412" s="36"/>
      <c r="AU412" s="37">
        <v>2131</v>
      </c>
      <c r="AV412" s="37"/>
      <c r="AW412" s="37"/>
      <c r="AX412" s="37"/>
      <c r="AY412" s="37"/>
      <c r="AZ412" s="37"/>
      <c r="BA412" s="37">
        <v>2131</v>
      </c>
    </row>
    <row r="413" spans="25:53" x14ac:dyDescent="0.3">
      <c r="Z413" s="57">
        <v>44730</v>
      </c>
      <c r="AA413" t="s">
        <v>843</v>
      </c>
      <c r="AB413" s="18">
        <v>0</v>
      </c>
      <c r="AC413" s="18"/>
      <c r="AD413" s="18"/>
      <c r="AE413" s="18"/>
      <c r="AF413" s="18"/>
      <c r="AG413" s="18"/>
      <c r="AH413" s="18">
        <v>0</v>
      </c>
      <c r="AR413" t="s">
        <v>131</v>
      </c>
      <c r="AU413" s="18">
        <v>727019.70000000007</v>
      </c>
      <c r="AV413" s="18">
        <v>0</v>
      </c>
      <c r="AW413" s="18">
        <v>16620.8</v>
      </c>
      <c r="AX413" s="18">
        <v>90050.5</v>
      </c>
      <c r="AY413" s="18">
        <v>0</v>
      </c>
      <c r="AZ413" s="18">
        <v>11904.5</v>
      </c>
      <c r="BA413" s="18">
        <v>845595.49999999988</v>
      </c>
    </row>
    <row r="414" spans="25:53" x14ac:dyDescent="0.3">
      <c r="Z414" s="57">
        <v>44736</v>
      </c>
      <c r="AA414" t="s">
        <v>846</v>
      </c>
      <c r="AB414" s="18">
        <v>0</v>
      </c>
      <c r="AC414" s="18"/>
      <c r="AD414" s="18"/>
      <c r="AE414" s="18"/>
      <c r="AF414" s="18"/>
      <c r="AG414" s="18"/>
      <c r="AH414" s="18">
        <v>0</v>
      </c>
    </row>
    <row r="415" spans="25:53" x14ac:dyDescent="0.3">
      <c r="Y415">
        <v>7</v>
      </c>
      <c r="Z415" s="57">
        <v>44756</v>
      </c>
      <c r="AA415" t="s">
        <v>859</v>
      </c>
      <c r="AB415" s="18">
        <v>0</v>
      </c>
      <c r="AC415" s="18"/>
      <c r="AD415" s="18"/>
      <c r="AE415" s="18"/>
      <c r="AF415" s="18"/>
      <c r="AG415" s="18"/>
      <c r="AH415" s="18">
        <v>0</v>
      </c>
    </row>
    <row r="416" spans="25:53" x14ac:dyDescent="0.3">
      <c r="Z416" s="57">
        <v>44760</v>
      </c>
      <c r="AA416" t="s">
        <v>867</v>
      </c>
      <c r="AB416" s="18">
        <v>0</v>
      </c>
      <c r="AC416" s="18"/>
      <c r="AD416" s="18"/>
      <c r="AE416" s="18"/>
      <c r="AF416" s="18"/>
      <c r="AG416" s="18"/>
      <c r="AH416" s="18">
        <v>0</v>
      </c>
    </row>
    <row r="417" spans="25:34" x14ac:dyDescent="0.3">
      <c r="Z417" s="57">
        <v>44762</v>
      </c>
      <c r="AA417" t="s">
        <v>868</v>
      </c>
      <c r="AB417" s="18">
        <v>0</v>
      </c>
      <c r="AC417" s="18"/>
      <c r="AD417" s="18"/>
      <c r="AE417" s="18"/>
      <c r="AF417" s="18"/>
      <c r="AG417" s="18"/>
      <c r="AH417" s="18">
        <v>0</v>
      </c>
    </row>
    <row r="418" spans="25:34" x14ac:dyDescent="0.3">
      <c r="Z418" s="57">
        <v>44765</v>
      </c>
      <c r="AA418" t="s">
        <v>869</v>
      </c>
      <c r="AB418" s="18">
        <v>0</v>
      </c>
      <c r="AC418" s="18"/>
      <c r="AD418" s="18"/>
      <c r="AE418" s="18"/>
      <c r="AF418" s="18"/>
      <c r="AG418" s="18"/>
      <c r="AH418" s="18">
        <v>0</v>
      </c>
    </row>
    <row r="419" spans="25:34" x14ac:dyDescent="0.3">
      <c r="Y419">
        <v>8</v>
      </c>
      <c r="Z419" s="57">
        <v>44779</v>
      </c>
      <c r="AA419" t="s">
        <v>896</v>
      </c>
      <c r="AB419" s="18">
        <v>0</v>
      </c>
      <c r="AC419" s="18"/>
      <c r="AD419" s="18"/>
      <c r="AE419" s="18"/>
      <c r="AF419" s="18"/>
      <c r="AG419" s="18"/>
      <c r="AH419" s="18">
        <v>0</v>
      </c>
    </row>
    <row r="420" spans="25:34" x14ac:dyDescent="0.3">
      <c r="Z420" s="57">
        <v>44785</v>
      </c>
      <c r="AA420" t="s">
        <v>900</v>
      </c>
      <c r="AB420" s="18">
        <v>0</v>
      </c>
      <c r="AC420" s="18"/>
      <c r="AD420" s="18"/>
      <c r="AE420" s="18"/>
      <c r="AF420" s="18"/>
      <c r="AG420" s="18"/>
      <c r="AH420" s="18">
        <v>0</v>
      </c>
    </row>
    <row r="421" spans="25:34" x14ac:dyDescent="0.3">
      <c r="Z421" s="57">
        <v>44796</v>
      </c>
      <c r="AA421" t="s">
        <v>911</v>
      </c>
      <c r="AB421" s="18">
        <v>0</v>
      </c>
      <c r="AC421" s="18"/>
      <c r="AD421" s="18"/>
      <c r="AE421" s="18"/>
      <c r="AF421" s="18"/>
      <c r="AG421" s="18"/>
      <c r="AH421" s="18">
        <v>0</v>
      </c>
    </row>
    <row r="422" spans="25:34" x14ac:dyDescent="0.3">
      <c r="Y422">
        <v>9</v>
      </c>
      <c r="Z422" s="57">
        <v>44806</v>
      </c>
      <c r="AA422" t="s">
        <v>925</v>
      </c>
      <c r="AB422" s="18">
        <v>0</v>
      </c>
      <c r="AC422" s="18"/>
      <c r="AD422" s="18"/>
      <c r="AE422" s="18"/>
      <c r="AF422" s="18"/>
      <c r="AG422" s="18"/>
      <c r="AH422" s="18">
        <v>0</v>
      </c>
    </row>
    <row r="423" spans="25:34" x14ac:dyDescent="0.3">
      <c r="Z423" s="57">
        <v>44810</v>
      </c>
      <c r="AA423" t="s">
        <v>928</v>
      </c>
      <c r="AB423" s="18">
        <v>0</v>
      </c>
      <c r="AC423" s="18"/>
      <c r="AD423" s="18"/>
      <c r="AE423" s="18"/>
      <c r="AF423" s="18"/>
      <c r="AG423" s="18"/>
      <c r="AH423" s="18">
        <v>0</v>
      </c>
    </row>
    <row r="424" spans="25:34" x14ac:dyDescent="0.3">
      <c r="Z424" s="57">
        <v>44813</v>
      </c>
      <c r="AA424" t="s">
        <v>932</v>
      </c>
      <c r="AB424" s="18">
        <v>0</v>
      </c>
      <c r="AC424" s="18"/>
      <c r="AD424" s="18"/>
      <c r="AE424" s="18"/>
      <c r="AF424" s="18"/>
      <c r="AG424" s="18"/>
      <c r="AH424" s="18">
        <v>0</v>
      </c>
    </row>
    <row r="425" spans="25:34" x14ac:dyDescent="0.3">
      <c r="Z425" s="57">
        <v>44817</v>
      </c>
      <c r="AA425" t="s">
        <v>934</v>
      </c>
      <c r="AB425" s="18">
        <v>0</v>
      </c>
      <c r="AC425" s="18"/>
      <c r="AD425" s="18"/>
      <c r="AE425" s="18"/>
      <c r="AF425" s="18"/>
      <c r="AG425" s="18"/>
      <c r="AH425" s="18">
        <v>0</v>
      </c>
    </row>
    <row r="426" spans="25:34" x14ac:dyDescent="0.3">
      <c r="AA426" t="s">
        <v>935</v>
      </c>
      <c r="AB426" s="18">
        <v>0</v>
      </c>
      <c r="AC426" s="18"/>
      <c r="AD426" s="18"/>
      <c r="AE426" s="18"/>
      <c r="AF426" s="18"/>
      <c r="AG426" s="18"/>
      <c r="AH426" s="18">
        <v>0</v>
      </c>
    </row>
    <row r="427" spans="25:34" x14ac:dyDescent="0.3">
      <c r="Y427">
        <v>10</v>
      </c>
      <c r="Z427" t="s">
        <v>993</v>
      </c>
      <c r="AA427" t="s">
        <v>988</v>
      </c>
      <c r="AB427" s="18">
        <v>0</v>
      </c>
      <c r="AC427" s="18"/>
      <c r="AD427" s="18"/>
      <c r="AE427" s="18"/>
      <c r="AF427" s="18"/>
      <c r="AG427" s="18"/>
      <c r="AH427" s="18">
        <v>0</v>
      </c>
    </row>
    <row r="428" spans="25:34" x14ac:dyDescent="0.3">
      <c r="Z428" s="57">
        <v>44847</v>
      </c>
      <c r="AA428" t="s">
        <v>1000</v>
      </c>
      <c r="AB428" s="18">
        <v>0</v>
      </c>
      <c r="AC428" s="18"/>
      <c r="AD428" s="18"/>
      <c r="AE428" s="18"/>
      <c r="AF428" s="18"/>
      <c r="AG428" s="18"/>
      <c r="AH428" s="18">
        <v>0</v>
      </c>
    </row>
    <row r="429" spans="25:34" x14ac:dyDescent="0.3">
      <c r="Z429" s="57">
        <v>44856</v>
      </c>
      <c r="AA429" t="s">
        <v>1011</v>
      </c>
      <c r="AB429" s="18">
        <v>0</v>
      </c>
      <c r="AC429" s="18"/>
      <c r="AD429" s="18"/>
      <c r="AE429" s="18"/>
      <c r="AF429" s="18"/>
      <c r="AG429" s="18"/>
      <c r="AH429" s="18">
        <v>0</v>
      </c>
    </row>
    <row r="430" spans="25:34" x14ac:dyDescent="0.3">
      <c r="Z430" s="57">
        <v>44861</v>
      </c>
      <c r="AA430" t="s">
        <v>1013</v>
      </c>
      <c r="AB430" s="18">
        <v>0</v>
      </c>
      <c r="AC430" s="18"/>
      <c r="AD430" s="18"/>
      <c r="AE430" s="18"/>
      <c r="AF430" s="18"/>
      <c r="AG430" s="18"/>
      <c r="AH430" s="18">
        <v>0</v>
      </c>
    </row>
    <row r="431" spans="25:34" x14ac:dyDescent="0.3">
      <c r="Z431" s="57">
        <v>44865</v>
      </c>
      <c r="AA431" t="s">
        <v>1015</v>
      </c>
      <c r="AB431" s="18">
        <v>0</v>
      </c>
      <c r="AC431" s="18"/>
      <c r="AD431" s="18"/>
      <c r="AE431" s="18"/>
      <c r="AF431" s="18"/>
      <c r="AG431" s="18"/>
      <c r="AH431" s="18">
        <v>0</v>
      </c>
    </row>
    <row r="432" spans="25:34" x14ac:dyDescent="0.3">
      <c r="Y432">
        <v>11</v>
      </c>
      <c r="Z432" s="57">
        <v>44869</v>
      </c>
      <c r="AA432" t="s">
        <v>1051</v>
      </c>
      <c r="AB432" s="18">
        <v>0</v>
      </c>
      <c r="AC432" s="18"/>
      <c r="AD432" s="18"/>
      <c r="AE432" s="18"/>
      <c r="AF432" s="18"/>
      <c r="AG432" s="18"/>
      <c r="AH432" s="18">
        <v>0</v>
      </c>
    </row>
    <row r="433" spans="25:34" x14ac:dyDescent="0.3">
      <c r="Z433" s="57">
        <v>44876</v>
      </c>
      <c r="AA433" t="s">
        <v>1065</v>
      </c>
      <c r="AB433" s="18">
        <v>0</v>
      </c>
      <c r="AC433" s="18"/>
      <c r="AD433" s="18"/>
      <c r="AE433" s="18"/>
      <c r="AF433" s="18"/>
      <c r="AG433" s="18"/>
      <c r="AH433" s="18">
        <v>0</v>
      </c>
    </row>
    <row r="434" spans="25:34" x14ac:dyDescent="0.3">
      <c r="Z434" t="s">
        <v>1071</v>
      </c>
      <c r="AA434" t="s">
        <v>1076</v>
      </c>
      <c r="AB434" s="18">
        <v>0</v>
      </c>
      <c r="AC434" s="18"/>
      <c r="AD434" s="18"/>
      <c r="AE434" s="18"/>
      <c r="AF434" s="18"/>
      <c r="AG434" s="18"/>
      <c r="AH434" s="18">
        <v>0</v>
      </c>
    </row>
    <row r="435" spans="25:34" x14ac:dyDescent="0.3">
      <c r="Y435">
        <v>12</v>
      </c>
      <c r="Z435" s="57">
        <v>44897</v>
      </c>
      <c r="AA435" t="s">
        <v>1110</v>
      </c>
      <c r="AB435" s="18">
        <v>0</v>
      </c>
      <c r="AC435" s="18"/>
      <c r="AD435" s="18"/>
      <c r="AE435" s="18"/>
      <c r="AF435" s="18"/>
      <c r="AG435" s="18"/>
      <c r="AH435" s="18">
        <v>0</v>
      </c>
    </row>
    <row r="436" spans="25:34" x14ac:dyDescent="0.3">
      <c r="AA436" t="s">
        <v>1112</v>
      </c>
      <c r="AB436" s="18">
        <v>0</v>
      </c>
      <c r="AC436" s="18"/>
      <c r="AD436" s="18"/>
      <c r="AE436" s="18"/>
      <c r="AF436" s="18"/>
      <c r="AG436" s="18"/>
      <c r="AH436" s="18">
        <v>0</v>
      </c>
    </row>
    <row r="437" spans="25:34" x14ac:dyDescent="0.3">
      <c r="Z437" s="57">
        <v>44898</v>
      </c>
      <c r="AA437" t="s">
        <v>1116</v>
      </c>
      <c r="AB437" s="18">
        <v>0</v>
      </c>
      <c r="AC437" s="18"/>
      <c r="AD437" s="18"/>
      <c r="AE437" s="18"/>
      <c r="AF437" s="18"/>
      <c r="AG437" s="18"/>
      <c r="AH437" s="18">
        <v>0</v>
      </c>
    </row>
    <row r="438" spans="25:34" x14ac:dyDescent="0.3">
      <c r="Z438" s="57">
        <v>44904</v>
      </c>
      <c r="AA438" t="s">
        <v>1123</v>
      </c>
      <c r="AB438" s="18">
        <v>0</v>
      </c>
      <c r="AC438" s="18"/>
      <c r="AD438" s="18"/>
      <c r="AE438" s="18"/>
      <c r="AF438" s="18"/>
      <c r="AG438" s="18"/>
      <c r="AH438" s="18">
        <v>0</v>
      </c>
    </row>
    <row r="439" spans="25:34" x14ac:dyDescent="0.3">
      <c r="Z439" s="57">
        <v>44917</v>
      </c>
      <c r="AA439" t="s">
        <v>1128</v>
      </c>
      <c r="AB439" s="18">
        <v>0</v>
      </c>
      <c r="AC439" s="18"/>
      <c r="AD439" s="18"/>
      <c r="AE439" s="18"/>
      <c r="AF439" s="18"/>
      <c r="AG439" s="18"/>
      <c r="AH439" s="18">
        <v>0</v>
      </c>
    </row>
    <row r="440" spans="25:34" x14ac:dyDescent="0.3">
      <c r="Z440" s="57">
        <v>44923</v>
      </c>
      <c r="AA440" t="s">
        <v>1139</v>
      </c>
      <c r="AB440" s="18">
        <v>0</v>
      </c>
      <c r="AC440" s="18"/>
      <c r="AD440" s="18"/>
      <c r="AE440" s="18"/>
      <c r="AF440" s="18"/>
      <c r="AG440" s="18"/>
      <c r="AH440" s="18">
        <v>0</v>
      </c>
    </row>
    <row r="441" spans="25:34" x14ac:dyDescent="0.3">
      <c r="Z441" s="57">
        <v>44925</v>
      </c>
      <c r="AA441" t="s">
        <v>1140</v>
      </c>
      <c r="AB441" s="18">
        <v>0</v>
      </c>
      <c r="AC441" s="18"/>
      <c r="AD441" s="18"/>
      <c r="AE441" s="18"/>
      <c r="AF441" s="18"/>
      <c r="AG441" s="18"/>
      <c r="AH441" s="18">
        <v>0</v>
      </c>
    </row>
    <row r="442" spans="25:34" x14ac:dyDescent="0.3">
      <c r="Y442">
        <v>4</v>
      </c>
      <c r="Z442" s="57">
        <v>44652</v>
      </c>
      <c r="AA442" t="s">
        <v>684</v>
      </c>
      <c r="AB442" s="18">
        <v>0</v>
      </c>
      <c r="AC442" s="18"/>
      <c r="AD442" s="18"/>
      <c r="AE442" s="18"/>
      <c r="AF442" s="18"/>
      <c r="AG442" s="18"/>
      <c r="AH442" s="18">
        <v>0</v>
      </c>
    </row>
    <row r="443" spans="25:34" x14ac:dyDescent="0.3">
      <c r="Z443" s="57">
        <v>44656</v>
      </c>
      <c r="AA443" t="s">
        <v>686</v>
      </c>
      <c r="AB443" s="18">
        <v>0</v>
      </c>
      <c r="AC443" s="18"/>
      <c r="AD443" s="18"/>
      <c r="AE443" s="18"/>
      <c r="AF443" s="18"/>
      <c r="AG443" s="18"/>
      <c r="AH443" s="18">
        <v>0</v>
      </c>
    </row>
    <row r="444" spans="25:34" x14ac:dyDescent="0.3">
      <c r="Z444" s="57">
        <v>44660</v>
      </c>
      <c r="AA444" t="s">
        <v>690</v>
      </c>
      <c r="AB444" s="18">
        <v>0</v>
      </c>
      <c r="AC444" s="18"/>
      <c r="AD444" s="18"/>
      <c r="AE444" s="18"/>
      <c r="AF444" s="18"/>
      <c r="AG444" s="18"/>
      <c r="AH444" s="18">
        <v>0</v>
      </c>
    </row>
    <row r="445" spans="25:34" x14ac:dyDescent="0.3">
      <c r="Z445" s="57">
        <v>44664</v>
      </c>
      <c r="AA445" t="s">
        <v>694</v>
      </c>
      <c r="AB445" s="18">
        <v>0</v>
      </c>
      <c r="AC445" s="18"/>
      <c r="AD445" s="18"/>
      <c r="AE445" s="18"/>
      <c r="AF445" s="18"/>
      <c r="AG445" s="18"/>
      <c r="AH445" s="18">
        <v>0</v>
      </c>
    </row>
    <row r="446" spans="25:34" x14ac:dyDescent="0.3">
      <c r="Z446" s="57">
        <v>44667</v>
      </c>
      <c r="AA446" t="s">
        <v>697</v>
      </c>
      <c r="AB446" s="18">
        <v>0</v>
      </c>
      <c r="AC446" s="18"/>
      <c r="AD446" s="18"/>
      <c r="AE446" s="18"/>
      <c r="AF446" s="18"/>
      <c r="AG446" s="18"/>
      <c r="AH446" s="18">
        <v>0</v>
      </c>
    </row>
    <row r="447" spans="25:34" x14ac:dyDescent="0.3">
      <c r="Z447" s="57">
        <v>44670</v>
      </c>
      <c r="AA447" t="s">
        <v>699</v>
      </c>
      <c r="AB447" s="18">
        <v>0</v>
      </c>
      <c r="AC447" s="18"/>
      <c r="AD447" s="18"/>
      <c r="AE447" s="18"/>
      <c r="AF447" s="18"/>
      <c r="AG447" s="18"/>
      <c r="AH447" s="18">
        <v>0</v>
      </c>
    </row>
    <row r="448" spans="25:34" x14ac:dyDescent="0.3">
      <c r="Z448" s="57">
        <v>44674</v>
      </c>
      <c r="AA448" t="s">
        <v>719</v>
      </c>
      <c r="AB448" s="18">
        <v>0</v>
      </c>
      <c r="AC448" s="18"/>
      <c r="AD448" s="18"/>
      <c r="AE448" s="18"/>
      <c r="AF448" s="18"/>
      <c r="AG448" s="18"/>
      <c r="AH448" s="18">
        <v>0</v>
      </c>
    </row>
    <row r="449" spans="24:34" x14ac:dyDescent="0.3">
      <c r="Z449" s="57">
        <v>44679</v>
      </c>
      <c r="AA449" t="s">
        <v>726</v>
      </c>
      <c r="AB449" s="18">
        <v>0</v>
      </c>
      <c r="AC449" s="18"/>
      <c r="AD449" s="18"/>
      <c r="AE449" s="18"/>
      <c r="AF449" s="18"/>
      <c r="AG449" s="18"/>
      <c r="AH449" s="18">
        <v>0</v>
      </c>
    </row>
    <row r="450" spans="24:34" x14ac:dyDescent="0.3">
      <c r="Z450" s="57">
        <v>44681</v>
      </c>
      <c r="AA450" t="s">
        <v>730</v>
      </c>
      <c r="AB450" s="18">
        <v>0</v>
      </c>
      <c r="AC450" s="18"/>
      <c r="AD450" s="18"/>
      <c r="AE450" s="18"/>
      <c r="AF450" s="18"/>
      <c r="AG450" s="18"/>
      <c r="AH450" s="18">
        <v>0</v>
      </c>
    </row>
    <row r="451" spans="24:34" x14ac:dyDescent="0.3">
      <c r="X451">
        <v>2023</v>
      </c>
      <c r="Y451">
        <v>1</v>
      </c>
      <c r="Z451" s="57">
        <v>44931</v>
      </c>
      <c r="AA451" t="s">
        <v>1168</v>
      </c>
      <c r="AB451" s="18">
        <v>0</v>
      </c>
      <c r="AC451" s="18"/>
      <c r="AD451" s="18"/>
      <c r="AE451" s="18"/>
      <c r="AF451" s="18"/>
      <c r="AG451" s="18"/>
      <c r="AH451" s="18">
        <v>0</v>
      </c>
    </row>
    <row r="452" spans="24:34" x14ac:dyDescent="0.3">
      <c r="Z452" s="57">
        <v>44933</v>
      </c>
      <c r="AA452" t="s">
        <v>1172</v>
      </c>
      <c r="AB452" s="18">
        <v>0</v>
      </c>
      <c r="AC452" s="18"/>
      <c r="AD452" s="18"/>
      <c r="AE452" s="18"/>
      <c r="AF452" s="18"/>
      <c r="AG452" s="18"/>
      <c r="AH452" s="18">
        <v>0</v>
      </c>
    </row>
    <row r="453" spans="24:34" x14ac:dyDescent="0.3">
      <c r="Z453" s="57">
        <v>44935</v>
      </c>
      <c r="AA453" t="s">
        <v>1175</v>
      </c>
      <c r="AB453" s="18">
        <v>0</v>
      </c>
      <c r="AC453" s="18"/>
      <c r="AD453" s="18"/>
      <c r="AE453" s="18"/>
      <c r="AF453" s="18"/>
      <c r="AG453" s="18"/>
      <c r="AH453" s="18">
        <v>0</v>
      </c>
    </row>
    <row r="454" spans="24:34" x14ac:dyDescent="0.3">
      <c r="Z454" s="57">
        <v>44938</v>
      </c>
      <c r="AA454" t="s">
        <v>1182</v>
      </c>
      <c r="AB454" s="18">
        <v>0</v>
      </c>
      <c r="AC454" s="18"/>
      <c r="AD454" s="18"/>
      <c r="AE454" s="18"/>
      <c r="AF454" s="18"/>
      <c r="AG454" s="18"/>
      <c r="AH454" s="18">
        <v>0</v>
      </c>
    </row>
    <row r="455" spans="24:34" x14ac:dyDescent="0.3">
      <c r="Z455" s="57">
        <v>44940</v>
      </c>
      <c r="AA455" t="s">
        <v>1190</v>
      </c>
      <c r="AB455" s="18">
        <v>0</v>
      </c>
      <c r="AC455" s="18"/>
      <c r="AD455" s="18"/>
      <c r="AE455" s="18"/>
      <c r="AF455" s="18"/>
      <c r="AG455" s="18"/>
      <c r="AH455" s="18">
        <v>0</v>
      </c>
    </row>
    <row r="456" spans="24:34" x14ac:dyDescent="0.3">
      <c r="Z456" s="57">
        <v>44945</v>
      </c>
      <c r="AA456" t="s">
        <v>1194</v>
      </c>
      <c r="AB456" s="18">
        <v>0</v>
      </c>
      <c r="AC456" s="18"/>
      <c r="AD456" s="18"/>
      <c r="AE456" s="18"/>
      <c r="AF456" s="18"/>
      <c r="AG456" s="18"/>
      <c r="AH456" s="18">
        <v>0</v>
      </c>
    </row>
    <row r="457" spans="24:34" x14ac:dyDescent="0.3">
      <c r="Z457" s="57">
        <v>44956</v>
      </c>
      <c r="AA457" t="s">
        <v>1205</v>
      </c>
      <c r="AB457" s="18">
        <v>0</v>
      </c>
      <c r="AC457" s="18"/>
      <c r="AD457" s="18"/>
      <c r="AE457" s="18"/>
      <c r="AF457" s="18"/>
      <c r="AG457" s="18"/>
      <c r="AH457" s="18">
        <v>0</v>
      </c>
    </row>
    <row r="458" spans="24:34" x14ac:dyDescent="0.3">
      <c r="Y458">
        <v>2</v>
      </c>
      <c r="Z458" t="s">
        <v>1239</v>
      </c>
      <c r="AA458" t="s">
        <v>1238</v>
      </c>
      <c r="AB458" s="18">
        <v>0</v>
      </c>
      <c r="AC458" s="18"/>
      <c r="AD458" s="18"/>
      <c r="AE458" s="18"/>
      <c r="AF458" s="18"/>
      <c r="AG458" s="18"/>
      <c r="AH458" s="18">
        <v>0</v>
      </c>
    </row>
    <row r="459" spans="24:34" x14ac:dyDescent="0.3">
      <c r="Z459" t="s">
        <v>1247</v>
      </c>
      <c r="AA459" t="s">
        <v>1246</v>
      </c>
      <c r="AB459" s="18">
        <v>4.5474735088646412E-13</v>
      </c>
      <c r="AC459" s="18"/>
      <c r="AD459" s="18"/>
      <c r="AE459" s="18"/>
      <c r="AF459" s="18"/>
      <c r="AG459" s="18"/>
      <c r="AH459" s="18">
        <v>4.5474735088646412E-13</v>
      </c>
    </row>
    <row r="460" spans="24:34" x14ac:dyDescent="0.3">
      <c r="AA460" t="s">
        <v>1248</v>
      </c>
      <c r="AB460" s="18">
        <v>0</v>
      </c>
      <c r="AC460" s="18"/>
      <c r="AD460" s="18"/>
      <c r="AE460" s="18"/>
      <c r="AF460" s="18"/>
      <c r="AG460" s="18"/>
      <c r="AH460" s="18">
        <v>0</v>
      </c>
    </row>
    <row r="461" spans="24:34" x14ac:dyDescent="0.3">
      <c r="Z461" s="57">
        <v>44968</v>
      </c>
      <c r="AA461" t="s">
        <v>1255</v>
      </c>
      <c r="AB461" s="18">
        <v>0</v>
      </c>
      <c r="AC461" s="18"/>
      <c r="AD461" s="18"/>
      <c r="AE461" s="18"/>
      <c r="AF461" s="18"/>
      <c r="AG461" s="18"/>
      <c r="AH461" s="18">
        <v>0</v>
      </c>
    </row>
    <row r="462" spans="24:34" x14ac:dyDescent="0.3">
      <c r="AA462" t="s">
        <v>1256</v>
      </c>
      <c r="AB462" s="18">
        <v>0</v>
      </c>
      <c r="AC462" s="18"/>
      <c r="AD462" s="18"/>
      <c r="AE462" s="18"/>
      <c r="AF462" s="18"/>
      <c r="AG462" s="18"/>
      <c r="AH462" s="18">
        <v>0</v>
      </c>
    </row>
    <row r="463" spans="24:34" x14ac:dyDescent="0.3">
      <c r="Z463" t="s">
        <v>1265</v>
      </c>
      <c r="AA463" t="s">
        <v>1264</v>
      </c>
      <c r="AB463" s="18">
        <v>0</v>
      </c>
      <c r="AC463" s="18"/>
      <c r="AD463" s="18"/>
      <c r="AE463" s="18"/>
      <c r="AF463" s="18"/>
      <c r="AG463" s="18"/>
      <c r="AH463" s="18">
        <v>0</v>
      </c>
    </row>
    <row r="464" spans="24:34" x14ac:dyDescent="0.3">
      <c r="AA464" t="s">
        <v>1267</v>
      </c>
      <c r="AB464" s="18">
        <v>0</v>
      </c>
      <c r="AC464" s="18"/>
      <c r="AD464" s="18"/>
      <c r="AE464" s="18"/>
      <c r="AF464" s="18"/>
      <c r="AG464" s="18"/>
      <c r="AH464" s="18">
        <v>0</v>
      </c>
    </row>
    <row r="465" spans="25:34" x14ac:dyDescent="0.3">
      <c r="AA465" t="s">
        <v>1268</v>
      </c>
      <c r="AB465" s="18">
        <v>0</v>
      </c>
      <c r="AC465" s="18"/>
      <c r="AD465" s="18"/>
      <c r="AE465" s="18"/>
      <c r="AF465" s="18"/>
      <c r="AG465" s="18"/>
      <c r="AH465" s="18">
        <v>0</v>
      </c>
    </row>
    <row r="466" spans="25:34" x14ac:dyDescent="0.3">
      <c r="Z466" s="57">
        <v>44978</v>
      </c>
      <c r="AA466" t="s">
        <v>1275</v>
      </c>
      <c r="AB466" s="18">
        <v>0</v>
      </c>
      <c r="AC466" s="18"/>
      <c r="AD466" s="18"/>
      <c r="AE466" s="18"/>
      <c r="AF466" s="18"/>
      <c r="AG466" s="18"/>
      <c r="AH466" s="18">
        <v>0</v>
      </c>
    </row>
    <row r="467" spans="25:34" x14ac:dyDescent="0.3">
      <c r="AA467" t="s">
        <v>1276</v>
      </c>
      <c r="AB467" s="18">
        <v>12636.6</v>
      </c>
      <c r="AC467" s="18"/>
      <c r="AD467" s="18"/>
      <c r="AE467" s="18"/>
      <c r="AF467" s="18"/>
      <c r="AG467" s="18"/>
      <c r="AH467" s="18">
        <v>12636.6</v>
      </c>
    </row>
    <row r="468" spans="25:34" x14ac:dyDescent="0.3">
      <c r="Z468" t="s">
        <v>1280</v>
      </c>
      <c r="AA468" t="s">
        <v>1278</v>
      </c>
      <c r="AB468" s="18">
        <v>1567.5</v>
      </c>
      <c r="AC468" s="18"/>
      <c r="AD468" s="18"/>
      <c r="AE468" s="18"/>
      <c r="AF468" s="18"/>
      <c r="AG468" s="18"/>
      <c r="AH468" s="18">
        <v>1567.5</v>
      </c>
    </row>
    <row r="469" spans="25:34" x14ac:dyDescent="0.3">
      <c r="Y469">
        <v>3</v>
      </c>
      <c r="Z469" t="s">
        <v>1309</v>
      </c>
      <c r="AA469" t="s">
        <v>1308</v>
      </c>
      <c r="AB469" s="18">
        <v>937.5</v>
      </c>
      <c r="AC469" s="18"/>
      <c r="AD469" s="18"/>
      <c r="AE469" s="18"/>
      <c r="AF469" s="18"/>
      <c r="AG469" s="18"/>
      <c r="AH469" s="18">
        <v>937.5</v>
      </c>
    </row>
    <row r="470" spans="25:34" x14ac:dyDescent="0.3">
      <c r="AA470" t="s">
        <v>1312</v>
      </c>
      <c r="AB470" s="18">
        <v>42610</v>
      </c>
      <c r="AC470" s="18"/>
      <c r="AD470" s="18"/>
      <c r="AE470" s="18"/>
      <c r="AF470" s="18"/>
      <c r="AG470" s="18"/>
      <c r="AH470" s="18">
        <v>42610</v>
      </c>
    </row>
    <row r="471" spans="25:34" x14ac:dyDescent="0.3">
      <c r="Z471" t="s">
        <v>1333</v>
      </c>
      <c r="AA471" t="s">
        <v>1332</v>
      </c>
      <c r="AB471" s="18">
        <v>200</v>
      </c>
      <c r="AC471" s="18"/>
      <c r="AD471" s="18"/>
      <c r="AE471" s="18"/>
      <c r="AF471" s="18"/>
      <c r="AG471" s="18"/>
      <c r="AH471" s="18">
        <v>200</v>
      </c>
    </row>
    <row r="472" spans="25:34" x14ac:dyDescent="0.3">
      <c r="Z472" t="s">
        <v>1335</v>
      </c>
      <c r="AA472" t="s">
        <v>1336</v>
      </c>
      <c r="AB472" s="18">
        <v>625</v>
      </c>
      <c r="AC472" s="18"/>
      <c r="AD472" s="18"/>
      <c r="AE472" s="18"/>
      <c r="AF472" s="18"/>
      <c r="AG472" s="18"/>
      <c r="AH472" s="18">
        <v>625</v>
      </c>
    </row>
    <row r="473" spans="25:34" x14ac:dyDescent="0.3">
      <c r="AA473" t="s">
        <v>1337</v>
      </c>
      <c r="AB473" s="18">
        <v>29168</v>
      </c>
      <c r="AC473" s="18"/>
      <c r="AD473" s="18"/>
      <c r="AE473" s="18"/>
      <c r="AF473" s="18"/>
      <c r="AG473" s="18"/>
      <c r="AH473" s="18">
        <v>29168</v>
      </c>
    </row>
    <row r="474" spans="25:34" x14ac:dyDescent="0.3">
      <c r="Z474" t="s">
        <v>1349</v>
      </c>
      <c r="AA474" t="s">
        <v>1347</v>
      </c>
      <c r="AB474" s="18">
        <v>312.5</v>
      </c>
      <c r="AC474" s="18"/>
      <c r="AD474" s="18"/>
      <c r="AE474" s="18"/>
      <c r="AF474" s="18"/>
      <c r="AG474" s="18"/>
      <c r="AH474" s="18">
        <v>312.5</v>
      </c>
    </row>
    <row r="475" spans="25:34" x14ac:dyDescent="0.3">
      <c r="AA475" t="s">
        <v>1348</v>
      </c>
      <c r="AB475" s="18">
        <v>15506</v>
      </c>
      <c r="AC475" s="18"/>
      <c r="AD475" s="18"/>
      <c r="AE475" s="18"/>
      <c r="AF475" s="18"/>
      <c r="AG475" s="18"/>
      <c r="AH475" s="18">
        <v>15506</v>
      </c>
    </row>
    <row r="476" spans="25:34" x14ac:dyDescent="0.3">
      <c r="Z476" t="s">
        <v>1363</v>
      </c>
      <c r="AA476" t="s">
        <v>1366</v>
      </c>
      <c r="AB476" s="18">
        <v>312.5</v>
      </c>
      <c r="AC476" s="18"/>
      <c r="AD476" s="18"/>
      <c r="AE476" s="18"/>
      <c r="AF476" s="18"/>
      <c r="AG476" s="18"/>
      <c r="AH476" s="18">
        <v>312.5</v>
      </c>
    </row>
    <row r="477" spans="25:34" x14ac:dyDescent="0.3">
      <c r="AA477" t="s">
        <v>1367</v>
      </c>
      <c r="AB477" s="18">
        <v>12610</v>
      </c>
      <c r="AC477" s="18"/>
      <c r="AD477" s="18"/>
      <c r="AE477" s="18"/>
      <c r="AF477" s="18"/>
      <c r="AG477" s="18"/>
      <c r="AH477" s="18">
        <v>12610</v>
      </c>
    </row>
    <row r="478" spans="25:34" x14ac:dyDescent="0.3">
      <c r="Y478">
        <v>5</v>
      </c>
      <c r="Z478" s="57">
        <v>45048</v>
      </c>
      <c r="AA478" t="s">
        <v>1532</v>
      </c>
      <c r="AB478" s="18">
        <v>187.5</v>
      </c>
      <c r="AC478" s="18"/>
      <c r="AD478" s="18"/>
      <c r="AE478" s="18"/>
      <c r="AF478" s="18"/>
      <c r="AG478" s="18"/>
      <c r="AH478" s="18">
        <v>187.5</v>
      </c>
    </row>
    <row r="479" spans="25:34" x14ac:dyDescent="0.3">
      <c r="AA479" t="s">
        <v>1533</v>
      </c>
      <c r="AB479" s="18">
        <v>10079.6</v>
      </c>
      <c r="AC479" s="18"/>
      <c r="AD479" s="18"/>
      <c r="AE479" s="18"/>
      <c r="AF479" s="18"/>
      <c r="AG479" s="18"/>
      <c r="AH479" s="18">
        <v>10079.6</v>
      </c>
    </row>
    <row r="480" spans="25:34" x14ac:dyDescent="0.3">
      <c r="Z480" s="57">
        <v>45054</v>
      </c>
      <c r="AA480" t="s">
        <v>1539</v>
      </c>
      <c r="AB480" s="18">
        <v>937.5</v>
      </c>
      <c r="AC480" s="18"/>
      <c r="AD480" s="18"/>
      <c r="AE480" s="18"/>
      <c r="AF480" s="18"/>
      <c r="AG480" s="18"/>
      <c r="AH480" s="18">
        <v>937.5</v>
      </c>
    </row>
    <row r="481" spans="25:34" x14ac:dyDescent="0.3">
      <c r="AA481" t="s">
        <v>1540</v>
      </c>
      <c r="AB481" s="18">
        <v>45901.2</v>
      </c>
      <c r="AC481" s="18"/>
      <c r="AD481" s="18"/>
      <c r="AE481" s="18"/>
      <c r="AF481" s="18"/>
      <c r="AG481" s="18"/>
      <c r="AH481" s="18">
        <v>45901.2</v>
      </c>
    </row>
    <row r="482" spans="25:34" x14ac:dyDescent="0.3">
      <c r="Z482" s="57">
        <v>45066</v>
      </c>
      <c r="AA482" t="s">
        <v>1556</v>
      </c>
      <c r="AB482" s="18">
        <v>187.5</v>
      </c>
      <c r="AC482" s="18"/>
      <c r="AD482" s="18"/>
      <c r="AE482" s="18"/>
      <c r="AF482" s="18"/>
      <c r="AG482" s="18"/>
      <c r="AH482" s="18">
        <v>187.5</v>
      </c>
    </row>
    <row r="483" spans="25:34" x14ac:dyDescent="0.3">
      <c r="AA483" t="s">
        <v>1557</v>
      </c>
      <c r="AB483" s="18">
        <v>10713.8</v>
      </c>
      <c r="AC483" s="18"/>
      <c r="AD483" s="18"/>
      <c r="AE483" s="18"/>
      <c r="AF483" s="18"/>
      <c r="AG483" s="18"/>
      <c r="AH483" s="18">
        <v>10713.8</v>
      </c>
    </row>
    <row r="484" spans="25:34" x14ac:dyDescent="0.3">
      <c r="Z484" s="57">
        <v>45072</v>
      </c>
      <c r="AA484" t="s">
        <v>1560</v>
      </c>
      <c r="AB484" s="18">
        <v>0</v>
      </c>
      <c r="AC484" s="18"/>
      <c r="AD484" s="18"/>
      <c r="AE484" s="18"/>
      <c r="AF484" s="18"/>
      <c r="AG484" s="18"/>
      <c r="AH484" s="18">
        <v>0</v>
      </c>
    </row>
    <row r="485" spans="25:34" x14ac:dyDescent="0.3">
      <c r="Y485">
        <v>6</v>
      </c>
      <c r="Z485" t="s">
        <v>1637</v>
      </c>
      <c r="AA485" t="s">
        <v>1634</v>
      </c>
      <c r="AB485" s="18">
        <v>375</v>
      </c>
      <c r="AC485" s="18"/>
      <c r="AD485" s="18"/>
      <c r="AE485" s="18"/>
      <c r="AF485" s="18"/>
      <c r="AG485" s="18"/>
      <c r="AH485" s="18">
        <v>375</v>
      </c>
    </row>
    <row r="486" spans="25:34" x14ac:dyDescent="0.3">
      <c r="AA486" t="s">
        <v>1635</v>
      </c>
      <c r="AB486" s="18">
        <v>16367</v>
      </c>
      <c r="AC486" s="18"/>
      <c r="AD486" s="18"/>
      <c r="AE486" s="18"/>
      <c r="AF486" s="18"/>
      <c r="AG486" s="18"/>
      <c r="AH486" s="18">
        <v>16367</v>
      </c>
    </row>
    <row r="487" spans="25:34" x14ac:dyDescent="0.3">
      <c r="Y487">
        <v>7</v>
      </c>
      <c r="Z487" t="s">
        <v>1709</v>
      </c>
      <c r="AA487" t="s">
        <v>1707</v>
      </c>
      <c r="AB487" s="18">
        <v>112.9</v>
      </c>
      <c r="AC487" s="18"/>
      <c r="AD487" s="18"/>
      <c r="AE487" s="18"/>
      <c r="AF487" s="18"/>
      <c r="AG487" s="18"/>
      <c r="AH487" s="18">
        <v>112.9</v>
      </c>
    </row>
    <row r="488" spans="25:34" x14ac:dyDescent="0.3">
      <c r="Z488" s="57">
        <v>45133</v>
      </c>
      <c r="AA488" t="s">
        <v>1726</v>
      </c>
      <c r="AB488" s="18">
        <v>62.5</v>
      </c>
      <c r="AC488" s="18"/>
      <c r="AD488" s="18"/>
      <c r="AE488" s="18"/>
      <c r="AF488" s="18"/>
      <c r="AG488" s="18"/>
      <c r="AH488" s="18">
        <v>62.5</v>
      </c>
    </row>
    <row r="489" spans="25:34" x14ac:dyDescent="0.3">
      <c r="Z489" t="s">
        <v>1733</v>
      </c>
      <c r="AA489" t="s">
        <v>1732</v>
      </c>
      <c r="AB489" s="18">
        <v>6194</v>
      </c>
      <c r="AC489" s="18"/>
      <c r="AD489" s="18"/>
      <c r="AE489" s="18"/>
      <c r="AF489" s="18"/>
      <c r="AG489" s="18"/>
      <c r="AH489" s="18">
        <v>6194</v>
      </c>
    </row>
    <row r="490" spans="25:34" x14ac:dyDescent="0.3">
      <c r="Z490" s="57">
        <v>45134</v>
      </c>
      <c r="AA490" t="s">
        <v>1736</v>
      </c>
      <c r="AB490" s="18">
        <v>187.5</v>
      </c>
      <c r="AC490" s="18"/>
      <c r="AD490" s="18"/>
      <c r="AE490" s="18"/>
      <c r="AF490" s="18"/>
      <c r="AG490" s="18"/>
      <c r="AH490" s="18">
        <v>187.5</v>
      </c>
    </row>
    <row r="491" spans="25:34" x14ac:dyDescent="0.3">
      <c r="AA491" t="s">
        <v>1737</v>
      </c>
      <c r="AB491" s="18">
        <v>7121</v>
      </c>
      <c r="AC491" s="18"/>
      <c r="AD491" s="18"/>
      <c r="AE491" s="18"/>
      <c r="AF491" s="18"/>
      <c r="AG491" s="18"/>
      <c r="AH491" s="18">
        <v>7121</v>
      </c>
    </row>
    <row r="492" spans="25:34" x14ac:dyDescent="0.3">
      <c r="Y492">
        <v>8</v>
      </c>
      <c r="Z492" s="57">
        <v>45142</v>
      </c>
      <c r="AA492" t="s">
        <v>1800</v>
      </c>
      <c r="AB492" s="18">
        <v>5858</v>
      </c>
      <c r="AC492" s="18"/>
      <c r="AD492" s="18"/>
      <c r="AE492" s="18"/>
      <c r="AF492" s="18"/>
      <c r="AG492" s="18"/>
      <c r="AH492" s="18">
        <v>5858</v>
      </c>
    </row>
    <row r="493" spans="25:34" x14ac:dyDescent="0.3">
      <c r="Z493" s="57">
        <v>45145</v>
      </c>
      <c r="AA493" t="s">
        <v>1805</v>
      </c>
      <c r="AB493" s="18">
        <v>250</v>
      </c>
      <c r="AC493" s="18"/>
      <c r="AD493" s="18"/>
      <c r="AE493" s="18"/>
      <c r="AF493" s="18"/>
      <c r="AG493" s="18"/>
      <c r="AH493" s="18">
        <v>250</v>
      </c>
    </row>
    <row r="494" spans="25:34" x14ac:dyDescent="0.3">
      <c r="AA494" t="s">
        <v>1806</v>
      </c>
      <c r="AB494" s="18">
        <v>3124</v>
      </c>
      <c r="AC494" s="18"/>
      <c r="AD494" s="18"/>
      <c r="AE494" s="18"/>
      <c r="AF494" s="18"/>
      <c r="AG494" s="18"/>
      <c r="AH494" s="18">
        <v>3124</v>
      </c>
    </row>
    <row r="495" spans="25:34" x14ac:dyDescent="0.3">
      <c r="AA495" t="s">
        <v>1807</v>
      </c>
      <c r="AB495" s="18">
        <v>2734</v>
      </c>
      <c r="AC495" s="18"/>
      <c r="AD495" s="18"/>
      <c r="AE495" s="18"/>
      <c r="AF495" s="18"/>
      <c r="AG495" s="18"/>
      <c r="AH495" s="18">
        <v>2734</v>
      </c>
    </row>
    <row r="496" spans="25:34" x14ac:dyDescent="0.3">
      <c r="Z496" t="s">
        <v>1816</v>
      </c>
      <c r="AA496" t="s">
        <v>1814</v>
      </c>
      <c r="AB496" s="18">
        <v>125</v>
      </c>
      <c r="AC496" s="18"/>
      <c r="AD496" s="18"/>
      <c r="AE496" s="18"/>
      <c r="AF496" s="18"/>
      <c r="AG496" s="18"/>
      <c r="AH496" s="18">
        <v>125</v>
      </c>
    </row>
    <row r="497" spans="25:34" x14ac:dyDescent="0.3">
      <c r="AA497" t="s">
        <v>1815</v>
      </c>
      <c r="AB497" s="18">
        <v>5427</v>
      </c>
      <c r="AC497" s="18"/>
      <c r="AD497" s="18"/>
      <c r="AE497" s="18"/>
      <c r="AF497" s="18"/>
      <c r="AG497" s="18"/>
      <c r="AH497" s="18">
        <v>5427</v>
      </c>
    </row>
    <row r="498" spans="25:34" x14ac:dyDescent="0.3">
      <c r="Z498" s="57">
        <v>45160</v>
      </c>
      <c r="AA498" t="s">
        <v>1825</v>
      </c>
      <c r="AB498" s="18">
        <v>187.5</v>
      </c>
      <c r="AC498" s="18"/>
      <c r="AD498" s="18"/>
      <c r="AE498" s="18"/>
      <c r="AF498" s="18"/>
      <c r="AG498" s="18"/>
      <c r="AH498" s="18">
        <v>187.5</v>
      </c>
    </row>
    <row r="499" spans="25:34" x14ac:dyDescent="0.3">
      <c r="AA499" t="s">
        <v>1826</v>
      </c>
      <c r="AB499" s="18">
        <v>6587</v>
      </c>
      <c r="AC499" s="18"/>
      <c r="AD499" s="18"/>
      <c r="AE499" s="18"/>
      <c r="AF499" s="18"/>
      <c r="AG499" s="18"/>
      <c r="AH499" s="18">
        <v>6587</v>
      </c>
    </row>
    <row r="500" spans="25:34" x14ac:dyDescent="0.3">
      <c r="Z500" s="57">
        <v>45166</v>
      </c>
      <c r="AA500" t="s">
        <v>1834</v>
      </c>
      <c r="AB500" s="18">
        <v>125</v>
      </c>
      <c r="AC500" s="18"/>
      <c r="AD500" s="18"/>
      <c r="AE500" s="18"/>
      <c r="AF500" s="18"/>
      <c r="AG500" s="18"/>
      <c r="AH500" s="18">
        <v>125</v>
      </c>
    </row>
    <row r="501" spans="25:34" x14ac:dyDescent="0.3">
      <c r="AA501" t="s">
        <v>1835</v>
      </c>
      <c r="AB501" s="18">
        <v>5858</v>
      </c>
      <c r="AC501" s="18"/>
      <c r="AD501" s="18"/>
      <c r="AE501" s="18"/>
      <c r="AF501" s="18"/>
      <c r="AG501" s="18"/>
      <c r="AH501" s="18">
        <v>5858</v>
      </c>
    </row>
    <row r="502" spans="25:34" x14ac:dyDescent="0.3">
      <c r="Y502">
        <v>9</v>
      </c>
      <c r="Z502" t="s">
        <v>1879</v>
      </c>
      <c r="AA502" t="s">
        <v>1877</v>
      </c>
      <c r="AB502" s="18">
        <v>125</v>
      </c>
      <c r="AC502" s="18"/>
      <c r="AD502" s="18"/>
      <c r="AE502" s="18"/>
      <c r="AF502" s="18"/>
      <c r="AG502" s="18"/>
      <c r="AH502" s="18">
        <v>125</v>
      </c>
    </row>
    <row r="503" spans="25:34" x14ac:dyDescent="0.3">
      <c r="AA503" t="s">
        <v>1878</v>
      </c>
      <c r="AB503" s="18">
        <v>4858</v>
      </c>
      <c r="AC503" s="18"/>
      <c r="AD503" s="18"/>
      <c r="AE503" s="18"/>
      <c r="AF503" s="18"/>
      <c r="AG503" s="18"/>
      <c r="AH503" s="18">
        <v>4858</v>
      </c>
    </row>
    <row r="504" spans="25:34" x14ac:dyDescent="0.3">
      <c r="AA504" t="s">
        <v>1882</v>
      </c>
      <c r="AB504" s="18">
        <v>125</v>
      </c>
      <c r="AC504" s="18"/>
      <c r="AD504" s="18"/>
      <c r="AE504" s="18"/>
      <c r="AF504" s="18"/>
      <c r="AG504" s="18"/>
      <c r="AH504" s="18">
        <v>125</v>
      </c>
    </row>
    <row r="505" spans="25:34" x14ac:dyDescent="0.3">
      <c r="AA505" t="s">
        <v>1883</v>
      </c>
      <c r="AB505" s="18">
        <v>5946</v>
      </c>
      <c r="AC505" s="18"/>
      <c r="AD505" s="18"/>
      <c r="AE505" s="18"/>
      <c r="AF505" s="18"/>
      <c r="AG505" s="18"/>
      <c r="AH505" s="18">
        <v>5946</v>
      </c>
    </row>
    <row r="506" spans="25:34" x14ac:dyDescent="0.3">
      <c r="Z506" s="57">
        <v>45178</v>
      </c>
      <c r="AA506" t="s">
        <v>1892</v>
      </c>
      <c r="AB506" s="18">
        <v>125</v>
      </c>
      <c r="AC506" s="18"/>
      <c r="AD506" s="18"/>
      <c r="AE506" s="18"/>
      <c r="AF506" s="18"/>
      <c r="AG506" s="18"/>
      <c r="AH506" s="18">
        <v>125</v>
      </c>
    </row>
    <row r="507" spans="25:34" x14ac:dyDescent="0.3">
      <c r="AA507" t="s">
        <v>1893</v>
      </c>
      <c r="AB507" s="18">
        <v>5746</v>
      </c>
      <c r="AC507" s="18"/>
      <c r="AD507" s="18"/>
      <c r="AE507" s="18"/>
      <c r="AF507" s="18"/>
      <c r="AG507" s="18"/>
      <c r="AH507" s="18">
        <v>5746</v>
      </c>
    </row>
    <row r="508" spans="25:34" x14ac:dyDescent="0.3">
      <c r="Z508" s="57">
        <v>45182</v>
      </c>
      <c r="AA508" t="s">
        <v>1901</v>
      </c>
      <c r="AB508" s="18">
        <v>125</v>
      </c>
      <c r="AC508" s="18"/>
      <c r="AD508" s="18"/>
      <c r="AE508" s="18"/>
      <c r="AF508" s="18"/>
      <c r="AG508" s="18"/>
      <c r="AH508" s="18">
        <v>125</v>
      </c>
    </row>
    <row r="509" spans="25:34" x14ac:dyDescent="0.3">
      <c r="AA509" t="s">
        <v>1902</v>
      </c>
      <c r="AB509" s="18">
        <v>5326</v>
      </c>
      <c r="AC509" s="18"/>
      <c r="AD509" s="18"/>
      <c r="AE509" s="18"/>
      <c r="AF509" s="18"/>
      <c r="AG509" s="18"/>
      <c r="AH509" s="18">
        <v>5326</v>
      </c>
    </row>
    <row r="510" spans="25:34" x14ac:dyDescent="0.3">
      <c r="Z510" s="57">
        <v>45184</v>
      </c>
      <c r="AA510" t="s">
        <v>1904</v>
      </c>
      <c r="AB510" s="18">
        <v>125</v>
      </c>
      <c r="AC510" s="18"/>
      <c r="AD510" s="18"/>
      <c r="AE510" s="18"/>
      <c r="AF510" s="18"/>
      <c r="AG510" s="18"/>
      <c r="AH510" s="18">
        <v>125</v>
      </c>
    </row>
    <row r="511" spans="25:34" x14ac:dyDescent="0.3">
      <c r="AA511" t="s">
        <v>1905</v>
      </c>
      <c r="AB511" s="18">
        <v>5502</v>
      </c>
      <c r="AC511" s="18"/>
      <c r="AD511" s="18"/>
      <c r="AE511" s="18"/>
      <c r="AF511" s="18"/>
      <c r="AG511" s="18"/>
      <c r="AH511" s="18">
        <v>5502</v>
      </c>
    </row>
    <row r="512" spans="25:34" x14ac:dyDescent="0.3">
      <c r="Z512" s="57">
        <v>45189</v>
      </c>
      <c r="AA512" t="s">
        <v>1911</v>
      </c>
      <c r="AB512" s="18">
        <v>125</v>
      </c>
      <c r="AC512" s="18"/>
      <c r="AD512" s="18"/>
      <c r="AE512" s="18"/>
      <c r="AF512" s="18"/>
      <c r="AG512" s="18"/>
      <c r="AH512" s="18">
        <v>125</v>
      </c>
    </row>
    <row r="513" spans="23:34" x14ac:dyDescent="0.3">
      <c r="AA513" t="s">
        <v>1912</v>
      </c>
      <c r="AB513" s="18">
        <v>6326</v>
      </c>
      <c r="AC513" s="18"/>
      <c r="AD513" s="18"/>
      <c r="AE513" s="18"/>
      <c r="AF513" s="18"/>
      <c r="AG513" s="18"/>
      <c r="AH513" s="18">
        <v>6326</v>
      </c>
    </row>
    <row r="514" spans="23:34" x14ac:dyDescent="0.3">
      <c r="Z514" s="57">
        <v>45196</v>
      </c>
      <c r="AA514" t="s">
        <v>1922</v>
      </c>
      <c r="AB514" s="18">
        <v>500</v>
      </c>
      <c r="AC514" s="18"/>
      <c r="AD514" s="18"/>
      <c r="AE514" s="18"/>
      <c r="AF514" s="18"/>
      <c r="AG514" s="18"/>
      <c r="AH514" s="18">
        <v>500</v>
      </c>
    </row>
    <row r="515" spans="23:34" x14ac:dyDescent="0.3">
      <c r="AA515" t="s">
        <v>1924</v>
      </c>
      <c r="AB515" s="18">
        <v>21572</v>
      </c>
      <c r="AC515" s="18"/>
      <c r="AD515" s="18"/>
      <c r="AE515" s="18"/>
      <c r="AF515" s="18"/>
      <c r="AG515" s="18"/>
      <c r="AH515" s="18">
        <v>21572</v>
      </c>
    </row>
    <row r="516" spans="23:34" x14ac:dyDescent="0.3">
      <c r="Z516" s="57">
        <v>45199</v>
      </c>
      <c r="AA516" t="s">
        <v>1926</v>
      </c>
      <c r="AB516" s="18">
        <v>312.5</v>
      </c>
      <c r="AC516" s="18"/>
      <c r="AD516" s="18"/>
      <c r="AE516" s="18"/>
      <c r="AF516" s="18"/>
      <c r="AG516" s="18"/>
      <c r="AH516" s="18">
        <v>312.5</v>
      </c>
    </row>
    <row r="517" spans="23:34" x14ac:dyDescent="0.3">
      <c r="AA517" t="s">
        <v>1927</v>
      </c>
      <c r="AB517" s="18">
        <v>14117</v>
      </c>
      <c r="AC517" s="18"/>
      <c r="AD517" s="18"/>
      <c r="AE517" s="18"/>
      <c r="AF517" s="18"/>
      <c r="AG517" s="18"/>
      <c r="AH517" s="18">
        <v>14117</v>
      </c>
    </row>
    <row r="518" spans="23:34" x14ac:dyDescent="0.3">
      <c r="Y518">
        <v>10</v>
      </c>
      <c r="Z518" t="s">
        <v>1997</v>
      </c>
      <c r="AA518" t="s">
        <v>1995</v>
      </c>
      <c r="AB518" s="18">
        <v>125</v>
      </c>
      <c r="AC518" s="18"/>
      <c r="AD518" s="18"/>
      <c r="AE518" s="18"/>
      <c r="AF518" s="18"/>
      <c r="AG518" s="18"/>
      <c r="AH518" s="18">
        <v>125</v>
      </c>
    </row>
    <row r="519" spans="23:34" x14ac:dyDescent="0.3">
      <c r="AA519" t="s">
        <v>1996</v>
      </c>
      <c r="AB519" s="18">
        <v>6038</v>
      </c>
      <c r="AC519" s="18"/>
      <c r="AD519" s="18"/>
      <c r="AE519" s="18"/>
      <c r="AF519" s="18"/>
      <c r="AG519" s="18"/>
      <c r="AH519" s="18">
        <v>6038</v>
      </c>
    </row>
    <row r="520" spans="23:34" x14ac:dyDescent="0.3">
      <c r="Z520" s="57">
        <v>45205</v>
      </c>
      <c r="AA520" t="s">
        <v>2001</v>
      </c>
      <c r="AB520" s="18">
        <v>610</v>
      </c>
      <c r="AC520" s="18"/>
      <c r="AD520" s="18"/>
      <c r="AE520" s="18"/>
      <c r="AF520" s="18"/>
      <c r="AG520" s="18"/>
      <c r="AH520" s="18">
        <v>610</v>
      </c>
    </row>
    <row r="521" spans="23:34" x14ac:dyDescent="0.3">
      <c r="Z521" s="57">
        <v>45211</v>
      </c>
      <c r="AA521" t="s">
        <v>2003</v>
      </c>
      <c r="AB521" s="18">
        <v>1025</v>
      </c>
      <c r="AC521" s="18"/>
      <c r="AD521" s="18"/>
      <c r="AE521" s="18"/>
      <c r="AF521" s="18"/>
      <c r="AG521" s="18"/>
      <c r="AH521" s="18">
        <v>1025</v>
      </c>
    </row>
    <row r="522" spans="23:34" x14ac:dyDescent="0.3">
      <c r="Y522">
        <v>4</v>
      </c>
      <c r="Z522" t="s">
        <v>1410</v>
      </c>
      <c r="AA522" t="s">
        <v>1408</v>
      </c>
      <c r="AB522" s="18">
        <v>30445</v>
      </c>
      <c r="AC522" s="18"/>
      <c r="AD522" s="18"/>
      <c r="AE522" s="18"/>
      <c r="AF522" s="18"/>
      <c r="AG522" s="18"/>
      <c r="AH522" s="18">
        <v>30445</v>
      </c>
    </row>
    <row r="523" spans="23:34" x14ac:dyDescent="0.3">
      <c r="Z523" t="s">
        <v>1420</v>
      </c>
      <c r="AA523" t="s">
        <v>1419</v>
      </c>
      <c r="AB523" s="18">
        <v>1000</v>
      </c>
      <c r="AC523" s="18"/>
      <c r="AD523" s="18"/>
      <c r="AE523" s="18"/>
      <c r="AF523" s="18"/>
      <c r="AG523" s="18"/>
      <c r="AH523" s="18">
        <v>1000</v>
      </c>
    </row>
    <row r="524" spans="23:34" x14ac:dyDescent="0.3">
      <c r="Z524" t="s">
        <v>1436</v>
      </c>
      <c r="AA524" t="s">
        <v>1434</v>
      </c>
      <c r="AB524" s="18">
        <v>312.5</v>
      </c>
      <c r="AC524" s="18"/>
      <c r="AD524" s="18"/>
      <c r="AE524" s="18"/>
      <c r="AF524" s="18"/>
      <c r="AG524" s="18"/>
      <c r="AH524" s="18">
        <v>312.5</v>
      </c>
    </row>
    <row r="525" spans="23:34" x14ac:dyDescent="0.3">
      <c r="AA525" t="s">
        <v>1435</v>
      </c>
      <c r="AB525" s="18">
        <v>15182.2</v>
      </c>
      <c r="AC525" s="18"/>
      <c r="AD525" s="18"/>
      <c r="AE525" s="18"/>
      <c r="AF525" s="18"/>
      <c r="AG525" s="18"/>
      <c r="AH525" s="18">
        <v>15182.2</v>
      </c>
    </row>
    <row r="526" spans="23:34" x14ac:dyDescent="0.3">
      <c r="Z526" t="s">
        <v>1465</v>
      </c>
      <c r="AA526" t="s">
        <v>1464</v>
      </c>
      <c r="AB526" s="18">
        <v>2466</v>
      </c>
      <c r="AC526" s="18"/>
      <c r="AD526" s="18"/>
      <c r="AE526" s="18"/>
      <c r="AF526" s="18"/>
      <c r="AG526" s="18"/>
      <c r="AH526" s="18">
        <v>2466</v>
      </c>
    </row>
    <row r="527" spans="23:34" x14ac:dyDescent="0.3">
      <c r="W527" s="36" t="s">
        <v>423</v>
      </c>
      <c r="X527" s="36"/>
      <c r="Y527" s="36"/>
      <c r="Z527" s="36"/>
      <c r="AA527" s="36"/>
      <c r="AB527" s="37">
        <v>373347.3</v>
      </c>
      <c r="AC527" s="37"/>
      <c r="AD527" s="37"/>
      <c r="AE527" s="37"/>
      <c r="AF527" s="37"/>
      <c r="AG527" s="37"/>
      <c r="AH527" s="37">
        <v>373347.3</v>
      </c>
    </row>
    <row r="528" spans="23:34" x14ac:dyDescent="0.3">
      <c r="W528" t="s">
        <v>470</v>
      </c>
      <c r="X528" t="s">
        <v>1764</v>
      </c>
      <c r="Y528" t="s">
        <v>1764</v>
      </c>
      <c r="Z528" s="57">
        <v>44509</v>
      </c>
      <c r="AA528" t="s">
        <v>471</v>
      </c>
      <c r="AB528" s="18"/>
      <c r="AC528" s="18"/>
      <c r="AD528" s="18"/>
      <c r="AE528" s="18"/>
      <c r="AF528" s="18">
        <v>0</v>
      </c>
      <c r="AG528" s="18"/>
      <c r="AH528" s="18">
        <v>0</v>
      </c>
    </row>
    <row r="529" spans="23:34" x14ac:dyDescent="0.3">
      <c r="W529" s="36" t="s">
        <v>484</v>
      </c>
      <c r="X529" s="36"/>
      <c r="Y529" s="36"/>
      <c r="Z529" s="36"/>
      <c r="AA529" s="36"/>
      <c r="AB529" s="37"/>
      <c r="AC529" s="37"/>
      <c r="AD529" s="37"/>
      <c r="AE529" s="37"/>
      <c r="AF529" s="37">
        <v>0</v>
      </c>
      <c r="AG529" s="37"/>
      <c r="AH529" s="37">
        <v>0</v>
      </c>
    </row>
    <row r="530" spans="23:34" x14ac:dyDescent="0.3">
      <c r="W530" t="s">
        <v>492</v>
      </c>
      <c r="X530">
        <v>2021</v>
      </c>
      <c r="Y530">
        <v>11</v>
      </c>
      <c r="Z530" s="57">
        <v>44510</v>
      </c>
      <c r="AA530" t="s">
        <v>473</v>
      </c>
      <c r="AB530" s="18">
        <v>0</v>
      </c>
      <c r="AC530" s="18"/>
      <c r="AD530" s="18"/>
      <c r="AE530" s="18"/>
      <c r="AF530" s="18"/>
      <c r="AG530" s="18"/>
      <c r="AH530" s="18">
        <v>0</v>
      </c>
    </row>
    <row r="531" spans="23:34" x14ac:dyDescent="0.3">
      <c r="X531">
        <v>2022</v>
      </c>
      <c r="Y531">
        <v>2</v>
      </c>
      <c r="Z531" s="57">
        <v>44613</v>
      </c>
      <c r="AA531" t="s">
        <v>607</v>
      </c>
      <c r="AB531" s="18">
        <v>0</v>
      </c>
      <c r="AC531" s="18"/>
      <c r="AD531" s="18"/>
      <c r="AE531" s="18"/>
      <c r="AF531" s="18"/>
      <c r="AG531" s="18"/>
      <c r="AH531" s="18">
        <v>0</v>
      </c>
    </row>
    <row r="532" spans="23:34" x14ac:dyDescent="0.3">
      <c r="Y532">
        <v>3</v>
      </c>
      <c r="Z532" s="57">
        <v>44625</v>
      </c>
      <c r="AA532" t="s">
        <v>634</v>
      </c>
      <c r="AB532" s="18">
        <v>0</v>
      </c>
      <c r="AC532" s="18"/>
      <c r="AD532" s="18"/>
      <c r="AE532" s="18"/>
      <c r="AF532" s="18"/>
      <c r="AG532" s="18"/>
      <c r="AH532" s="18">
        <v>0</v>
      </c>
    </row>
    <row r="533" spans="23:34" x14ac:dyDescent="0.3">
      <c r="Z533" s="57">
        <v>44639</v>
      </c>
      <c r="AA533" t="s">
        <v>652</v>
      </c>
      <c r="AB533" s="18">
        <v>0</v>
      </c>
      <c r="AC533" s="18"/>
      <c r="AD533" s="18"/>
      <c r="AE533" s="18"/>
      <c r="AF533" s="18"/>
      <c r="AG533" s="18"/>
      <c r="AH533" s="18">
        <v>0</v>
      </c>
    </row>
    <row r="534" spans="23:34" x14ac:dyDescent="0.3">
      <c r="Y534">
        <v>5</v>
      </c>
      <c r="Z534" s="57">
        <v>44700</v>
      </c>
      <c r="AA534" t="s">
        <v>782</v>
      </c>
      <c r="AB534" s="18">
        <v>0</v>
      </c>
      <c r="AC534" s="18"/>
      <c r="AD534" s="18"/>
      <c r="AE534" s="18"/>
      <c r="AF534" s="18"/>
      <c r="AG534" s="18"/>
      <c r="AH534" s="18">
        <v>0</v>
      </c>
    </row>
    <row r="535" spans="23:34" x14ac:dyDescent="0.3">
      <c r="Z535" s="57">
        <v>44709</v>
      </c>
      <c r="AA535" t="s">
        <v>798</v>
      </c>
      <c r="AB535" s="18">
        <v>0</v>
      </c>
      <c r="AC535" s="18"/>
      <c r="AD535" s="18"/>
      <c r="AE535" s="18"/>
      <c r="AF535" s="18"/>
      <c r="AG535" s="18"/>
      <c r="AH535" s="18">
        <v>0</v>
      </c>
    </row>
    <row r="536" spans="23:34" x14ac:dyDescent="0.3">
      <c r="Y536">
        <v>6</v>
      </c>
      <c r="Z536" s="57">
        <v>44722</v>
      </c>
      <c r="AA536" t="s">
        <v>834</v>
      </c>
      <c r="AB536" s="18">
        <v>0</v>
      </c>
      <c r="AC536" s="18"/>
      <c r="AD536" s="18"/>
      <c r="AE536" s="18"/>
      <c r="AF536" s="18"/>
      <c r="AG536" s="18"/>
      <c r="AH536" s="18">
        <v>0</v>
      </c>
    </row>
    <row r="537" spans="23:34" x14ac:dyDescent="0.3">
      <c r="Z537" s="57">
        <v>44736</v>
      </c>
      <c r="AA537" t="s">
        <v>845</v>
      </c>
      <c r="AB537" s="18">
        <v>0</v>
      </c>
      <c r="AC537" s="18"/>
      <c r="AD537" s="18"/>
      <c r="AE537" s="18"/>
      <c r="AF537" s="18"/>
      <c r="AG537" s="18"/>
      <c r="AH537" s="18">
        <v>0</v>
      </c>
    </row>
    <row r="538" spans="23:34" x14ac:dyDescent="0.3">
      <c r="Y538">
        <v>7</v>
      </c>
      <c r="Z538" s="57">
        <v>44771</v>
      </c>
      <c r="AA538" t="s">
        <v>872</v>
      </c>
      <c r="AB538" s="18">
        <v>0</v>
      </c>
      <c r="AC538" s="18"/>
      <c r="AD538" s="18"/>
      <c r="AE538" s="18"/>
      <c r="AF538" s="18"/>
      <c r="AG538" s="18"/>
      <c r="AH538" s="18">
        <v>0</v>
      </c>
    </row>
    <row r="539" spans="23:34" x14ac:dyDescent="0.3">
      <c r="Y539">
        <v>8</v>
      </c>
      <c r="Z539" s="57">
        <v>44789</v>
      </c>
      <c r="AA539" t="s">
        <v>908</v>
      </c>
      <c r="AB539" s="18">
        <v>0</v>
      </c>
      <c r="AC539" s="18"/>
      <c r="AD539" s="18"/>
      <c r="AE539" s="18"/>
      <c r="AF539" s="18"/>
      <c r="AG539" s="18"/>
      <c r="AH539" s="18">
        <v>0</v>
      </c>
    </row>
    <row r="540" spans="23:34" x14ac:dyDescent="0.3">
      <c r="Y540">
        <v>9</v>
      </c>
      <c r="Z540" s="57">
        <v>44813</v>
      </c>
      <c r="AA540" t="s">
        <v>933</v>
      </c>
      <c r="AB540" s="18">
        <v>0</v>
      </c>
      <c r="AC540" s="18"/>
      <c r="AD540" s="18"/>
      <c r="AE540" s="18"/>
      <c r="AF540" s="18"/>
      <c r="AG540" s="18"/>
      <c r="AH540" s="18">
        <v>0</v>
      </c>
    </row>
    <row r="541" spans="23:34" x14ac:dyDescent="0.3">
      <c r="Z541" s="57">
        <v>44819</v>
      </c>
      <c r="AA541" t="s">
        <v>938</v>
      </c>
      <c r="AB541" s="18">
        <v>0</v>
      </c>
      <c r="AC541" s="18"/>
      <c r="AD541" s="18"/>
      <c r="AE541" s="18"/>
      <c r="AF541" s="18"/>
      <c r="AG541" s="18"/>
      <c r="AH541" s="18">
        <v>0</v>
      </c>
    </row>
    <row r="542" spans="23:34" x14ac:dyDescent="0.3">
      <c r="Z542" s="57">
        <v>44830</v>
      </c>
      <c r="AA542" t="s">
        <v>951</v>
      </c>
      <c r="AB542" s="18">
        <v>0</v>
      </c>
      <c r="AC542" s="18"/>
      <c r="AD542" s="18"/>
      <c r="AE542" s="18"/>
      <c r="AF542" s="18"/>
      <c r="AG542" s="18"/>
      <c r="AH542" s="18">
        <v>0</v>
      </c>
    </row>
    <row r="543" spans="23:34" x14ac:dyDescent="0.3">
      <c r="Y543">
        <v>10</v>
      </c>
      <c r="Z543" t="s">
        <v>995</v>
      </c>
      <c r="AA543" t="s">
        <v>994</v>
      </c>
      <c r="AB543" s="18">
        <v>0</v>
      </c>
      <c r="AC543" s="18"/>
      <c r="AD543" s="18"/>
      <c r="AE543" s="18"/>
      <c r="AF543" s="18"/>
      <c r="AG543" s="18"/>
      <c r="AH543" s="18">
        <v>0</v>
      </c>
    </row>
    <row r="544" spans="23:34" x14ac:dyDescent="0.3">
      <c r="Z544" s="57">
        <v>44847</v>
      </c>
      <c r="AA544" t="s">
        <v>1001</v>
      </c>
      <c r="AB544" s="18">
        <v>0</v>
      </c>
      <c r="AC544" s="18"/>
      <c r="AD544" s="18"/>
      <c r="AE544" s="18"/>
      <c r="AF544" s="18"/>
      <c r="AG544" s="18"/>
      <c r="AH544" s="18">
        <v>0</v>
      </c>
    </row>
    <row r="545" spans="24:34" x14ac:dyDescent="0.3">
      <c r="Z545" s="57">
        <v>44856</v>
      </c>
      <c r="AA545" t="s">
        <v>1012</v>
      </c>
      <c r="AB545" s="18">
        <v>0</v>
      </c>
      <c r="AC545" s="18"/>
      <c r="AD545" s="18"/>
      <c r="AE545" s="18"/>
      <c r="AF545" s="18"/>
      <c r="AG545" s="18"/>
      <c r="AH545" s="18">
        <v>0</v>
      </c>
    </row>
    <row r="546" spans="24:34" x14ac:dyDescent="0.3">
      <c r="Z546" s="57">
        <v>44865</v>
      </c>
      <c r="AA546" t="s">
        <v>1016</v>
      </c>
      <c r="AB546" s="18">
        <v>0</v>
      </c>
      <c r="AC546" s="18"/>
      <c r="AD546" s="18"/>
      <c r="AE546" s="18"/>
      <c r="AF546" s="18"/>
      <c r="AG546" s="18"/>
      <c r="AH546" s="18">
        <v>0</v>
      </c>
    </row>
    <row r="547" spans="24:34" x14ac:dyDescent="0.3">
      <c r="Y547">
        <v>11</v>
      </c>
      <c r="Z547" s="57">
        <v>44874</v>
      </c>
      <c r="AA547" t="s">
        <v>1064</v>
      </c>
      <c r="AB547" s="18">
        <v>0</v>
      </c>
      <c r="AC547" s="18"/>
      <c r="AD547" s="18"/>
      <c r="AE547" s="18"/>
      <c r="AF547" s="18"/>
      <c r="AG547" s="18"/>
      <c r="AH547" s="18">
        <v>0</v>
      </c>
    </row>
    <row r="548" spans="24:34" x14ac:dyDescent="0.3">
      <c r="Y548">
        <v>12</v>
      </c>
      <c r="Z548" s="57">
        <v>44901</v>
      </c>
      <c r="AA548" t="s">
        <v>1120</v>
      </c>
      <c r="AB548" s="18">
        <v>0</v>
      </c>
      <c r="AC548" s="18"/>
      <c r="AD548" s="18"/>
      <c r="AE548" s="18"/>
      <c r="AF548" s="18"/>
      <c r="AG548" s="18"/>
      <c r="AH548" s="18">
        <v>0</v>
      </c>
    </row>
    <row r="549" spans="24:34" x14ac:dyDescent="0.3">
      <c r="Z549" s="57">
        <v>44908</v>
      </c>
      <c r="AA549" t="s">
        <v>1124</v>
      </c>
      <c r="AB549" s="18">
        <v>0</v>
      </c>
      <c r="AC549" s="18"/>
      <c r="AD549" s="18"/>
      <c r="AE549" s="18"/>
      <c r="AF549" s="18"/>
      <c r="AG549" s="18"/>
      <c r="AH549" s="18">
        <v>0</v>
      </c>
    </row>
    <row r="550" spans="24:34" x14ac:dyDescent="0.3">
      <c r="Z550" s="57">
        <v>44919</v>
      </c>
      <c r="AA550" t="s">
        <v>1136</v>
      </c>
      <c r="AB550" s="18">
        <v>0</v>
      </c>
      <c r="AC550" s="18"/>
      <c r="AD550" s="18"/>
      <c r="AE550" s="18"/>
      <c r="AF550" s="18"/>
      <c r="AG550" s="18"/>
      <c r="AH550" s="18">
        <v>0</v>
      </c>
    </row>
    <row r="551" spans="24:34" x14ac:dyDescent="0.3">
      <c r="Y551">
        <v>4</v>
      </c>
      <c r="Z551" s="57">
        <v>44652</v>
      </c>
      <c r="AA551" t="s">
        <v>681</v>
      </c>
      <c r="AB551" s="18">
        <v>0</v>
      </c>
      <c r="AC551" s="18"/>
      <c r="AD551" s="18"/>
      <c r="AE551" s="18"/>
      <c r="AF551" s="18"/>
      <c r="AG551" s="18"/>
      <c r="AH551" s="18">
        <v>0</v>
      </c>
    </row>
    <row r="552" spans="24:34" x14ac:dyDescent="0.3">
      <c r="Z552" s="57">
        <v>44665</v>
      </c>
      <c r="AA552" t="s">
        <v>695</v>
      </c>
      <c r="AB552" s="18">
        <v>0</v>
      </c>
      <c r="AC552" s="18"/>
      <c r="AD552" s="18"/>
      <c r="AE552" s="18"/>
      <c r="AF552" s="18"/>
      <c r="AG552" s="18"/>
      <c r="AH552" s="18">
        <v>0</v>
      </c>
    </row>
    <row r="553" spans="24:34" x14ac:dyDescent="0.3">
      <c r="Z553" s="57">
        <v>44679</v>
      </c>
      <c r="AA553" t="s">
        <v>725</v>
      </c>
      <c r="AB553" s="18">
        <v>0</v>
      </c>
      <c r="AC553" s="18"/>
      <c r="AD553" s="18"/>
      <c r="AE553" s="18"/>
      <c r="AF553" s="18"/>
      <c r="AG553" s="18"/>
      <c r="AH553" s="18">
        <v>0</v>
      </c>
    </row>
    <row r="554" spans="24:34" x14ac:dyDescent="0.3">
      <c r="X554">
        <v>2023</v>
      </c>
      <c r="Y554">
        <v>1</v>
      </c>
      <c r="Z554" s="57">
        <v>44935</v>
      </c>
      <c r="AA554" t="s">
        <v>1173</v>
      </c>
      <c r="AB554" s="18">
        <v>0</v>
      </c>
      <c r="AC554" s="18"/>
      <c r="AD554" s="18"/>
      <c r="AE554" s="18"/>
      <c r="AF554" s="18"/>
      <c r="AG554" s="18"/>
      <c r="AH554" s="18">
        <v>0</v>
      </c>
    </row>
    <row r="555" spans="24:34" x14ac:dyDescent="0.3">
      <c r="Z555" s="57">
        <v>44942</v>
      </c>
      <c r="AA555" t="s">
        <v>1191</v>
      </c>
      <c r="AB555" s="18">
        <v>0</v>
      </c>
      <c r="AC555" s="18"/>
      <c r="AD555" s="18"/>
      <c r="AE555" s="18"/>
      <c r="AF555" s="18"/>
      <c r="AG555" s="18"/>
      <c r="AH555" s="18">
        <v>0</v>
      </c>
    </row>
    <row r="556" spans="24:34" x14ac:dyDescent="0.3">
      <c r="Y556">
        <v>2</v>
      </c>
      <c r="Z556" s="57">
        <v>44959</v>
      </c>
      <c r="AA556" t="s">
        <v>1237</v>
      </c>
      <c r="AB556" s="18">
        <v>0</v>
      </c>
      <c r="AC556" s="18"/>
      <c r="AD556" s="18"/>
      <c r="AE556" s="18"/>
      <c r="AF556" s="18"/>
      <c r="AG556" s="18"/>
      <c r="AH556" s="18">
        <v>0</v>
      </c>
    </row>
    <row r="557" spans="24:34" x14ac:dyDescent="0.3">
      <c r="Z557" t="s">
        <v>1251</v>
      </c>
      <c r="AA557" t="s">
        <v>1250</v>
      </c>
      <c r="AB557" s="18">
        <v>0</v>
      </c>
      <c r="AC557" s="18"/>
      <c r="AD557" s="18"/>
      <c r="AE557" s="18"/>
      <c r="AF557" s="18"/>
      <c r="AG557" s="18"/>
      <c r="AH557" s="18">
        <v>0</v>
      </c>
    </row>
    <row r="558" spans="24:34" x14ac:dyDescent="0.3">
      <c r="Z558" t="s">
        <v>1273</v>
      </c>
      <c r="AA558" t="s">
        <v>1272</v>
      </c>
      <c r="AB558" s="18">
        <v>0</v>
      </c>
      <c r="AC558" s="18"/>
      <c r="AD558" s="18"/>
      <c r="AE558" s="18"/>
      <c r="AF558" s="18"/>
      <c r="AG558" s="18"/>
      <c r="AH558" s="18">
        <v>0</v>
      </c>
    </row>
    <row r="559" spans="24:34" x14ac:dyDescent="0.3">
      <c r="Y559">
        <v>3</v>
      </c>
      <c r="Z559" t="s">
        <v>1318</v>
      </c>
      <c r="AA559" t="s">
        <v>1319</v>
      </c>
      <c r="AB559" s="18">
        <v>0</v>
      </c>
      <c r="AC559" s="18"/>
      <c r="AD559" s="18"/>
      <c r="AE559" s="18"/>
      <c r="AF559" s="18"/>
      <c r="AG559" s="18"/>
      <c r="AH559" s="18">
        <v>0</v>
      </c>
    </row>
    <row r="560" spans="24:34" x14ac:dyDescent="0.3">
      <c r="Z560" t="s">
        <v>1341</v>
      </c>
      <c r="AA560" t="s">
        <v>1340</v>
      </c>
      <c r="AB560" s="18">
        <v>0</v>
      </c>
      <c r="AC560" s="18"/>
      <c r="AD560" s="18"/>
      <c r="AE560" s="18"/>
      <c r="AF560" s="18"/>
      <c r="AG560" s="18"/>
      <c r="AH560" s="18">
        <v>0</v>
      </c>
    </row>
    <row r="561" spans="25:34" x14ac:dyDescent="0.3">
      <c r="Z561" t="s">
        <v>1351</v>
      </c>
      <c r="AA561" t="s">
        <v>1350</v>
      </c>
      <c r="AB561" s="18">
        <v>0</v>
      </c>
      <c r="AC561" s="18"/>
      <c r="AD561" s="18"/>
      <c r="AE561" s="18"/>
      <c r="AF561" s="18"/>
      <c r="AG561" s="18"/>
      <c r="AH561" s="18">
        <v>0</v>
      </c>
    </row>
    <row r="562" spans="25:34" x14ac:dyDescent="0.3">
      <c r="Y562">
        <v>5</v>
      </c>
      <c r="Z562" s="57">
        <v>45063</v>
      </c>
      <c r="AA562" t="s">
        <v>1551</v>
      </c>
      <c r="AB562" s="18">
        <v>2475</v>
      </c>
      <c r="AC562" s="18"/>
      <c r="AD562" s="18"/>
      <c r="AE562" s="18"/>
      <c r="AF562" s="18"/>
      <c r="AG562" s="18"/>
      <c r="AH562" s="18">
        <v>2475</v>
      </c>
    </row>
    <row r="563" spans="25:34" x14ac:dyDescent="0.3">
      <c r="Y563">
        <v>6</v>
      </c>
      <c r="Z563" s="57">
        <v>45099</v>
      </c>
      <c r="AA563" t="s">
        <v>1649</v>
      </c>
      <c r="AB563" s="18">
        <v>2475</v>
      </c>
      <c r="AC563" s="18"/>
      <c r="AD563" s="18"/>
      <c r="AE563" s="18"/>
      <c r="AF563" s="18"/>
      <c r="AG563" s="18"/>
      <c r="AH563" s="18">
        <v>2475</v>
      </c>
    </row>
    <row r="564" spans="25:34" x14ac:dyDescent="0.3">
      <c r="Z564" s="57">
        <v>45105</v>
      </c>
      <c r="AA564" t="s">
        <v>1665</v>
      </c>
      <c r="AB564" s="18">
        <v>2475</v>
      </c>
      <c r="AC564" s="18"/>
      <c r="AD564" s="18"/>
      <c r="AE564" s="18"/>
      <c r="AF564" s="18"/>
      <c r="AG564" s="18"/>
      <c r="AH564" s="18">
        <v>2475</v>
      </c>
    </row>
    <row r="565" spans="25:34" x14ac:dyDescent="0.3">
      <c r="Y565">
        <v>7</v>
      </c>
      <c r="Z565" s="57">
        <v>45118</v>
      </c>
      <c r="AA565" t="s">
        <v>1719</v>
      </c>
      <c r="AB565" s="18">
        <v>2668</v>
      </c>
      <c r="AC565" s="18"/>
      <c r="AD565" s="18"/>
      <c r="AE565" s="18"/>
      <c r="AF565" s="18"/>
      <c r="AG565" s="18"/>
      <c r="AH565" s="18">
        <v>2668</v>
      </c>
    </row>
    <row r="566" spans="25:34" x14ac:dyDescent="0.3">
      <c r="Z566" s="57">
        <v>45124</v>
      </c>
      <c r="AA566" t="s">
        <v>1723</v>
      </c>
      <c r="AB566" s="18">
        <v>2731.5</v>
      </c>
      <c r="AC566" s="18"/>
      <c r="AD566" s="18"/>
      <c r="AE566" s="18"/>
      <c r="AF566" s="18"/>
      <c r="AG566" s="18"/>
      <c r="AH566" s="18">
        <v>2731.5</v>
      </c>
    </row>
    <row r="567" spans="25:34" x14ac:dyDescent="0.3">
      <c r="Z567" s="57">
        <v>45134</v>
      </c>
      <c r="AA567" t="s">
        <v>1735</v>
      </c>
      <c r="AB567" s="18">
        <v>2644</v>
      </c>
      <c r="AC567" s="18"/>
      <c r="AD567" s="18"/>
      <c r="AE567" s="18"/>
      <c r="AF567" s="18"/>
      <c r="AG567" s="18"/>
      <c r="AH567" s="18">
        <v>2644</v>
      </c>
    </row>
    <row r="568" spans="25:34" x14ac:dyDescent="0.3">
      <c r="Y568">
        <v>8</v>
      </c>
      <c r="Z568" s="57">
        <v>45163</v>
      </c>
      <c r="AA568" t="s">
        <v>1830</v>
      </c>
      <c r="AB568" s="18">
        <v>0</v>
      </c>
      <c r="AC568" s="18"/>
      <c r="AD568" s="18"/>
      <c r="AE568" s="18"/>
      <c r="AF568" s="18"/>
      <c r="AG568" s="18"/>
      <c r="AH568" s="18">
        <v>0</v>
      </c>
    </row>
    <row r="569" spans="25:34" x14ac:dyDescent="0.3">
      <c r="Y569">
        <v>9</v>
      </c>
      <c r="Z569" s="57">
        <v>45176</v>
      </c>
      <c r="AA569" t="s">
        <v>1889</v>
      </c>
      <c r="AB569" s="18">
        <v>2613.5</v>
      </c>
      <c r="AC569" s="18"/>
      <c r="AD569" s="18"/>
      <c r="AE569" s="18"/>
      <c r="AF569" s="18"/>
      <c r="AG569" s="18"/>
      <c r="AH569" s="18">
        <v>2613.5</v>
      </c>
    </row>
    <row r="570" spans="25:34" x14ac:dyDescent="0.3">
      <c r="Y570">
        <v>10</v>
      </c>
      <c r="Z570" s="57">
        <v>45203</v>
      </c>
      <c r="AA570" t="s">
        <v>1994</v>
      </c>
      <c r="AB570" s="18">
        <v>2535</v>
      </c>
      <c r="AC570" s="18"/>
      <c r="AD570" s="18"/>
      <c r="AE570" s="18"/>
      <c r="AF570" s="18"/>
      <c r="AG570" s="18"/>
      <c r="AH570" s="18">
        <v>2535</v>
      </c>
    </row>
    <row r="571" spans="25:34" x14ac:dyDescent="0.3">
      <c r="Z571" s="57">
        <v>45224</v>
      </c>
      <c r="AA571" t="s">
        <v>2031</v>
      </c>
      <c r="AB571" s="18">
        <v>2561</v>
      </c>
      <c r="AC571" s="18"/>
      <c r="AD571" s="18"/>
      <c r="AE571" s="18"/>
      <c r="AF571" s="18"/>
      <c r="AG571" s="18"/>
      <c r="AH571" s="18">
        <v>2561</v>
      </c>
    </row>
    <row r="572" spans="25:34" x14ac:dyDescent="0.3">
      <c r="Y572">
        <v>11</v>
      </c>
      <c r="Z572" s="57">
        <v>45237</v>
      </c>
      <c r="AA572" t="s">
        <v>2103</v>
      </c>
      <c r="AB572" s="18">
        <v>2818.5</v>
      </c>
      <c r="AC572" s="18"/>
      <c r="AD572" s="18"/>
      <c r="AE572" s="18"/>
      <c r="AF572" s="18"/>
      <c r="AG572" s="18"/>
      <c r="AH572" s="18">
        <v>2818.5</v>
      </c>
    </row>
    <row r="573" spans="25:34" x14ac:dyDescent="0.3">
      <c r="Z573" s="57">
        <v>45255</v>
      </c>
      <c r="AA573" t="s">
        <v>2125</v>
      </c>
      <c r="AB573" s="18">
        <v>2508</v>
      </c>
      <c r="AC573" s="18"/>
      <c r="AD573" s="18"/>
      <c r="AE573" s="18"/>
      <c r="AF573" s="18"/>
      <c r="AG573" s="18"/>
      <c r="AH573" s="18">
        <v>2508</v>
      </c>
    </row>
    <row r="574" spans="25:34" x14ac:dyDescent="0.3">
      <c r="Y574">
        <v>12</v>
      </c>
      <c r="Z574" s="57">
        <v>45262</v>
      </c>
      <c r="AA574" t="s">
        <v>2167</v>
      </c>
      <c r="AB574" s="18">
        <v>3449</v>
      </c>
      <c r="AC574" s="18"/>
      <c r="AD574" s="18"/>
      <c r="AE574" s="18"/>
      <c r="AF574" s="18"/>
      <c r="AG574" s="18"/>
      <c r="AH574" s="18">
        <v>3449</v>
      </c>
    </row>
    <row r="575" spans="25:34" x14ac:dyDescent="0.3">
      <c r="Z575" s="57">
        <v>45267</v>
      </c>
      <c r="AA575" t="s">
        <v>2170</v>
      </c>
      <c r="AB575" s="18">
        <v>2700.5</v>
      </c>
      <c r="AC575" s="18"/>
      <c r="AD575" s="18"/>
      <c r="AE575" s="18"/>
      <c r="AF575" s="18"/>
      <c r="AG575" s="18"/>
      <c r="AH575" s="18">
        <v>2700.5</v>
      </c>
    </row>
    <row r="576" spans="25:34" x14ac:dyDescent="0.3">
      <c r="Z576" s="57">
        <v>45275</v>
      </c>
      <c r="AA576" t="s">
        <v>2179</v>
      </c>
      <c r="AB576" s="18">
        <v>2665.5</v>
      </c>
      <c r="AC576" s="18"/>
      <c r="AD576" s="18"/>
      <c r="AE576" s="18"/>
      <c r="AF576" s="18"/>
      <c r="AG576" s="18"/>
      <c r="AH576" s="18">
        <v>2665.5</v>
      </c>
    </row>
    <row r="577" spans="23:34" x14ac:dyDescent="0.3">
      <c r="Z577" s="57">
        <v>45278</v>
      </c>
      <c r="AA577" t="s">
        <v>2185</v>
      </c>
      <c r="AB577" s="18">
        <v>2978</v>
      </c>
      <c r="AC577" s="18"/>
      <c r="AD577" s="18"/>
      <c r="AE577" s="18"/>
      <c r="AF577" s="18"/>
      <c r="AG577" s="18"/>
      <c r="AH577" s="18">
        <v>2978</v>
      </c>
    </row>
    <row r="578" spans="23:34" x14ac:dyDescent="0.3">
      <c r="Z578" s="57">
        <v>45282</v>
      </c>
      <c r="AA578" t="s">
        <v>2195</v>
      </c>
      <c r="AB578" s="18">
        <v>2145.5</v>
      </c>
      <c r="AC578" s="18"/>
      <c r="AD578" s="18"/>
      <c r="AE578" s="18"/>
      <c r="AF578" s="18"/>
      <c r="AG578" s="18"/>
      <c r="AH578" s="18">
        <v>2145.5</v>
      </c>
    </row>
    <row r="579" spans="23:34" x14ac:dyDescent="0.3">
      <c r="Z579" s="57">
        <v>45290</v>
      </c>
      <c r="AA579" t="s">
        <v>2200</v>
      </c>
      <c r="AB579" s="18">
        <v>2423</v>
      </c>
      <c r="AC579" s="18"/>
      <c r="AD579" s="18"/>
      <c r="AE579" s="18"/>
      <c r="AF579" s="18"/>
      <c r="AG579" s="18"/>
      <c r="AH579" s="18">
        <v>2423</v>
      </c>
    </row>
    <row r="580" spans="23:34" x14ac:dyDescent="0.3">
      <c r="Y580">
        <v>4</v>
      </c>
      <c r="Z580" t="s">
        <v>1404</v>
      </c>
      <c r="AA580" t="s">
        <v>1407</v>
      </c>
      <c r="AB580" s="18">
        <v>0</v>
      </c>
      <c r="AC580" s="18"/>
      <c r="AD580" s="18"/>
      <c r="AE580" s="18"/>
      <c r="AF580" s="18"/>
      <c r="AG580" s="18"/>
      <c r="AH580" s="18">
        <v>0</v>
      </c>
    </row>
    <row r="581" spans="23:34" x14ac:dyDescent="0.3">
      <c r="Z581" t="s">
        <v>1429</v>
      </c>
      <c r="AA581" t="s">
        <v>1428</v>
      </c>
      <c r="AB581" s="18">
        <v>0</v>
      </c>
      <c r="AC581" s="18"/>
      <c r="AD581" s="18"/>
      <c r="AE581" s="18"/>
      <c r="AF581" s="18"/>
      <c r="AG581" s="18"/>
      <c r="AH581" s="18">
        <v>0</v>
      </c>
    </row>
    <row r="582" spans="23:34" x14ac:dyDescent="0.3">
      <c r="Z582" t="s">
        <v>1440</v>
      </c>
      <c r="AA582" t="s">
        <v>1439</v>
      </c>
      <c r="AB582" s="18">
        <v>0</v>
      </c>
      <c r="AC582" s="18"/>
      <c r="AD582" s="18"/>
      <c r="AE582" s="18"/>
      <c r="AF582" s="18"/>
      <c r="AG582" s="18"/>
      <c r="AH582" s="18">
        <v>0</v>
      </c>
    </row>
    <row r="583" spans="23:34" x14ac:dyDescent="0.3">
      <c r="Z583" t="s">
        <v>1467</v>
      </c>
      <c r="AA583" t="s">
        <v>1466</v>
      </c>
      <c r="AB583" s="18">
        <v>1965</v>
      </c>
      <c r="AC583" s="18"/>
      <c r="AD583" s="18"/>
      <c r="AE583" s="18"/>
      <c r="AF583" s="18"/>
      <c r="AG583" s="18"/>
      <c r="AH583" s="18">
        <v>1965</v>
      </c>
    </row>
    <row r="584" spans="23:34" x14ac:dyDescent="0.3">
      <c r="W584" s="36" t="s">
        <v>501</v>
      </c>
      <c r="X584" s="36"/>
      <c r="Y584" s="36"/>
      <c r="Z584" s="36"/>
      <c r="AA584" s="36"/>
      <c r="AB584" s="37">
        <v>46831</v>
      </c>
      <c r="AC584" s="37"/>
      <c r="AD584" s="37"/>
      <c r="AE584" s="37"/>
      <c r="AF584" s="37"/>
      <c r="AG584" s="37"/>
      <c r="AH584" s="37">
        <v>46831</v>
      </c>
    </row>
    <row r="585" spans="23:34" x14ac:dyDescent="0.3">
      <c r="W585" t="s">
        <v>638</v>
      </c>
      <c r="X585">
        <v>2022</v>
      </c>
      <c r="Y585">
        <v>3</v>
      </c>
      <c r="Z585" s="57">
        <v>44628</v>
      </c>
      <c r="AA585" t="s">
        <v>635</v>
      </c>
      <c r="AB585" s="18">
        <v>0</v>
      </c>
      <c r="AC585" s="18"/>
      <c r="AD585" s="18"/>
      <c r="AE585" s="18"/>
      <c r="AF585" s="18"/>
      <c r="AG585" s="18"/>
      <c r="AH585" s="18">
        <v>0</v>
      </c>
    </row>
    <row r="586" spans="23:34" x14ac:dyDescent="0.3">
      <c r="Z586" s="57">
        <v>44629</v>
      </c>
      <c r="AA586" t="s">
        <v>643</v>
      </c>
      <c r="AB586" s="18">
        <v>0</v>
      </c>
      <c r="AC586" s="18"/>
      <c r="AD586" s="18"/>
      <c r="AE586" s="18"/>
      <c r="AF586" s="18"/>
      <c r="AG586" s="18"/>
      <c r="AH586" s="18">
        <v>0</v>
      </c>
    </row>
    <row r="587" spans="23:34" x14ac:dyDescent="0.3">
      <c r="Z587" s="57">
        <v>44632</v>
      </c>
      <c r="AA587" t="s">
        <v>645</v>
      </c>
      <c r="AB587" s="18">
        <v>0</v>
      </c>
      <c r="AC587" s="18"/>
      <c r="AD587" s="18"/>
      <c r="AE587" s="18"/>
      <c r="AF587" s="18"/>
      <c r="AG587" s="18"/>
      <c r="AH587" s="18">
        <v>0</v>
      </c>
    </row>
    <row r="588" spans="23:34" x14ac:dyDescent="0.3">
      <c r="Y588">
        <v>5</v>
      </c>
      <c r="Z588" s="57">
        <v>44693</v>
      </c>
      <c r="AA588" t="s">
        <v>770</v>
      </c>
      <c r="AB588" s="18">
        <v>0</v>
      </c>
      <c r="AC588" s="18"/>
      <c r="AD588" s="18"/>
      <c r="AE588" s="18"/>
      <c r="AF588" s="18"/>
      <c r="AG588" s="18"/>
      <c r="AH588" s="18">
        <v>0</v>
      </c>
    </row>
    <row r="589" spans="23:34" x14ac:dyDescent="0.3">
      <c r="Y589">
        <v>6</v>
      </c>
      <c r="Z589" s="57">
        <v>44715</v>
      </c>
      <c r="AA589" t="s">
        <v>828</v>
      </c>
      <c r="AB589" s="18">
        <v>0</v>
      </c>
      <c r="AC589" s="18"/>
      <c r="AD589" s="18"/>
      <c r="AE589" s="18"/>
      <c r="AF589" s="18"/>
      <c r="AG589" s="18"/>
      <c r="AH589" s="18">
        <v>0</v>
      </c>
    </row>
    <row r="590" spans="23:34" x14ac:dyDescent="0.3">
      <c r="Z590" s="57">
        <v>44721</v>
      </c>
      <c r="AA590" t="s">
        <v>833</v>
      </c>
      <c r="AB590" s="18">
        <v>0</v>
      </c>
      <c r="AC590" s="18"/>
      <c r="AD590" s="18"/>
      <c r="AE590" s="18"/>
      <c r="AF590" s="18"/>
      <c r="AG590" s="18"/>
      <c r="AH590" s="18">
        <v>0</v>
      </c>
    </row>
    <row r="591" spans="23:34" x14ac:dyDescent="0.3">
      <c r="Y591">
        <v>9</v>
      </c>
      <c r="Z591" s="57">
        <v>44830</v>
      </c>
      <c r="AA591" t="s">
        <v>953</v>
      </c>
      <c r="AB591" s="18">
        <v>0</v>
      </c>
      <c r="AC591" s="18"/>
      <c r="AD591" s="18"/>
      <c r="AE591" s="18"/>
      <c r="AF591" s="18"/>
      <c r="AG591" s="18"/>
      <c r="AH591" s="18">
        <v>0</v>
      </c>
    </row>
    <row r="592" spans="23:34" x14ac:dyDescent="0.3">
      <c r="AA592" t="s">
        <v>954</v>
      </c>
      <c r="AB592" s="18">
        <v>0</v>
      </c>
      <c r="AC592" s="18"/>
      <c r="AD592" s="18"/>
      <c r="AE592" s="18"/>
      <c r="AF592" s="18"/>
      <c r="AG592" s="18"/>
      <c r="AH592" s="18">
        <v>0</v>
      </c>
    </row>
    <row r="593" spans="24:34" x14ac:dyDescent="0.3">
      <c r="Y593">
        <v>11</v>
      </c>
      <c r="Z593" s="57">
        <v>44872</v>
      </c>
      <c r="AA593" t="s">
        <v>1056</v>
      </c>
      <c r="AB593" s="18">
        <v>0</v>
      </c>
      <c r="AC593" s="18"/>
      <c r="AD593" s="18"/>
      <c r="AE593" s="18"/>
      <c r="AF593" s="18"/>
      <c r="AG593" s="18"/>
      <c r="AH593" s="18">
        <v>0</v>
      </c>
    </row>
    <row r="594" spans="24:34" x14ac:dyDescent="0.3">
      <c r="Y594">
        <v>12</v>
      </c>
      <c r="Z594" s="57">
        <v>44896</v>
      </c>
      <c r="AA594" t="s">
        <v>1109</v>
      </c>
      <c r="AB594" s="18">
        <v>0</v>
      </c>
      <c r="AC594" s="18"/>
      <c r="AD594" s="18"/>
      <c r="AE594" s="18"/>
      <c r="AF594" s="18"/>
      <c r="AG594" s="18"/>
      <c r="AH594" s="18">
        <v>0</v>
      </c>
    </row>
    <row r="595" spans="24:34" x14ac:dyDescent="0.3">
      <c r="Z595" s="57">
        <v>44900</v>
      </c>
      <c r="AA595" t="s">
        <v>1117</v>
      </c>
      <c r="AB595" s="18">
        <v>0</v>
      </c>
      <c r="AC595" s="18"/>
      <c r="AD595" s="18"/>
      <c r="AE595" s="18"/>
      <c r="AF595" s="18"/>
      <c r="AG595" s="18"/>
      <c r="AH595" s="18">
        <v>0</v>
      </c>
    </row>
    <row r="596" spans="24:34" x14ac:dyDescent="0.3">
      <c r="Z596" s="57">
        <v>44902</v>
      </c>
      <c r="AA596" t="s">
        <v>1121</v>
      </c>
      <c r="AB596" s="18">
        <v>0</v>
      </c>
      <c r="AC596" s="18"/>
      <c r="AD596" s="18"/>
      <c r="AE596" s="18"/>
      <c r="AF596" s="18"/>
      <c r="AG596" s="18"/>
      <c r="AH596" s="18">
        <v>0</v>
      </c>
    </row>
    <row r="597" spans="24:34" x14ac:dyDescent="0.3">
      <c r="Z597" s="57">
        <v>44917</v>
      </c>
      <c r="AA597" t="s">
        <v>1131</v>
      </c>
      <c r="AB597" s="18">
        <v>0</v>
      </c>
      <c r="AC597" s="18"/>
      <c r="AD597" s="18"/>
      <c r="AE597" s="18"/>
      <c r="AF597" s="18"/>
      <c r="AG597" s="18"/>
      <c r="AH597" s="18">
        <v>0</v>
      </c>
    </row>
    <row r="598" spans="24:34" x14ac:dyDescent="0.3">
      <c r="Y598">
        <v>4</v>
      </c>
      <c r="Z598" s="57">
        <v>44652</v>
      </c>
      <c r="AA598" t="s">
        <v>685</v>
      </c>
      <c r="AB598" s="18">
        <v>0</v>
      </c>
      <c r="AC598" s="18"/>
      <c r="AD598" s="18"/>
      <c r="AE598" s="18"/>
      <c r="AF598" s="18"/>
      <c r="AG598" s="18"/>
      <c r="AH598" s="18">
        <v>0</v>
      </c>
    </row>
    <row r="599" spans="24:34" x14ac:dyDescent="0.3">
      <c r="Z599" s="57">
        <v>44663</v>
      </c>
      <c r="AA599" t="s">
        <v>692</v>
      </c>
      <c r="AB599" s="18">
        <v>0</v>
      </c>
      <c r="AC599" s="18"/>
      <c r="AD599" s="18"/>
      <c r="AE599" s="18"/>
      <c r="AF599" s="18"/>
      <c r="AG599" s="18"/>
      <c r="AH599" s="18">
        <v>0</v>
      </c>
    </row>
    <row r="600" spans="24:34" x14ac:dyDescent="0.3">
      <c r="X600">
        <v>2023</v>
      </c>
      <c r="Y600">
        <v>1</v>
      </c>
      <c r="Z600" s="57">
        <v>44938</v>
      </c>
      <c r="AA600" t="s">
        <v>1183</v>
      </c>
      <c r="AB600" s="18">
        <v>0</v>
      </c>
      <c r="AC600" s="18"/>
      <c r="AD600" s="18"/>
      <c r="AE600" s="18"/>
      <c r="AF600" s="18"/>
      <c r="AG600" s="18"/>
      <c r="AH600" s="18">
        <v>0</v>
      </c>
    </row>
    <row r="601" spans="24:34" x14ac:dyDescent="0.3">
      <c r="Z601" s="57">
        <v>44944</v>
      </c>
      <c r="AA601" t="s">
        <v>1192</v>
      </c>
      <c r="AB601" s="18">
        <v>0</v>
      </c>
      <c r="AC601" s="18"/>
      <c r="AD601" s="18"/>
      <c r="AE601" s="18"/>
      <c r="AF601" s="18"/>
      <c r="AG601" s="18"/>
      <c r="AH601" s="18">
        <v>0</v>
      </c>
    </row>
    <row r="602" spans="24:34" x14ac:dyDescent="0.3">
      <c r="Z602" s="57">
        <v>44956</v>
      </c>
      <c r="AA602" t="s">
        <v>1206</v>
      </c>
      <c r="AB602" s="18">
        <v>0</v>
      </c>
      <c r="AC602" s="18"/>
      <c r="AD602" s="18"/>
      <c r="AE602" s="18"/>
      <c r="AF602" s="18"/>
      <c r="AG602" s="18"/>
      <c r="AH602" s="18">
        <v>0</v>
      </c>
    </row>
    <row r="603" spans="24:34" x14ac:dyDescent="0.3">
      <c r="Y603">
        <v>2</v>
      </c>
      <c r="Z603" t="s">
        <v>1241</v>
      </c>
      <c r="AA603" t="s">
        <v>1240</v>
      </c>
      <c r="AB603" s="18">
        <v>0</v>
      </c>
      <c r="AC603" s="18"/>
      <c r="AD603" s="18"/>
      <c r="AE603" s="18"/>
      <c r="AF603" s="18"/>
      <c r="AG603" s="18"/>
      <c r="AH603" s="18">
        <v>0</v>
      </c>
    </row>
    <row r="604" spans="24:34" x14ac:dyDescent="0.3">
      <c r="Z604" t="s">
        <v>1247</v>
      </c>
      <c r="AA604" t="s">
        <v>1249</v>
      </c>
      <c r="AB604" s="18">
        <v>0</v>
      </c>
      <c r="AC604" s="18"/>
      <c r="AD604" s="18"/>
      <c r="AE604" s="18"/>
      <c r="AF604" s="18"/>
      <c r="AG604" s="18"/>
      <c r="AH604" s="18">
        <v>0</v>
      </c>
    </row>
    <row r="605" spans="24:34" x14ac:dyDescent="0.3">
      <c r="Z605" t="s">
        <v>1265</v>
      </c>
      <c r="AA605" t="s">
        <v>1269</v>
      </c>
      <c r="AB605" s="18">
        <v>0</v>
      </c>
      <c r="AC605" s="18"/>
      <c r="AD605" s="18"/>
      <c r="AE605" s="18"/>
      <c r="AF605" s="18"/>
      <c r="AG605" s="18"/>
      <c r="AH605" s="18">
        <v>0</v>
      </c>
    </row>
    <row r="606" spans="24:34" x14ac:dyDescent="0.3">
      <c r="Y606">
        <v>3</v>
      </c>
      <c r="Z606" t="s">
        <v>1302</v>
      </c>
      <c r="AA606" t="s">
        <v>1283</v>
      </c>
      <c r="AB606" s="18">
        <v>0</v>
      </c>
      <c r="AC606" s="18"/>
      <c r="AD606" s="18"/>
      <c r="AE606" s="18"/>
      <c r="AF606" s="18"/>
      <c r="AG606" s="18"/>
      <c r="AH606" s="18">
        <v>0</v>
      </c>
    </row>
    <row r="607" spans="24:34" x14ac:dyDescent="0.3">
      <c r="Y607">
        <v>7</v>
      </c>
      <c r="Z607" s="57">
        <v>45111</v>
      </c>
      <c r="AA607" t="s">
        <v>1711</v>
      </c>
      <c r="AB607" s="18">
        <v>100</v>
      </c>
      <c r="AC607" s="18"/>
      <c r="AD607" s="18"/>
      <c r="AE607" s="18"/>
      <c r="AF607" s="18"/>
      <c r="AG607" s="18"/>
      <c r="AH607" s="18">
        <v>100</v>
      </c>
    </row>
    <row r="608" spans="24:34" x14ac:dyDescent="0.3">
      <c r="Y608">
        <v>9</v>
      </c>
      <c r="Z608" s="57">
        <v>45187</v>
      </c>
      <c r="AA608" t="s">
        <v>1906</v>
      </c>
      <c r="AB608" s="18">
        <v>6699</v>
      </c>
      <c r="AC608" s="18"/>
      <c r="AD608" s="18"/>
      <c r="AE608" s="18"/>
      <c r="AF608" s="18"/>
      <c r="AG608" s="18"/>
      <c r="AH608" s="18">
        <v>6699</v>
      </c>
    </row>
    <row r="609" spans="23:34" x14ac:dyDescent="0.3">
      <c r="Y609">
        <v>10</v>
      </c>
      <c r="Z609" s="57">
        <v>45205</v>
      </c>
      <c r="AA609" t="s">
        <v>1998</v>
      </c>
      <c r="AB609" s="18">
        <v>4068</v>
      </c>
      <c r="AC609" s="18"/>
      <c r="AD609" s="18"/>
      <c r="AE609" s="18"/>
      <c r="AF609" s="18"/>
      <c r="AG609" s="18"/>
      <c r="AH609" s="18">
        <v>4068</v>
      </c>
    </row>
    <row r="610" spans="23:34" x14ac:dyDescent="0.3">
      <c r="Z610" s="57">
        <v>45209</v>
      </c>
      <c r="AA610" t="s">
        <v>2005</v>
      </c>
      <c r="AB610" s="18">
        <v>344</v>
      </c>
      <c r="AC610" s="18"/>
      <c r="AD610" s="18"/>
      <c r="AE610" s="18"/>
      <c r="AF610" s="18"/>
      <c r="AG610" s="18"/>
      <c r="AH610" s="18">
        <v>344</v>
      </c>
    </row>
    <row r="611" spans="23:34" x14ac:dyDescent="0.3">
      <c r="Z611" t="s">
        <v>2011</v>
      </c>
      <c r="AA611" t="s">
        <v>2013</v>
      </c>
      <c r="AB611" s="18">
        <v>1738</v>
      </c>
      <c r="AC611" s="18"/>
      <c r="AD611" s="18"/>
      <c r="AE611" s="18"/>
      <c r="AF611" s="18"/>
      <c r="AG611" s="18"/>
      <c r="AH611" s="18">
        <v>1738</v>
      </c>
    </row>
    <row r="612" spans="23:34" x14ac:dyDescent="0.3">
      <c r="Y612">
        <v>12</v>
      </c>
      <c r="Z612" s="57">
        <v>45268</v>
      </c>
      <c r="AA612" t="s">
        <v>2171</v>
      </c>
      <c r="AB612" s="18">
        <v>250</v>
      </c>
      <c r="AC612" s="18"/>
      <c r="AD612" s="18"/>
      <c r="AE612" s="18"/>
      <c r="AF612" s="18"/>
      <c r="AG612" s="18"/>
      <c r="AH612" s="18">
        <v>250</v>
      </c>
    </row>
    <row r="613" spans="23:34" x14ac:dyDescent="0.3">
      <c r="AA613" t="s">
        <v>2172</v>
      </c>
      <c r="AB613" s="18">
        <v>4068</v>
      </c>
      <c r="AC613" s="18"/>
      <c r="AD613" s="18"/>
      <c r="AE613" s="18"/>
      <c r="AF613" s="18"/>
      <c r="AG613" s="18"/>
      <c r="AH613" s="18">
        <v>4068</v>
      </c>
    </row>
    <row r="614" spans="23:34" x14ac:dyDescent="0.3">
      <c r="Z614" s="57">
        <v>45279</v>
      </c>
      <c r="AA614" t="s">
        <v>2188</v>
      </c>
      <c r="AB614" s="18">
        <v>4700</v>
      </c>
      <c r="AC614" s="18"/>
      <c r="AD614" s="18"/>
      <c r="AE614" s="18"/>
      <c r="AF614" s="18"/>
      <c r="AG614" s="18"/>
      <c r="AH614" s="18">
        <v>4700</v>
      </c>
    </row>
    <row r="615" spans="23:34" x14ac:dyDescent="0.3">
      <c r="Y615">
        <v>4</v>
      </c>
      <c r="Z615" s="57">
        <v>45019</v>
      </c>
      <c r="AA615" t="s">
        <v>1392</v>
      </c>
      <c r="AB615" s="18">
        <v>0</v>
      </c>
      <c r="AC615" s="18"/>
      <c r="AD615" s="18"/>
      <c r="AE615" s="18"/>
      <c r="AF615" s="18"/>
      <c r="AG615" s="18"/>
      <c r="AH615" s="18">
        <v>0</v>
      </c>
    </row>
    <row r="616" spans="23:34" x14ac:dyDescent="0.3">
      <c r="Z616" t="s">
        <v>1415</v>
      </c>
      <c r="AA616" t="s">
        <v>1414</v>
      </c>
      <c r="AB616" s="18">
        <v>0</v>
      </c>
      <c r="AC616" s="18"/>
      <c r="AD616" s="18"/>
      <c r="AE616" s="18"/>
      <c r="AF616" s="18"/>
      <c r="AG616" s="18"/>
      <c r="AH616" s="18">
        <v>0</v>
      </c>
    </row>
    <row r="617" spans="23:34" x14ac:dyDescent="0.3">
      <c r="Z617" s="57">
        <v>45030</v>
      </c>
      <c r="AA617" t="s">
        <v>1433</v>
      </c>
      <c r="AB617" s="18">
        <v>617.20000000000005</v>
      </c>
      <c r="AC617" s="18"/>
      <c r="AD617" s="18"/>
      <c r="AE617" s="18"/>
      <c r="AF617" s="18"/>
      <c r="AG617" s="18"/>
      <c r="AH617" s="18">
        <v>617.20000000000005</v>
      </c>
    </row>
    <row r="618" spans="23:34" x14ac:dyDescent="0.3">
      <c r="W618" s="36" t="s">
        <v>642</v>
      </c>
      <c r="X618" s="36"/>
      <c r="Y618" s="36"/>
      <c r="Z618" s="36"/>
      <c r="AA618" s="36"/>
      <c r="AB618" s="37">
        <v>22584.2</v>
      </c>
      <c r="AC618" s="37"/>
      <c r="AD618" s="37"/>
      <c r="AE618" s="37"/>
      <c r="AF618" s="37"/>
      <c r="AG618" s="37"/>
      <c r="AH618" s="37">
        <v>22584.2</v>
      </c>
    </row>
    <row r="619" spans="23:34" x14ac:dyDescent="0.3">
      <c r="W619" t="s">
        <v>666</v>
      </c>
      <c r="X619">
        <v>2022</v>
      </c>
      <c r="Y619">
        <v>3</v>
      </c>
      <c r="Z619" s="57">
        <v>44651</v>
      </c>
      <c r="AA619" t="s">
        <v>664</v>
      </c>
      <c r="AB619" s="18">
        <v>0</v>
      </c>
      <c r="AC619" s="18"/>
      <c r="AD619" s="18"/>
      <c r="AE619" s="18"/>
      <c r="AF619" s="18"/>
      <c r="AG619" s="18"/>
      <c r="AH619" s="18">
        <v>0</v>
      </c>
    </row>
    <row r="620" spans="23:34" x14ac:dyDescent="0.3">
      <c r="Y620">
        <v>5</v>
      </c>
      <c r="Z620" s="57">
        <v>44687</v>
      </c>
      <c r="AA620" t="s">
        <v>764</v>
      </c>
      <c r="AB620" s="18">
        <v>0</v>
      </c>
      <c r="AC620" s="18"/>
      <c r="AD620" s="18"/>
      <c r="AE620" s="18"/>
      <c r="AF620" s="18"/>
      <c r="AG620" s="18"/>
      <c r="AH620" s="18">
        <v>0</v>
      </c>
    </row>
    <row r="621" spans="23:34" x14ac:dyDescent="0.3">
      <c r="Y621">
        <v>6</v>
      </c>
      <c r="Z621" s="57">
        <v>44725</v>
      </c>
      <c r="AA621" t="s">
        <v>836</v>
      </c>
      <c r="AB621" s="18">
        <v>0</v>
      </c>
      <c r="AC621" s="18"/>
      <c r="AD621" s="18"/>
      <c r="AE621" s="18"/>
      <c r="AF621" s="18"/>
      <c r="AG621" s="18"/>
      <c r="AH621" s="18">
        <v>0</v>
      </c>
    </row>
    <row r="622" spans="23:34" x14ac:dyDescent="0.3">
      <c r="Y622">
        <v>4</v>
      </c>
      <c r="Z622" s="57">
        <v>44667</v>
      </c>
      <c r="AA622" t="s">
        <v>698</v>
      </c>
      <c r="AB622" s="18">
        <v>0</v>
      </c>
      <c r="AC622" s="18"/>
      <c r="AD622" s="18"/>
      <c r="AE622" s="18"/>
      <c r="AF622" s="18"/>
      <c r="AG622" s="18"/>
      <c r="AH622" s="18">
        <v>0</v>
      </c>
    </row>
    <row r="623" spans="23:34" x14ac:dyDescent="0.3">
      <c r="Z623" t="s">
        <v>722</v>
      </c>
      <c r="AA623" t="s">
        <v>721</v>
      </c>
      <c r="AB623" s="18">
        <v>0</v>
      </c>
      <c r="AC623" s="18"/>
      <c r="AD623" s="18"/>
      <c r="AE623" s="18"/>
      <c r="AF623" s="18"/>
      <c r="AG623" s="18"/>
      <c r="AH623" s="18">
        <v>0</v>
      </c>
    </row>
    <row r="624" spans="23:34" x14ac:dyDescent="0.3">
      <c r="Z624" s="57">
        <v>44680</v>
      </c>
      <c r="AA624" t="s">
        <v>729</v>
      </c>
      <c r="AB624" s="18">
        <v>0</v>
      </c>
      <c r="AC624" s="18"/>
      <c r="AD624" s="18"/>
      <c r="AE624" s="18"/>
      <c r="AF624" s="18"/>
      <c r="AG624" s="18"/>
      <c r="AH624" s="18">
        <v>0</v>
      </c>
    </row>
    <row r="625" spans="23:34" x14ac:dyDescent="0.3">
      <c r="X625">
        <v>2023</v>
      </c>
      <c r="Y625">
        <v>1</v>
      </c>
      <c r="Z625" s="57">
        <v>44932</v>
      </c>
      <c r="AA625" t="s">
        <v>1171</v>
      </c>
      <c r="AB625" s="18">
        <v>0</v>
      </c>
      <c r="AC625" s="18"/>
      <c r="AD625" s="18"/>
      <c r="AE625" s="18"/>
      <c r="AF625" s="18"/>
      <c r="AG625" s="18"/>
      <c r="AH625" s="18">
        <v>0</v>
      </c>
    </row>
    <row r="626" spans="23:34" x14ac:dyDescent="0.3">
      <c r="Z626" s="57">
        <v>44935</v>
      </c>
      <c r="AA626" t="s">
        <v>1174</v>
      </c>
      <c r="AB626" s="18">
        <v>0</v>
      </c>
      <c r="AC626" s="18"/>
      <c r="AD626" s="18"/>
      <c r="AE626" s="18"/>
      <c r="AF626" s="18"/>
      <c r="AG626" s="18"/>
      <c r="AH626" s="18">
        <v>0</v>
      </c>
    </row>
    <row r="627" spans="23:34" x14ac:dyDescent="0.3">
      <c r="Z627" s="57">
        <v>44937</v>
      </c>
      <c r="AA627" t="s">
        <v>1180</v>
      </c>
      <c r="AB627" s="18">
        <v>0</v>
      </c>
      <c r="AC627" s="18"/>
      <c r="AD627" s="18"/>
      <c r="AE627" s="18"/>
      <c r="AF627" s="18"/>
      <c r="AG627" s="18"/>
      <c r="AH627" s="18">
        <v>0</v>
      </c>
    </row>
    <row r="628" spans="23:34" x14ac:dyDescent="0.3">
      <c r="Z628" s="57">
        <v>44939</v>
      </c>
      <c r="AA628" t="s">
        <v>1184</v>
      </c>
      <c r="AB628" s="18">
        <v>0</v>
      </c>
      <c r="AC628" s="18"/>
      <c r="AD628" s="18"/>
      <c r="AE628" s="18"/>
      <c r="AF628" s="18"/>
      <c r="AG628" s="18"/>
      <c r="AH628" s="18">
        <v>0</v>
      </c>
    </row>
    <row r="629" spans="23:34" x14ac:dyDescent="0.3">
      <c r="Y629">
        <v>6</v>
      </c>
      <c r="Z629" s="57">
        <v>45084</v>
      </c>
      <c r="AA629" t="s">
        <v>1614</v>
      </c>
      <c r="AB629" s="18">
        <v>0</v>
      </c>
      <c r="AC629" s="18"/>
      <c r="AD629" s="18"/>
      <c r="AE629" s="18"/>
      <c r="AF629" s="18"/>
      <c r="AG629" s="18"/>
      <c r="AH629" s="18">
        <v>0</v>
      </c>
    </row>
    <row r="630" spans="23:34" x14ac:dyDescent="0.3">
      <c r="W630" s="36" t="s">
        <v>680</v>
      </c>
      <c r="X630" s="36"/>
      <c r="Y630" s="36"/>
      <c r="Z630" s="36"/>
      <c r="AA630" s="36"/>
      <c r="AB630" s="37">
        <v>0</v>
      </c>
      <c r="AC630" s="37"/>
      <c r="AD630" s="37"/>
      <c r="AE630" s="37"/>
      <c r="AF630" s="37"/>
      <c r="AG630" s="37"/>
      <c r="AH630" s="37">
        <v>0</v>
      </c>
    </row>
    <row r="631" spans="23:34" x14ac:dyDescent="0.3">
      <c r="W631" t="s">
        <v>710</v>
      </c>
      <c r="X631">
        <v>2022</v>
      </c>
      <c r="Y631">
        <v>4</v>
      </c>
      <c r="Z631" s="57">
        <v>44671</v>
      </c>
      <c r="AA631" t="s">
        <v>700</v>
      </c>
      <c r="AB631" s="18">
        <v>0</v>
      </c>
      <c r="AC631" s="18"/>
      <c r="AD631" s="18"/>
      <c r="AE631" s="18"/>
      <c r="AF631" s="18"/>
      <c r="AG631" s="18"/>
      <c r="AH631" s="18">
        <v>0</v>
      </c>
    </row>
    <row r="632" spans="23:34" x14ac:dyDescent="0.3">
      <c r="Z632" s="57">
        <v>44672</v>
      </c>
      <c r="AA632" t="s">
        <v>702</v>
      </c>
      <c r="AB632" s="18">
        <v>0</v>
      </c>
      <c r="AC632" s="18"/>
      <c r="AD632" s="18"/>
      <c r="AE632" s="18"/>
      <c r="AF632" s="18"/>
      <c r="AG632" s="18"/>
      <c r="AH632" s="18">
        <v>0</v>
      </c>
    </row>
    <row r="633" spans="23:34" x14ac:dyDescent="0.3">
      <c r="W633" s="36" t="s">
        <v>755</v>
      </c>
      <c r="X633" s="36"/>
      <c r="Y633" s="36"/>
      <c r="Z633" s="36"/>
      <c r="AA633" s="36"/>
      <c r="AB633" s="37">
        <v>0</v>
      </c>
      <c r="AC633" s="37"/>
      <c r="AD633" s="37"/>
      <c r="AE633" s="37"/>
      <c r="AF633" s="37"/>
      <c r="AG633" s="37"/>
      <c r="AH633" s="37">
        <v>0</v>
      </c>
    </row>
    <row r="634" spans="23:34" x14ac:dyDescent="0.3">
      <c r="W634" t="s">
        <v>774</v>
      </c>
      <c r="X634">
        <v>2022</v>
      </c>
      <c r="Y634">
        <v>5</v>
      </c>
      <c r="Z634" s="57">
        <v>44693</v>
      </c>
      <c r="AA634" t="s">
        <v>775</v>
      </c>
      <c r="AB634" s="18">
        <v>0</v>
      </c>
      <c r="AC634" s="18"/>
      <c r="AD634" s="18"/>
      <c r="AE634" s="18"/>
      <c r="AF634" s="18"/>
      <c r="AG634" s="18"/>
      <c r="AH634" s="18">
        <v>0</v>
      </c>
    </row>
    <row r="635" spans="23:34" x14ac:dyDescent="0.3">
      <c r="Y635">
        <v>4</v>
      </c>
      <c r="Z635" s="57">
        <v>44660</v>
      </c>
      <c r="AA635" t="s">
        <v>691</v>
      </c>
      <c r="AB635" s="18">
        <v>0</v>
      </c>
      <c r="AC635" s="18"/>
      <c r="AD635" s="18"/>
      <c r="AE635" s="18"/>
      <c r="AF635" s="18"/>
      <c r="AG635" s="18"/>
      <c r="AH635" s="18">
        <v>0</v>
      </c>
    </row>
    <row r="636" spans="23:34" x14ac:dyDescent="0.3">
      <c r="Z636" s="57">
        <v>44664</v>
      </c>
      <c r="AA636" t="s">
        <v>693</v>
      </c>
      <c r="AB636" s="18">
        <v>0</v>
      </c>
      <c r="AC636" s="18"/>
      <c r="AD636" s="18"/>
      <c r="AE636" s="18"/>
      <c r="AF636" s="18"/>
      <c r="AG636" s="18"/>
      <c r="AH636" s="18">
        <v>0</v>
      </c>
    </row>
    <row r="637" spans="23:34" x14ac:dyDescent="0.3">
      <c r="Z637" s="57">
        <v>44666</v>
      </c>
      <c r="AA637" t="s">
        <v>696</v>
      </c>
      <c r="AB637" s="18">
        <v>0</v>
      </c>
      <c r="AC637" s="18"/>
      <c r="AD637" s="18"/>
      <c r="AE637" s="18"/>
      <c r="AF637" s="18"/>
      <c r="AG637" s="18"/>
      <c r="AH637" s="18">
        <v>0</v>
      </c>
    </row>
    <row r="638" spans="23:34" x14ac:dyDescent="0.3">
      <c r="W638" s="36" t="s">
        <v>799</v>
      </c>
      <c r="X638" s="36"/>
      <c r="Y638" s="36"/>
      <c r="Z638" s="36"/>
      <c r="AA638" s="36"/>
      <c r="AB638" s="37">
        <v>0</v>
      </c>
      <c r="AC638" s="37"/>
      <c r="AD638" s="37"/>
      <c r="AE638" s="37"/>
      <c r="AF638" s="37"/>
      <c r="AG638" s="37"/>
      <c r="AH638" s="37">
        <v>0</v>
      </c>
    </row>
    <row r="639" spans="23:34" x14ac:dyDescent="0.3">
      <c r="W639" t="s">
        <v>785</v>
      </c>
      <c r="X639">
        <v>2022</v>
      </c>
      <c r="Y639">
        <v>5</v>
      </c>
      <c r="Z639" s="57">
        <v>44702</v>
      </c>
      <c r="AA639" t="s">
        <v>789</v>
      </c>
      <c r="AB639" s="18">
        <v>0</v>
      </c>
      <c r="AC639" s="18"/>
      <c r="AD639" s="18"/>
      <c r="AE639" s="18"/>
      <c r="AF639" s="18"/>
      <c r="AG639" s="18"/>
      <c r="AH639" s="18">
        <v>0</v>
      </c>
    </row>
    <row r="640" spans="23:34" x14ac:dyDescent="0.3">
      <c r="Y640">
        <v>8</v>
      </c>
      <c r="Z640" s="57">
        <v>44782</v>
      </c>
      <c r="AA640" t="s">
        <v>899</v>
      </c>
      <c r="AB640" s="18">
        <v>0</v>
      </c>
      <c r="AC640" s="18"/>
      <c r="AD640" s="18"/>
      <c r="AE640" s="18"/>
      <c r="AF640" s="18"/>
      <c r="AG640" s="18"/>
      <c r="AH640" s="18">
        <v>0</v>
      </c>
    </row>
    <row r="641" spans="23:34" x14ac:dyDescent="0.3">
      <c r="Y641">
        <v>10</v>
      </c>
      <c r="Z641" s="57">
        <v>44851</v>
      </c>
      <c r="AA641" t="s">
        <v>1005</v>
      </c>
      <c r="AB641" s="18">
        <v>0</v>
      </c>
      <c r="AC641" s="18"/>
      <c r="AD641" s="18"/>
      <c r="AE641" s="18"/>
      <c r="AF641" s="18"/>
      <c r="AG641" s="18"/>
      <c r="AH641" s="18">
        <v>0</v>
      </c>
    </row>
    <row r="642" spans="23:34" x14ac:dyDescent="0.3">
      <c r="Y642">
        <v>12</v>
      </c>
      <c r="Z642" t="s">
        <v>1125</v>
      </c>
      <c r="AA642" t="s">
        <v>1126</v>
      </c>
      <c r="AB642" s="18">
        <v>0</v>
      </c>
      <c r="AC642" s="18"/>
      <c r="AD642" s="18"/>
      <c r="AE642" s="18"/>
      <c r="AF642" s="18"/>
      <c r="AG642" s="18"/>
      <c r="AH642" s="18">
        <v>0</v>
      </c>
    </row>
    <row r="643" spans="23:34" x14ac:dyDescent="0.3">
      <c r="X643">
        <v>2023</v>
      </c>
      <c r="Y643">
        <v>3</v>
      </c>
      <c r="Z643" t="s">
        <v>1360</v>
      </c>
      <c r="AA643" t="s">
        <v>1359</v>
      </c>
      <c r="AB643" s="18">
        <v>0</v>
      </c>
      <c r="AC643" s="18"/>
      <c r="AD643" s="18"/>
      <c r="AE643" s="18"/>
      <c r="AF643" s="18"/>
      <c r="AG643" s="18"/>
      <c r="AH643" s="18">
        <v>0</v>
      </c>
    </row>
    <row r="644" spans="23:34" x14ac:dyDescent="0.3">
      <c r="Y644">
        <v>12</v>
      </c>
      <c r="Z644" s="57">
        <v>45281</v>
      </c>
      <c r="AA644" t="s">
        <v>2192</v>
      </c>
      <c r="AB644" s="18">
        <v>771.3</v>
      </c>
      <c r="AC644" s="18"/>
      <c r="AD644" s="18"/>
      <c r="AE644" s="18"/>
      <c r="AF644" s="18"/>
      <c r="AG644" s="18"/>
      <c r="AH644" s="18">
        <v>771.3</v>
      </c>
    </row>
    <row r="645" spans="23:34" x14ac:dyDescent="0.3">
      <c r="Z645" s="57">
        <v>45282</v>
      </c>
      <c r="AA645" t="s">
        <v>2194</v>
      </c>
      <c r="AB645" s="18">
        <v>175</v>
      </c>
      <c r="AC645" s="18"/>
      <c r="AD645" s="18"/>
      <c r="AE645" s="18"/>
      <c r="AF645" s="18"/>
      <c r="AG645" s="18"/>
      <c r="AH645" s="18">
        <v>175</v>
      </c>
    </row>
    <row r="646" spans="23:34" x14ac:dyDescent="0.3">
      <c r="W646" s="36" t="s">
        <v>800</v>
      </c>
      <c r="X646" s="36"/>
      <c r="Y646" s="36"/>
      <c r="Z646" s="36"/>
      <c r="AA646" s="36"/>
      <c r="AB646" s="37">
        <v>946.3</v>
      </c>
      <c r="AC646" s="37"/>
      <c r="AD646" s="37"/>
      <c r="AE646" s="37"/>
      <c r="AF646" s="37"/>
      <c r="AG646" s="37"/>
      <c r="AH646" s="37">
        <v>946.3</v>
      </c>
    </row>
    <row r="647" spans="23:34" x14ac:dyDescent="0.3">
      <c r="W647" t="s">
        <v>860</v>
      </c>
      <c r="X647">
        <v>2022</v>
      </c>
      <c r="Y647">
        <v>7</v>
      </c>
      <c r="Z647" s="57">
        <v>44756</v>
      </c>
      <c r="AA647" t="s">
        <v>862</v>
      </c>
      <c r="AB647" s="18">
        <v>0</v>
      </c>
      <c r="AC647" s="18"/>
      <c r="AD647" s="18"/>
      <c r="AE647" s="18"/>
      <c r="AF647" s="18"/>
      <c r="AG647" s="18"/>
      <c r="AH647" s="18">
        <v>0</v>
      </c>
    </row>
    <row r="648" spans="23:34" x14ac:dyDescent="0.3">
      <c r="Y648">
        <v>8</v>
      </c>
      <c r="Z648" s="57">
        <v>44777</v>
      </c>
      <c r="AA648" t="s">
        <v>892</v>
      </c>
      <c r="AB648" s="18">
        <v>0.20000000000004547</v>
      </c>
      <c r="AC648" s="18"/>
      <c r="AD648" s="18"/>
      <c r="AE648" s="18"/>
      <c r="AF648" s="18"/>
      <c r="AG648" s="18"/>
      <c r="AH648" s="18">
        <v>0.20000000000004547</v>
      </c>
    </row>
    <row r="649" spans="23:34" x14ac:dyDescent="0.3">
      <c r="Z649" s="57">
        <v>44796</v>
      </c>
      <c r="AA649" t="s">
        <v>910</v>
      </c>
      <c r="AB649" s="18">
        <v>0</v>
      </c>
      <c r="AC649" s="18"/>
      <c r="AD649" s="18"/>
      <c r="AE649" s="18"/>
      <c r="AF649" s="18"/>
      <c r="AG649" s="18"/>
      <c r="AH649" s="18">
        <v>0</v>
      </c>
    </row>
    <row r="650" spans="23:34" x14ac:dyDescent="0.3">
      <c r="Z650" s="57">
        <v>44798</v>
      </c>
      <c r="AA650" t="s">
        <v>915</v>
      </c>
      <c r="AB650" s="18">
        <v>0</v>
      </c>
      <c r="AC650" s="18"/>
      <c r="AD650" s="18"/>
      <c r="AE650" s="18"/>
      <c r="AF650" s="18"/>
      <c r="AG650" s="18"/>
      <c r="AH650" s="18">
        <v>0</v>
      </c>
    </row>
    <row r="651" spans="23:34" x14ac:dyDescent="0.3">
      <c r="Y651">
        <v>9</v>
      </c>
      <c r="Z651" s="57">
        <v>44832</v>
      </c>
      <c r="AA651" t="s">
        <v>956</v>
      </c>
      <c r="AB651" s="18">
        <v>0</v>
      </c>
      <c r="AC651" s="18"/>
      <c r="AD651" s="18"/>
      <c r="AE651" s="18"/>
      <c r="AF651" s="18"/>
      <c r="AG651" s="18"/>
      <c r="AH651" s="18">
        <v>0</v>
      </c>
    </row>
    <row r="652" spans="23:34" x14ac:dyDescent="0.3">
      <c r="Y652">
        <v>11</v>
      </c>
      <c r="Z652" s="57">
        <v>44879</v>
      </c>
      <c r="AA652" t="s">
        <v>1066</v>
      </c>
      <c r="AB652" s="18">
        <v>0</v>
      </c>
      <c r="AC652" s="18"/>
      <c r="AD652" s="18"/>
      <c r="AE652" s="18"/>
      <c r="AF652" s="18"/>
      <c r="AG652" s="18"/>
      <c r="AH652" s="18">
        <v>0</v>
      </c>
    </row>
    <row r="653" spans="23:34" x14ac:dyDescent="0.3">
      <c r="X653">
        <v>2023</v>
      </c>
      <c r="Y653">
        <v>2</v>
      </c>
      <c r="Z653" t="s">
        <v>1279</v>
      </c>
      <c r="AA653" t="s">
        <v>1277</v>
      </c>
      <c r="AB653" s="18">
        <v>0</v>
      </c>
      <c r="AC653" s="18"/>
      <c r="AD653" s="18"/>
      <c r="AE653" s="18"/>
      <c r="AF653" s="18"/>
      <c r="AG653" s="18"/>
      <c r="AH653" s="18">
        <v>0</v>
      </c>
    </row>
    <row r="654" spans="23:34" x14ac:dyDescent="0.3">
      <c r="Y654">
        <v>5</v>
      </c>
      <c r="Z654" s="57">
        <v>45052</v>
      </c>
      <c r="AA654" t="s">
        <v>1535</v>
      </c>
      <c r="AB654" s="18">
        <v>3784</v>
      </c>
      <c r="AC654" s="18"/>
      <c r="AD654" s="18"/>
      <c r="AE654" s="18"/>
      <c r="AF654" s="18"/>
      <c r="AG654" s="18"/>
      <c r="AH654" s="18">
        <v>3784</v>
      </c>
    </row>
    <row r="655" spans="23:34" x14ac:dyDescent="0.3">
      <c r="Y655">
        <v>7</v>
      </c>
      <c r="Z655" s="57">
        <v>45113</v>
      </c>
      <c r="AA655" t="s">
        <v>1712</v>
      </c>
      <c r="AB655" s="18">
        <v>2516</v>
      </c>
      <c r="AC655" s="18"/>
      <c r="AD655" s="18"/>
      <c r="AE655" s="18"/>
      <c r="AF655" s="18"/>
      <c r="AG655" s="18"/>
      <c r="AH655" s="18">
        <v>2516</v>
      </c>
    </row>
    <row r="656" spans="23:34" x14ac:dyDescent="0.3">
      <c r="Y656">
        <v>11</v>
      </c>
      <c r="Z656" s="57">
        <v>45257</v>
      </c>
      <c r="AA656" t="s">
        <v>2126</v>
      </c>
      <c r="AB656" s="18">
        <v>4987.1000000000004</v>
      </c>
      <c r="AC656" s="18"/>
      <c r="AD656" s="18"/>
      <c r="AE656" s="18"/>
      <c r="AF656" s="18"/>
      <c r="AG656" s="18"/>
      <c r="AH656" s="18">
        <v>4987.1000000000004</v>
      </c>
    </row>
    <row r="657" spans="23:34" x14ac:dyDescent="0.3">
      <c r="Y657">
        <v>4</v>
      </c>
      <c r="Z657" s="57">
        <v>45020</v>
      </c>
      <c r="AA657" t="s">
        <v>1401</v>
      </c>
      <c r="AB657" s="18">
        <v>0</v>
      </c>
      <c r="AC657" s="18"/>
      <c r="AD657" s="18"/>
      <c r="AE657" s="18"/>
      <c r="AF657" s="18"/>
      <c r="AG657" s="18"/>
      <c r="AH657" s="18">
        <v>0</v>
      </c>
    </row>
    <row r="658" spans="23:34" x14ac:dyDescent="0.3">
      <c r="Z658" t="s">
        <v>1402</v>
      </c>
      <c r="AA658" t="s">
        <v>1401</v>
      </c>
      <c r="AB658" s="18">
        <v>6058.6</v>
      </c>
      <c r="AC658" s="18"/>
      <c r="AD658" s="18"/>
      <c r="AE658" s="18"/>
      <c r="AF658" s="18"/>
      <c r="AG658" s="18"/>
      <c r="AH658" s="18">
        <v>6058.6</v>
      </c>
    </row>
    <row r="659" spans="23:34" x14ac:dyDescent="0.3">
      <c r="W659" s="36" t="s">
        <v>875</v>
      </c>
      <c r="X659" s="36"/>
      <c r="Y659" s="36"/>
      <c r="Z659" s="36"/>
      <c r="AA659" s="36"/>
      <c r="AB659" s="37">
        <v>17345.900000000001</v>
      </c>
      <c r="AC659" s="37"/>
      <c r="AD659" s="37"/>
      <c r="AE659" s="37"/>
      <c r="AF659" s="37"/>
      <c r="AG659" s="37"/>
      <c r="AH659" s="37">
        <v>17345.900000000001</v>
      </c>
    </row>
    <row r="660" spans="23:34" x14ac:dyDescent="0.3">
      <c r="W660" t="s">
        <v>959</v>
      </c>
      <c r="X660">
        <v>2022</v>
      </c>
      <c r="Y660">
        <v>9</v>
      </c>
      <c r="Z660" s="57">
        <v>44813</v>
      </c>
      <c r="AA660" t="s">
        <v>931</v>
      </c>
      <c r="AB660" s="18">
        <v>0</v>
      </c>
      <c r="AC660" s="18"/>
      <c r="AD660" s="18"/>
      <c r="AE660" s="18"/>
      <c r="AF660" s="18"/>
      <c r="AG660" s="18"/>
      <c r="AH660" s="18">
        <v>0</v>
      </c>
    </row>
    <row r="661" spans="23:34" x14ac:dyDescent="0.3">
      <c r="Z661" s="57">
        <v>44832</v>
      </c>
      <c r="AA661" t="s">
        <v>957</v>
      </c>
      <c r="AB661" s="18">
        <v>0</v>
      </c>
      <c r="AC661" s="18"/>
      <c r="AD661" s="18"/>
      <c r="AE661" s="18"/>
      <c r="AF661" s="18"/>
      <c r="AG661" s="18"/>
      <c r="AH661" s="18">
        <v>0</v>
      </c>
    </row>
    <row r="662" spans="23:34" x14ac:dyDescent="0.3">
      <c r="X662">
        <v>2023</v>
      </c>
      <c r="Y662">
        <v>1</v>
      </c>
      <c r="Z662" s="57">
        <v>44940</v>
      </c>
      <c r="AA662" t="s">
        <v>1189</v>
      </c>
      <c r="AB662" s="18">
        <v>0</v>
      </c>
      <c r="AC662" s="18"/>
      <c r="AD662" s="18"/>
      <c r="AE662" s="18"/>
      <c r="AF662" s="18"/>
      <c r="AG662" s="18"/>
      <c r="AH662" s="18">
        <v>0</v>
      </c>
    </row>
    <row r="663" spans="23:34" x14ac:dyDescent="0.3">
      <c r="W663" s="36" t="s">
        <v>986</v>
      </c>
      <c r="X663" s="36"/>
      <c r="Y663" s="36"/>
      <c r="Z663" s="36"/>
      <c r="AA663" s="36"/>
      <c r="AB663" s="37">
        <v>0</v>
      </c>
      <c r="AC663" s="37"/>
      <c r="AD663" s="37"/>
      <c r="AE663" s="37"/>
      <c r="AF663" s="37"/>
      <c r="AG663" s="37"/>
      <c r="AH663" s="37">
        <v>0</v>
      </c>
    </row>
    <row r="664" spans="23:34" x14ac:dyDescent="0.3">
      <c r="W664" t="s">
        <v>1045</v>
      </c>
      <c r="X664" t="s">
        <v>1764</v>
      </c>
      <c r="Y664" t="s">
        <v>1764</v>
      </c>
      <c r="Z664" s="57">
        <v>44788</v>
      </c>
      <c r="AA664" t="s">
        <v>901</v>
      </c>
      <c r="AB664" s="18"/>
      <c r="AC664" s="18"/>
      <c r="AD664" s="18"/>
      <c r="AE664" s="18"/>
      <c r="AF664" s="18">
        <v>0</v>
      </c>
      <c r="AG664" s="18"/>
      <c r="AH664" s="18">
        <v>0</v>
      </c>
    </row>
    <row r="665" spans="23:34" x14ac:dyDescent="0.3">
      <c r="Z665" s="57">
        <v>45220</v>
      </c>
      <c r="AA665" t="s">
        <v>2021</v>
      </c>
      <c r="AB665" s="18"/>
      <c r="AC665" s="18"/>
      <c r="AD665" s="18"/>
      <c r="AE665" s="18"/>
      <c r="AF665" s="18">
        <v>0</v>
      </c>
      <c r="AG665" s="18"/>
      <c r="AH665" s="18">
        <v>0</v>
      </c>
    </row>
    <row r="666" spans="23:34" x14ac:dyDescent="0.3">
      <c r="W666" s="36" t="s">
        <v>1046</v>
      </c>
      <c r="X666" s="36"/>
      <c r="Y666" s="36"/>
      <c r="Z666" s="36"/>
      <c r="AA666" s="36"/>
      <c r="AB666" s="37"/>
      <c r="AC666" s="37"/>
      <c r="AD666" s="37"/>
      <c r="AE666" s="37"/>
      <c r="AF666" s="37">
        <v>0</v>
      </c>
      <c r="AG666" s="37"/>
      <c r="AH666" s="37">
        <v>0</v>
      </c>
    </row>
    <row r="667" spans="23:34" x14ac:dyDescent="0.3">
      <c r="W667" t="s">
        <v>1052</v>
      </c>
      <c r="X667">
        <v>2022</v>
      </c>
      <c r="Y667">
        <v>11</v>
      </c>
      <c r="Z667" s="57">
        <v>44870</v>
      </c>
      <c r="AA667" t="s">
        <v>1054</v>
      </c>
      <c r="AB667" s="18">
        <v>0</v>
      </c>
      <c r="AC667" s="18"/>
      <c r="AD667" s="18"/>
      <c r="AE667" s="18"/>
      <c r="AF667" s="18"/>
      <c r="AG667" s="18"/>
      <c r="AH667" s="18">
        <v>0</v>
      </c>
    </row>
    <row r="668" spans="23:34" x14ac:dyDescent="0.3">
      <c r="Z668" t="s">
        <v>1071</v>
      </c>
      <c r="AA668" t="s">
        <v>1072</v>
      </c>
      <c r="AB668" s="18">
        <v>0</v>
      </c>
      <c r="AC668" s="18"/>
      <c r="AD668" s="18"/>
      <c r="AE668" s="18"/>
      <c r="AF668" s="18"/>
      <c r="AG668" s="18"/>
      <c r="AH668" s="18">
        <v>0</v>
      </c>
    </row>
    <row r="669" spans="23:34" x14ac:dyDescent="0.3">
      <c r="Y669">
        <v>12</v>
      </c>
      <c r="Z669" s="57">
        <v>44896</v>
      </c>
      <c r="AA669" t="s">
        <v>1107</v>
      </c>
      <c r="AB669" s="18">
        <v>0</v>
      </c>
      <c r="AC669" s="18"/>
      <c r="AD669" s="18"/>
      <c r="AE669" s="18"/>
      <c r="AF669" s="18"/>
      <c r="AG669" s="18"/>
      <c r="AH669" s="18">
        <v>0</v>
      </c>
    </row>
    <row r="670" spans="23:34" x14ac:dyDescent="0.3">
      <c r="W670" s="36" t="s">
        <v>1089</v>
      </c>
      <c r="X670" s="36"/>
      <c r="Y670" s="36"/>
      <c r="Z670" s="36"/>
      <c r="AA670" s="36"/>
      <c r="AB670" s="37">
        <v>0</v>
      </c>
      <c r="AC670" s="37"/>
      <c r="AD670" s="37"/>
      <c r="AE670" s="37"/>
      <c r="AF670" s="37"/>
      <c r="AG670" s="37"/>
      <c r="AH670" s="37">
        <v>0</v>
      </c>
    </row>
    <row r="671" spans="23:34" x14ac:dyDescent="0.3">
      <c r="W671" t="s">
        <v>1058</v>
      </c>
      <c r="X671">
        <v>2022</v>
      </c>
      <c r="Y671">
        <v>11</v>
      </c>
      <c r="Z671" s="57">
        <v>44873</v>
      </c>
      <c r="AA671" t="s">
        <v>1063</v>
      </c>
      <c r="AB671" s="18">
        <v>0</v>
      </c>
      <c r="AC671" s="18"/>
      <c r="AD671" s="18"/>
      <c r="AE671" s="18"/>
      <c r="AF671" s="18"/>
      <c r="AG671" s="18"/>
      <c r="AH671" s="18">
        <v>0</v>
      </c>
    </row>
    <row r="672" spans="23:34" x14ac:dyDescent="0.3">
      <c r="W672" s="36" t="s">
        <v>1090</v>
      </c>
      <c r="X672" s="36"/>
      <c r="Y672" s="36"/>
      <c r="Z672" s="36"/>
      <c r="AA672" s="36"/>
      <c r="AB672" s="37">
        <v>0</v>
      </c>
      <c r="AC672" s="37"/>
      <c r="AD672" s="37"/>
      <c r="AE672" s="37"/>
      <c r="AF672" s="37"/>
      <c r="AG672" s="37"/>
      <c r="AH672" s="37">
        <v>0</v>
      </c>
    </row>
    <row r="673" spans="23:34" x14ac:dyDescent="0.3">
      <c r="W673" t="s">
        <v>1102</v>
      </c>
      <c r="X673">
        <v>2022</v>
      </c>
      <c r="Y673">
        <v>11</v>
      </c>
      <c r="Z673" s="57">
        <v>44895</v>
      </c>
      <c r="AA673" t="s">
        <v>1097</v>
      </c>
      <c r="AB673" s="18">
        <v>0</v>
      </c>
      <c r="AC673" s="18"/>
      <c r="AD673" s="18"/>
      <c r="AE673" s="18"/>
      <c r="AF673" s="18"/>
      <c r="AG673" s="18"/>
      <c r="AH673" s="18">
        <v>0</v>
      </c>
    </row>
    <row r="674" spans="23:34" x14ac:dyDescent="0.3">
      <c r="W674" s="36" t="s">
        <v>1105</v>
      </c>
      <c r="X674" s="36"/>
      <c r="Y674" s="36"/>
      <c r="Z674" s="36"/>
      <c r="AA674" s="36"/>
      <c r="AB674" s="37">
        <v>0</v>
      </c>
      <c r="AC674" s="37"/>
      <c r="AD674" s="37"/>
      <c r="AE674" s="37"/>
      <c r="AF674" s="37"/>
      <c r="AG674" s="37"/>
      <c r="AH674" s="37">
        <v>0</v>
      </c>
    </row>
    <row r="675" spans="23:34" x14ac:dyDescent="0.3">
      <c r="W675" t="s">
        <v>1101</v>
      </c>
      <c r="X675">
        <v>2022</v>
      </c>
      <c r="Y675">
        <v>11</v>
      </c>
      <c r="Z675" s="57">
        <v>44895</v>
      </c>
      <c r="AA675" t="s">
        <v>1098</v>
      </c>
      <c r="AB675" s="18">
        <v>0</v>
      </c>
      <c r="AC675" s="18"/>
      <c r="AD675" s="18"/>
      <c r="AE675" s="18"/>
      <c r="AF675" s="18"/>
      <c r="AG675" s="18"/>
      <c r="AH675" s="18">
        <v>0</v>
      </c>
    </row>
    <row r="676" spans="23:34" x14ac:dyDescent="0.3">
      <c r="W676" s="36" t="s">
        <v>1106</v>
      </c>
      <c r="X676" s="36"/>
      <c r="Y676" s="36"/>
      <c r="Z676" s="36"/>
      <c r="AA676" s="36"/>
      <c r="AB676" s="37">
        <v>0</v>
      </c>
      <c r="AC676" s="37"/>
      <c r="AD676" s="37"/>
      <c r="AE676" s="37"/>
      <c r="AF676" s="37"/>
      <c r="AG676" s="37"/>
      <c r="AH676" s="37">
        <v>0</v>
      </c>
    </row>
    <row r="677" spans="23:34" x14ac:dyDescent="0.3">
      <c r="W677" t="s">
        <v>1197</v>
      </c>
      <c r="X677">
        <v>2023</v>
      </c>
      <c r="Y677">
        <v>1</v>
      </c>
      <c r="Z677" s="57">
        <v>44953</v>
      </c>
      <c r="AA677" t="s">
        <v>1204</v>
      </c>
      <c r="AB677" s="18">
        <v>0</v>
      </c>
      <c r="AC677" s="18"/>
      <c r="AD677" s="18"/>
      <c r="AE677" s="18"/>
      <c r="AF677" s="18"/>
      <c r="AG677" s="18"/>
      <c r="AH677" s="18">
        <v>0</v>
      </c>
    </row>
    <row r="678" spans="23:34" x14ac:dyDescent="0.3">
      <c r="Y678">
        <v>2</v>
      </c>
      <c r="Z678" s="57">
        <v>44958</v>
      </c>
      <c r="AA678" t="s">
        <v>1235</v>
      </c>
      <c r="AB678" s="18">
        <v>0</v>
      </c>
      <c r="AC678" s="18"/>
      <c r="AD678" s="18"/>
      <c r="AE678" s="18"/>
      <c r="AF678" s="18"/>
      <c r="AG678" s="18"/>
      <c r="AH678" s="18">
        <v>0</v>
      </c>
    </row>
    <row r="679" spans="23:34" x14ac:dyDescent="0.3">
      <c r="Z679" t="s">
        <v>1241</v>
      </c>
      <c r="AA679" t="s">
        <v>1245</v>
      </c>
      <c r="AB679" s="18">
        <v>0</v>
      </c>
      <c r="AC679" s="18"/>
      <c r="AD679" s="18"/>
      <c r="AE679" s="18"/>
      <c r="AF679" s="18"/>
      <c r="AG679" s="18"/>
      <c r="AH679" s="18">
        <v>0</v>
      </c>
    </row>
    <row r="680" spans="23:34" x14ac:dyDescent="0.3">
      <c r="Y680">
        <v>3</v>
      </c>
      <c r="Z680" t="s">
        <v>1351</v>
      </c>
      <c r="AA680" t="s">
        <v>1354</v>
      </c>
      <c r="AB680" s="18">
        <v>0</v>
      </c>
      <c r="AC680" s="18"/>
      <c r="AD680" s="18"/>
      <c r="AE680" s="18"/>
      <c r="AF680" s="18"/>
      <c r="AG680" s="18"/>
      <c r="AH680" s="18">
        <v>0</v>
      </c>
    </row>
    <row r="681" spans="23:34" x14ac:dyDescent="0.3">
      <c r="Z681" t="s">
        <v>1356</v>
      </c>
      <c r="AA681" t="s">
        <v>1355</v>
      </c>
      <c r="AB681" s="18">
        <v>0</v>
      </c>
      <c r="AC681" s="18"/>
      <c r="AD681" s="18"/>
      <c r="AE681" s="18"/>
      <c r="AF681" s="18"/>
      <c r="AG681" s="18"/>
      <c r="AH681" s="18">
        <v>0</v>
      </c>
    </row>
    <row r="682" spans="23:34" x14ac:dyDescent="0.3">
      <c r="Z682" t="s">
        <v>1363</v>
      </c>
      <c r="AA682" t="s">
        <v>1364</v>
      </c>
      <c r="AB682" s="18">
        <v>0</v>
      </c>
      <c r="AC682" s="18"/>
      <c r="AD682" s="18"/>
      <c r="AE682" s="18"/>
      <c r="AF682" s="18"/>
      <c r="AG682" s="18"/>
      <c r="AH682" s="18">
        <v>0</v>
      </c>
    </row>
    <row r="683" spans="23:34" x14ac:dyDescent="0.3">
      <c r="AA683" t="s">
        <v>1365</v>
      </c>
      <c r="AB683" s="18">
        <v>0</v>
      </c>
      <c r="AC683" s="18"/>
      <c r="AD683" s="18"/>
      <c r="AE683" s="18"/>
      <c r="AF683" s="18"/>
      <c r="AG683" s="18"/>
      <c r="AH683" s="18">
        <v>0</v>
      </c>
    </row>
    <row r="684" spans="23:34" x14ac:dyDescent="0.3">
      <c r="Y684">
        <v>5</v>
      </c>
      <c r="Z684" s="57">
        <v>45048</v>
      </c>
      <c r="AA684" t="s">
        <v>1531</v>
      </c>
      <c r="AB684" s="18">
        <v>0</v>
      </c>
      <c r="AC684" s="18"/>
      <c r="AD684" s="18"/>
      <c r="AE684" s="18"/>
      <c r="AF684" s="18"/>
      <c r="AG684" s="18"/>
      <c r="AH684" s="18">
        <v>0</v>
      </c>
    </row>
    <row r="685" spans="23:34" x14ac:dyDescent="0.3">
      <c r="Z685" s="57">
        <v>45054</v>
      </c>
      <c r="AA685" t="s">
        <v>1536</v>
      </c>
      <c r="AB685" s="18">
        <v>0</v>
      </c>
      <c r="AC685" s="18"/>
      <c r="AD685" s="18"/>
      <c r="AE685" s="18"/>
      <c r="AF685" s="18"/>
      <c r="AG685" s="18"/>
      <c r="AH685" s="18">
        <v>0</v>
      </c>
    </row>
    <row r="686" spans="23:34" x14ac:dyDescent="0.3">
      <c r="Z686" t="s">
        <v>1553</v>
      </c>
      <c r="AA686" t="s">
        <v>1554</v>
      </c>
      <c r="AB686" s="18">
        <v>0</v>
      </c>
      <c r="AC686" s="18"/>
      <c r="AD686" s="18"/>
      <c r="AE686" s="18"/>
      <c r="AF686" s="18"/>
      <c r="AG686" s="18"/>
      <c r="AH686" s="18">
        <v>0</v>
      </c>
    </row>
    <row r="687" spans="23:34" x14ac:dyDescent="0.3">
      <c r="Z687" s="57">
        <v>45066</v>
      </c>
      <c r="AA687" t="s">
        <v>1555</v>
      </c>
      <c r="AB687" s="18">
        <v>0</v>
      </c>
      <c r="AC687" s="18"/>
      <c r="AD687" s="18"/>
      <c r="AE687" s="18"/>
      <c r="AF687" s="18"/>
      <c r="AG687" s="18"/>
      <c r="AH687" s="18">
        <v>0</v>
      </c>
    </row>
    <row r="688" spans="23:34" x14ac:dyDescent="0.3">
      <c r="Z688" s="57">
        <v>45076</v>
      </c>
      <c r="AA688" t="s">
        <v>1563</v>
      </c>
      <c r="AB688" s="18">
        <v>0</v>
      </c>
      <c r="AC688" s="18"/>
      <c r="AD688" s="18"/>
      <c r="AE688" s="18"/>
      <c r="AF688" s="18"/>
      <c r="AG688" s="18"/>
      <c r="AH688" s="18">
        <v>0</v>
      </c>
    </row>
    <row r="689" spans="25:34" x14ac:dyDescent="0.3">
      <c r="Y689">
        <v>6</v>
      </c>
      <c r="Z689" t="s">
        <v>1612</v>
      </c>
      <c r="AA689" t="s">
        <v>1610</v>
      </c>
      <c r="AB689" s="18">
        <v>0</v>
      </c>
      <c r="AC689" s="18"/>
      <c r="AD689" s="18"/>
      <c r="AE689" s="18"/>
      <c r="AF689" s="18"/>
      <c r="AG689" s="18"/>
      <c r="AH689" s="18">
        <v>0</v>
      </c>
    </row>
    <row r="690" spans="25:34" x14ac:dyDescent="0.3">
      <c r="Z690" s="57">
        <v>45086</v>
      </c>
      <c r="AA690" t="s">
        <v>1623</v>
      </c>
      <c r="AB690" s="18">
        <v>0</v>
      </c>
      <c r="AC690" s="18"/>
      <c r="AD690" s="18"/>
      <c r="AE690" s="18"/>
      <c r="AF690" s="18"/>
      <c r="AG690" s="18"/>
      <c r="AH690" s="18">
        <v>0</v>
      </c>
    </row>
    <row r="691" spans="25:34" x14ac:dyDescent="0.3">
      <c r="Z691" t="s">
        <v>1626</v>
      </c>
      <c r="AA691" t="s">
        <v>1624</v>
      </c>
      <c r="AB691" s="18">
        <v>0</v>
      </c>
      <c r="AC691" s="18"/>
      <c r="AD691" s="18"/>
      <c r="AE691" s="18"/>
      <c r="AF691" s="18"/>
      <c r="AG691" s="18"/>
      <c r="AH691" s="18">
        <v>0</v>
      </c>
    </row>
    <row r="692" spans="25:34" x14ac:dyDescent="0.3">
      <c r="Z692" s="57">
        <v>45092</v>
      </c>
      <c r="AA692" t="s">
        <v>1633</v>
      </c>
      <c r="AB692" s="18">
        <v>0</v>
      </c>
      <c r="AC692" s="18"/>
      <c r="AD692" s="18"/>
      <c r="AE692" s="18"/>
      <c r="AF692" s="18"/>
      <c r="AG692" s="18"/>
      <c r="AH692" s="18">
        <v>0</v>
      </c>
    </row>
    <row r="693" spans="25:34" x14ac:dyDescent="0.3">
      <c r="Z693" s="57">
        <v>45097</v>
      </c>
      <c r="AA693" t="s">
        <v>1647</v>
      </c>
      <c r="AB693" s="18">
        <v>0</v>
      </c>
      <c r="AC693" s="18"/>
      <c r="AD693" s="18"/>
      <c r="AE693" s="18"/>
      <c r="AF693" s="18"/>
      <c r="AG693" s="18"/>
      <c r="AH693" s="18">
        <v>0</v>
      </c>
    </row>
    <row r="694" spans="25:34" x14ac:dyDescent="0.3">
      <c r="Z694" t="s">
        <v>1646</v>
      </c>
      <c r="AA694" t="s">
        <v>1645</v>
      </c>
      <c r="AB694" s="18">
        <v>0</v>
      </c>
      <c r="AC694" s="18"/>
      <c r="AD694" s="18"/>
      <c r="AE694" s="18"/>
      <c r="AF694" s="18"/>
      <c r="AG694" s="18"/>
      <c r="AH694" s="18">
        <v>0</v>
      </c>
    </row>
    <row r="695" spans="25:34" x14ac:dyDescent="0.3">
      <c r="Z695" s="57">
        <v>45099</v>
      </c>
      <c r="AA695" t="s">
        <v>1650</v>
      </c>
      <c r="AB695" s="18">
        <v>0</v>
      </c>
      <c r="AC695" s="18"/>
      <c r="AD695" s="18"/>
      <c r="AE695" s="18"/>
      <c r="AF695" s="18"/>
      <c r="AG695" s="18"/>
      <c r="AH695" s="18">
        <v>0</v>
      </c>
    </row>
    <row r="696" spans="25:34" x14ac:dyDescent="0.3">
      <c r="Z696" t="s">
        <v>1664</v>
      </c>
      <c r="AA696" t="s">
        <v>1663</v>
      </c>
      <c r="AB696" s="18">
        <v>0</v>
      </c>
      <c r="AC696" s="18"/>
      <c r="AD696" s="18"/>
      <c r="AE696" s="18"/>
      <c r="AF696" s="18"/>
      <c r="AG696" s="18"/>
      <c r="AH696" s="18">
        <v>0</v>
      </c>
    </row>
    <row r="697" spans="25:34" x14ac:dyDescent="0.3">
      <c r="Y697">
        <v>7</v>
      </c>
      <c r="Z697" s="57">
        <v>45110</v>
      </c>
      <c r="AA697" t="s">
        <v>1708</v>
      </c>
      <c r="AB697" s="18">
        <v>0</v>
      </c>
      <c r="AC697" s="18"/>
      <c r="AD697" s="18"/>
      <c r="AE697" s="18"/>
      <c r="AF697" s="18"/>
      <c r="AG697" s="18"/>
      <c r="AH697" s="18">
        <v>0</v>
      </c>
    </row>
    <row r="698" spans="25:34" x14ac:dyDescent="0.3">
      <c r="AA698" t="s">
        <v>1710</v>
      </c>
      <c r="AB698" s="18">
        <v>0</v>
      </c>
      <c r="AC698" s="18"/>
      <c r="AD698" s="18"/>
      <c r="AE698" s="18"/>
      <c r="AF698" s="18"/>
      <c r="AG698" s="18"/>
      <c r="AH698" s="18">
        <v>0</v>
      </c>
    </row>
    <row r="699" spans="25:34" x14ac:dyDescent="0.3">
      <c r="Z699" s="57">
        <v>45117</v>
      </c>
      <c r="AA699" t="s">
        <v>1718</v>
      </c>
      <c r="AB699" s="18">
        <v>0</v>
      </c>
      <c r="AC699" s="18"/>
      <c r="AD699" s="18"/>
      <c r="AE699" s="18"/>
      <c r="AF699" s="18"/>
      <c r="AG699" s="18"/>
      <c r="AH699" s="18">
        <v>0</v>
      </c>
    </row>
    <row r="700" spans="25:34" x14ac:dyDescent="0.3">
      <c r="Z700" t="s">
        <v>1722</v>
      </c>
      <c r="AA700" t="s">
        <v>1721</v>
      </c>
      <c r="AB700" s="18">
        <v>0</v>
      </c>
      <c r="AC700" s="18"/>
      <c r="AD700" s="18"/>
      <c r="AE700" s="18"/>
      <c r="AF700" s="18"/>
      <c r="AG700" s="18"/>
      <c r="AH700" s="18">
        <v>0</v>
      </c>
    </row>
    <row r="701" spans="25:34" x14ac:dyDescent="0.3">
      <c r="Z701" s="57">
        <v>45131</v>
      </c>
      <c r="AA701" t="s">
        <v>1730</v>
      </c>
      <c r="AB701" s="18">
        <v>0</v>
      </c>
      <c r="AC701" s="18"/>
      <c r="AD701" s="18"/>
      <c r="AE701" s="18"/>
      <c r="AF701" s="18"/>
      <c r="AG701" s="18"/>
      <c r="AH701" s="18">
        <v>0</v>
      </c>
    </row>
    <row r="702" spans="25:34" x14ac:dyDescent="0.3">
      <c r="Y702">
        <v>8</v>
      </c>
      <c r="Z702" s="57">
        <v>45139</v>
      </c>
      <c r="AA702" t="s">
        <v>1792</v>
      </c>
      <c r="AB702" s="18">
        <v>0</v>
      </c>
      <c r="AC702" s="18"/>
      <c r="AD702" s="18"/>
      <c r="AE702" s="18"/>
      <c r="AF702" s="18"/>
      <c r="AG702" s="18"/>
      <c r="AH702" s="18">
        <v>0</v>
      </c>
    </row>
    <row r="703" spans="25:34" x14ac:dyDescent="0.3">
      <c r="Z703" s="57">
        <v>45145</v>
      </c>
      <c r="AA703" t="s">
        <v>1808</v>
      </c>
      <c r="AB703" s="18">
        <v>0</v>
      </c>
      <c r="AC703" s="18"/>
      <c r="AD703" s="18"/>
      <c r="AE703" s="18"/>
      <c r="AF703" s="18"/>
      <c r="AG703" s="18"/>
      <c r="AH703" s="18">
        <v>0</v>
      </c>
    </row>
    <row r="704" spans="25:34" x14ac:dyDescent="0.3">
      <c r="Z704" s="57">
        <v>45152</v>
      </c>
      <c r="AA704" t="s">
        <v>1811</v>
      </c>
      <c r="AB704" s="18">
        <v>0</v>
      </c>
      <c r="AC704" s="18"/>
      <c r="AD704" s="18"/>
      <c r="AE704" s="18"/>
      <c r="AF704" s="18"/>
      <c r="AG704" s="18"/>
      <c r="AH704" s="18">
        <v>0</v>
      </c>
    </row>
    <row r="705" spans="23:34" x14ac:dyDescent="0.3">
      <c r="Z705" s="57">
        <v>45154</v>
      </c>
      <c r="AA705" t="s">
        <v>1817</v>
      </c>
      <c r="AB705" s="18">
        <v>0</v>
      </c>
      <c r="AC705" s="18"/>
      <c r="AD705" s="18"/>
      <c r="AE705" s="18"/>
      <c r="AF705" s="18"/>
      <c r="AG705" s="18"/>
      <c r="AH705" s="18">
        <v>0</v>
      </c>
    </row>
    <row r="706" spans="23:34" x14ac:dyDescent="0.3">
      <c r="Z706" s="57">
        <v>45161</v>
      </c>
      <c r="AA706" t="s">
        <v>1828</v>
      </c>
      <c r="AB706" s="18">
        <v>0</v>
      </c>
      <c r="AC706" s="18"/>
      <c r="AD706" s="18"/>
      <c r="AE706" s="18"/>
      <c r="AF706" s="18"/>
      <c r="AG706" s="18"/>
      <c r="AH706" s="18">
        <v>0</v>
      </c>
    </row>
    <row r="707" spans="23:34" x14ac:dyDescent="0.3">
      <c r="Z707" s="57">
        <v>45162</v>
      </c>
      <c r="AA707" t="s">
        <v>1829</v>
      </c>
      <c r="AB707" s="18">
        <v>0</v>
      </c>
      <c r="AC707" s="18"/>
      <c r="AD707" s="18"/>
      <c r="AE707" s="18"/>
      <c r="AF707" s="18"/>
      <c r="AG707" s="18"/>
      <c r="AH707" s="18">
        <v>0</v>
      </c>
    </row>
    <row r="708" spans="23:34" x14ac:dyDescent="0.3">
      <c r="Z708" s="57">
        <v>45166</v>
      </c>
      <c r="AA708" t="s">
        <v>1833</v>
      </c>
      <c r="AB708" s="18">
        <v>0</v>
      </c>
      <c r="AC708" s="18"/>
      <c r="AD708" s="18"/>
      <c r="AE708" s="18"/>
      <c r="AF708" s="18"/>
      <c r="AG708" s="18"/>
      <c r="AH708" s="18">
        <v>0</v>
      </c>
    </row>
    <row r="709" spans="23:34" x14ac:dyDescent="0.3">
      <c r="Y709">
        <v>9</v>
      </c>
      <c r="Z709" t="s">
        <v>1879</v>
      </c>
      <c r="AA709" t="s">
        <v>1880</v>
      </c>
      <c r="AB709" s="18">
        <v>0</v>
      </c>
      <c r="AC709" s="18"/>
      <c r="AD709" s="18"/>
      <c r="AE709" s="18"/>
      <c r="AF709" s="18"/>
      <c r="AG709" s="18"/>
      <c r="AH709" s="18">
        <v>0</v>
      </c>
    </row>
    <row r="710" spans="23:34" x14ac:dyDescent="0.3">
      <c r="Z710" s="57">
        <v>45174</v>
      </c>
      <c r="AA710" t="s">
        <v>1885</v>
      </c>
      <c r="AB710" s="18">
        <v>0</v>
      </c>
      <c r="AC710" s="18"/>
      <c r="AD710" s="18"/>
      <c r="AE710" s="18"/>
      <c r="AF710" s="18"/>
      <c r="AG710" s="18"/>
      <c r="AH710" s="18">
        <v>0</v>
      </c>
    </row>
    <row r="711" spans="23:34" x14ac:dyDescent="0.3">
      <c r="Z711" s="57">
        <v>45181</v>
      </c>
      <c r="AA711" t="s">
        <v>1898</v>
      </c>
      <c r="AB711" s="18">
        <v>3773.3</v>
      </c>
      <c r="AC711" s="18"/>
      <c r="AD711" s="18"/>
      <c r="AE711" s="18"/>
      <c r="AF711" s="18"/>
      <c r="AG711" s="18"/>
      <c r="AH711" s="18">
        <v>3773.3</v>
      </c>
    </row>
    <row r="712" spans="23:34" x14ac:dyDescent="0.3">
      <c r="Z712" s="57">
        <v>45195</v>
      </c>
      <c r="AA712" t="s">
        <v>1920</v>
      </c>
      <c r="AB712" s="18">
        <v>1235</v>
      </c>
      <c r="AC712" s="18"/>
      <c r="AD712" s="18"/>
      <c r="AE712" s="18"/>
      <c r="AF712" s="18"/>
      <c r="AG712" s="18"/>
      <c r="AH712" s="18">
        <v>1235</v>
      </c>
    </row>
    <row r="713" spans="23:34" x14ac:dyDescent="0.3">
      <c r="Z713" s="57">
        <v>45198</v>
      </c>
      <c r="AA713" t="s">
        <v>1925</v>
      </c>
      <c r="AB713" s="18">
        <v>250</v>
      </c>
      <c r="AC713" s="18"/>
      <c r="AD713" s="18"/>
      <c r="AE713" s="18"/>
      <c r="AF713" s="18"/>
      <c r="AG713" s="18"/>
      <c r="AH713" s="18">
        <v>250</v>
      </c>
    </row>
    <row r="714" spans="23:34" x14ac:dyDescent="0.3">
      <c r="Y714">
        <v>10</v>
      </c>
      <c r="Z714" t="s">
        <v>2006</v>
      </c>
      <c r="AA714" t="s">
        <v>2009</v>
      </c>
      <c r="AB714" s="18">
        <v>2045</v>
      </c>
      <c r="AC714" s="18"/>
      <c r="AD714" s="18"/>
      <c r="AE714" s="18"/>
      <c r="AF714" s="18"/>
      <c r="AG714" s="18"/>
      <c r="AH714" s="18">
        <v>2045</v>
      </c>
    </row>
    <row r="715" spans="23:34" x14ac:dyDescent="0.3">
      <c r="Z715" s="57">
        <v>45226</v>
      </c>
      <c r="AA715" t="s">
        <v>2036</v>
      </c>
      <c r="AB715" s="18">
        <v>695</v>
      </c>
      <c r="AC715" s="18"/>
      <c r="AD715" s="18"/>
      <c r="AE715" s="18"/>
      <c r="AF715" s="18"/>
      <c r="AG715" s="18"/>
      <c r="AH715" s="18">
        <v>695</v>
      </c>
    </row>
    <row r="716" spans="23:34" x14ac:dyDescent="0.3">
      <c r="Y716">
        <v>11</v>
      </c>
      <c r="Z716" s="57">
        <v>45234</v>
      </c>
      <c r="AA716" t="s">
        <v>2100</v>
      </c>
      <c r="AB716" s="18">
        <v>3078</v>
      </c>
      <c r="AC716" s="18"/>
      <c r="AD716" s="18"/>
      <c r="AE716" s="18"/>
      <c r="AF716" s="18"/>
      <c r="AG716" s="18"/>
      <c r="AH716" s="18">
        <v>3078</v>
      </c>
    </row>
    <row r="717" spans="23:34" x14ac:dyDescent="0.3">
      <c r="Y717">
        <v>4</v>
      </c>
      <c r="Z717" s="57">
        <v>45019</v>
      </c>
      <c r="AA717" t="s">
        <v>1395</v>
      </c>
      <c r="AB717" s="18">
        <v>0</v>
      </c>
      <c r="AC717" s="18"/>
      <c r="AD717" s="18"/>
      <c r="AE717" s="18"/>
      <c r="AF717" s="18"/>
      <c r="AG717" s="18"/>
      <c r="AH717" s="18">
        <v>0</v>
      </c>
    </row>
    <row r="718" spans="23:34" x14ac:dyDescent="0.3">
      <c r="Z718" t="s">
        <v>1418</v>
      </c>
      <c r="AA718" t="s">
        <v>1417</v>
      </c>
      <c r="AB718" s="18">
        <v>0</v>
      </c>
      <c r="AC718" s="18"/>
      <c r="AD718" s="18"/>
      <c r="AE718" s="18"/>
      <c r="AF718" s="18"/>
      <c r="AG718" s="18"/>
      <c r="AH718" s="18">
        <v>0</v>
      </c>
    </row>
    <row r="719" spans="23:34" x14ac:dyDescent="0.3">
      <c r="W719" s="36" t="s">
        <v>1233</v>
      </c>
      <c r="X719" s="36"/>
      <c r="Y719" s="36"/>
      <c r="Z719" s="36"/>
      <c r="AA719" s="36"/>
      <c r="AB719" s="37">
        <v>11076.3</v>
      </c>
      <c r="AC719" s="37"/>
      <c r="AD719" s="37"/>
      <c r="AE719" s="37"/>
      <c r="AF719" s="37"/>
      <c r="AG719" s="37"/>
      <c r="AH719" s="37">
        <v>11076.3</v>
      </c>
    </row>
    <row r="720" spans="23:34" x14ac:dyDescent="0.3">
      <c r="W720" t="s">
        <v>1258</v>
      </c>
      <c r="X720">
        <v>2023</v>
      </c>
      <c r="Y720">
        <v>2</v>
      </c>
      <c r="Z720" s="57">
        <v>44972</v>
      </c>
      <c r="AA720" t="s">
        <v>1263</v>
      </c>
      <c r="AB720" s="18">
        <v>0</v>
      </c>
      <c r="AC720" s="18"/>
      <c r="AD720" s="18"/>
      <c r="AE720" s="18"/>
      <c r="AF720" s="18"/>
      <c r="AG720" s="18"/>
      <c r="AH720" s="18">
        <v>0</v>
      </c>
    </row>
    <row r="721" spans="23:34" x14ac:dyDescent="0.3">
      <c r="Y721">
        <v>4</v>
      </c>
      <c r="Z721" t="s">
        <v>1399</v>
      </c>
      <c r="AA721" t="s">
        <v>1396</v>
      </c>
      <c r="AB721" s="18">
        <v>0</v>
      </c>
      <c r="AC721" s="18"/>
      <c r="AD721" s="18"/>
      <c r="AE721" s="18"/>
      <c r="AF721" s="18"/>
      <c r="AG721" s="18"/>
      <c r="AH721" s="18">
        <v>0</v>
      </c>
    </row>
    <row r="722" spans="23:34" x14ac:dyDescent="0.3">
      <c r="W722" s="36" t="s">
        <v>1388</v>
      </c>
      <c r="X722" s="36"/>
      <c r="Y722" s="36"/>
      <c r="Z722" s="36"/>
      <c r="AA722" s="36"/>
      <c r="AB722" s="37">
        <v>0</v>
      </c>
      <c r="AC722" s="37"/>
      <c r="AD722" s="37"/>
      <c r="AE722" s="37"/>
      <c r="AF722" s="37"/>
      <c r="AG722" s="37"/>
      <c r="AH722" s="37">
        <v>0</v>
      </c>
    </row>
    <row r="723" spans="23:34" x14ac:dyDescent="0.3">
      <c r="W723" t="s">
        <v>1305</v>
      </c>
      <c r="X723">
        <v>2023</v>
      </c>
      <c r="Y723">
        <v>3</v>
      </c>
      <c r="Z723" t="s">
        <v>1304</v>
      </c>
      <c r="AA723" t="s">
        <v>1307</v>
      </c>
      <c r="AB723" s="18">
        <v>0</v>
      </c>
      <c r="AC723" s="18"/>
      <c r="AD723" s="18"/>
      <c r="AE723" s="18"/>
      <c r="AF723" s="18"/>
      <c r="AG723" s="18"/>
      <c r="AH723" s="18">
        <v>0</v>
      </c>
    </row>
    <row r="724" spans="23:34" x14ac:dyDescent="0.3">
      <c r="Z724" t="s">
        <v>1318</v>
      </c>
      <c r="AA724" t="s">
        <v>1314</v>
      </c>
      <c r="AB724" s="18">
        <v>0</v>
      </c>
      <c r="AC724" s="18"/>
      <c r="AD724" s="18"/>
      <c r="AE724" s="18"/>
      <c r="AF724" s="18"/>
      <c r="AG724" s="18"/>
      <c r="AH724" s="18">
        <v>0</v>
      </c>
    </row>
    <row r="725" spans="23:34" x14ac:dyDescent="0.3">
      <c r="W725" s="36" t="s">
        <v>1389</v>
      </c>
      <c r="X725" s="36"/>
      <c r="Y725" s="36"/>
      <c r="Z725" s="36"/>
      <c r="AA725" s="36"/>
      <c r="AB725" s="37">
        <v>0</v>
      </c>
      <c r="AC725" s="37"/>
      <c r="AD725" s="37"/>
      <c r="AE725" s="37"/>
      <c r="AF725" s="37"/>
      <c r="AG725" s="37"/>
      <c r="AH725" s="37">
        <v>0</v>
      </c>
    </row>
    <row r="726" spans="23:34" x14ac:dyDescent="0.3">
      <c r="W726" t="s">
        <v>1310</v>
      </c>
      <c r="X726">
        <v>2023</v>
      </c>
      <c r="Y726">
        <v>5</v>
      </c>
      <c r="Z726" t="s">
        <v>1431</v>
      </c>
      <c r="AA726" t="s">
        <v>1430</v>
      </c>
      <c r="AB726" s="18"/>
      <c r="AC726" s="18"/>
      <c r="AD726" s="18"/>
      <c r="AE726" s="18"/>
      <c r="AF726" s="18"/>
      <c r="AG726" s="18">
        <v>0</v>
      </c>
      <c r="AH726" s="18">
        <v>0</v>
      </c>
    </row>
    <row r="727" spans="23:34" x14ac:dyDescent="0.3">
      <c r="Y727">
        <v>6</v>
      </c>
      <c r="Z727" s="57">
        <v>45048</v>
      </c>
      <c r="AA727" t="s">
        <v>1530</v>
      </c>
      <c r="AB727" s="18"/>
      <c r="AC727" s="18"/>
      <c r="AD727" s="18"/>
      <c r="AE727" s="18"/>
      <c r="AF727" s="18"/>
      <c r="AG727" s="18">
        <v>0</v>
      </c>
      <c r="AH727" s="18">
        <v>0</v>
      </c>
    </row>
    <row r="728" spans="23:34" x14ac:dyDescent="0.3">
      <c r="Z728" s="57">
        <v>45061</v>
      </c>
      <c r="AA728" t="s">
        <v>1545</v>
      </c>
      <c r="AB728" s="18"/>
      <c r="AC728" s="18"/>
      <c r="AD728" s="18"/>
      <c r="AE728" s="18"/>
      <c r="AF728" s="18"/>
      <c r="AG728" s="18">
        <v>0</v>
      </c>
      <c r="AH728" s="18">
        <v>0</v>
      </c>
    </row>
    <row r="729" spans="23:34" x14ac:dyDescent="0.3">
      <c r="Y729">
        <v>7</v>
      </c>
      <c r="Z729" t="s">
        <v>1641</v>
      </c>
      <c r="AA729" t="s">
        <v>1642</v>
      </c>
      <c r="AB729" s="18"/>
      <c r="AC729" s="18"/>
      <c r="AD729" s="18"/>
      <c r="AE729" s="18"/>
      <c r="AF729" s="18"/>
      <c r="AG729" s="18">
        <v>0</v>
      </c>
      <c r="AH729" s="18">
        <v>0</v>
      </c>
    </row>
    <row r="730" spans="23:34" x14ac:dyDescent="0.3">
      <c r="Z730" s="57">
        <v>45098</v>
      </c>
      <c r="AA730" t="s">
        <v>1648</v>
      </c>
      <c r="AB730" s="18"/>
      <c r="AC730" s="18"/>
      <c r="AD730" s="18"/>
      <c r="AE730" s="18"/>
      <c r="AF730" s="18"/>
      <c r="AG730" s="18">
        <v>0</v>
      </c>
      <c r="AH730" s="18">
        <v>0</v>
      </c>
    </row>
    <row r="731" spans="23:34" x14ac:dyDescent="0.3">
      <c r="Y731">
        <v>8</v>
      </c>
      <c r="Z731" s="57">
        <v>45118</v>
      </c>
      <c r="AA731" t="s">
        <v>1720</v>
      </c>
      <c r="AB731" s="18"/>
      <c r="AC731" s="18"/>
      <c r="AD731" s="18"/>
      <c r="AE731" s="18"/>
      <c r="AF731" s="18"/>
      <c r="AG731" s="18">
        <v>0</v>
      </c>
      <c r="AH731" s="18">
        <v>0</v>
      </c>
    </row>
    <row r="732" spans="23:34" x14ac:dyDescent="0.3">
      <c r="Z732" s="57">
        <v>45128</v>
      </c>
      <c r="AA732" t="s">
        <v>1729</v>
      </c>
      <c r="AB732" s="18"/>
      <c r="AC732" s="18"/>
      <c r="AD732" s="18"/>
      <c r="AE732" s="18"/>
      <c r="AF732" s="18"/>
      <c r="AG732" s="18">
        <v>0</v>
      </c>
      <c r="AH732" s="18">
        <v>0</v>
      </c>
    </row>
    <row r="733" spans="23:34" x14ac:dyDescent="0.3">
      <c r="Y733">
        <v>9</v>
      </c>
      <c r="Z733" s="57">
        <v>45146</v>
      </c>
      <c r="AA733" t="s">
        <v>1809</v>
      </c>
      <c r="AB733" s="18"/>
      <c r="AC733" s="18"/>
      <c r="AD733" s="18"/>
      <c r="AE733" s="18"/>
      <c r="AF733" s="18"/>
      <c r="AG733" s="18">
        <v>0</v>
      </c>
      <c r="AH733" s="18">
        <v>0</v>
      </c>
    </row>
    <row r="734" spans="23:34" x14ac:dyDescent="0.3">
      <c r="Z734" s="57">
        <v>45160</v>
      </c>
      <c r="AA734" t="s">
        <v>1824</v>
      </c>
      <c r="AB734" s="18"/>
      <c r="AC734" s="18"/>
      <c r="AD734" s="18"/>
      <c r="AE734" s="18"/>
      <c r="AF734" s="18"/>
      <c r="AG734" s="18">
        <v>0</v>
      </c>
      <c r="AH734" s="18">
        <v>0</v>
      </c>
    </row>
    <row r="735" spans="23:34" x14ac:dyDescent="0.3">
      <c r="Y735">
        <v>10</v>
      </c>
      <c r="Z735" s="57">
        <v>45191</v>
      </c>
      <c r="AA735" t="s">
        <v>1914</v>
      </c>
      <c r="AB735" s="18"/>
      <c r="AC735" s="18"/>
      <c r="AD735" s="18"/>
      <c r="AE735" s="18"/>
      <c r="AF735" s="18"/>
      <c r="AG735" s="18">
        <v>0</v>
      </c>
      <c r="AH735" s="18">
        <v>0</v>
      </c>
    </row>
    <row r="736" spans="23:34" x14ac:dyDescent="0.3">
      <c r="Y736">
        <v>11</v>
      </c>
      <c r="Z736" s="57">
        <v>45229</v>
      </c>
      <c r="AA736" t="s">
        <v>2039</v>
      </c>
      <c r="AB736" s="18"/>
      <c r="AC736" s="18"/>
      <c r="AD736" s="18"/>
      <c r="AE736" s="18"/>
      <c r="AF736" s="18"/>
      <c r="AG736" s="18">
        <v>0</v>
      </c>
      <c r="AH736" s="18">
        <v>0</v>
      </c>
    </row>
    <row r="737" spans="23:34" x14ac:dyDescent="0.3">
      <c r="Y737">
        <v>4</v>
      </c>
      <c r="Z737" t="s">
        <v>1309</v>
      </c>
      <c r="AA737" t="s">
        <v>1313</v>
      </c>
      <c r="AB737" s="18"/>
      <c r="AC737" s="18"/>
      <c r="AD737" s="18"/>
      <c r="AE737" s="18"/>
      <c r="AF737" s="18"/>
      <c r="AG737" s="18">
        <v>0</v>
      </c>
      <c r="AH737" s="18">
        <v>0</v>
      </c>
    </row>
    <row r="738" spans="23:34" x14ac:dyDescent="0.3">
      <c r="Z738" t="s">
        <v>1346</v>
      </c>
      <c r="AA738" t="s">
        <v>1345</v>
      </c>
      <c r="AB738" s="18"/>
      <c r="AC738" s="18"/>
      <c r="AD738" s="18"/>
      <c r="AE738" s="18"/>
      <c r="AF738" s="18"/>
      <c r="AG738" s="18">
        <v>0</v>
      </c>
      <c r="AH738" s="18">
        <v>0</v>
      </c>
    </row>
    <row r="739" spans="23:34" x14ac:dyDescent="0.3">
      <c r="Z739" t="s">
        <v>1363</v>
      </c>
      <c r="AA739" t="s">
        <v>1362</v>
      </c>
      <c r="AB739" s="18"/>
      <c r="AC739" s="18"/>
      <c r="AD739" s="18"/>
      <c r="AE739" s="18"/>
      <c r="AF739" s="18"/>
      <c r="AG739" s="18">
        <v>0</v>
      </c>
      <c r="AH739" s="18">
        <v>0</v>
      </c>
    </row>
    <row r="740" spans="23:34" x14ac:dyDescent="0.3">
      <c r="X740">
        <v>2024</v>
      </c>
      <c r="Y740">
        <v>1</v>
      </c>
      <c r="Z740" s="57">
        <v>45280</v>
      </c>
      <c r="AA740" t="s">
        <v>2189</v>
      </c>
      <c r="AB740" s="18"/>
      <c r="AC740" s="18"/>
      <c r="AD740" s="18"/>
      <c r="AE740" s="18"/>
      <c r="AF740" s="18"/>
      <c r="AG740" s="18">
        <v>11904.5</v>
      </c>
      <c r="AH740" s="18">
        <v>11904.5</v>
      </c>
    </row>
    <row r="741" spans="23:34" x14ac:dyDescent="0.3">
      <c r="W741" s="36" t="s">
        <v>1390</v>
      </c>
      <c r="X741" s="36"/>
      <c r="Y741" s="36"/>
      <c r="Z741" s="36"/>
      <c r="AA741" s="36"/>
      <c r="AB741" s="37"/>
      <c r="AC741" s="37"/>
      <c r="AD741" s="37"/>
      <c r="AE741" s="37"/>
      <c r="AF741" s="37"/>
      <c r="AG741" s="37">
        <v>11904.5</v>
      </c>
      <c r="AH741" s="37">
        <v>11904.5</v>
      </c>
    </row>
    <row r="742" spans="23:34" x14ac:dyDescent="0.3">
      <c r="W742" t="s">
        <v>1421</v>
      </c>
      <c r="X742">
        <v>2023</v>
      </c>
      <c r="Y742">
        <v>5</v>
      </c>
      <c r="Z742" s="57">
        <v>45063</v>
      </c>
      <c r="AA742" t="s">
        <v>1549</v>
      </c>
      <c r="AB742" s="18">
        <v>0</v>
      </c>
      <c r="AC742" s="18"/>
      <c r="AD742" s="18"/>
      <c r="AE742" s="18"/>
      <c r="AF742" s="18"/>
      <c r="AG742" s="18"/>
      <c r="AH742" s="18">
        <v>0</v>
      </c>
    </row>
    <row r="743" spans="23:34" x14ac:dyDescent="0.3">
      <c r="Z743" s="57">
        <v>45071</v>
      </c>
      <c r="AA743" t="s">
        <v>1559</v>
      </c>
      <c r="AB743" s="18">
        <v>0</v>
      </c>
      <c r="AC743" s="18"/>
      <c r="AD743" s="18"/>
      <c r="AE743" s="18"/>
      <c r="AF743" s="18"/>
      <c r="AG743" s="18"/>
      <c r="AH743" s="18">
        <v>0</v>
      </c>
    </row>
    <row r="744" spans="23:34" x14ac:dyDescent="0.3">
      <c r="Y744">
        <v>6</v>
      </c>
      <c r="Z744" t="s">
        <v>1608</v>
      </c>
      <c r="AA744" t="s">
        <v>1607</v>
      </c>
      <c r="AB744" s="18">
        <v>0</v>
      </c>
      <c r="AC744" s="18"/>
      <c r="AD744" s="18"/>
      <c r="AE744" s="18"/>
      <c r="AF744" s="18"/>
      <c r="AG744" s="18"/>
      <c r="AH744" s="18">
        <v>0</v>
      </c>
    </row>
    <row r="745" spans="23:34" x14ac:dyDescent="0.3">
      <c r="Z745" s="57">
        <v>45092</v>
      </c>
      <c r="AA745" t="s">
        <v>1630</v>
      </c>
      <c r="AB745" s="18">
        <v>0</v>
      </c>
      <c r="AC745" s="18"/>
      <c r="AD745" s="18"/>
      <c r="AE745" s="18"/>
      <c r="AF745" s="18"/>
      <c r="AG745" s="18"/>
      <c r="AH745" s="18">
        <v>0</v>
      </c>
    </row>
    <row r="746" spans="23:34" x14ac:dyDescent="0.3">
      <c r="Y746">
        <v>7</v>
      </c>
      <c r="Z746" s="57">
        <v>45132</v>
      </c>
      <c r="AA746" t="s">
        <v>1731</v>
      </c>
      <c r="AB746" s="18">
        <v>0</v>
      </c>
      <c r="AC746" s="18"/>
      <c r="AD746" s="18"/>
      <c r="AE746" s="18"/>
      <c r="AF746" s="18"/>
      <c r="AG746" s="18"/>
      <c r="AH746" s="18">
        <v>0</v>
      </c>
    </row>
    <row r="747" spans="23:34" x14ac:dyDescent="0.3">
      <c r="Y747">
        <v>4</v>
      </c>
      <c r="Z747" t="s">
        <v>1427</v>
      </c>
      <c r="AA747" t="s">
        <v>1423</v>
      </c>
      <c r="AB747" s="18">
        <v>0</v>
      </c>
      <c r="AC747" s="18"/>
      <c r="AD747" s="18"/>
      <c r="AE747" s="18"/>
      <c r="AF747" s="18"/>
      <c r="AG747" s="18"/>
      <c r="AH747" s="18">
        <v>0</v>
      </c>
    </row>
    <row r="748" spans="23:34" x14ac:dyDescent="0.3">
      <c r="W748" s="36" t="s">
        <v>1437</v>
      </c>
      <c r="X748" s="36"/>
      <c r="Y748" s="36"/>
      <c r="Z748" s="36"/>
      <c r="AA748" s="36"/>
      <c r="AB748" s="37">
        <v>0</v>
      </c>
      <c r="AC748" s="37"/>
      <c r="AD748" s="37"/>
      <c r="AE748" s="37"/>
      <c r="AF748" s="37"/>
      <c r="AG748" s="37"/>
      <c r="AH748" s="37">
        <v>0</v>
      </c>
    </row>
    <row r="749" spans="23:34" x14ac:dyDescent="0.3">
      <c r="W749" t="s">
        <v>1454</v>
      </c>
      <c r="X749">
        <v>2021</v>
      </c>
      <c r="Y749">
        <v>1</v>
      </c>
      <c r="Z749" s="57">
        <v>44200</v>
      </c>
      <c r="AA749" t="s">
        <v>227</v>
      </c>
      <c r="AB749" s="18">
        <v>0</v>
      </c>
      <c r="AC749" s="18"/>
      <c r="AD749" s="18"/>
      <c r="AE749" s="18"/>
      <c r="AF749" s="18"/>
      <c r="AG749" s="18"/>
      <c r="AH749" s="18">
        <v>0</v>
      </c>
    </row>
    <row r="750" spans="23:34" x14ac:dyDescent="0.3">
      <c r="Z750" s="57">
        <v>44204</v>
      </c>
      <c r="AA750" t="s">
        <v>243</v>
      </c>
      <c r="AB750" s="18">
        <v>0</v>
      </c>
      <c r="AC750" s="18"/>
      <c r="AD750" s="18"/>
      <c r="AE750" s="18"/>
      <c r="AF750" s="18"/>
      <c r="AG750" s="18"/>
      <c r="AH750" s="18">
        <v>0</v>
      </c>
    </row>
    <row r="751" spans="23:34" x14ac:dyDescent="0.3">
      <c r="Z751" s="57">
        <v>44214</v>
      </c>
      <c r="AA751" t="s">
        <v>247</v>
      </c>
      <c r="AB751" s="18">
        <v>0</v>
      </c>
      <c r="AC751" s="18"/>
      <c r="AD751" s="18"/>
      <c r="AE751" s="18"/>
      <c r="AF751" s="18"/>
      <c r="AG751" s="18"/>
      <c r="AH751" s="18">
        <v>0</v>
      </c>
    </row>
    <row r="752" spans="23:34" x14ac:dyDescent="0.3">
      <c r="Y752">
        <v>2</v>
      </c>
      <c r="Z752" s="57">
        <v>44236</v>
      </c>
      <c r="AA752" t="s">
        <v>266</v>
      </c>
      <c r="AB752" s="18">
        <v>0</v>
      </c>
      <c r="AC752" s="18"/>
      <c r="AD752" s="18"/>
      <c r="AE752" s="18"/>
      <c r="AF752" s="18"/>
      <c r="AG752" s="18"/>
      <c r="AH752" s="18">
        <v>0</v>
      </c>
    </row>
    <row r="753" spans="23:34" x14ac:dyDescent="0.3">
      <c r="Y753">
        <v>5</v>
      </c>
      <c r="Z753" s="57">
        <v>44341</v>
      </c>
      <c r="AA753" t="s">
        <v>318</v>
      </c>
      <c r="AB753" s="18">
        <v>0</v>
      </c>
      <c r="AC753" s="18"/>
      <c r="AD753" s="18"/>
      <c r="AE753" s="18"/>
      <c r="AF753" s="18"/>
      <c r="AG753" s="18"/>
      <c r="AH753" s="18">
        <v>0</v>
      </c>
    </row>
    <row r="754" spans="23:34" x14ac:dyDescent="0.3">
      <c r="Y754">
        <v>10</v>
      </c>
      <c r="Z754" s="57">
        <v>44480</v>
      </c>
      <c r="AA754" t="s">
        <v>411</v>
      </c>
      <c r="AB754" s="18">
        <v>0</v>
      </c>
      <c r="AC754" s="18"/>
      <c r="AD754" s="18"/>
      <c r="AE754" s="18"/>
      <c r="AF754" s="18"/>
      <c r="AG754" s="18"/>
      <c r="AH754" s="18">
        <v>0</v>
      </c>
    </row>
    <row r="755" spans="23:34" x14ac:dyDescent="0.3">
      <c r="Y755">
        <v>12</v>
      </c>
      <c r="Z755" s="57">
        <v>44540</v>
      </c>
      <c r="AA755" t="s">
        <v>503</v>
      </c>
      <c r="AB755" s="18">
        <v>0</v>
      </c>
      <c r="AC755" s="18"/>
      <c r="AD755" s="18"/>
      <c r="AE755" s="18"/>
      <c r="AF755" s="18"/>
      <c r="AG755" s="18"/>
      <c r="AH755" s="18">
        <v>0</v>
      </c>
    </row>
    <row r="756" spans="23:34" x14ac:dyDescent="0.3">
      <c r="X756">
        <v>2023</v>
      </c>
      <c r="Y756">
        <v>5</v>
      </c>
      <c r="Z756" s="57">
        <v>45063</v>
      </c>
      <c r="AA756" t="s">
        <v>1552</v>
      </c>
      <c r="AB756" s="18">
        <v>0</v>
      </c>
      <c r="AC756" s="18"/>
      <c r="AD756" s="18"/>
      <c r="AE756" s="18"/>
      <c r="AF756" s="18"/>
      <c r="AG756" s="18"/>
      <c r="AH756" s="18">
        <v>0</v>
      </c>
    </row>
    <row r="757" spans="23:34" x14ac:dyDescent="0.3">
      <c r="Z757" t="s">
        <v>1553</v>
      </c>
      <c r="AA757" t="s">
        <v>1552</v>
      </c>
      <c r="AB757" s="18">
        <v>0</v>
      </c>
      <c r="AC757" s="18"/>
      <c r="AD757" s="18"/>
      <c r="AE757" s="18"/>
      <c r="AF757" s="18"/>
      <c r="AG757" s="18"/>
      <c r="AH757" s="18">
        <v>0</v>
      </c>
    </row>
    <row r="758" spans="23:34" x14ac:dyDescent="0.3">
      <c r="Y758">
        <v>6</v>
      </c>
      <c r="Z758" t="s">
        <v>1637</v>
      </c>
      <c r="AA758" t="s">
        <v>1636</v>
      </c>
      <c r="AB758" s="18">
        <v>0</v>
      </c>
      <c r="AC758" s="18"/>
      <c r="AD758" s="18"/>
      <c r="AE758" s="18"/>
      <c r="AF758" s="18"/>
      <c r="AG758" s="18"/>
      <c r="AH758" s="18">
        <v>0</v>
      </c>
    </row>
    <row r="759" spans="23:34" x14ac:dyDescent="0.3">
      <c r="Z759" t="s">
        <v>1641</v>
      </c>
      <c r="AA759" t="s">
        <v>1636</v>
      </c>
      <c r="AB759" s="18">
        <v>0</v>
      </c>
      <c r="AC759" s="18"/>
      <c r="AD759" s="18"/>
      <c r="AE759" s="18"/>
      <c r="AF759" s="18"/>
      <c r="AG759" s="18"/>
      <c r="AH759" s="18">
        <v>0</v>
      </c>
    </row>
    <row r="760" spans="23:34" x14ac:dyDescent="0.3">
      <c r="Z760" s="57">
        <v>45103</v>
      </c>
      <c r="AA760" t="s">
        <v>1653</v>
      </c>
      <c r="AB760" s="18">
        <v>0</v>
      </c>
      <c r="AC760" s="18"/>
      <c r="AD760" s="18"/>
      <c r="AE760" s="18"/>
      <c r="AF760" s="18"/>
      <c r="AG760" s="18"/>
      <c r="AH760" s="18">
        <v>0</v>
      </c>
    </row>
    <row r="761" spans="23:34" x14ac:dyDescent="0.3">
      <c r="Y761">
        <v>7</v>
      </c>
      <c r="Z761" s="57">
        <v>45138</v>
      </c>
      <c r="AA761" t="s">
        <v>1748</v>
      </c>
      <c r="AB761" s="18">
        <v>0</v>
      </c>
      <c r="AC761" s="18"/>
      <c r="AD761" s="18"/>
      <c r="AE761" s="18"/>
      <c r="AF761" s="18"/>
      <c r="AG761" s="18"/>
      <c r="AH761" s="18">
        <v>0</v>
      </c>
    </row>
    <row r="762" spans="23:34" x14ac:dyDescent="0.3">
      <c r="Y762">
        <v>9</v>
      </c>
      <c r="Z762" t="s">
        <v>1879</v>
      </c>
      <c r="AA762" t="s">
        <v>1881</v>
      </c>
      <c r="AB762" s="18">
        <v>0</v>
      </c>
      <c r="AC762" s="18"/>
      <c r="AD762" s="18"/>
      <c r="AE762" s="18"/>
      <c r="AF762" s="18"/>
      <c r="AG762" s="18"/>
      <c r="AH762" s="18">
        <v>0</v>
      </c>
    </row>
    <row r="763" spans="23:34" x14ac:dyDescent="0.3">
      <c r="Z763" s="57">
        <v>45188</v>
      </c>
      <c r="AA763" t="s">
        <v>1910</v>
      </c>
      <c r="AB763" s="18">
        <v>0</v>
      </c>
      <c r="AC763" s="18"/>
      <c r="AD763" s="18"/>
      <c r="AE763" s="18"/>
      <c r="AF763" s="18"/>
      <c r="AG763" s="18"/>
      <c r="AH763" s="18">
        <v>0</v>
      </c>
    </row>
    <row r="764" spans="23:34" x14ac:dyDescent="0.3">
      <c r="Y764">
        <v>10</v>
      </c>
      <c r="Z764" s="57">
        <v>45202</v>
      </c>
      <c r="AA764" t="s">
        <v>1992</v>
      </c>
      <c r="AB764" s="18">
        <v>0</v>
      </c>
      <c r="AC764" s="18"/>
      <c r="AD764" s="18"/>
      <c r="AE764" s="18"/>
      <c r="AF764" s="18"/>
      <c r="AG764" s="18"/>
      <c r="AH764" s="18">
        <v>0</v>
      </c>
    </row>
    <row r="765" spans="23:34" x14ac:dyDescent="0.3">
      <c r="Y765">
        <v>11</v>
      </c>
      <c r="Z765" s="57">
        <v>45231</v>
      </c>
      <c r="AA765" t="s">
        <v>2097</v>
      </c>
      <c r="AB765" s="18">
        <v>0</v>
      </c>
      <c r="AC765" s="18"/>
      <c r="AD765" s="18"/>
      <c r="AE765" s="18"/>
      <c r="AF765" s="18"/>
      <c r="AG765" s="18"/>
      <c r="AH765" s="18">
        <v>0</v>
      </c>
    </row>
    <row r="766" spans="23:34" x14ac:dyDescent="0.3">
      <c r="Y766">
        <v>4</v>
      </c>
      <c r="Z766" t="s">
        <v>1456</v>
      </c>
      <c r="AA766" t="s">
        <v>1455</v>
      </c>
      <c r="AB766" s="18">
        <v>0</v>
      </c>
      <c r="AC766" s="18"/>
      <c r="AD766" s="18"/>
      <c r="AE766" s="18"/>
      <c r="AF766" s="18"/>
      <c r="AG766" s="18"/>
      <c r="AH766" s="18">
        <v>0</v>
      </c>
    </row>
    <row r="767" spans="23:34" x14ac:dyDescent="0.3">
      <c r="W767" s="36" t="s">
        <v>1529</v>
      </c>
      <c r="X767" s="36"/>
      <c r="Y767" s="36"/>
      <c r="Z767" s="36"/>
      <c r="AA767" s="36"/>
      <c r="AB767" s="37">
        <v>0</v>
      </c>
      <c r="AC767" s="37"/>
      <c r="AD767" s="37"/>
      <c r="AE767" s="37"/>
      <c r="AF767" s="37"/>
      <c r="AG767" s="37"/>
      <c r="AH767" s="37">
        <v>0</v>
      </c>
    </row>
    <row r="768" spans="23:34" x14ac:dyDescent="0.3">
      <c r="W768" t="s">
        <v>1698</v>
      </c>
      <c r="X768">
        <v>2021</v>
      </c>
      <c r="Y768">
        <v>9</v>
      </c>
      <c r="Z768" s="57">
        <v>44440</v>
      </c>
      <c r="AA768" t="s">
        <v>364</v>
      </c>
      <c r="AB768" s="18">
        <v>0</v>
      </c>
      <c r="AC768" s="18"/>
      <c r="AD768" s="18"/>
      <c r="AE768" s="18"/>
      <c r="AF768" s="18"/>
      <c r="AG768" s="18"/>
      <c r="AH768" s="18">
        <v>0</v>
      </c>
    </row>
    <row r="769" spans="23:34" x14ac:dyDescent="0.3">
      <c r="W769" s="36" t="s">
        <v>1790</v>
      </c>
      <c r="X769" s="36"/>
      <c r="Y769" s="36"/>
      <c r="Z769" s="36"/>
      <c r="AA769" s="36"/>
      <c r="AB769" s="37">
        <v>0</v>
      </c>
      <c r="AC769" s="37"/>
      <c r="AD769" s="37"/>
      <c r="AE769" s="37"/>
      <c r="AF769" s="37"/>
      <c r="AG769" s="37"/>
      <c r="AH769" s="37">
        <v>0</v>
      </c>
    </row>
    <row r="770" spans="23:34" x14ac:dyDescent="0.3">
      <c r="W770" t="s">
        <v>1621</v>
      </c>
      <c r="X770">
        <v>2023</v>
      </c>
      <c r="Y770">
        <v>6</v>
      </c>
      <c r="Z770" s="57">
        <v>45085</v>
      </c>
      <c r="AA770" t="s">
        <v>1619</v>
      </c>
      <c r="AB770" s="18">
        <v>0</v>
      </c>
      <c r="AC770" s="18"/>
      <c r="AD770" s="18"/>
      <c r="AE770" s="18"/>
      <c r="AF770" s="18"/>
      <c r="AG770" s="18"/>
      <c r="AH770" s="18">
        <v>0</v>
      </c>
    </row>
    <row r="771" spans="23:34" x14ac:dyDescent="0.3">
      <c r="Y771">
        <v>8</v>
      </c>
      <c r="Z771" s="57">
        <v>45153</v>
      </c>
      <c r="AA771" t="s">
        <v>1812</v>
      </c>
      <c r="AB771" s="18">
        <v>0</v>
      </c>
      <c r="AC771" s="18"/>
      <c r="AD771" s="18"/>
      <c r="AE771" s="18"/>
      <c r="AF771" s="18"/>
      <c r="AG771" s="18"/>
      <c r="AH771" s="18">
        <v>0</v>
      </c>
    </row>
    <row r="772" spans="23:34" x14ac:dyDescent="0.3">
      <c r="W772" s="36" t="s">
        <v>1791</v>
      </c>
      <c r="X772" s="36"/>
      <c r="Y772" s="36"/>
      <c r="Z772" s="36"/>
      <c r="AA772" s="36"/>
      <c r="AB772" s="37">
        <v>0</v>
      </c>
      <c r="AC772" s="37"/>
      <c r="AD772" s="37"/>
      <c r="AE772" s="37"/>
      <c r="AF772" s="37"/>
      <c r="AG772" s="37"/>
      <c r="AH772" s="37">
        <v>0</v>
      </c>
    </row>
    <row r="773" spans="23:34" x14ac:dyDescent="0.3">
      <c r="W773" t="s">
        <v>1703</v>
      </c>
      <c r="X773">
        <v>2023</v>
      </c>
      <c r="Y773">
        <v>9</v>
      </c>
      <c r="Z773" s="57">
        <v>45178</v>
      </c>
      <c r="AA773" t="s">
        <v>1894</v>
      </c>
      <c r="AB773" s="18">
        <v>0</v>
      </c>
      <c r="AC773" s="18"/>
      <c r="AD773" s="18"/>
      <c r="AE773" s="18"/>
      <c r="AF773" s="18"/>
      <c r="AG773" s="18"/>
      <c r="AH773" s="18">
        <v>0</v>
      </c>
    </row>
    <row r="774" spans="23:34" x14ac:dyDescent="0.3">
      <c r="W774" s="36" t="s">
        <v>1987</v>
      </c>
      <c r="X774" s="36"/>
      <c r="Y774" s="36"/>
      <c r="Z774" s="36"/>
      <c r="AA774" s="36"/>
      <c r="AB774" s="37">
        <v>0</v>
      </c>
      <c r="AC774" s="37"/>
      <c r="AD774" s="37"/>
      <c r="AE774" s="37"/>
      <c r="AF774" s="37"/>
      <c r="AG774" s="37"/>
      <c r="AH774" s="37">
        <v>0</v>
      </c>
    </row>
    <row r="775" spans="23:34" x14ac:dyDescent="0.3">
      <c r="W775" t="s">
        <v>1705</v>
      </c>
      <c r="X775">
        <v>2023</v>
      </c>
      <c r="Y775">
        <v>9</v>
      </c>
      <c r="Z775" s="57">
        <v>45180</v>
      </c>
      <c r="AA775" t="s">
        <v>1897</v>
      </c>
      <c r="AB775" s="18">
        <v>0</v>
      </c>
      <c r="AC775" s="18"/>
      <c r="AD775" s="18"/>
      <c r="AE775" s="18"/>
      <c r="AF775" s="18"/>
      <c r="AG775" s="18"/>
      <c r="AH775" s="18">
        <v>0</v>
      </c>
    </row>
    <row r="776" spans="23:34" x14ac:dyDescent="0.3">
      <c r="Y776">
        <v>12</v>
      </c>
      <c r="Z776" s="57">
        <v>45261</v>
      </c>
      <c r="AA776" t="s">
        <v>2165</v>
      </c>
      <c r="AB776" s="18">
        <v>237</v>
      </c>
      <c r="AC776" s="18"/>
      <c r="AD776" s="18"/>
      <c r="AE776" s="18"/>
      <c r="AF776" s="18"/>
      <c r="AG776" s="18"/>
      <c r="AH776" s="18">
        <v>237</v>
      </c>
    </row>
    <row r="777" spans="23:34" x14ac:dyDescent="0.3">
      <c r="W777" s="36" t="s">
        <v>1988</v>
      </c>
      <c r="X777" s="36"/>
      <c r="Y777" s="36"/>
      <c r="Z777" s="36"/>
      <c r="AA777" s="36"/>
      <c r="AB777" s="37">
        <v>237</v>
      </c>
      <c r="AC777" s="37"/>
      <c r="AD777" s="37"/>
      <c r="AE777" s="37"/>
      <c r="AF777" s="37"/>
      <c r="AG777" s="37"/>
      <c r="AH777" s="37">
        <v>237</v>
      </c>
    </row>
    <row r="778" spans="23:34" x14ac:dyDescent="0.3">
      <c r="W778" t="s">
        <v>2014</v>
      </c>
      <c r="X778">
        <v>2023</v>
      </c>
      <c r="Y778">
        <v>10</v>
      </c>
      <c r="Z778" s="57">
        <v>45216</v>
      </c>
      <c r="AA778" t="s">
        <v>2015</v>
      </c>
      <c r="AB778" s="18">
        <v>312.5</v>
      </c>
      <c r="AC778" s="18"/>
      <c r="AD778" s="18"/>
      <c r="AE778" s="18"/>
      <c r="AF778" s="18"/>
      <c r="AG778" s="18"/>
      <c r="AH778" s="18">
        <v>312.5</v>
      </c>
    </row>
    <row r="779" spans="23:34" x14ac:dyDescent="0.3">
      <c r="AA779" t="s">
        <v>2016</v>
      </c>
      <c r="AB779" s="18">
        <v>14658</v>
      </c>
      <c r="AC779" s="18"/>
      <c r="AD779" s="18"/>
      <c r="AE779" s="18"/>
      <c r="AF779" s="18"/>
      <c r="AG779" s="18"/>
      <c r="AH779" s="18">
        <v>14658</v>
      </c>
    </row>
    <row r="780" spans="23:34" x14ac:dyDescent="0.3">
      <c r="Z780" t="s">
        <v>2020</v>
      </c>
      <c r="AA780" t="s">
        <v>2019</v>
      </c>
      <c r="AB780" s="18">
        <v>2700</v>
      </c>
      <c r="AC780" s="18"/>
      <c r="AD780" s="18"/>
      <c r="AE780" s="18"/>
      <c r="AF780" s="18"/>
      <c r="AG780" s="18"/>
      <c r="AH780" s="18">
        <v>2700</v>
      </c>
    </row>
    <row r="781" spans="23:34" x14ac:dyDescent="0.3">
      <c r="Z781" s="57">
        <v>45224</v>
      </c>
      <c r="AA781" t="s">
        <v>2022</v>
      </c>
      <c r="AB781" s="18">
        <v>250</v>
      </c>
      <c r="AC781" s="18"/>
      <c r="AD781" s="18"/>
      <c r="AE781" s="18"/>
      <c r="AF781" s="18"/>
      <c r="AG781" s="18"/>
      <c r="AH781" s="18">
        <v>250</v>
      </c>
    </row>
    <row r="782" spans="23:34" x14ac:dyDescent="0.3">
      <c r="AA782" t="s">
        <v>2023</v>
      </c>
      <c r="AB782" s="18">
        <v>7916</v>
      </c>
      <c r="AC782" s="18"/>
      <c r="AD782" s="18"/>
      <c r="AE782" s="18"/>
      <c r="AF782" s="18"/>
      <c r="AG782" s="18"/>
      <c r="AH782" s="18">
        <v>7916</v>
      </c>
    </row>
    <row r="783" spans="23:34" x14ac:dyDescent="0.3">
      <c r="Z783" s="57">
        <v>45225</v>
      </c>
      <c r="AA783" t="s">
        <v>2034</v>
      </c>
      <c r="AB783" s="18">
        <v>1000</v>
      </c>
      <c r="AC783" s="18"/>
      <c r="AD783" s="18"/>
      <c r="AE783" s="18"/>
      <c r="AF783" s="18"/>
      <c r="AG783" s="18"/>
      <c r="AH783" s="18">
        <v>1000</v>
      </c>
    </row>
    <row r="784" spans="23:34" x14ac:dyDescent="0.3">
      <c r="Z784" s="57">
        <v>45227</v>
      </c>
      <c r="AA784" t="s">
        <v>2037</v>
      </c>
      <c r="AB784" s="18">
        <v>187.5</v>
      </c>
      <c r="AC784" s="18"/>
      <c r="AD784" s="18"/>
      <c r="AE784" s="18"/>
      <c r="AF784" s="18"/>
      <c r="AG784" s="18"/>
      <c r="AH784" s="18">
        <v>187.5</v>
      </c>
    </row>
    <row r="785" spans="25:34" x14ac:dyDescent="0.3">
      <c r="AA785" t="s">
        <v>2038</v>
      </c>
      <c r="AB785" s="18">
        <v>7440</v>
      </c>
      <c r="AC785" s="18"/>
      <c r="AD785" s="18"/>
      <c r="AE785" s="18"/>
      <c r="AF785" s="18"/>
      <c r="AG785" s="18"/>
      <c r="AH785" s="18">
        <v>7440</v>
      </c>
    </row>
    <row r="786" spans="25:34" x14ac:dyDescent="0.3">
      <c r="Z786" s="57">
        <v>45229</v>
      </c>
      <c r="AA786" t="s">
        <v>2096</v>
      </c>
      <c r="AB786" s="18">
        <v>1000</v>
      </c>
      <c r="AC786" s="18"/>
      <c r="AD786" s="18"/>
      <c r="AE786" s="18"/>
      <c r="AF786" s="18"/>
      <c r="AG786" s="18"/>
      <c r="AH786" s="18">
        <v>1000</v>
      </c>
    </row>
    <row r="787" spans="25:34" x14ac:dyDescent="0.3">
      <c r="Y787">
        <v>11</v>
      </c>
      <c r="Z787" s="57">
        <v>45236</v>
      </c>
      <c r="AA787" t="s">
        <v>2101</v>
      </c>
      <c r="AB787" s="18">
        <v>437.5</v>
      </c>
      <c r="AC787" s="18"/>
      <c r="AD787" s="18"/>
      <c r="AE787" s="18"/>
      <c r="AF787" s="18"/>
      <c r="AG787" s="18"/>
      <c r="AH787" s="18">
        <v>437.5</v>
      </c>
    </row>
    <row r="788" spans="25:34" x14ac:dyDescent="0.3">
      <c r="AA788" t="s">
        <v>2102</v>
      </c>
      <c r="AB788" s="18">
        <v>19024</v>
      </c>
      <c r="AC788" s="18"/>
      <c r="AD788" s="18"/>
      <c r="AE788" s="18"/>
      <c r="AF788" s="18"/>
      <c r="AG788" s="18"/>
      <c r="AH788" s="18">
        <v>19024</v>
      </c>
    </row>
    <row r="789" spans="25:34" x14ac:dyDescent="0.3">
      <c r="Z789" s="57">
        <v>45240</v>
      </c>
      <c r="AA789" t="s">
        <v>2107</v>
      </c>
      <c r="AB789" s="18">
        <v>1000</v>
      </c>
      <c r="AC789" s="18"/>
      <c r="AD789" s="18"/>
      <c r="AE789" s="18"/>
      <c r="AF789" s="18"/>
      <c r="AG789" s="18"/>
      <c r="AH789" s="18">
        <v>1000</v>
      </c>
    </row>
    <row r="790" spans="25:34" x14ac:dyDescent="0.3">
      <c r="AA790" t="s">
        <v>2108</v>
      </c>
      <c r="AB790" s="18">
        <v>125</v>
      </c>
      <c r="AC790" s="18"/>
      <c r="AD790" s="18"/>
      <c r="AE790" s="18"/>
      <c r="AF790" s="18"/>
      <c r="AG790" s="18"/>
      <c r="AH790" s="18">
        <v>125</v>
      </c>
    </row>
    <row r="791" spans="25:34" x14ac:dyDescent="0.3">
      <c r="Z791" s="57">
        <v>45245</v>
      </c>
      <c r="AA791" t="s">
        <v>2109</v>
      </c>
      <c r="AB791" s="18">
        <v>6201.6</v>
      </c>
      <c r="AC791" s="18"/>
      <c r="AD791" s="18"/>
      <c r="AE791" s="18"/>
      <c r="AF791" s="18"/>
      <c r="AG791" s="18"/>
      <c r="AH791" s="18">
        <v>6201.6</v>
      </c>
    </row>
    <row r="792" spans="25:34" x14ac:dyDescent="0.3">
      <c r="Z792" s="57">
        <v>45247</v>
      </c>
      <c r="AA792" t="s">
        <v>2117</v>
      </c>
      <c r="AB792" s="18">
        <v>62.5</v>
      </c>
      <c r="AC792" s="18"/>
      <c r="AD792" s="18"/>
      <c r="AE792" s="18"/>
      <c r="AF792" s="18"/>
      <c r="AG792" s="18"/>
      <c r="AH792" s="18">
        <v>62.5</v>
      </c>
    </row>
    <row r="793" spans="25:34" x14ac:dyDescent="0.3">
      <c r="AA793" t="s">
        <v>2118</v>
      </c>
      <c r="AB793" s="18">
        <v>2717.8</v>
      </c>
      <c r="AC793" s="18"/>
      <c r="AD793" s="18"/>
      <c r="AE793" s="18"/>
      <c r="AF793" s="18"/>
      <c r="AG793" s="18"/>
      <c r="AH793" s="18">
        <v>2717.8</v>
      </c>
    </row>
    <row r="794" spans="25:34" x14ac:dyDescent="0.3">
      <c r="Z794" s="57">
        <v>45251</v>
      </c>
      <c r="AA794" t="s">
        <v>2120</v>
      </c>
      <c r="AB794" s="18">
        <v>125</v>
      </c>
      <c r="AC794" s="18"/>
      <c r="AD794" s="18"/>
      <c r="AE794" s="18"/>
      <c r="AF794" s="18"/>
      <c r="AG794" s="18"/>
      <c r="AH794" s="18">
        <v>125</v>
      </c>
    </row>
    <row r="795" spans="25:34" x14ac:dyDescent="0.3">
      <c r="AA795" t="s">
        <v>2121</v>
      </c>
      <c r="AB795" s="18">
        <v>3212</v>
      </c>
      <c r="AC795" s="18"/>
      <c r="AD795" s="18"/>
      <c r="AE795" s="18"/>
      <c r="AF795" s="18"/>
      <c r="AG795" s="18"/>
      <c r="AH795" s="18">
        <v>3212</v>
      </c>
    </row>
    <row r="796" spans="25:34" x14ac:dyDescent="0.3">
      <c r="Z796" s="57">
        <v>45254</v>
      </c>
      <c r="AA796" t="s">
        <v>2123</v>
      </c>
      <c r="AB796" s="18">
        <v>187.5</v>
      </c>
      <c r="AC796" s="18"/>
      <c r="AD796" s="18"/>
      <c r="AE796" s="18"/>
      <c r="AF796" s="18"/>
      <c r="AG796" s="18"/>
      <c r="AH796" s="18">
        <v>187.5</v>
      </c>
    </row>
    <row r="797" spans="25:34" x14ac:dyDescent="0.3">
      <c r="AA797" t="s">
        <v>2124</v>
      </c>
      <c r="AB797" s="18">
        <v>8685.4</v>
      </c>
      <c r="AC797" s="18"/>
      <c r="AD797" s="18"/>
      <c r="AE797" s="18"/>
      <c r="AF797" s="18"/>
      <c r="AG797" s="18"/>
      <c r="AH797" s="18">
        <v>8685.4</v>
      </c>
    </row>
    <row r="798" spans="25:34" x14ac:dyDescent="0.3">
      <c r="Z798" s="57">
        <v>45258</v>
      </c>
      <c r="AA798" t="s">
        <v>2127</v>
      </c>
      <c r="AB798" s="18">
        <v>187.5</v>
      </c>
      <c r="AC798" s="18"/>
      <c r="AD798" s="18"/>
      <c r="AE798" s="18"/>
      <c r="AF798" s="18"/>
      <c r="AG798" s="18"/>
      <c r="AH798" s="18">
        <v>187.5</v>
      </c>
    </row>
    <row r="799" spans="25:34" x14ac:dyDescent="0.3">
      <c r="AA799" t="s">
        <v>2128</v>
      </c>
      <c r="AB799" s="18">
        <v>8065.4</v>
      </c>
      <c r="AC799" s="18"/>
      <c r="AD799" s="18"/>
      <c r="AE799" s="18"/>
      <c r="AF799" s="18"/>
      <c r="AG799" s="18"/>
      <c r="AH799" s="18">
        <v>8065.4</v>
      </c>
    </row>
    <row r="800" spans="25:34" x14ac:dyDescent="0.3">
      <c r="Y800">
        <v>12</v>
      </c>
      <c r="Z800" s="57">
        <v>45261</v>
      </c>
      <c r="AA800" t="s">
        <v>2163</v>
      </c>
      <c r="AB800" s="18">
        <v>125</v>
      </c>
      <c r="AC800" s="18"/>
      <c r="AD800" s="18"/>
      <c r="AE800" s="18"/>
      <c r="AF800" s="18"/>
      <c r="AG800" s="18"/>
      <c r="AH800" s="18">
        <v>125</v>
      </c>
    </row>
    <row r="801" spans="23:34" x14ac:dyDescent="0.3">
      <c r="AA801" t="s">
        <v>2164</v>
      </c>
      <c r="AB801" s="18">
        <v>4784</v>
      </c>
      <c r="AC801" s="18"/>
      <c r="AD801" s="18"/>
      <c r="AE801" s="18"/>
      <c r="AF801" s="18"/>
      <c r="AG801" s="18"/>
      <c r="AH801" s="18">
        <v>4784</v>
      </c>
    </row>
    <row r="802" spans="23:34" x14ac:dyDescent="0.3">
      <c r="Z802" s="57">
        <v>45264</v>
      </c>
      <c r="AA802" t="s">
        <v>2168</v>
      </c>
      <c r="AB802" s="18">
        <v>250</v>
      </c>
      <c r="AC802" s="18"/>
      <c r="AD802" s="18"/>
      <c r="AE802" s="18"/>
      <c r="AF802" s="18"/>
      <c r="AG802" s="18"/>
      <c r="AH802" s="18">
        <v>250</v>
      </c>
    </row>
    <row r="803" spans="23:34" x14ac:dyDescent="0.3">
      <c r="AA803" t="s">
        <v>2169</v>
      </c>
      <c r="AB803" s="18">
        <v>9682</v>
      </c>
      <c r="AC803" s="18"/>
      <c r="AD803" s="18"/>
      <c r="AE803" s="18"/>
      <c r="AF803" s="18"/>
      <c r="AG803" s="18"/>
      <c r="AH803" s="18">
        <v>9682</v>
      </c>
    </row>
    <row r="804" spans="23:34" x14ac:dyDescent="0.3">
      <c r="Z804" s="57">
        <v>45269</v>
      </c>
      <c r="AA804" t="s">
        <v>2174</v>
      </c>
      <c r="AB804" s="18">
        <v>250</v>
      </c>
      <c r="AC804" s="18"/>
      <c r="AD804" s="18"/>
      <c r="AE804" s="18"/>
      <c r="AF804" s="18"/>
      <c r="AG804" s="18"/>
      <c r="AH804" s="18">
        <v>250</v>
      </c>
    </row>
    <row r="805" spans="23:34" x14ac:dyDescent="0.3">
      <c r="AA805" t="s">
        <v>2175</v>
      </c>
      <c r="AB805" s="18">
        <v>10725</v>
      </c>
      <c r="AC805" s="18"/>
      <c r="AD805" s="18"/>
      <c r="AE805" s="18"/>
      <c r="AF805" s="18"/>
      <c r="AG805" s="18"/>
      <c r="AH805" s="18">
        <v>10725</v>
      </c>
    </row>
    <row r="806" spans="23:34" x14ac:dyDescent="0.3">
      <c r="Z806" s="57">
        <v>45274</v>
      </c>
      <c r="AA806" t="s">
        <v>2177</v>
      </c>
      <c r="AB806" s="18">
        <v>125</v>
      </c>
      <c r="AC806" s="18"/>
      <c r="AD806" s="18"/>
      <c r="AE806" s="18"/>
      <c r="AF806" s="18"/>
      <c r="AG806" s="18"/>
      <c r="AH806" s="18">
        <v>125</v>
      </c>
    </row>
    <row r="807" spans="23:34" x14ac:dyDescent="0.3">
      <c r="Z807" s="57">
        <v>45275</v>
      </c>
      <c r="AA807" t="s">
        <v>2178</v>
      </c>
      <c r="AB807" s="18">
        <v>6650.2</v>
      </c>
      <c r="AC807" s="18"/>
      <c r="AD807" s="18"/>
      <c r="AE807" s="18"/>
      <c r="AF807" s="18"/>
      <c r="AG807" s="18"/>
      <c r="AH807" s="18">
        <v>6650.2</v>
      </c>
    </row>
    <row r="808" spans="23:34" x14ac:dyDescent="0.3">
      <c r="Z808" s="57">
        <v>45276</v>
      </c>
      <c r="AA808" t="s">
        <v>2183</v>
      </c>
      <c r="AB808" s="18">
        <v>250</v>
      </c>
      <c r="AC808" s="18"/>
      <c r="AD808" s="18"/>
      <c r="AE808" s="18"/>
      <c r="AF808" s="18"/>
      <c r="AG808" s="18"/>
      <c r="AH808" s="18">
        <v>250</v>
      </c>
    </row>
    <row r="809" spans="23:34" x14ac:dyDescent="0.3">
      <c r="AA809" t="s">
        <v>2184</v>
      </c>
      <c r="AB809" s="18">
        <v>10539.6</v>
      </c>
      <c r="AC809" s="18"/>
      <c r="AD809" s="18"/>
      <c r="AE809" s="18"/>
      <c r="AF809" s="18"/>
      <c r="AG809" s="18"/>
      <c r="AH809" s="18">
        <v>10539.6</v>
      </c>
    </row>
    <row r="810" spans="23:34" x14ac:dyDescent="0.3">
      <c r="Z810" s="57">
        <v>45281</v>
      </c>
      <c r="AA810" t="s">
        <v>2190</v>
      </c>
      <c r="AB810" s="18">
        <v>250</v>
      </c>
      <c r="AC810" s="18"/>
      <c r="AD810" s="18"/>
      <c r="AE810" s="18"/>
      <c r="AF810" s="18"/>
      <c r="AG810" s="18"/>
      <c r="AH810" s="18">
        <v>250</v>
      </c>
    </row>
    <row r="811" spans="23:34" x14ac:dyDescent="0.3">
      <c r="AA811" t="s">
        <v>2191</v>
      </c>
      <c r="AB811" s="18">
        <v>11783.2</v>
      </c>
      <c r="AC811" s="18"/>
      <c r="AD811" s="18"/>
      <c r="AE811" s="18"/>
      <c r="AF811" s="18"/>
      <c r="AG811" s="18"/>
      <c r="AH811" s="18">
        <v>11783.2</v>
      </c>
    </row>
    <row r="812" spans="23:34" x14ac:dyDescent="0.3">
      <c r="Z812" s="57">
        <v>45287</v>
      </c>
      <c r="AA812" t="s">
        <v>2196</v>
      </c>
      <c r="AB812" s="18">
        <v>312.5</v>
      </c>
      <c r="AC812" s="18"/>
      <c r="AD812" s="18"/>
      <c r="AE812" s="18"/>
      <c r="AF812" s="18"/>
      <c r="AG812" s="18"/>
      <c r="AH812" s="18">
        <v>312.5</v>
      </c>
    </row>
    <row r="813" spans="23:34" x14ac:dyDescent="0.3">
      <c r="AA813" t="s">
        <v>2197</v>
      </c>
      <c r="AB813" s="18">
        <v>12348</v>
      </c>
      <c r="AC813" s="18"/>
      <c r="AD813" s="18"/>
      <c r="AE813" s="18"/>
      <c r="AF813" s="18"/>
      <c r="AG813" s="18"/>
      <c r="AH813" s="18">
        <v>12348</v>
      </c>
    </row>
    <row r="814" spans="23:34" x14ac:dyDescent="0.3">
      <c r="Z814" s="57">
        <v>45290</v>
      </c>
      <c r="AA814" t="s">
        <v>2198</v>
      </c>
      <c r="AB814" s="18">
        <v>625</v>
      </c>
      <c r="AC814" s="18"/>
      <c r="AD814" s="18"/>
      <c r="AE814" s="18"/>
      <c r="AF814" s="18"/>
      <c r="AG814" s="18"/>
      <c r="AH814" s="18">
        <v>625</v>
      </c>
    </row>
    <row r="815" spans="23:34" x14ac:dyDescent="0.3">
      <c r="AA815" t="s">
        <v>2199</v>
      </c>
      <c r="AB815" s="18">
        <v>14334</v>
      </c>
      <c r="AC815" s="18"/>
      <c r="AD815" s="18"/>
      <c r="AE815" s="18"/>
      <c r="AF815" s="18"/>
      <c r="AG815" s="18"/>
      <c r="AH815" s="18">
        <v>14334</v>
      </c>
    </row>
    <row r="816" spans="23:34" x14ac:dyDescent="0.3">
      <c r="W816" s="36" t="s">
        <v>2040</v>
      </c>
      <c r="X816" s="36"/>
      <c r="Y816" s="36"/>
      <c r="Z816" s="36"/>
      <c r="AA816" s="36"/>
      <c r="AB816" s="37">
        <v>168528.69999999998</v>
      </c>
      <c r="AC816" s="37"/>
      <c r="AD816" s="37"/>
      <c r="AE816" s="37"/>
      <c r="AF816" s="37"/>
      <c r="AG816" s="37"/>
      <c r="AH816" s="37">
        <v>168528.69999999998</v>
      </c>
    </row>
    <row r="817" spans="23:34" x14ac:dyDescent="0.3">
      <c r="W817" t="s">
        <v>2024</v>
      </c>
      <c r="X817">
        <v>2023</v>
      </c>
      <c r="Y817">
        <v>10</v>
      </c>
      <c r="Z817" s="57">
        <v>45224</v>
      </c>
      <c r="AA817" t="s">
        <v>2030</v>
      </c>
      <c r="AB817" s="18">
        <v>0</v>
      </c>
      <c r="AC817" s="18"/>
      <c r="AD817" s="18"/>
      <c r="AE817" s="18"/>
      <c r="AF817" s="18"/>
      <c r="AG817" s="18"/>
      <c r="AH817" s="18">
        <v>0</v>
      </c>
    </row>
    <row r="818" spans="23:34" x14ac:dyDescent="0.3">
      <c r="Y818">
        <v>11</v>
      </c>
      <c r="Z818" s="57">
        <v>45233</v>
      </c>
      <c r="AA818" t="s">
        <v>2098</v>
      </c>
      <c r="AB818" s="18">
        <v>0</v>
      </c>
      <c r="AC818" s="18"/>
      <c r="AD818" s="18"/>
      <c r="AE818" s="18"/>
      <c r="AF818" s="18"/>
      <c r="AG818" s="18"/>
      <c r="AH818" s="18">
        <v>0</v>
      </c>
    </row>
    <row r="819" spans="23:34" x14ac:dyDescent="0.3">
      <c r="W819" s="36" t="s">
        <v>2041</v>
      </c>
      <c r="X819" s="36"/>
      <c r="Y819" s="36"/>
      <c r="Z819" s="36"/>
      <c r="AA819" s="36"/>
      <c r="AB819" s="37">
        <v>0</v>
      </c>
      <c r="AC819" s="37"/>
      <c r="AD819" s="37"/>
      <c r="AE819" s="37"/>
      <c r="AF819" s="37"/>
      <c r="AG819" s="37"/>
      <c r="AH819" s="37">
        <v>0</v>
      </c>
    </row>
    <row r="820" spans="23:34" x14ac:dyDescent="0.3">
      <c r="W820" t="s">
        <v>2207</v>
      </c>
      <c r="X820">
        <v>2023</v>
      </c>
      <c r="Y820">
        <v>12</v>
      </c>
      <c r="Z820" s="57">
        <v>45275</v>
      </c>
      <c r="AA820" t="s">
        <v>2180</v>
      </c>
      <c r="AB820" s="18">
        <v>4925.8</v>
      </c>
      <c r="AC820" s="18"/>
      <c r="AD820" s="18"/>
      <c r="AE820" s="18"/>
      <c r="AF820" s="18"/>
      <c r="AG820" s="18"/>
      <c r="AH820" s="18">
        <v>4925.8</v>
      </c>
    </row>
    <row r="821" spans="23:34" x14ac:dyDescent="0.3">
      <c r="Z821" s="57">
        <v>45281</v>
      </c>
      <c r="AA821" t="s">
        <v>2193</v>
      </c>
      <c r="AB821" s="18">
        <v>4728</v>
      </c>
      <c r="AC821" s="18"/>
      <c r="AD821" s="18"/>
      <c r="AE821" s="18"/>
      <c r="AF821" s="18"/>
      <c r="AG821" s="18"/>
      <c r="AH821" s="18">
        <v>4728</v>
      </c>
    </row>
    <row r="822" spans="23:34" x14ac:dyDescent="0.3">
      <c r="W822" s="36" t="s">
        <v>2222</v>
      </c>
      <c r="X822" s="36"/>
      <c r="Y822" s="36"/>
      <c r="Z822" s="36"/>
      <c r="AA822" s="36"/>
      <c r="AB822" s="37">
        <v>9653.7999999999993</v>
      </c>
      <c r="AC822" s="37"/>
      <c r="AD822" s="37"/>
      <c r="AE822" s="37"/>
      <c r="AF822" s="37"/>
      <c r="AG822" s="37"/>
      <c r="AH822" s="37">
        <v>9653.7999999999993</v>
      </c>
    </row>
    <row r="823" spans="23:34" x14ac:dyDescent="0.3">
      <c r="W823" t="s">
        <v>2213</v>
      </c>
      <c r="X823">
        <v>2023</v>
      </c>
      <c r="Y823">
        <v>12</v>
      </c>
      <c r="Z823" s="57">
        <v>45276</v>
      </c>
      <c r="AA823" t="s">
        <v>2182</v>
      </c>
      <c r="AB823" s="18">
        <v>2131</v>
      </c>
      <c r="AC823" s="18"/>
      <c r="AD823" s="18"/>
      <c r="AE823" s="18"/>
      <c r="AF823" s="18"/>
      <c r="AG823" s="18"/>
      <c r="AH823" s="18">
        <v>2131</v>
      </c>
    </row>
    <row r="824" spans="23:34" x14ac:dyDescent="0.3">
      <c r="W824" s="36" t="s">
        <v>2223</v>
      </c>
      <c r="X824" s="36"/>
      <c r="Y824" s="36"/>
      <c r="Z824" s="36"/>
      <c r="AA824" s="36"/>
      <c r="AB824" s="37">
        <v>2131</v>
      </c>
      <c r="AC824" s="37"/>
      <c r="AD824" s="37"/>
      <c r="AE824" s="37"/>
      <c r="AF824" s="37"/>
      <c r="AG824" s="37"/>
      <c r="AH824" s="37">
        <v>2131</v>
      </c>
    </row>
    <row r="825" spans="23:34" x14ac:dyDescent="0.3">
      <c r="W825" t="s">
        <v>131</v>
      </c>
      <c r="AB825" s="18">
        <v>727019.7</v>
      </c>
      <c r="AC825" s="18">
        <v>0</v>
      </c>
      <c r="AD825" s="18">
        <v>16620.8</v>
      </c>
      <c r="AE825" s="18">
        <v>90050.5</v>
      </c>
      <c r="AF825" s="18">
        <v>0</v>
      </c>
      <c r="AG825" s="18">
        <v>11904.5</v>
      </c>
      <c r="AH825" s="18">
        <v>845595.49999999988</v>
      </c>
    </row>
  </sheetData>
  <pageMargins left="0.39370078740157483" right="0.19685039370078741" top="0.59055118110236227" bottom="0.78740157480314965" header="0.31496062992125984" footer="0.31496062992125984"/>
  <pageSetup scale="92" orientation="portrait" r:id="rId4"/>
  <headerFooter>
    <oddFooter>&amp;R&amp;F&amp;A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filterMode="1">
    <tabColor rgb="FFFF0000"/>
    <pageSetUpPr fitToPage="1"/>
  </sheetPr>
  <dimension ref="A1:X2785"/>
  <sheetViews>
    <sheetView tabSelected="1" topLeftCell="A2747" zoomScale="85" zoomScaleNormal="85" workbookViewId="0">
      <selection activeCell="N2767" sqref="N2767:N2768"/>
    </sheetView>
  </sheetViews>
  <sheetFormatPr defaultColWidth="8.77734375" defaultRowHeight="15.6" x14ac:dyDescent="0.3"/>
  <cols>
    <col min="1" max="1" width="12.5546875" style="5" customWidth="1"/>
    <col min="2" max="2" width="5.5546875" style="5" customWidth="1"/>
    <col min="3" max="3" width="6.77734375" style="5" customWidth="1"/>
    <col min="4" max="4" width="19" style="5" bestFit="1" customWidth="1"/>
    <col min="5" max="5" width="12.5546875" style="5" customWidth="1"/>
    <col min="6" max="6" width="26.33203125" style="1" customWidth="1"/>
    <col min="7" max="7" width="29.6640625" style="11" customWidth="1"/>
    <col min="8" max="8" width="4.33203125" style="5" customWidth="1"/>
    <col min="9" max="9" width="8.88671875" style="5" customWidth="1"/>
    <col min="10" max="10" width="6.88671875" style="5" customWidth="1"/>
    <col min="11" max="11" width="12.21875" style="5" customWidth="1"/>
    <col min="12" max="12" width="6.77734375" style="5" customWidth="1"/>
    <col min="13" max="13" width="6.33203125" style="5" customWidth="1"/>
    <col min="14" max="14" width="14.88671875" style="6" customWidth="1"/>
    <col min="15" max="15" width="15.109375" style="6" customWidth="1"/>
    <col min="16" max="16" width="13.21875" style="6" bestFit="1" customWidth="1"/>
    <col min="17" max="17" width="14.77734375" style="1" customWidth="1"/>
    <col min="18" max="18" width="9.109375" style="5" customWidth="1"/>
    <col min="19" max="19" width="35.88671875" style="1" customWidth="1"/>
    <col min="20" max="20" width="8.77734375" style="1"/>
    <col min="21" max="21" width="13" style="1" customWidth="1"/>
    <col min="22" max="22" width="13.5546875" style="1" customWidth="1"/>
    <col min="23" max="23" width="11.44140625" style="1" customWidth="1"/>
    <col min="24" max="16384" width="8.77734375" style="1"/>
  </cols>
  <sheetData>
    <row r="1" spans="1:20" ht="62.4" x14ac:dyDescent="0.3">
      <c r="A1" s="3" t="s">
        <v>3</v>
      </c>
      <c r="B1" s="3" t="s">
        <v>163</v>
      </c>
      <c r="C1" s="3" t="s">
        <v>226</v>
      </c>
      <c r="D1" s="3" t="s">
        <v>2</v>
      </c>
      <c r="E1" s="3" t="s">
        <v>0</v>
      </c>
      <c r="F1" s="3" t="s">
        <v>1</v>
      </c>
      <c r="G1" s="75" t="s">
        <v>8</v>
      </c>
      <c r="H1" s="3" t="s">
        <v>69</v>
      </c>
      <c r="I1" s="3" t="s">
        <v>4</v>
      </c>
      <c r="J1" s="3" t="s">
        <v>87</v>
      </c>
      <c r="K1" s="3" t="s">
        <v>151</v>
      </c>
      <c r="L1" s="3" t="s">
        <v>162</v>
      </c>
      <c r="M1" s="3" t="s">
        <v>207</v>
      </c>
      <c r="N1" s="3" t="s">
        <v>198</v>
      </c>
      <c r="O1" s="3" t="s">
        <v>196</v>
      </c>
      <c r="P1" s="3" t="s">
        <v>197</v>
      </c>
      <c r="Q1" s="3" t="s">
        <v>193</v>
      </c>
      <c r="R1" s="3" t="s">
        <v>83</v>
      </c>
      <c r="S1" s="3" t="s">
        <v>25</v>
      </c>
      <c r="T1" s="3" t="s">
        <v>88</v>
      </c>
    </row>
    <row r="2" spans="1:20" hidden="1" x14ac:dyDescent="0.3">
      <c r="A2" s="4">
        <v>43822</v>
      </c>
      <c r="B2" s="5">
        <f t="shared" ref="B2:B33" si="0">MONTH(A2)</f>
        <v>12</v>
      </c>
      <c r="C2" s="5">
        <f t="shared" ref="C2:C33" si="1">YEAR(A2)</f>
        <v>2019</v>
      </c>
      <c r="D2" s="5" t="s">
        <v>312</v>
      </c>
      <c r="E2" s="5" t="str">
        <f>VLOOKUP(F2,'Set up'!$A$2:$C$48,2,FALSE)</f>
        <v>C00000001</v>
      </c>
      <c r="F2" s="1" t="s">
        <v>7</v>
      </c>
      <c r="G2" s="11" t="s">
        <v>9</v>
      </c>
      <c r="H2" s="5">
        <v>1</v>
      </c>
      <c r="I2" s="5" t="str">
        <f>VLOOKUP(F2,'Set up'!$A$2:$C$48,3,FALSE)</f>
        <v>Cash</v>
      </c>
      <c r="J2" s="5">
        <f>VLOOKUP(F2,'Set up'!$A$2:$D$48,4,FALSE)</f>
        <v>0</v>
      </c>
      <c r="K2" s="4">
        <f t="shared" ref="K2:K65" si="2">A2+J2</f>
        <v>43822</v>
      </c>
      <c r="L2" s="5">
        <f t="shared" ref="L2:L65" si="3">MONTH(K2)</f>
        <v>12</v>
      </c>
      <c r="M2" s="5">
        <f t="shared" ref="M2:M65" si="4">YEAR(K2)</f>
        <v>2019</v>
      </c>
      <c r="N2" s="6">
        <v>1530</v>
      </c>
      <c r="O2" s="6">
        <f t="shared" ref="O2:O41" si="5">SUM(-N2)</f>
        <v>-1530</v>
      </c>
      <c r="P2" s="6">
        <f t="shared" ref="P2:P33" si="6">SUM(N2+O2)</f>
        <v>0</v>
      </c>
      <c r="Q2" s="7">
        <f>N2</f>
        <v>1530</v>
      </c>
      <c r="R2" s="44" t="str">
        <f>VLOOKUP(F2,'Set up'!$A$2:$E$48,5,FALSE)</f>
        <v>Trsf</v>
      </c>
      <c r="S2" s="1" t="s">
        <v>76</v>
      </c>
    </row>
    <row r="3" spans="1:20" hidden="1" x14ac:dyDescent="0.3">
      <c r="A3" s="4">
        <v>43822</v>
      </c>
      <c r="B3" s="5">
        <f t="shared" si="0"/>
        <v>12</v>
      </c>
      <c r="C3" s="5">
        <f t="shared" si="1"/>
        <v>2019</v>
      </c>
      <c r="D3" s="5" t="s">
        <v>312</v>
      </c>
      <c r="E3" s="5" t="str">
        <f>VLOOKUP(F3,'Set up'!$A$2:$C$48,2,FALSE)</f>
        <v>C00000001</v>
      </c>
      <c r="F3" s="1" t="s">
        <v>7</v>
      </c>
      <c r="G3" s="2" t="s">
        <v>63</v>
      </c>
      <c r="H3" s="5">
        <v>6</v>
      </c>
      <c r="I3" s="5" t="str">
        <f>VLOOKUP(F3,'Set up'!$A$2:$C$48,3,FALSE)</f>
        <v>Cash</v>
      </c>
      <c r="J3" s="5">
        <f>VLOOKUP(F3,'Set up'!$A$2:$D$48,4,FALSE)</f>
        <v>0</v>
      </c>
      <c r="K3" s="4">
        <f t="shared" si="2"/>
        <v>43822</v>
      </c>
      <c r="L3" s="5">
        <f t="shared" si="3"/>
        <v>12</v>
      </c>
      <c r="M3" s="5">
        <f t="shared" si="4"/>
        <v>2019</v>
      </c>
      <c r="N3" s="6">
        <v>1443</v>
      </c>
      <c r="O3" s="6">
        <f t="shared" si="5"/>
        <v>-1443</v>
      </c>
      <c r="P3" s="6">
        <f t="shared" si="6"/>
        <v>0</v>
      </c>
      <c r="Q3" s="7">
        <f t="shared" ref="Q3:Q66" si="7">SUM(Q2+N3)</f>
        <v>2973</v>
      </c>
      <c r="R3" s="44" t="str">
        <f>VLOOKUP(F3,'Set up'!$A$2:$E$48,5,FALSE)</f>
        <v>Trsf</v>
      </c>
      <c r="S3" s="1" t="s">
        <v>76</v>
      </c>
    </row>
    <row r="4" spans="1:20" hidden="1" x14ac:dyDescent="0.3">
      <c r="A4" s="4">
        <v>43984</v>
      </c>
      <c r="B4" s="5">
        <f t="shared" si="0"/>
        <v>6</v>
      </c>
      <c r="C4" s="5">
        <f t="shared" si="1"/>
        <v>2020</v>
      </c>
      <c r="D4" s="5" t="s">
        <v>10</v>
      </c>
      <c r="E4" s="5" t="str">
        <f>VLOOKUP(F4,'Set up'!$A$2:$C$48,2,FALSE)</f>
        <v>C00000001</v>
      </c>
      <c r="F4" s="1" t="s">
        <v>7</v>
      </c>
      <c r="G4" s="11" t="s">
        <v>39</v>
      </c>
      <c r="H4" s="5">
        <v>2</v>
      </c>
      <c r="I4" s="5" t="str">
        <f>VLOOKUP(F4,'Set up'!$A$2:$C$48,3,FALSE)</f>
        <v>Cash</v>
      </c>
      <c r="J4" s="5">
        <f>VLOOKUP(F4,'Set up'!$A$2:$D$48,4,FALSE)</f>
        <v>0</v>
      </c>
      <c r="K4" s="4">
        <f t="shared" si="2"/>
        <v>43984</v>
      </c>
      <c r="L4" s="5">
        <f t="shared" si="3"/>
        <v>6</v>
      </c>
      <c r="M4" s="5">
        <f t="shared" si="4"/>
        <v>2020</v>
      </c>
      <c r="N4" s="6">
        <v>480</v>
      </c>
      <c r="O4" s="6">
        <f t="shared" si="5"/>
        <v>-480</v>
      </c>
      <c r="P4" s="6">
        <f t="shared" si="6"/>
        <v>0</v>
      </c>
      <c r="Q4" s="7">
        <f t="shared" si="7"/>
        <v>3453</v>
      </c>
      <c r="R4" s="44" t="str">
        <f>VLOOKUP(F4,'Set up'!$A$2:$E$48,5,FALSE)</f>
        <v>Trsf</v>
      </c>
      <c r="S4" s="1" t="s">
        <v>77</v>
      </c>
    </row>
    <row r="5" spans="1:20" hidden="1" x14ac:dyDescent="0.3">
      <c r="A5" s="4">
        <v>43993</v>
      </c>
      <c r="B5" s="5">
        <f t="shared" si="0"/>
        <v>6</v>
      </c>
      <c r="C5" s="5">
        <f t="shared" si="1"/>
        <v>2020</v>
      </c>
      <c r="D5" s="5" t="s">
        <v>11</v>
      </c>
      <c r="E5" s="5" t="str">
        <f>VLOOKUP(F5,'Set up'!$A$2:$C$48,2,FALSE)</f>
        <v>C00000002</v>
      </c>
      <c r="F5" s="1" t="s">
        <v>14</v>
      </c>
      <c r="G5" s="11" t="s">
        <v>16</v>
      </c>
      <c r="H5" s="5">
        <v>1</v>
      </c>
      <c r="I5" s="5" t="str">
        <f>VLOOKUP(F5,'Set up'!$A$2:$C$48,3,FALSE)</f>
        <v>Cash</v>
      </c>
      <c r="J5" s="5">
        <f>VLOOKUP(F5,'Set up'!$A$2:$D$48,4,FALSE)</f>
        <v>0</v>
      </c>
      <c r="K5" s="4">
        <f t="shared" si="2"/>
        <v>43993</v>
      </c>
      <c r="L5" s="5">
        <f t="shared" si="3"/>
        <v>6</v>
      </c>
      <c r="M5" s="5">
        <f t="shared" si="4"/>
        <v>2020</v>
      </c>
      <c r="N5" s="6">
        <v>1395</v>
      </c>
      <c r="O5" s="6">
        <f t="shared" si="5"/>
        <v>-1395</v>
      </c>
      <c r="P5" s="6">
        <f t="shared" si="6"/>
        <v>0</v>
      </c>
      <c r="Q5" s="7">
        <f t="shared" si="7"/>
        <v>4848</v>
      </c>
      <c r="R5" s="44" t="str">
        <f>VLOOKUP(F5,'Set up'!$A$2:$E$48,5,FALSE)</f>
        <v>Chq</v>
      </c>
      <c r="S5" s="1" t="s">
        <v>82</v>
      </c>
    </row>
    <row r="6" spans="1:20" hidden="1" x14ac:dyDescent="0.3">
      <c r="A6" s="4">
        <v>43993</v>
      </c>
      <c r="B6" s="5">
        <f t="shared" si="0"/>
        <v>6</v>
      </c>
      <c r="C6" s="5">
        <f t="shared" si="1"/>
        <v>2020</v>
      </c>
      <c r="D6" s="5" t="s">
        <v>11</v>
      </c>
      <c r="E6" s="5" t="str">
        <f>VLOOKUP(F6,'Set up'!$A$2:$C$48,2,FALSE)</f>
        <v>C00000002</v>
      </c>
      <c r="F6" s="1" t="s">
        <v>14</v>
      </c>
      <c r="G6" s="11" t="s">
        <v>15</v>
      </c>
      <c r="H6" s="5">
        <v>1</v>
      </c>
      <c r="I6" s="5" t="str">
        <f>VLOOKUP(F6,'Set up'!$A$2:$C$48,3,FALSE)</f>
        <v>Cash</v>
      </c>
      <c r="J6" s="5">
        <f>VLOOKUP(F6,'Set up'!$A$2:$D$48,4,FALSE)</f>
        <v>0</v>
      </c>
      <c r="K6" s="4">
        <f t="shared" si="2"/>
        <v>43993</v>
      </c>
      <c r="L6" s="5">
        <f t="shared" si="3"/>
        <v>6</v>
      </c>
      <c r="M6" s="5">
        <f t="shared" si="4"/>
        <v>2020</v>
      </c>
      <c r="N6" s="6">
        <v>672</v>
      </c>
      <c r="O6" s="6">
        <f t="shared" si="5"/>
        <v>-672</v>
      </c>
      <c r="P6" s="6">
        <f t="shared" si="6"/>
        <v>0</v>
      </c>
      <c r="Q6" s="7">
        <f t="shared" si="7"/>
        <v>5520</v>
      </c>
      <c r="R6" s="44" t="str">
        <f>VLOOKUP(F6,'Set up'!$A$2:$E$48,5,FALSE)</f>
        <v>Chq</v>
      </c>
      <c r="S6" s="1" t="s">
        <v>82</v>
      </c>
    </row>
    <row r="7" spans="1:20" hidden="1" x14ac:dyDescent="0.3">
      <c r="A7" s="4">
        <v>43999</v>
      </c>
      <c r="B7" s="5">
        <f t="shared" si="0"/>
        <v>6</v>
      </c>
      <c r="C7" s="5">
        <f t="shared" si="1"/>
        <v>2020</v>
      </c>
      <c r="D7" s="5" t="s">
        <v>12</v>
      </c>
      <c r="E7" s="5" t="str">
        <f>VLOOKUP(F7,'Set up'!$A$2:$C$48,2,FALSE)</f>
        <v>C00000001</v>
      </c>
      <c r="F7" s="1" t="s">
        <v>7</v>
      </c>
      <c r="G7" s="11" t="s">
        <v>9</v>
      </c>
      <c r="H7" s="5">
        <v>1</v>
      </c>
      <c r="I7" s="5" t="str">
        <f>VLOOKUP(F7,'Set up'!$A$2:$C$48,3,FALSE)</f>
        <v>Cash</v>
      </c>
      <c r="J7" s="5">
        <f>VLOOKUP(F7,'Set up'!$A$2:$D$48,4,FALSE)</f>
        <v>0</v>
      </c>
      <c r="K7" s="4">
        <f t="shared" si="2"/>
        <v>43999</v>
      </c>
      <c r="L7" s="5">
        <f t="shared" si="3"/>
        <v>6</v>
      </c>
      <c r="M7" s="5">
        <f t="shared" si="4"/>
        <v>2020</v>
      </c>
      <c r="N7" s="6">
        <v>1530</v>
      </c>
      <c r="O7" s="6">
        <f t="shared" si="5"/>
        <v>-1530</v>
      </c>
      <c r="P7" s="6">
        <f t="shared" si="6"/>
        <v>0</v>
      </c>
      <c r="Q7" s="7">
        <f t="shared" si="7"/>
        <v>7050</v>
      </c>
      <c r="R7" s="44" t="str">
        <f>VLOOKUP(F7,'Set up'!$A$2:$E$48,5,FALSE)</f>
        <v>Trsf</v>
      </c>
      <c r="S7" s="8" t="s">
        <v>77</v>
      </c>
    </row>
    <row r="8" spans="1:20" hidden="1" x14ac:dyDescent="0.3">
      <c r="A8" s="4">
        <v>43999</v>
      </c>
      <c r="B8" s="5">
        <f t="shared" si="0"/>
        <v>6</v>
      </c>
      <c r="C8" s="5">
        <f t="shared" si="1"/>
        <v>2020</v>
      </c>
      <c r="D8" s="5" t="s">
        <v>12</v>
      </c>
      <c r="E8" s="5" t="str">
        <f>VLOOKUP(F8,'Set up'!$A$2:$C$48,2,FALSE)</f>
        <v>C00000001</v>
      </c>
      <c r="F8" s="1" t="s">
        <v>7</v>
      </c>
      <c r="G8" s="2" t="s">
        <v>63</v>
      </c>
      <c r="H8" s="5">
        <v>3</v>
      </c>
      <c r="I8" s="5" t="str">
        <f>VLOOKUP(F8,'Set up'!$A$2:$C$48,3,FALSE)</f>
        <v>Cash</v>
      </c>
      <c r="J8" s="5">
        <f>VLOOKUP(F8,'Set up'!$A$2:$D$48,4,FALSE)</f>
        <v>0</v>
      </c>
      <c r="K8" s="4">
        <f t="shared" si="2"/>
        <v>43999</v>
      </c>
      <c r="L8" s="5">
        <f t="shared" si="3"/>
        <v>6</v>
      </c>
      <c r="M8" s="5">
        <f t="shared" si="4"/>
        <v>2020</v>
      </c>
      <c r="N8" s="6">
        <v>720</v>
      </c>
      <c r="O8" s="6">
        <f t="shared" si="5"/>
        <v>-720</v>
      </c>
      <c r="P8" s="6">
        <f t="shared" si="6"/>
        <v>0</v>
      </c>
      <c r="Q8" s="7">
        <f t="shared" si="7"/>
        <v>7770</v>
      </c>
      <c r="R8" s="44" t="str">
        <f>VLOOKUP(F8,'Set up'!$A$2:$E$48,5,FALSE)</f>
        <v>Trsf</v>
      </c>
      <c r="S8" s="8" t="s">
        <v>77</v>
      </c>
    </row>
    <row r="9" spans="1:20" hidden="1" x14ac:dyDescent="0.3">
      <c r="A9" s="4">
        <v>43999</v>
      </c>
      <c r="B9" s="5">
        <f t="shared" si="0"/>
        <v>6</v>
      </c>
      <c r="C9" s="5">
        <f t="shared" si="1"/>
        <v>2020</v>
      </c>
      <c r="D9" s="5" t="s">
        <v>12</v>
      </c>
      <c r="E9" s="5" t="str">
        <f>VLOOKUP(F9,'Set up'!$A$2:$C$48,2,FALSE)</f>
        <v>C00000001</v>
      </c>
      <c r="F9" s="1" t="s">
        <v>7</v>
      </c>
      <c r="G9" s="11" t="s">
        <v>17</v>
      </c>
      <c r="H9" s="5">
        <v>2</v>
      </c>
      <c r="I9" s="5" t="str">
        <f>VLOOKUP(F9,'Set up'!$A$2:$C$48,3,FALSE)</f>
        <v>Cash</v>
      </c>
      <c r="J9" s="5">
        <f>VLOOKUP(F9,'Set up'!$A$2:$D$48,4,FALSE)</f>
        <v>0</v>
      </c>
      <c r="K9" s="4">
        <f t="shared" si="2"/>
        <v>43999</v>
      </c>
      <c r="L9" s="5">
        <f t="shared" si="3"/>
        <v>6</v>
      </c>
      <c r="M9" s="5">
        <f t="shared" si="4"/>
        <v>2020</v>
      </c>
      <c r="N9" s="6">
        <v>185</v>
      </c>
      <c r="O9" s="6">
        <f t="shared" si="5"/>
        <v>-185</v>
      </c>
      <c r="P9" s="6">
        <f t="shared" si="6"/>
        <v>0</v>
      </c>
      <c r="Q9" s="7">
        <f t="shared" si="7"/>
        <v>7955</v>
      </c>
      <c r="R9" s="44" t="str">
        <f>VLOOKUP(F9,'Set up'!$A$2:$E$48,5,FALSE)</f>
        <v>Trsf</v>
      </c>
      <c r="S9" s="8" t="s">
        <v>77</v>
      </c>
    </row>
    <row r="10" spans="1:20" hidden="1" x14ac:dyDescent="0.3">
      <c r="A10" s="4">
        <v>44004</v>
      </c>
      <c r="B10" s="5">
        <f t="shared" si="0"/>
        <v>6</v>
      </c>
      <c r="C10" s="5">
        <f t="shared" si="1"/>
        <v>2020</v>
      </c>
      <c r="D10" s="5" t="s">
        <v>18</v>
      </c>
      <c r="E10" s="5" t="str">
        <f>VLOOKUP(F10,'Set up'!$A$2:$C$48,2,FALSE)</f>
        <v>C00000003</v>
      </c>
      <c r="F10" s="1" t="s">
        <v>20</v>
      </c>
      <c r="G10" s="11" t="s">
        <v>9</v>
      </c>
      <c r="H10" s="5">
        <v>1</v>
      </c>
      <c r="I10" s="5">
        <f>VLOOKUP(F10,'Set up'!$A$2:$C$48,3,FALSE)</f>
        <v>45</v>
      </c>
      <c r="J10" s="5">
        <f>VLOOKUP(F10,'Set up'!$A$2:$D$48,4,FALSE)</f>
        <v>45</v>
      </c>
      <c r="K10" s="4">
        <f t="shared" si="2"/>
        <v>44049</v>
      </c>
      <c r="L10" s="5">
        <f t="shared" si="3"/>
        <v>8</v>
      </c>
      <c r="M10" s="5">
        <f t="shared" si="4"/>
        <v>2020</v>
      </c>
      <c r="N10" s="6">
        <v>1642.5</v>
      </c>
      <c r="O10" s="6">
        <f t="shared" si="5"/>
        <v>-1642.5</v>
      </c>
      <c r="P10" s="6">
        <f t="shared" si="6"/>
        <v>0</v>
      </c>
      <c r="Q10" s="7">
        <f t="shared" si="7"/>
        <v>9597.5</v>
      </c>
      <c r="R10" s="44" t="str">
        <f>VLOOKUP(F10,'Set up'!$A$2:$E$48,5,FALSE)</f>
        <v>PD Chq</v>
      </c>
      <c r="S10" s="13" t="s">
        <v>192</v>
      </c>
    </row>
    <row r="11" spans="1:20" hidden="1" x14ac:dyDescent="0.3">
      <c r="A11" s="4">
        <v>44004</v>
      </c>
      <c r="B11" s="5">
        <f t="shared" si="0"/>
        <v>6</v>
      </c>
      <c r="C11" s="5">
        <f t="shared" si="1"/>
        <v>2020</v>
      </c>
      <c r="D11" s="5" t="s">
        <v>18</v>
      </c>
      <c r="E11" s="5" t="str">
        <f>VLOOKUP(F11,'Set up'!$A$2:$C$48,2,FALSE)</f>
        <v>C00000003</v>
      </c>
      <c r="F11" s="1" t="s">
        <v>20</v>
      </c>
      <c r="G11" s="11" t="s">
        <v>17</v>
      </c>
      <c r="H11" s="5">
        <v>2</v>
      </c>
      <c r="I11" s="5">
        <f>VLOOKUP(F11,'Set up'!$A$2:$C$48,3,FALSE)</f>
        <v>45</v>
      </c>
      <c r="J11" s="5">
        <f>VLOOKUP(F11,'Set up'!$A$2:$D$48,4,FALSE)</f>
        <v>45</v>
      </c>
      <c r="K11" s="4">
        <f t="shared" si="2"/>
        <v>44049</v>
      </c>
      <c r="L11" s="5">
        <f t="shared" si="3"/>
        <v>8</v>
      </c>
      <c r="M11" s="5">
        <f t="shared" si="4"/>
        <v>2020</v>
      </c>
      <c r="N11" s="6">
        <v>185</v>
      </c>
      <c r="O11" s="6">
        <f t="shared" si="5"/>
        <v>-185</v>
      </c>
      <c r="P11" s="6">
        <f t="shared" si="6"/>
        <v>0</v>
      </c>
      <c r="Q11" s="7">
        <f t="shared" si="7"/>
        <v>9782.5</v>
      </c>
      <c r="R11" s="44" t="str">
        <f>VLOOKUP(F11,'Set up'!$A$2:$E$48,5,FALSE)</f>
        <v>PD Chq</v>
      </c>
      <c r="S11" s="13" t="s">
        <v>192</v>
      </c>
    </row>
    <row r="12" spans="1:20" hidden="1" x14ac:dyDescent="0.3">
      <c r="A12" s="4">
        <v>44013</v>
      </c>
      <c r="B12" s="5">
        <f t="shared" si="0"/>
        <v>7</v>
      </c>
      <c r="C12" s="5">
        <f t="shared" si="1"/>
        <v>2020</v>
      </c>
      <c r="D12" s="5" t="s">
        <v>21</v>
      </c>
      <c r="E12" s="5" t="str">
        <f>VLOOKUP(F12,'Set up'!$A$2:$C$48,2,FALSE)</f>
        <v>C00000004</v>
      </c>
      <c r="F12" s="1" t="s">
        <v>23</v>
      </c>
      <c r="G12" s="11" t="s">
        <v>24</v>
      </c>
      <c r="H12" s="5">
        <v>9</v>
      </c>
      <c r="I12" s="5">
        <f>VLOOKUP(F12,'Set up'!$A$2:$C$48,3,FALSE)</f>
        <v>120</v>
      </c>
      <c r="J12" s="5">
        <f>VLOOKUP(F12,'Set up'!$A$2:$D$48,4,FALSE)</f>
        <v>120</v>
      </c>
      <c r="K12" s="4">
        <f t="shared" si="2"/>
        <v>44133</v>
      </c>
      <c r="L12" s="5">
        <f t="shared" si="3"/>
        <v>10</v>
      </c>
      <c r="M12" s="5">
        <f t="shared" si="4"/>
        <v>2020</v>
      </c>
      <c r="N12" s="6">
        <v>1836</v>
      </c>
      <c r="O12" s="6">
        <f t="shared" si="5"/>
        <v>-1836</v>
      </c>
      <c r="P12" s="6">
        <f t="shared" si="6"/>
        <v>0</v>
      </c>
      <c r="Q12" s="7">
        <f t="shared" si="7"/>
        <v>11618.5</v>
      </c>
      <c r="R12" s="44" t="str">
        <f>VLOOKUP(F12,'Set up'!$A$2:$E$48,5,FALSE)</f>
        <v>Chq</v>
      </c>
      <c r="S12" s="21" t="s">
        <v>164</v>
      </c>
    </row>
    <row r="13" spans="1:20" hidden="1" x14ac:dyDescent="0.3">
      <c r="A13" s="4">
        <v>44026</v>
      </c>
      <c r="B13" s="5">
        <f t="shared" si="0"/>
        <v>7</v>
      </c>
      <c r="C13" s="5">
        <f t="shared" si="1"/>
        <v>2020</v>
      </c>
      <c r="D13" s="5" t="s">
        <v>26</v>
      </c>
      <c r="E13" s="5" t="str">
        <f>VLOOKUP(F13,'Set up'!$A$2:$C$48,2,FALSE)</f>
        <v>C00000003</v>
      </c>
      <c r="F13" s="1" t="s">
        <v>20</v>
      </c>
      <c r="G13" s="11" t="s">
        <v>28</v>
      </c>
      <c r="H13" s="5">
        <v>1</v>
      </c>
      <c r="I13" s="5">
        <f>VLOOKUP(F13,'Set up'!$A$2:$C$48,3,FALSE)</f>
        <v>45</v>
      </c>
      <c r="J13" s="5">
        <f>VLOOKUP(F13,'Set up'!$A$2:$D$48,4,FALSE)</f>
        <v>45</v>
      </c>
      <c r="K13" s="4">
        <f t="shared" si="2"/>
        <v>44071</v>
      </c>
      <c r="L13" s="5">
        <f t="shared" si="3"/>
        <v>8</v>
      </c>
      <c r="M13" s="5">
        <f t="shared" si="4"/>
        <v>2020</v>
      </c>
      <c r="N13" s="6">
        <v>1200</v>
      </c>
      <c r="O13" s="6">
        <f t="shared" si="5"/>
        <v>-1200</v>
      </c>
      <c r="P13" s="6">
        <f t="shared" si="6"/>
        <v>0</v>
      </c>
      <c r="Q13" s="7">
        <f t="shared" si="7"/>
        <v>12818.5</v>
      </c>
      <c r="R13" s="44" t="str">
        <f>VLOOKUP(F13,'Set up'!$A$2:$E$48,5,FALSE)</f>
        <v>PD Chq</v>
      </c>
      <c r="S13" s="13" t="s">
        <v>71</v>
      </c>
    </row>
    <row r="14" spans="1:20" hidden="1" x14ac:dyDescent="0.3">
      <c r="A14" s="4">
        <v>44027</v>
      </c>
      <c r="B14" s="5">
        <f t="shared" si="0"/>
        <v>7</v>
      </c>
      <c r="C14" s="5">
        <f t="shared" si="1"/>
        <v>2020</v>
      </c>
      <c r="D14" s="5" t="s">
        <v>27</v>
      </c>
      <c r="E14" s="5" t="str">
        <f>VLOOKUP(F14,'Set up'!$A$2:$C$48,2,FALSE)</f>
        <v>C00000001</v>
      </c>
      <c r="F14" s="1" t="s">
        <v>7</v>
      </c>
      <c r="G14" s="2" t="s">
        <v>95</v>
      </c>
      <c r="H14" s="5">
        <v>1</v>
      </c>
      <c r="I14" s="5" t="str">
        <f>VLOOKUP(F14,'Set up'!$A$2:$C$48,3,FALSE)</f>
        <v>Cash</v>
      </c>
      <c r="J14" s="5">
        <f>VLOOKUP(F14,'Set up'!$A$2:$D$48,4,FALSE)</f>
        <v>0</v>
      </c>
      <c r="K14" s="4">
        <f t="shared" si="2"/>
        <v>44027</v>
      </c>
      <c r="L14" s="5">
        <f t="shared" si="3"/>
        <v>7</v>
      </c>
      <c r="M14" s="5">
        <f t="shared" si="4"/>
        <v>2020</v>
      </c>
      <c r="N14" s="6">
        <v>1496</v>
      </c>
      <c r="O14" s="6">
        <f t="shared" si="5"/>
        <v>-1496</v>
      </c>
      <c r="P14" s="6">
        <f t="shared" si="6"/>
        <v>0</v>
      </c>
      <c r="Q14" s="7">
        <f t="shared" si="7"/>
        <v>14314.5</v>
      </c>
      <c r="R14" s="44" t="str">
        <f>VLOOKUP(F14,'Set up'!$A$2:$E$48,5,FALSE)</f>
        <v>Trsf</v>
      </c>
      <c r="S14" s="1" t="s">
        <v>78</v>
      </c>
    </row>
    <row r="15" spans="1:20" hidden="1" x14ac:dyDescent="0.3">
      <c r="A15" s="4">
        <v>44027</v>
      </c>
      <c r="B15" s="5">
        <f t="shared" si="0"/>
        <v>7</v>
      </c>
      <c r="C15" s="5">
        <f t="shared" si="1"/>
        <v>2020</v>
      </c>
      <c r="D15" s="5" t="s">
        <v>27</v>
      </c>
      <c r="E15" s="5" t="str">
        <f>VLOOKUP(F15,'Set up'!$A$2:$C$48,2,FALSE)</f>
        <v>C00000001</v>
      </c>
      <c r="F15" s="1" t="s">
        <v>7</v>
      </c>
      <c r="G15" s="11" t="s">
        <v>17</v>
      </c>
      <c r="H15" s="5">
        <v>4</v>
      </c>
      <c r="I15" s="5" t="str">
        <f>VLOOKUP(F15,'Set up'!$A$2:$C$48,3,FALSE)</f>
        <v>Cash</v>
      </c>
      <c r="J15" s="5">
        <f>VLOOKUP(F15,'Set up'!$A$2:$D$48,4,FALSE)</f>
        <v>0</v>
      </c>
      <c r="K15" s="4">
        <f t="shared" si="2"/>
        <v>44027</v>
      </c>
      <c r="L15" s="5">
        <f t="shared" si="3"/>
        <v>7</v>
      </c>
      <c r="M15" s="5">
        <f t="shared" si="4"/>
        <v>2020</v>
      </c>
      <c r="N15" s="6">
        <v>370</v>
      </c>
      <c r="O15" s="6">
        <f t="shared" si="5"/>
        <v>-370</v>
      </c>
      <c r="P15" s="6">
        <f t="shared" si="6"/>
        <v>0</v>
      </c>
      <c r="Q15" s="7">
        <f t="shared" si="7"/>
        <v>14684.5</v>
      </c>
      <c r="R15" s="44" t="str">
        <f>VLOOKUP(F15,'Set up'!$A$2:$E$48,5,FALSE)</f>
        <v>Trsf</v>
      </c>
      <c r="S15" s="1" t="s">
        <v>78</v>
      </c>
    </row>
    <row r="16" spans="1:20" hidden="1" x14ac:dyDescent="0.3">
      <c r="A16" s="4">
        <v>44027</v>
      </c>
      <c r="B16" s="5">
        <f t="shared" si="0"/>
        <v>7</v>
      </c>
      <c r="C16" s="5">
        <f t="shared" si="1"/>
        <v>2020</v>
      </c>
      <c r="D16" s="5" t="s">
        <v>27</v>
      </c>
      <c r="E16" s="5" t="str">
        <f>VLOOKUP(F16,'Set up'!$A$2:$C$48,2,FALSE)</f>
        <v>C00000001</v>
      </c>
      <c r="F16" s="1" t="s">
        <v>7</v>
      </c>
      <c r="G16" s="11" t="s">
        <v>202</v>
      </c>
      <c r="H16" s="5">
        <v>1</v>
      </c>
      <c r="I16" s="5" t="str">
        <f>VLOOKUP(F16,'Set up'!$A$2:$C$48,3,FALSE)</f>
        <v>Cash</v>
      </c>
      <c r="J16" s="5">
        <f>VLOOKUP(F16,'Set up'!$A$2:$D$48,4,FALSE)</f>
        <v>0</v>
      </c>
      <c r="K16" s="4">
        <f t="shared" si="2"/>
        <v>44027</v>
      </c>
      <c r="L16" s="5">
        <f t="shared" si="3"/>
        <v>7</v>
      </c>
      <c r="M16" s="5">
        <f t="shared" si="4"/>
        <v>2020</v>
      </c>
      <c r="N16" s="6">
        <v>232</v>
      </c>
      <c r="O16" s="6">
        <f t="shared" si="5"/>
        <v>-232</v>
      </c>
      <c r="P16" s="6">
        <f t="shared" si="6"/>
        <v>0</v>
      </c>
      <c r="Q16" s="7">
        <f t="shared" si="7"/>
        <v>14916.5</v>
      </c>
      <c r="R16" s="44" t="str">
        <f>VLOOKUP(F16,'Set up'!$A$2:$E$48,5,FALSE)</f>
        <v>Trsf</v>
      </c>
      <c r="S16" s="1" t="s">
        <v>78</v>
      </c>
      <c r="T16" s="1" t="s">
        <v>29</v>
      </c>
    </row>
    <row r="17" spans="1:19" hidden="1" x14ac:dyDescent="0.3">
      <c r="A17" s="4">
        <v>44044</v>
      </c>
      <c r="B17" s="5">
        <f t="shared" si="0"/>
        <v>8</v>
      </c>
      <c r="C17" s="5">
        <f t="shared" si="1"/>
        <v>2020</v>
      </c>
      <c r="D17" s="5" t="s">
        <v>30</v>
      </c>
      <c r="E17" s="5" t="str">
        <f>VLOOKUP(F17,'Set up'!$A$2:$C$48,2,FALSE)</f>
        <v>C00000004</v>
      </c>
      <c r="F17" s="1" t="s">
        <v>23</v>
      </c>
      <c r="G17" s="2" t="s">
        <v>95</v>
      </c>
      <c r="H17" s="5">
        <v>2</v>
      </c>
      <c r="I17" s="5">
        <f>VLOOKUP(F17,'Set up'!$A$2:$C$48,3,FALSE)</f>
        <v>120</v>
      </c>
      <c r="J17" s="5">
        <f>VLOOKUP(F17,'Set up'!$A$2:$D$48,4,FALSE)</f>
        <v>120</v>
      </c>
      <c r="K17" s="4">
        <f t="shared" si="2"/>
        <v>44164</v>
      </c>
      <c r="L17" s="5">
        <f t="shared" si="3"/>
        <v>11</v>
      </c>
      <c r="M17" s="5">
        <f t="shared" si="4"/>
        <v>2020</v>
      </c>
      <c r="N17" s="6">
        <v>2508</v>
      </c>
      <c r="O17" s="6">
        <f t="shared" si="5"/>
        <v>-2508</v>
      </c>
      <c r="P17" s="6">
        <f t="shared" si="6"/>
        <v>0</v>
      </c>
      <c r="Q17" s="7">
        <f t="shared" si="7"/>
        <v>17424.5</v>
      </c>
      <c r="R17" s="44" t="str">
        <f>VLOOKUP(F17,'Set up'!$A$2:$E$48,5,FALSE)</f>
        <v>Chq</v>
      </c>
      <c r="S17" s="20" t="s">
        <v>165</v>
      </c>
    </row>
    <row r="18" spans="1:19" hidden="1" x14ac:dyDescent="0.3">
      <c r="A18" s="4">
        <v>44051</v>
      </c>
      <c r="B18" s="5">
        <f t="shared" si="0"/>
        <v>8</v>
      </c>
      <c r="C18" s="5">
        <f t="shared" si="1"/>
        <v>2020</v>
      </c>
      <c r="D18" s="5" t="s">
        <v>31</v>
      </c>
      <c r="E18" s="5" t="str">
        <f>VLOOKUP(F18,'Set up'!$A$2:$C$48,2,FALSE)</f>
        <v>C00000004</v>
      </c>
      <c r="F18" s="1" t="s">
        <v>23</v>
      </c>
      <c r="G18" s="2" t="s">
        <v>95</v>
      </c>
      <c r="H18" s="5">
        <v>2</v>
      </c>
      <c r="I18" s="5">
        <f>VLOOKUP(F18,'Set up'!$A$2:$C$48,3,FALSE)</f>
        <v>120</v>
      </c>
      <c r="J18" s="5">
        <f>VLOOKUP(F18,'Set up'!$A$2:$D$48,4,FALSE)</f>
        <v>120</v>
      </c>
      <c r="K18" s="4">
        <f t="shared" si="2"/>
        <v>44171</v>
      </c>
      <c r="L18" s="5">
        <f t="shared" si="3"/>
        <v>12</v>
      </c>
      <c r="M18" s="5">
        <f t="shared" si="4"/>
        <v>2020</v>
      </c>
      <c r="N18" s="6">
        <v>2508</v>
      </c>
      <c r="O18" s="6">
        <f t="shared" si="5"/>
        <v>-2508</v>
      </c>
      <c r="P18" s="6">
        <f t="shared" si="6"/>
        <v>0</v>
      </c>
      <c r="Q18" s="7">
        <f t="shared" si="7"/>
        <v>19932.5</v>
      </c>
      <c r="R18" s="44" t="str">
        <f>VLOOKUP(F18,'Set up'!$A$2:$E$48,5,FALSE)</f>
        <v>Chq</v>
      </c>
      <c r="S18" s="20" t="s">
        <v>165</v>
      </c>
    </row>
    <row r="19" spans="1:19" hidden="1" x14ac:dyDescent="0.3">
      <c r="A19" s="4">
        <v>44051</v>
      </c>
      <c r="B19" s="5">
        <f t="shared" si="0"/>
        <v>8</v>
      </c>
      <c r="C19" s="5">
        <f t="shared" si="1"/>
        <v>2020</v>
      </c>
      <c r="D19" s="5" t="s">
        <v>32</v>
      </c>
      <c r="E19" s="5" t="str">
        <f>VLOOKUP(F19,'Set up'!$A$2:$C$48,2,FALSE)</f>
        <v>C00000004</v>
      </c>
      <c r="F19" s="1" t="s">
        <v>23</v>
      </c>
      <c r="G19" s="11" t="s">
        <v>111</v>
      </c>
      <c r="H19" s="5">
        <v>2</v>
      </c>
      <c r="I19" s="5">
        <f>VLOOKUP(F19,'Set up'!$A$2:$C$48,3,FALSE)</f>
        <v>120</v>
      </c>
      <c r="J19" s="5">
        <f>VLOOKUP(F19,'Set up'!$A$2:$D$48,4,FALSE)</f>
        <v>120</v>
      </c>
      <c r="K19" s="4">
        <f t="shared" si="2"/>
        <v>44171</v>
      </c>
      <c r="L19" s="5">
        <f t="shared" si="3"/>
        <v>12</v>
      </c>
      <c r="M19" s="5">
        <f t="shared" si="4"/>
        <v>2020</v>
      </c>
      <c r="N19" s="6">
        <v>324</v>
      </c>
      <c r="O19" s="6">
        <f t="shared" si="5"/>
        <v>-324</v>
      </c>
      <c r="P19" s="6">
        <f t="shared" si="6"/>
        <v>0</v>
      </c>
      <c r="Q19" s="7">
        <f t="shared" si="7"/>
        <v>20256.5</v>
      </c>
      <c r="R19" s="44" t="str">
        <f>VLOOKUP(F19,'Set up'!$A$2:$E$48,5,FALSE)</f>
        <v>Chq</v>
      </c>
      <c r="S19" s="20" t="s">
        <v>165</v>
      </c>
    </row>
    <row r="20" spans="1:19" hidden="1" x14ac:dyDescent="0.3">
      <c r="A20" s="4">
        <v>44053</v>
      </c>
      <c r="B20" s="5">
        <f t="shared" si="0"/>
        <v>8</v>
      </c>
      <c r="C20" s="5">
        <f t="shared" si="1"/>
        <v>2020</v>
      </c>
      <c r="D20" s="5" t="s">
        <v>33</v>
      </c>
      <c r="E20" s="5" t="str">
        <f>VLOOKUP(F20,'Set up'!$A$2:$C$48,2,FALSE)</f>
        <v>C00000005</v>
      </c>
      <c r="F20" s="1" t="s">
        <v>35</v>
      </c>
      <c r="G20" s="2" t="s">
        <v>95</v>
      </c>
      <c r="H20" s="5">
        <v>1</v>
      </c>
      <c r="I20" s="5" t="str">
        <f>VLOOKUP(F20,'Set up'!$A$2:$C$48,3,FALSE)</f>
        <v>Cash</v>
      </c>
      <c r="J20" s="5">
        <f>VLOOKUP(F20,'Set up'!$A$2:$D$48,4,FALSE)</f>
        <v>0</v>
      </c>
      <c r="K20" s="4">
        <f t="shared" si="2"/>
        <v>44053</v>
      </c>
      <c r="L20" s="5">
        <f t="shared" si="3"/>
        <v>8</v>
      </c>
      <c r="M20" s="5">
        <f t="shared" si="4"/>
        <v>2020</v>
      </c>
      <c r="N20" s="6">
        <v>1496</v>
      </c>
      <c r="O20" s="6">
        <f t="shared" si="5"/>
        <v>-1496</v>
      </c>
      <c r="P20" s="6">
        <f t="shared" si="6"/>
        <v>0</v>
      </c>
      <c r="Q20" s="7">
        <f t="shared" si="7"/>
        <v>21752.5</v>
      </c>
      <c r="R20" s="44" t="str">
        <f>VLOOKUP(F20,'Set up'!$A$2:$E$48,5,FALSE)</f>
        <v>Chq</v>
      </c>
      <c r="S20" s="1" t="s">
        <v>80</v>
      </c>
    </row>
    <row r="21" spans="1:19" hidden="1" x14ac:dyDescent="0.3">
      <c r="A21" s="4">
        <v>44053</v>
      </c>
      <c r="B21" s="5">
        <f t="shared" si="0"/>
        <v>8</v>
      </c>
      <c r="C21" s="5">
        <f t="shared" si="1"/>
        <v>2020</v>
      </c>
      <c r="D21" s="5" t="s">
        <v>33</v>
      </c>
      <c r="E21" s="5" t="str">
        <f>VLOOKUP(F21,'Set up'!$A$2:$C$48,2,FALSE)</f>
        <v>C00000005</v>
      </c>
      <c r="F21" s="1" t="s">
        <v>35</v>
      </c>
      <c r="G21" s="11" t="s">
        <v>17</v>
      </c>
      <c r="H21" s="5">
        <v>1</v>
      </c>
      <c r="I21" s="5" t="str">
        <f>VLOOKUP(F21,'Set up'!$A$2:$C$48,3,FALSE)</f>
        <v>Cash</v>
      </c>
      <c r="J21" s="5">
        <f>VLOOKUP(F21,'Set up'!$A$2:$D$48,4,FALSE)</f>
        <v>0</v>
      </c>
      <c r="K21" s="4">
        <f t="shared" si="2"/>
        <v>44053</v>
      </c>
      <c r="L21" s="5">
        <f t="shared" si="3"/>
        <v>8</v>
      </c>
      <c r="M21" s="5">
        <f t="shared" si="4"/>
        <v>2020</v>
      </c>
      <c r="N21" s="6">
        <v>90</v>
      </c>
      <c r="O21" s="6">
        <f t="shared" si="5"/>
        <v>-90</v>
      </c>
      <c r="P21" s="6">
        <f t="shared" si="6"/>
        <v>0</v>
      </c>
      <c r="Q21" s="7">
        <f t="shared" si="7"/>
        <v>21842.5</v>
      </c>
      <c r="R21" s="44" t="str">
        <f>VLOOKUP(F21,'Set up'!$A$2:$E$48,5,FALSE)</f>
        <v>Chq</v>
      </c>
      <c r="S21" s="1" t="s">
        <v>80</v>
      </c>
    </row>
    <row r="22" spans="1:19" hidden="1" x14ac:dyDescent="0.3">
      <c r="A22" s="4">
        <v>44053</v>
      </c>
      <c r="B22" s="5">
        <f t="shared" si="0"/>
        <v>8</v>
      </c>
      <c r="C22" s="5">
        <f t="shared" si="1"/>
        <v>2020</v>
      </c>
      <c r="D22" s="5" t="s">
        <v>36</v>
      </c>
      <c r="E22" s="5" t="str">
        <f>VLOOKUP(F22,'Set up'!$A$2:$C$48,2,FALSE)</f>
        <v>C00000003</v>
      </c>
      <c r="F22" s="1" t="s">
        <v>20</v>
      </c>
      <c r="G22" s="2" t="s">
        <v>95</v>
      </c>
      <c r="H22" s="5">
        <v>2</v>
      </c>
      <c r="I22" s="5">
        <f>VLOOKUP(F22,'Set up'!$A$2:$C$48,3,FALSE)</f>
        <v>45</v>
      </c>
      <c r="J22" s="5">
        <f>VLOOKUP(F22,'Set up'!$A$2:$D$48,4,FALSE)</f>
        <v>45</v>
      </c>
      <c r="K22" s="4">
        <f t="shared" si="2"/>
        <v>44098</v>
      </c>
      <c r="L22" s="5">
        <f t="shared" si="3"/>
        <v>9</v>
      </c>
      <c r="M22" s="5">
        <f t="shared" si="4"/>
        <v>2020</v>
      </c>
      <c r="N22" s="6">
        <v>3036</v>
      </c>
      <c r="O22" s="6">
        <f t="shared" si="5"/>
        <v>-3036</v>
      </c>
      <c r="P22" s="6">
        <f t="shared" si="6"/>
        <v>0</v>
      </c>
      <c r="Q22" s="7">
        <f t="shared" si="7"/>
        <v>24878.5</v>
      </c>
      <c r="R22" s="44" t="str">
        <f>VLOOKUP(F22,'Set up'!$A$2:$E$48,5,FALSE)</f>
        <v>PD Chq</v>
      </c>
      <c r="S22" s="13" t="s">
        <v>75</v>
      </c>
    </row>
    <row r="23" spans="1:19" hidden="1" x14ac:dyDescent="0.3">
      <c r="A23" s="4">
        <v>44053</v>
      </c>
      <c r="B23" s="5">
        <f t="shared" si="0"/>
        <v>8</v>
      </c>
      <c r="C23" s="5">
        <f t="shared" si="1"/>
        <v>2020</v>
      </c>
      <c r="D23" s="5" t="s">
        <v>36</v>
      </c>
      <c r="E23" s="5" t="str">
        <f>VLOOKUP(F23,'Set up'!$A$2:$C$48,2,FALSE)</f>
        <v>C00000003</v>
      </c>
      <c r="F23" s="1" t="s">
        <v>20</v>
      </c>
      <c r="G23" s="11" t="s">
        <v>17</v>
      </c>
      <c r="H23" s="5">
        <v>4</v>
      </c>
      <c r="I23" s="5">
        <f>VLOOKUP(F23,'Set up'!$A$2:$C$48,3,FALSE)</f>
        <v>45</v>
      </c>
      <c r="J23" s="5">
        <f>VLOOKUP(F23,'Set up'!$A$2:$D$48,4,FALSE)</f>
        <v>45</v>
      </c>
      <c r="K23" s="4">
        <f t="shared" si="2"/>
        <v>44098</v>
      </c>
      <c r="L23" s="5">
        <f t="shared" si="3"/>
        <v>9</v>
      </c>
      <c r="M23" s="5">
        <f t="shared" si="4"/>
        <v>2020</v>
      </c>
      <c r="N23" s="6">
        <v>370</v>
      </c>
      <c r="O23" s="6">
        <f t="shared" si="5"/>
        <v>-370</v>
      </c>
      <c r="P23" s="6">
        <f t="shared" si="6"/>
        <v>0</v>
      </c>
      <c r="Q23" s="7">
        <f t="shared" si="7"/>
        <v>25248.5</v>
      </c>
      <c r="R23" s="44" t="str">
        <f>VLOOKUP(F23,'Set up'!$A$2:$E$48,5,FALSE)</f>
        <v>PD Chq</v>
      </c>
      <c r="S23" s="13" t="s">
        <v>75</v>
      </c>
    </row>
    <row r="24" spans="1:19" hidden="1" x14ac:dyDescent="0.3">
      <c r="A24" s="4">
        <v>44055</v>
      </c>
      <c r="B24" s="5">
        <f t="shared" si="0"/>
        <v>8</v>
      </c>
      <c r="C24" s="5">
        <f t="shared" si="1"/>
        <v>2020</v>
      </c>
      <c r="D24" s="5" t="s">
        <v>37</v>
      </c>
      <c r="E24" s="5" t="str">
        <f>VLOOKUP(F24,'Set up'!$A$2:$C$48,2,FALSE)</f>
        <v>C00000001</v>
      </c>
      <c r="F24" s="1" t="s">
        <v>7</v>
      </c>
      <c r="G24" s="2" t="s">
        <v>95</v>
      </c>
      <c r="H24" s="5">
        <v>1</v>
      </c>
      <c r="I24" s="5" t="str">
        <f>VLOOKUP(F24,'Set up'!$A$2:$C$48,3,FALSE)</f>
        <v>Cash</v>
      </c>
      <c r="J24" s="5">
        <f>VLOOKUP(F24,'Set up'!$A$2:$D$48,4,FALSE)</f>
        <v>0</v>
      </c>
      <c r="K24" s="4">
        <f t="shared" si="2"/>
        <v>44055</v>
      </c>
      <c r="L24" s="5">
        <f t="shared" si="3"/>
        <v>8</v>
      </c>
      <c r="M24" s="5">
        <f t="shared" si="4"/>
        <v>2020</v>
      </c>
      <c r="N24" s="6">
        <v>1496</v>
      </c>
      <c r="O24" s="6">
        <f t="shared" si="5"/>
        <v>-1496</v>
      </c>
      <c r="P24" s="6">
        <f t="shared" si="6"/>
        <v>0</v>
      </c>
      <c r="Q24" s="7">
        <f t="shared" si="7"/>
        <v>26744.5</v>
      </c>
      <c r="R24" s="44" t="str">
        <f>VLOOKUP(F24,'Set up'!$A$2:$E$48,5,FALSE)</f>
        <v>Trsf</v>
      </c>
      <c r="S24" s="1" t="s">
        <v>79</v>
      </c>
    </row>
    <row r="25" spans="1:19" hidden="1" x14ac:dyDescent="0.3">
      <c r="A25" s="4">
        <v>44055</v>
      </c>
      <c r="B25" s="5">
        <f t="shared" si="0"/>
        <v>8</v>
      </c>
      <c r="C25" s="5">
        <f t="shared" si="1"/>
        <v>2020</v>
      </c>
      <c r="D25" s="5" t="s">
        <v>37</v>
      </c>
      <c r="E25" s="5" t="str">
        <f>VLOOKUP(F25,'Set up'!$A$2:$C$48,2,FALSE)</f>
        <v>C00000001</v>
      </c>
      <c r="F25" s="1" t="s">
        <v>7</v>
      </c>
      <c r="G25" s="2" t="s">
        <v>63</v>
      </c>
      <c r="H25" s="5">
        <v>4</v>
      </c>
      <c r="I25" s="5" t="str">
        <f>VLOOKUP(F25,'Set up'!$A$2:$C$48,3,FALSE)</f>
        <v>Cash</v>
      </c>
      <c r="J25" s="5">
        <f>VLOOKUP(F25,'Set up'!$A$2:$D$48,4,FALSE)</f>
        <v>0</v>
      </c>
      <c r="K25" s="4">
        <f t="shared" si="2"/>
        <v>44055</v>
      </c>
      <c r="L25" s="5">
        <f t="shared" si="3"/>
        <v>8</v>
      </c>
      <c r="M25" s="5">
        <f t="shared" si="4"/>
        <v>2020</v>
      </c>
      <c r="N25" s="6">
        <v>962</v>
      </c>
      <c r="O25" s="6">
        <f t="shared" si="5"/>
        <v>-962</v>
      </c>
      <c r="P25" s="6">
        <f t="shared" si="6"/>
        <v>0</v>
      </c>
      <c r="Q25" s="7">
        <f t="shared" si="7"/>
        <v>27706.5</v>
      </c>
      <c r="R25" s="44" t="str">
        <f>VLOOKUP(F25,'Set up'!$A$2:$E$48,5,FALSE)</f>
        <v>Trsf</v>
      </c>
      <c r="S25" s="1" t="s">
        <v>79</v>
      </c>
    </row>
    <row r="26" spans="1:19" hidden="1" x14ac:dyDescent="0.3">
      <c r="A26" s="4">
        <v>44055</v>
      </c>
      <c r="B26" s="5">
        <f t="shared" si="0"/>
        <v>8</v>
      </c>
      <c r="C26" s="5">
        <f t="shared" si="1"/>
        <v>2020</v>
      </c>
      <c r="D26" s="5" t="s">
        <v>37</v>
      </c>
      <c r="E26" s="5" t="str">
        <f>VLOOKUP(F26,'Set up'!$A$2:$C$48,2,FALSE)</f>
        <v>C00000001</v>
      </c>
      <c r="F26" s="1" t="s">
        <v>7</v>
      </c>
      <c r="G26" s="11" t="s">
        <v>202</v>
      </c>
      <c r="H26" s="5">
        <v>2</v>
      </c>
      <c r="I26" s="5" t="str">
        <f>VLOOKUP(F26,'Set up'!$A$2:$C$48,3,FALSE)</f>
        <v>Cash</v>
      </c>
      <c r="J26" s="5">
        <f>VLOOKUP(F26,'Set up'!$A$2:$D$48,4,FALSE)</f>
        <v>0</v>
      </c>
      <c r="K26" s="4">
        <f t="shared" si="2"/>
        <v>44055</v>
      </c>
      <c r="L26" s="5">
        <f t="shared" si="3"/>
        <v>8</v>
      </c>
      <c r="M26" s="5">
        <f t="shared" si="4"/>
        <v>2020</v>
      </c>
      <c r="N26" s="6">
        <v>464</v>
      </c>
      <c r="O26" s="6">
        <f t="shared" si="5"/>
        <v>-464</v>
      </c>
      <c r="P26" s="6">
        <f t="shared" si="6"/>
        <v>0</v>
      </c>
      <c r="Q26" s="7">
        <f t="shared" si="7"/>
        <v>28170.5</v>
      </c>
      <c r="R26" s="44" t="str">
        <f>VLOOKUP(F26,'Set up'!$A$2:$E$48,5,FALSE)</f>
        <v>Trsf</v>
      </c>
      <c r="S26" s="1" t="s">
        <v>79</v>
      </c>
    </row>
    <row r="27" spans="1:19" hidden="1" x14ac:dyDescent="0.3">
      <c r="A27" s="4">
        <v>44056</v>
      </c>
      <c r="B27" s="5">
        <f t="shared" si="0"/>
        <v>8</v>
      </c>
      <c r="C27" s="5">
        <f t="shared" si="1"/>
        <v>2020</v>
      </c>
      <c r="D27" s="5" t="s">
        <v>38</v>
      </c>
      <c r="E27" s="5" t="str">
        <f>VLOOKUP(F27,'Set up'!$A$2:$C$48,2,FALSE)</f>
        <v>C00000001</v>
      </c>
      <c r="F27" s="1" t="s">
        <v>7</v>
      </c>
      <c r="G27" s="11" t="s">
        <v>39</v>
      </c>
      <c r="H27" s="5">
        <v>4</v>
      </c>
      <c r="I27" s="5" t="str">
        <f>VLOOKUP(F27,'Set up'!$A$2:$C$48,3,FALSE)</f>
        <v>Cash</v>
      </c>
      <c r="J27" s="5">
        <f>VLOOKUP(F27,'Set up'!$A$2:$D$48,4,FALSE)</f>
        <v>0</v>
      </c>
      <c r="K27" s="4">
        <f t="shared" si="2"/>
        <v>44056</v>
      </c>
      <c r="L27" s="5">
        <f t="shared" si="3"/>
        <v>8</v>
      </c>
      <c r="M27" s="5">
        <f t="shared" si="4"/>
        <v>2020</v>
      </c>
      <c r="N27" s="6">
        <v>960</v>
      </c>
      <c r="O27" s="6">
        <f t="shared" si="5"/>
        <v>-960</v>
      </c>
      <c r="P27" s="6">
        <f t="shared" si="6"/>
        <v>0</v>
      </c>
      <c r="Q27" s="7">
        <f t="shared" si="7"/>
        <v>29130.5</v>
      </c>
      <c r="R27" s="44" t="str">
        <f>VLOOKUP(F27,'Set up'!$A$2:$E$48,5,FALSE)</f>
        <v>Trsf</v>
      </c>
      <c r="S27" s="1" t="s">
        <v>79</v>
      </c>
    </row>
    <row r="28" spans="1:19" hidden="1" x14ac:dyDescent="0.3">
      <c r="A28" s="4">
        <v>44062</v>
      </c>
      <c r="B28" s="5">
        <f t="shared" si="0"/>
        <v>8</v>
      </c>
      <c r="C28" s="5">
        <f t="shared" si="1"/>
        <v>2020</v>
      </c>
      <c r="D28" s="5" t="s">
        <v>40</v>
      </c>
      <c r="E28" s="5" t="str">
        <f>VLOOKUP(F28,'Set up'!$A$2:$C$48,2,FALSE)</f>
        <v>C00000003</v>
      </c>
      <c r="F28" s="1" t="s">
        <v>20</v>
      </c>
      <c r="G28" s="2" t="s">
        <v>96</v>
      </c>
      <c r="H28" s="5">
        <v>1</v>
      </c>
      <c r="I28" s="5">
        <f>VLOOKUP(F28,'Set up'!$A$2:$C$48,3,FALSE)</f>
        <v>45</v>
      </c>
      <c r="J28" s="5">
        <f>VLOOKUP(F28,'Set up'!$A$2:$D$48,4,FALSE)</f>
        <v>45</v>
      </c>
      <c r="K28" s="4">
        <f t="shared" si="2"/>
        <v>44107</v>
      </c>
      <c r="L28" s="5">
        <f t="shared" si="3"/>
        <v>10</v>
      </c>
      <c r="M28" s="5">
        <f t="shared" si="4"/>
        <v>2020</v>
      </c>
      <c r="N28" s="6">
        <v>367.2</v>
      </c>
      <c r="O28" s="6">
        <f t="shared" si="5"/>
        <v>-367.2</v>
      </c>
      <c r="P28" s="6">
        <f t="shared" si="6"/>
        <v>0</v>
      </c>
      <c r="Q28" s="7">
        <f t="shared" si="7"/>
        <v>29497.7</v>
      </c>
      <c r="R28" s="44" t="str">
        <f>VLOOKUP(F28,'Set up'!$A$2:$E$48,5,FALSE)</f>
        <v>PD Chq</v>
      </c>
      <c r="S28" s="13" t="s">
        <v>89</v>
      </c>
    </row>
    <row r="29" spans="1:19" hidden="1" x14ac:dyDescent="0.3">
      <c r="A29" s="4">
        <v>44062</v>
      </c>
      <c r="B29" s="5">
        <f t="shared" si="0"/>
        <v>8</v>
      </c>
      <c r="C29" s="5">
        <f t="shared" si="1"/>
        <v>2020</v>
      </c>
      <c r="D29" s="5" t="s">
        <v>41</v>
      </c>
      <c r="E29" s="5" t="str">
        <f>VLOOKUP(F29,'Set up'!$A$2:$C$48,2,FALSE)</f>
        <v>C00000006</v>
      </c>
      <c r="F29" s="1" t="s">
        <v>43</v>
      </c>
      <c r="G29" s="2" t="s">
        <v>95</v>
      </c>
      <c r="H29" s="5">
        <v>1</v>
      </c>
      <c r="I29" s="5" t="str">
        <f>VLOOKUP(F29,'Set up'!$A$2:$C$48,3,FALSE)</f>
        <v>Cash</v>
      </c>
      <c r="J29" s="5">
        <f>VLOOKUP(F29,'Set up'!$A$2:$D$48,4,FALSE)</f>
        <v>0</v>
      </c>
      <c r="K29" s="4">
        <f t="shared" si="2"/>
        <v>44062</v>
      </c>
      <c r="L29" s="5">
        <f t="shared" si="3"/>
        <v>8</v>
      </c>
      <c r="M29" s="5">
        <f t="shared" si="4"/>
        <v>2020</v>
      </c>
      <c r="N29" s="6">
        <v>1496</v>
      </c>
      <c r="O29" s="6">
        <f t="shared" si="5"/>
        <v>-1496</v>
      </c>
      <c r="P29" s="6">
        <f t="shared" si="6"/>
        <v>0</v>
      </c>
      <c r="Q29" s="7">
        <f t="shared" si="7"/>
        <v>30993.7</v>
      </c>
      <c r="R29" s="44" t="str">
        <f>VLOOKUP(F29,'Set up'!$A$2:$E$48,5,FALSE)</f>
        <v>Chq</v>
      </c>
      <c r="S29" s="1" t="s">
        <v>81</v>
      </c>
    </row>
    <row r="30" spans="1:19" hidden="1" x14ac:dyDescent="0.3">
      <c r="A30" s="4">
        <v>44062</v>
      </c>
      <c r="B30" s="5">
        <f t="shared" si="0"/>
        <v>8</v>
      </c>
      <c r="C30" s="5">
        <f t="shared" si="1"/>
        <v>2020</v>
      </c>
      <c r="D30" s="5" t="s">
        <v>41</v>
      </c>
      <c r="E30" s="5" t="str">
        <f>VLOOKUP(F30,'Set up'!$A$2:$C$48,2,FALSE)</f>
        <v>C00000006</v>
      </c>
      <c r="F30" s="1" t="s">
        <v>43</v>
      </c>
      <c r="G30" s="11" t="s">
        <v>24</v>
      </c>
      <c r="H30" s="5">
        <v>1</v>
      </c>
      <c r="I30" s="5" t="str">
        <f>VLOOKUP(F30,'Set up'!$A$2:$C$48,3,FALSE)</f>
        <v>Cash</v>
      </c>
      <c r="J30" s="5">
        <f>VLOOKUP(F30,'Set up'!$A$2:$D$48,4,FALSE)</f>
        <v>0</v>
      </c>
      <c r="K30" s="4">
        <f t="shared" si="2"/>
        <v>44062</v>
      </c>
      <c r="L30" s="5">
        <f t="shared" si="3"/>
        <v>8</v>
      </c>
      <c r="M30" s="5">
        <f t="shared" si="4"/>
        <v>2020</v>
      </c>
      <c r="N30" s="6">
        <v>210</v>
      </c>
      <c r="O30" s="6">
        <f t="shared" si="5"/>
        <v>-210</v>
      </c>
      <c r="P30" s="6">
        <f t="shared" si="6"/>
        <v>0</v>
      </c>
      <c r="Q30" s="7">
        <f t="shared" si="7"/>
        <v>31203.7</v>
      </c>
      <c r="R30" s="44" t="str">
        <f>VLOOKUP(F30,'Set up'!$A$2:$E$48,5,FALSE)</f>
        <v>Chq</v>
      </c>
      <c r="S30" s="8" t="s">
        <v>81</v>
      </c>
    </row>
    <row r="31" spans="1:19" hidden="1" x14ac:dyDescent="0.3">
      <c r="A31" s="4">
        <v>44065</v>
      </c>
      <c r="B31" s="5">
        <f t="shared" si="0"/>
        <v>8</v>
      </c>
      <c r="C31" s="5">
        <f t="shared" si="1"/>
        <v>2020</v>
      </c>
      <c r="D31" s="5" t="s">
        <v>49</v>
      </c>
      <c r="E31" s="5" t="str">
        <f>VLOOKUP(F31,'Set up'!$A$2:$C$48,2,FALSE)</f>
        <v>C00000007</v>
      </c>
      <c r="F31" s="1" t="s">
        <v>47</v>
      </c>
      <c r="G31" s="2" t="s">
        <v>96</v>
      </c>
      <c r="H31" s="5">
        <v>4</v>
      </c>
      <c r="I31" s="5" t="str">
        <f>VLOOKUP(F31,'Set up'!$A$2:$C$48,3,FALSE)</f>
        <v>Cash</v>
      </c>
      <c r="J31" s="5">
        <f>VLOOKUP(F31,'Set up'!$A$2:$D$48,4,FALSE)</f>
        <v>0</v>
      </c>
      <c r="K31" s="4">
        <f t="shared" si="2"/>
        <v>44065</v>
      </c>
      <c r="L31" s="5">
        <f t="shared" si="3"/>
        <v>8</v>
      </c>
      <c r="M31" s="5">
        <f t="shared" si="4"/>
        <v>2020</v>
      </c>
      <c r="N31" s="6">
        <v>1296</v>
      </c>
      <c r="O31" s="6">
        <f t="shared" si="5"/>
        <v>-1296</v>
      </c>
      <c r="P31" s="6">
        <f t="shared" si="6"/>
        <v>0</v>
      </c>
      <c r="Q31" s="7">
        <f t="shared" si="7"/>
        <v>32499.7</v>
      </c>
      <c r="R31" s="44" t="str">
        <f>VLOOKUP(F31,'Set up'!$A$2:$E$48,5,FALSE)</f>
        <v>Trsf</v>
      </c>
      <c r="S31" s="15" t="s">
        <v>108</v>
      </c>
    </row>
    <row r="32" spans="1:19" hidden="1" x14ac:dyDescent="0.3">
      <c r="A32" s="4">
        <v>44065</v>
      </c>
      <c r="B32" s="5">
        <f t="shared" si="0"/>
        <v>8</v>
      </c>
      <c r="C32" s="5">
        <f t="shared" si="1"/>
        <v>2020</v>
      </c>
      <c r="D32" s="5" t="s">
        <v>49</v>
      </c>
      <c r="E32" s="5" t="str">
        <f>VLOOKUP(F32,'Set up'!$A$2:$C$48,2,FALSE)</f>
        <v>C00000007</v>
      </c>
      <c r="F32" s="1" t="s">
        <v>47</v>
      </c>
      <c r="G32" s="11" t="s">
        <v>44</v>
      </c>
      <c r="H32" s="5">
        <v>4</v>
      </c>
      <c r="I32" s="5" t="str">
        <f>VLOOKUP(F32,'Set up'!$A$2:$C$48,3,FALSE)</f>
        <v>Cash</v>
      </c>
      <c r="J32" s="5">
        <f>VLOOKUP(F32,'Set up'!$A$2:$D$48,4,FALSE)</f>
        <v>0</v>
      </c>
      <c r="K32" s="4">
        <f t="shared" si="2"/>
        <v>44065</v>
      </c>
      <c r="L32" s="5">
        <f t="shared" si="3"/>
        <v>8</v>
      </c>
      <c r="M32" s="5">
        <f t="shared" si="4"/>
        <v>2020</v>
      </c>
      <c r="N32" s="6">
        <v>840</v>
      </c>
      <c r="O32" s="6">
        <f t="shared" si="5"/>
        <v>-840</v>
      </c>
      <c r="P32" s="6">
        <f t="shared" si="6"/>
        <v>0</v>
      </c>
      <c r="Q32" s="7">
        <f t="shared" si="7"/>
        <v>33339.699999999997</v>
      </c>
      <c r="R32" s="44" t="str">
        <f>VLOOKUP(F32,'Set up'!$A$2:$E$48,5,FALSE)</f>
        <v>Trsf</v>
      </c>
      <c r="S32" s="15" t="s">
        <v>108</v>
      </c>
    </row>
    <row r="33" spans="1:19" hidden="1" x14ac:dyDescent="0.3">
      <c r="A33" s="4">
        <v>44065</v>
      </c>
      <c r="B33" s="5">
        <f t="shared" si="0"/>
        <v>8</v>
      </c>
      <c r="C33" s="5">
        <f t="shared" si="1"/>
        <v>2020</v>
      </c>
      <c r="D33" s="5" t="s">
        <v>49</v>
      </c>
      <c r="E33" s="5" t="str">
        <f>VLOOKUP(F33,'Set up'!$A$2:$C$48,2,FALSE)</f>
        <v>C00000007</v>
      </c>
      <c r="F33" s="1" t="s">
        <v>47</v>
      </c>
      <c r="G33" s="2" t="s">
        <v>45</v>
      </c>
      <c r="H33" s="5">
        <v>2</v>
      </c>
      <c r="I33" s="5" t="str">
        <f>VLOOKUP(F33,'Set up'!$A$2:$C$48,3,FALSE)</f>
        <v>Cash</v>
      </c>
      <c r="J33" s="5">
        <f>VLOOKUP(F33,'Set up'!$A$2:$D$48,4,FALSE)</f>
        <v>0</v>
      </c>
      <c r="K33" s="4">
        <f t="shared" si="2"/>
        <v>44065</v>
      </c>
      <c r="L33" s="5">
        <f t="shared" si="3"/>
        <v>8</v>
      </c>
      <c r="M33" s="5">
        <f t="shared" si="4"/>
        <v>2020</v>
      </c>
      <c r="N33" s="6">
        <v>460</v>
      </c>
      <c r="O33" s="6">
        <f t="shared" si="5"/>
        <v>-460</v>
      </c>
      <c r="P33" s="6">
        <f t="shared" si="6"/>
        <v>0</v>
      </c>
      <c r="Q33" s="7">
        <f t="shared" si="7"/>
        <v>33799.699999999997</v>
      </c>
      <c r="R33" s="44" t="str">
        <f>VLOOKUP(F33,'Set up'!$A$2:$E$48,5,FALSE)</f>
        <v>Trsf</v>
      </c>
      <c r="S33" s="15" t="s">
        <v>108</v>
      </c>
    </row>
    <row r="34" spans="1:19" hidden="1" x14ac:dyDescent="0.3">
      <c r="A34" s="4">
        <v>44065</v>
      </c>
      <c r="B34" s="5">
        <f t="shared" ref="B34:B65" si="8">MONTH(A34)</f>
        <v>8</v>
      </c>
      <c r="C34" s="5">
        <f t="shared" ref="C34:C65" si="9">YEAR(A34)</f>
        <v>2020</v>
      </c>
      <c r="D34" s="5" t="s">
        <v>49</v>
      </c>
      <c r="E34" s="5" t="str">
        <f>VLOOKUP(F34,'Set up'!$A$2:$C$48,2,FALSE)</f>
        <v>C00000007</v>
      </c>
      <c r="F34" s="1" t="s">
        <v>47</v>
      </c>
      <c r="G34" s="11" t="s">
        <v>46</v>
      </c>
      <c r="H34" s="5">
        <v>4</v>
      </c>
      <c r="I34" s="5" t="str">
        <f>VLOOKUP(F34,'Set up'!$A$2:$C$48,3,FALSE)</f>
        <v>Cash</v>
      </c>
      <c r="J34" s="5">
        <f>VLOOKUP(F34,'Set up'!$A$2:$D$48,4,FALSE)</f>
        <v>0</v>
      </c>
      <c r="K34" s="4">
        <f t="shared" si="2"/>
        <v>44065</v>
      </c>
      <c r="L34" s="5">
        <f t="shared" si="3"/>
        <v>8</v>
      </c>
      <c r="M34" s="5">
        <f t="shared" si="4"/>
        <v>2020</v>
      </c>
      <c r="N34" s="6">
        <v>360</v>
      </c>
      <c r="O34" s="6">
        <f t="shared" si="5"/>
        <v>-360</v>
      </c>
      <c r="P34" s="6">
        <f t="shared" ref="P34:P65" si="10">SUM(N34+O34)</f>
        <v>0</v>
      </c>
      <c r="Q34" s="7">
        <f t="shared" si="7"/>
        <v>34159.699999999997</v>
      </c>
      <c r="R34" s="44" t="str">
        <f>VLOOKUP(F34,'Set up'!$A$2:$E$48,5,FALSE)</f>
        <v>Trsf</v>
      </c>
      <c r="S34" s="15" t="s">
        <v>108</v>
      </c>
    </row>
    <row r="35" spans="1:19" hidden="1" x14ac:dyDescent="0.3">
      <c r="A35" s="4">
        <v>44065</v>
      </c>
      <c r="B35" s="5">
        <f t="shared" si="8"/>
        <v>8</v>
      </c>
      <c r="C35" s="5">
        <f t="shared" si="9"/>
        <v>2020</v>
      </c>
      <c r="D35" s="5" t="s">
        <v>50</v>
      </c>
      <c r="E35" s="5" t="str">
        <f>VLOOKUP(F35,'Set up'!$A$2:$C$48,2,FALSE)</f>
        <v>C00000008</v>
      </c>
      <c r="F35" s="1" t="s">
        <v>52</v>
      </c>
      <c r="G35" s="2" t="s">
        <v>95</v>
      </c>
      <c r="H35" s="5">
        <v>1</v>
      </c>
      <c r="I35" s="5" t="str">
        <f>VLOOKUP(F35,'Set up'!$A$2:$C$48,3,FALSE)</f>
        <v>Cash</v>
      </c>
      <c r="J35" s="5">
        <f>VLOOKUP(F35,'Set up'!$A$2:$D$48,4,FALSE)</f>
        <v>0</v>
      </c>
      <c r="K35" s="4">
        <f t="shared" si="2"/>
        <v>44065</v>
      </c>
      <c r="L35" s="5">
        <f t="shared" si="3"/>
        <v>8</v>
      </c>
      <c r="M35" s="5">
        <f t="shared" si="4"/>
        <v>2020</v>
      </c>
      <c r="N35" s="6">
        <v>1452</v>
      </c>
      <c r="O35" s="6">
        <f t="shared" si="5"/>
        <v>-1452</v>
      </c>
      <c r="P35" s="6">
        <f t="shared" si="10"/>
        <v>0</v>
      </c>
      <c r="Q35" s="7">
        <f t="shared" si="7"/>
        <v>35611.699999999997</v>
      </c>
      <c r="R35" s="44" t="str">
        <f>VLOOKUP(F35,'Set up'!$A$2:$E$48,5,FALSE)</f>
        <v>Trsf</v>
      </c>
      <c r="S35" s="1" t="s">
        <v>73</v>
      </c>
    </row>
    <row r="36" spans="1:19" hidden="1" x14ac:dyDescent="0.3">
      <c r="A36" s="4">
        <v>44067</v>
      </c>
      <c r="B36" s="5">
        <f t="shared" si="8"/>
        <v>8</v>
      </c>
      <c r="C36" s="5">
        <f t="shared" si="9"/>
        <v>2020</v>
      </c>
      <c r="D36" s="5" t="s">
        <v>53</v>
      </c>
      <c r="E36" s="5" t="str">
        <f>VLOOKUP(F36,'Set up'!$A$2:$C$48,2,FALSE)</f>
        <v>C00000003</v>
      </c>
      <c r="F36" s="1" t="s">
        <v>20</v>
      </c>
      <c r="G36" s="2" t="s">
        <v>95</v>
      </c>
      <c r="H36" s="5">
        <v>1</v>
      </c>
      <c r="I36" s="5">
        <f>VLOOKUP(F36,'Set up'!$A$2:$C$48,3,FALSE)</f>
        <v>45</v>
      </c>
      <c r="J36" s="5">
        <f>VLOOKUP(F36,'Set up'!$A$2:$D$48,4,FALSE)</f>
        <v>45</v>
      </c>
      <c r="K36" s="4">
        <f t="shared" si="2"/>
        <v>44112</v>
      </c>
      <c r="L36" s="5">
        <f t="shared" si="3"/>
        <v>10</v>
      </c>
      <c r="M36" s="5">
        <f t="shared" si="4"/>
        <v>2020</v>
      </c>
      <c r="N36" s="12">
        <v>1518</v>
      </c>
      <c r="O36" s="6">
        <f t="shared" si="5"/>
        <v>-1518</v>
      </c>
      <c r="P36" s="6">
        <f t="shared" si="10"/>
        <v>0</v>
      </c>
      <c r="Q36" s="7">
        <f t="shared" si="7"/>
        <v>37129.699999999997</v>
      </c>
      <c r="R36" s="44" t="str">
        <f>VLOOKUP(F36,'Set up'!$A$2:$E$48,5,FALSE)</f>
        <v>PD Chq</v>
      </c>
      <c r="S36" s="13" t="s">
        <v>90</v>
      </c>
    </row>
    <row r="37" spans="1:19" hidden="1" x14ac:dyDescent="0.3">
      <c r="A37" s="4">
        <v>44067</v>
      </c>
      <c r="B37" s="5">
        <f t="shared" si="8"/>
        <v>8</v>
      </c>
      <c r="C37" s="5">
        <f t="shared" si="9"/>
        <v>2020</v>
      </c>
      <c r="D37" s="5" t="s">
        <v>53</v>
      </c>
      <c r="E37" s="5" t="str">
        <f>VLOOKUP(F37,'Set up'!$A$2:$C$48,2,FALSE)</f>
        <v>C00000003</v>
      </c>
      <c r="F37" s="1" t="s">
        <v>20</v>
      </c>
      <c r="G37" s="11" t="s">
        <v>54</v>
      </c>
      <c r="H37" s="5">
        <v>4</v>
      </c>
      <c r="I37" s="5">
        <f>VLOOKUP(F37,'Set up'!$A$2:$C$48,3,FALSE)</f>
        <v>45</v>
      </c>
      <c r="J37" s="5">
        <f>VLOOKUP(F37,'Set up'!$A$2:$D$48,4,FALSE)</f>
        <v>45</v>
      </c>
      <c r="K37" s="4">
        <f t="shared" si="2"/>
        <v>44112</v>
      </c>
      <c r="L37" s="5">
        <f t="shared" si="3"/>
        <v>10</v>
      </c>
      <c r="M37" s="5">
        <f t="shared" si="4"/>
        <v>2020</v>
      </c>
      <c r="N37" s="6">
        <v>200</v>
      </c>
      <c r="O37" s="6">
        <f t="shared" si="5"/>
        <v>-200</v>
      </c>
      <c r="P37" s="6">
        <f t="shared" si="10"/>
        <v>0</v>
      </c>
      <c r="Q37" s="7">
        <f t="shared" si="7"/>
        <v>37329.699999999997</v>
      </c>
      <c r="R37" s="44" t="str">
        <f>VLOOKUP(F37,'Set up'!$A$2:$E$48,5,FALSE)</f>
        <v>PD Chq</v>
      </c>
      <c r="S37" s="13" t="s">
        <v>72</v>
      </c>
    </row>
    <row r="38" spans="1:19" hidden="1" x14ac:dyDescent="0.3">
      <c r="A38" s="4">
        <v>44067</v>
      </c>
      <c r="B38" s="5">
        <f t="shared" si="8"/>
        <v>8</v>
      </c>
      <c r="C38" s="5">
        <f t="shared" si="9"/>
        <v>2020</v>
      </c>
      <c r="D38" s="5" t="s">
        <v>53</v>
      </c>
      <c r="E38" s="5" t="str">
        <f>VLOOKUP(F38,'Set up'!$A$2:$C$48,2,FALSE)</f>
        <v>C00000003</v>
      </c>
      <c r="F38" s="1" t="s">
        <v>20</v>
      </c>
      <c r="G38" s="11" t="s">
        <v>46</v>
      </c>
      <c r="H38" s="5">
        <v>2</v>
      </c>
      <c r="I38" s="5">
        <f>VLOOKUP(F38,'Set up'!$A$2:$C$48,3,FALSE)</f>
        <v>45</v>
      </c>
      <c r="J38" s="5">
        <f>VLOOKUP(F38,'Set up'!$A$2:$D$48,4,FALSE)</f>
        <v>45</v>
      </c>
      <c r="K38" s="4">
        <f t="shared" si="2"/>
        <v>44112</v>
      </c>
      <c r="L38" s="5">
        <f t="shared" si="3"/>
        <v>10</v>
      </c>
      <c r="M38" s="5">
        <f t="shared" si="4"/>
        <v>2020</v>
      </c>
      <c r="N38" s="6">
        <v>185</v>
      </c>
      <c r="O38" s="6">
        <f t="shared" si="5"/>
        <v>-185</v>
      </c>
      <c r="P38" s="6">
        <f t="shared" si="10"/>
        <v>0</v>
      </c>
      <c r="Q38" s="7">
        <f t="shared" si="7"/>
        <v>37514.699999999997</v>
      </c>
      <c r="R38" s="44" t="str">
        <f>VLOOKUP(F38,'Set up'!$A$2:$E$48,5,FALSE)</f>
        <v>PD Chq</v>
      </c>
      <c r="S38" s="13" t="s">
        <v>72</v>
      </c>
    </row>
    <row r="39" spans="1:19" hidden="1" x14ac:dyDescent="0.3">
      <c r="A39" s="4">
        <v>44068</v>
      </c>
      <c r="B39" s="5">
        <f t="shared" si="8"/>
        <v>8</v>
      </c>
      <c r="C39" s="5">
        <f t="shared" si="9"/>
        <v>2020</v>
      </c>
      <c r="D39" s="5" t="s">
        <v>55</v>
      </c>
      <c r="E39" s="5" t="str">
        <f>VLOOKUP(F39,'Set up'!$A$2:$C$48,2,FALSE)</f>
        <v>C00000009</v>
      </c>
      <c r="F39" s="1" t="s">
        <v>58</v>
      </c>
      <c r="G39" s="2" t="s">
        <v>95</v>
      </c>
      <c r="H39" s="5">
        <v>1</v>
      </c>
      <c r="I39" s="5">
        <f>VLOOKUP(F39,'Set up'!$A$2:$C$48,3,FALSE)</f>
        <v>60</v>
      </c>
      <c r="J39" s="5">
        <f>VLOOKUP(F39,'Set up'!$A$2:$D$48,4,FALSE)</f>
        <v>60</v>
      </c>
      <c r="K39" s="4">
        <f t="shared" si="2"/>
        <v>44128</v>
      </c>
      <c r="L39" s="5">
        <f t="shared" si="3"/>
        <v>10</v>
      </c>
      <c r="M39" s="5">
        <f t="shared" si="4"/>
        <v>2020</v>
      </c>
      <c r="N39" s="6">
        <v>1276</v>
      </c>
      <c r="O39" s="6">
        <f t="shared" si="5"/>
        <v>-1276</v>
      </c>
      <c r="P39" s="6">
        <f t="shared" si="10"/>
        <v>0</v>
      </c>
      <c r="Q39" s="7">
        <f t="shared" si="7"/>
        <v>38790.699999999997</v>
      </c>
      <c r="R39" s="44" t="str">
        <f>VLOOKUP(F39,'Set up'!$A$2:$E$48,5,FALSE)</f>
        <v>Chq</v>
      </c>
      <c r="S39" s="15" t="s">
        <v>187</v>
      </c>
    </row>
    <row r="40" spans="1:19" hidden="1" x14ac:dyDescent="0.3">
      <c r="A40" s="4">
        <v>44068</v>
      </c>
      <c r="B40" s="5">
        <f t="shared" si="8"/>
        <v>8</v>
      </c>
      <c r="C40" s="5">
        <f t="shared" si="9"/>
        <v>2020</v>
      </c>
      <c r="D40" s="5" t="s">
        <v>55</v>
      </c>
      <c r="E40" s="5" t="str">
        <f>VLOOKUP(F40,'Set up'!$A$2:$C$48,2,FALSE)</f>
        <v>C00000009</v>
      </c>
      <c r="F40" s="1" t="s">
        <v>58</v>
      </c>
      <c r="G40" s="2" t="s">
        <v>57</v>
      </c>
      <c r="H40" s="5">
        <v>1</v>
      </c>
      <c r="I40" s="5">
        <f>VLOOKUP(F40,'Set up'!$A$2:$C$48,3,FALSE)</f>
        <v>60</v>
      </c>
      <c r="J40" s="5">
        <f>VLOOKUP(F40,'Set up'!$A$2:$D$48,4,FALSE)</f>
        <v>60</v>
      </c>
      <c r="K40" s="4">
        <f t="shared" si="2"/>
        <v>44128</v>
      </c>
      <c r="L40" s="5">
        <f t="shared" si="3"/>
        <v>10</v>
      </c>
      <c r="M40" s="5">
        <f t="shared" si="4"/>
        <v>2020</v>
      </c>
      <c r="N40" s="6">
        <v>1276</v>
      </c>
      <c r="O40" s="6">
        <f t="shared" si="5"/>
        <v>-1276</v>
      </c>
      <c r="P40" s="6">
        <f t="shared" si="10"/>
        <v>0</v>
      </c>
      <c r="Q40" s="7">
        <f t="shared" si="7"/>
        <v>40066.699999999997</v>
      </c>
      <c r="R40" s="44" t="str">
        <f>VLOOKUP(F40,'Set up'!$A$2:$E$48,5,FALSE)</f>
        <v>Chq</v>
      </c>
      <c r="S40" s="15" t="s">
        <v>187</v>
      </c>
    </row>
    <row r="41" spans="1:19" hidden="1" x14ac:dyDescent="0.3">
      <c r="A41" s="4">
        <v>44068</v>
      </c>
      <c r="B41" s="5">
        <f t="shared" si="8"/>
        <v>8</v>
      </c>
      <c r="C41" s="5">
        <f t="shared" si="9"/>
        <v>2020</v>
      </c>
      <c r="D41" s="5" t="s">
        <v>56</v>
      </c>
      <c r="E41" s="5" t="str">
        <f>VLOOKUP(F41,'Set up'!$A$2:$C$48,2,FALSE)</f>
        <v>C00000001</v>
      </c>
      <c r="F41" s="1" t="s">
        <v>7</v>
      </c>
      <c r="G41" s="2" t="s">
        <v>95</v>
      </c>
      <c r="H41" s="5">
        <v>1</v>
      </c>
      <c r="I41" s="5" t="str">
        <f>VLOOKUP(F41,'Set up'!$A$2:$C$48,3,FALSE)</f>
        <v>Cash</v>
      </c>
      <c r="J41" s="5">
        <f>VLOOKUP(F41,'Set up'!$A$2:$D$48,4,FALSE)</f>
        <v>0</v>
      </c>
      <c r="K41" s="4">
        <f t="shared" si="2"/>
        <v>44068</v>
      </c>
      <c r="L41" s="5">
        <f t="shared" si="3"/>
        <v>8</v>
      </c>
      <c r="M41" s="5">
        <f t="shared" si="4"/>
        <v>2020</v>
      </c>
      <c r="N41" s="6">
        <v>1496</v>
      </c>
      <c r="O41" s="6">
        <f t="shared" si="5"/>
        <v>-1496</v>
      </c>
      <c r="P41" s="6">
        <f t="shared" si="10"/>
        <v>0</v>
      </c>
      <c r="Q41" s="7">
        <f t="shared" si="7"/>
        <v>41562.699999999997</v>
      </c>
      <c r="R41" s="44" t="str">
        <f>VLOOKUP(F41,'Set up'!$A$2:$E$48,5,FALSE)</f>
        <v>Trsf</v>
      </c>
      <c r="S41" s="1" t="s">
        <v>94</v>
      </c>
    </row>
    <row r="42" spans="1:19" hidden="1" x14ac:dyDescent="0.3">
      <c r="A42" s="4">
        <v>44070</v>
      </c>
      <c r="B42" s="5">
        <f t="shared" si="8"/>
        <v>8</v>
      </c>
      <c r="C42" s="5">
        <f t="shared" si="9"/>
        <v>2020</v>
      </c>
      <c r="D42" s="5" t="s">
        <v>60</v>
      </c>
      <c r="E42" s="5" t="str">
        <f>VLOOKUP(F42,'Set up'!$A$2:$C$48,2,FALSE)</f>
        <v>C00000010</v>
      </c>
      <c r="F42" s="1" t="s">
        <v>62</v>
      </c>
      <c r="G42" s="2" t="s">
        <v>95</v>
      </c>
      <c r="H42" s="5">
        <v>4</v>
      </c>
      <c r="I42" s="5">
        <f>VLOOKUP(F42,'Set up'!$A$2:$C$48,3,FALSE)</f>
        <v>120</v>
      </c>
      <c r="J42" s="5">
        <f>VLOOKUP(F42,'Set up'!$A$2:$D$48,4,FALSE)</f>
        <v>120</v>
      </c>
      <c r="K42" s="4">
        <f t="shared" si="2"/>
        <v>44190</v>
      </c>
      <c r="L42" s="5">
        <f t="shared" si="3"/>
        <v>12</v>
      </c>
      <c r="M42" s="5">
        <f t="shared" si="4"/>
        <v>2020</v>
      </c>
      <c r="N42" s="6">
        <v>5280</v>
      </c>
      <c r="O42" s="6">
        <v>-5280</v>
      </c>
      <c r="P42" s="6">
        <f t="shared" si="10"/>
        <v>0</v>
      </c>
      <c r="Q42" s="7">
        <f t="shared" si="7"/>
        <v>46842.7</v>
      </c>
      <c r="R42" s="44" t="str">
        <f>VLOOKUP(F42,'Set up'!$A$2:$E$48,5,FALSE)</f>
        <v>Trsf</v>
      </c>
      <c r="S42" s="13" t="s">
        <v>213</v>
      </c>
    </row>
    <row r="43" spans="1:19" hidden="1" x14ac:dyDescent="0.3">
      <c r="A43" s="4">
        <v>44070</v>
      </c>
      <c r="B43" s="5">
        <f t="shared" si="8"/>
        <v>8</v>
      </c>
      <c r="C43" s="5">
        <f t="shared" si="9"/>
        <v>2020</v>
      </c>
      <c r="D43" s="5" t="s">
        <v>60</v>
      </c>
      <c r="E43" s="5" t="str">
        <f>VLOOKUP(F43,'Set up'!$A$2:$C$48,2,FALSE)</f>
        <v>C00000010</v>
      </c>
      <c r="F43" s="1" t="s">
        <v>62</v>
      </c>
      <c r="G43" s="2" t="s">
        <v>63</v>
      </c>
      <c r="H43" s="5">
        <v>2</v>
      </c>
      <c r="I43" s="5">
        <f>VLOOKUP(F43,'Set up'!$A$2:$C$48,3,FALSE)</f>
        <v>120</v>
      </c>
      <c r="J43" s="5">
        <f>VLOOKUP(F43,'Set up'!$A$2:$D$48,4,FALSE)</f>
        <v>120</v>
      </c>
      <c r="K43" s="4">
        <f t="shared" si="2"/>
        <v>44190</v>
      </c>
      <c r="L43" s="5">
        <f t="shared" si="3"/>
        <v>12</v>
      </c>
      <c r="M43" s="5">
        <f t="shared" si="4"/>
        <v>2020</v>
      </c>
      <c r="N43" s="6">
        <v>444</v>
      </c>
      <c r="O43" s="6">
        <v>-444</v>
      </c>
      <c r="P43" s="6">
        <f t="shared" si="10"/>
        <v>0</v>
      </c>
      <c r="Q43" s="7">
        <f t="shared" si="7"/>
        <v>47286.7</v>
      </c>
      <c r="R43" s="44" t="str">
        <f>VLOOKUP(F43,'Set up'!$A$2:$E$48,5,FALSE)</f>
        <v>Trsf</v>
      </c>
      <c r="S43" s="13" t="s">
        <v>213</v>
      </c>
    </row>
    <row r="44" spans="1:19" hidden="1" x14ac:dyDescent="0.3">
      <c r="A44" s="4">
        <v>44070</v>
      </c>
      <c r="B44" s="5">
        <f t="shared" si="8"/>
        <v>8</v>
      </c>
      <c r="C44" s="5">
        <f t="shared" si="9"/>
        <v>2020</v>
      </c>
      <c r="D44" s="5" t="s">
        <v>60</v>
      </c>
      <c r="E44" s="5" t="str">
        <f>VLOOKUP(F44,'Set up'!$A$2:$C$48,2,FALSE)</f>
        <v>C00000010</v>
      </c>
      <c r="F44" s="1" t="s">
        <v>62</v>
      </c>
      <c r="G44" s="2" t="s">
        <v>64</v>
      </c>
      <c r="H44" s="5">
        <v>5</v>
      </c>
      <c r="I44" s="5">
        <f>VLOOKUP(F44,'Set up'!$A$2:$C$48,3,FALSE)</f>
        <v>120</v>
      </c>
      <c r="J44" s="5">
        <f>VLOOKUP(F44,'Set up'!$A$2:$D$48,4,FALSE)</f>
        <v>120</v>
      </c>
      <c r="K44" s="4">
        <f t="shared" si="2"/>
        <v>44190</v>
      </c>
      <c r="L44" s="5">
        <f t="shared" si="3"/>
        <v>12</v>
      </c>
      <c r="M44" s="5">
        <f t="shared" si="4"/>
        <v>2020</v>
      </c>
      <c r="N44" s="6">
        <v>275</v>
      </c>
      <c r="O44" s="6">
        <v>-275</v>
      </c>
      <c r="P44" s="6">
        <f t="shared" si="10"/>
        <v>0</v>
      </c>
      <c r="Q44" s="7">
        <f t="shared" si="7"/>
        <v>47561.7</v>
      </c>
      <c r="R44" s="44" t="str">
        <f>VLOOKUP(F44,'Set up'!$A$2:$E$48,5,FALSE)</f>
        <v>Trsf</v>
      </c>
      <c r="S44" s="13" t="s">
        <v>213</v>
      </c>
    </row>
    <row r="45" spans="1:19" hidden="1" x14ac:dyDescent="0.3">
      <c r="A45" s="4">
        <v>44070</v>
      </c>
      <c r="B45" s="5">
        <f t="shared" si="8"/>
        <v>8</v>
      </c>
      <c r="C45" s="5">
        <f t="shared" si="9"/>
        <v>2020</v>
      </c>
      <c r="D45" s="5" t="s">
        <v>60</v>
      </c>
      <c r="E45" s="5" t="str">
        <f>VLOOKUP(F45,'Set up'!$A$2:$C$48,2,FALSE)</f>
        <v>C00000010</v>
      </c>
      <c r="F45" s="1" t="s">
        <v>62</v>
      </c>
      <c r="G45" s="11" t="s">
        <v>46</v>
      </c>
      <c r="H45" s="5">
        <v>4</v>
      </c>
      <c r="I45" s="5">
        <f>VLOOKUP(F45,'Set up'!$A$2:$C$48,3,FALSE)</f>
        <v>120</v>
      </c>
      <c r="J45" s="5">
        <f>VLOOKUP(F45,'Set up'!$A$2:$D$48,4,FALSE)</f>
        <v>120</v>
      </c>
      <c r="K45" s="4">
        <f t="shared" si="2"/>
        <v>44190</v>
      </c>
      <c r="L45" s="5">
        <f t="shared" si="3"/>
        <v>12</v>
      </c>
      <c r="M45" s="5">
        <f t="shared" si="4"/>
        <v>2020</v>
      </c>
      <c r="N45" s="6">
        <v>360</v>
      </c>
      <c r="O45" s="6">
        <v>-360</v>
      </c>
      <c r="P45" s="6">
        <f t="shared" si="10"/>
        <v>0</v>
      </c>
      <c r="Q45" s="7">
        <f t="shared" si="7"/>
        <v>47921.7</v>
      </c>
      <c r="R45" s="44" t="str">
        <f>VLOOKUP(F45,'Set up'!$A$2:$E$48,5,FALSE)</f>
        <v>Trsf</v>
      </c>
      <c r="S45" s="13" t="s">
        <v>213</v>
      </c>
    </row>
    <row r="46" spans="1:19" hidden="1" x14ac:dyDescent="0.3">
      <c r="A46" s="4">
        <v>44070</v>
      </c>
      <c r="B46" s="5">
        <f t="shared" si="8"/>
        <v>8</v>
      </c>
      <c r="C46" s="5">
        <f t="shared" si="9"/>
        <v>2020</v>
      </c>
      <c r="D46" s="5" t="s">
        <v>60</v>
      </c>
      <c r="E46" s="5" t="str">
        <f>VLOOKUP(F46,'Set up'!$A$2:$C$48,2,FALSE)</f>
        <v>C00000010</v>
      </c>
      <c r="F46" s="1" t="s">
        <v>62</v>
      </c>
      <c r="G46" s="11" t="s">
        <v>65</v>
      </c>
      <c r="H46" s="5">
        <v>1</v>
      </c>
      <c r="I46" s="5">
        <f>VLOOKUP(F46,'Set up'!$A$2:$C$48,3,FALSE)</f>
        <v>120</v>
      </c>
      <c r="J46" s="5">
        <f>VLOOKUP(F46,'Set up'!$A$2:$D$48,4,FALSE)</f>
        <v>120</v>
      </c>
      <c r="K46" s="4">
        <f t="shared" si="2"/>
        <v>44190</v>
      </c>
      <c r="L46" s="5">
        <f t="shared" si="3"/>
        <v>12</v>
      </c>
      <c r="M46" s="5">
        <f t="shared" si="4"/>
        <v>2020</v>
      </c>
      <c r="N46" s="6">
        <v>375</v>
      </c>
      <c r="O46" s="6">
        <v>-375</v>
      </c>
      <c r="P46" s="6">
        <f t="shared" si="10"/>
        <v>0</v>
      </c>
      <c r="Q46" s="7">
        <f t="shared" si="7"/>
        <v>48296.7</v>
      </c>
      <c r="R46" s="44" t="str">
        <f>VLOOKUP(F46,'Set up'!$A$2:$E$48,5,FALSE)</f>
        <v>Trsf</v>
      </c>
      <c r="S46" s="13" t="s">
        <v>213</v>
      </c>
    </row>
    <row r="47" spans="1:19" hidden="1" x14ac:dyDescent="0.3">
      <c r="A47" s="4">
        <v>44075</v>
      </c>
      <c r="B47" s="5">
        <f t="shared" si="8"/>
        <v>9</v>
      </c>
      <c r="C47" s="5">
        <f t="shared" si="9"/>
        <v>2020</v>
      </c>
      <c r="D47" s="5" t="s">
        <v>66</v>
      </c>
      <c r="E47" s="5" t="str">
        <f>VLOOKUP(F47,'Set up'!$A$2:$C$48,2,FALSE)</f>
        <v>C00000008</v>
      </c>
      <c r="F47" s="1" t="s">
        <v>52</v>
      </c>
      <c r="G47" s="11" t="s">
        <v>67</v>
      </c>
      <c r="H47" s="5">
        <v>2</v>
      </c>
      <c r="I47" s="5" t="str">
        <f>VLOOKUP(F47,'Set up'!$A$2:$C$48,3,FALSE)</f>
        <v>Cash</v>
      </c>
      <c r="J47" s="5">
        <f>VLOOKUP(F47,'Set up'!$A$2:$D$48,4,FALSE)</f>
        <v>0</v>
      </c>
      <c r="K47" s="4">
        <f t="shared" si="2"/>
        <v>44075</v>
      </c>
      <c r="L47" s="5">
        <f t="shared" si="3"/>
        <v>9</v>
      </c>
      <c r="M47" s="5">
        <f t="shared" si="4"/>
        <v>2020</v>
      </c>
      <c r="N47" s="6">
        <v>2948</v>
      </c>
      <c r="O47" s="6">
        <f t="shared" ref="O47:O86" si="11">SUM(-N47)</f>
        <v>-2948</v>
      </c>
      <c r="P47" s="6">
        <f t="shared" si="10"/>
        <v>0</v>
      </c>
      <c r="Q47" s="7">
        <f t="shared" si="7"/>
        <v>51244.7</v>
      </c>
      <c r="R47" s="44" t="str">
        <f>VLOOKUP(F47,'Set up'!$A$2:$E$48,5,FALSE)</f>
        <v>Trsf</v>
      </c>
      <c r="S47" s="1" t="s">
        <v>93</v>
      </c>
    </row>
    <row r="48" spans="1:19" hidden="1" x14ac:dyDescent="0.3">
      <c r="A48" s="4">
        <v>44075</v>
      </c>
      <c r="B48" s="5">
        <f t="shared" si="8"/>
        <v>9</v>
      </c>
      <c r="C48" s="5">
        <f t="shared" si="9"/>
        <v>2020</v>
      </c>
      <c r="D48" s="5" t="s">
        <v>66</v>
      </c>
      <c r="E48" s="5" t="str">
        <f>VLOOKUP(F48,'Set up'!$A$2:$C$48,2,FALSE)</f>
        <v>C00000008</v>
      </c>
      <c r="F48" s="1" t="s">
        <v>52</v>
      </c>
      <c r="G48" s="11" t="s">
        <v>44</v>
      </c>
      <c r="H48" s="5">
        <v>4</v>
      </c>
      <c r="I48" s="5" t="str">
        <f>VLOOKUP(F48,'Set up'!$A$2:$C$48,3,FALSE)</f>
        <v>Cash</v>
      </c>
      <c r="J48" s="5">
        <f>VLOOKUP(F48,'Set up'!$A$2:$D$48,4,FALSE)</f>
        <v>0</v>
      </c>
      <c r="K48" s="4">
        <f t="shared" si="2"/>
        <v>44075</v>
      </c>
      <c r="L48" s="5">
        <f t="shared" si="3"/>
        <v>9</v>
      </c>
      <c r="M48" s="5">
        <f t="shared" si="4"/>
        <v>2020</v>
      </c>
      <c r="N48" s="6">
        <v>840</v>
      </c>
      <c r="O48" s="6">
        <f t="shared" si="11"/>
        <v>-840</v>
      </c>
      <c r="P48" s="6">
        <f t="shared" si="10"/>
        <v>0</v>
      </c>
      <c r="Q48" s="7">
        <f t="shared" si="7"/>
        <v>52084.7</v>
      </c>
      <c r="R48" s="44" t="str">
        <f>VLOOKUP(F48,'Set up'!$A$2:$E$48,5,FALSE)</f>
        <v>Trsf</v>
      </c>
      <c r="S48" s="1" t="s">
        <v>93</v>
      </c>
    </row>
    <row r="49" spans="1:20" hidden="1" x14ac:dyDescent="0.3">
      <c r="A49" s="4">
        <v>44075</v>
      </c>
      <c r="B49" s="5">
        <f t="shared" si="8"/>
        <v>9</v>
      </c>
      <c r="C49" s="5">
        <f t="shared" si="9"/>
        <v>2020</v>
      </c>
      <c r="D49" s="5" t="s">
        <v>66</v>
      </c>
      <c r="E49" s="5" t="str">
        <f>VLOOKUP(F49,'Set up'!$A$2:$C$48,2,FALSE)</f>
        <v>C00000008</v>
      </c>
      <c r="F49" s="1" t="s">
        <v>52</v>
      </c>
      <c r="G49" s="11" t="s">
        <v>46</v>
      </c>
      <c r="H49" s="5">
        <v>2</v>
      </c>
      <c r="I49" s="5" t="str">
        <f>VLOOKUP(F49,'Set up'!$A$2:$C$48,3,FALSE)</f>
        <v>Cash</v>
      </c>
      <c r="J49" s="5">
        <f>VLOOKUP(F49,'Set up'!$A$2:$D$48,4,FALSE)</f>
        <v>0</v>
      </c>
      <c r="K49" s="4">
        <f t="shared" si="2"/>
        <v>44075</v>
      </c>
      <c r="L49" s="5">
        <f t="shared" si="3"/>
        <v>9</v>
      </c>
      <c r="M49" s="5">
        <f t="shared" si="4"/>
        <v>2020</v>
      </c>
      <c r="N49" s="6">
        <v>180</v>
      </c>
      <c r="O49" s="6">
        <f t="shared" si="11"/>
        <v>-180</v>
      </c>
      <c r="P49" s="6">
        <f t="shared" si="10"/>
        <v>0</v>
      </c>
      <c r="Q49" s="7">
        <f t="shared" si="7"/>
        <v>52264.7</v>
      </c>
      <c r="R49" s="44" t="str">
        <f>VLOOKUP(F49,'Set up'!$A$2:$E$48,5,FALSE)</f>
        <v>Trsf</v>
      </c>
      <c r="S49" s="1" t="s">
        <v>93</v>
      </c>
    </row>
    <row r="50" spans="1:20" hidden="1" x14ac:dyDescent="0.3">
      <c r="A50" s="4">
        <v>44076</v>
      </c>
      <c r="B50" s="5">
        <f t="shared" si="8"/>
        <v>9</v>
      </c>
      <c r="C50" s="5">
        <f t="shared" si="9"/>
        <v>2020</v>
      </c>
      <c r="D50" s="5" t="s">
        <v>68</v>
      </c>
      <c r="E50" s="5" t="str">
        <f>VLOOKUP(F50,'Set up'!$A$2:$C$48,2,FALSE)</f>
        <v>C00000001</v>
      </c>
      <c r="F50" s="1" t="s">
        <v>7</v>
      </c>
      <c r="G50" s="11" t="s">
        <v>28</v>
      </c>
      <c r="H50" s="5">
        <v>1</v>
      </c>
      <c r="I50" s="5" t="str">
        <f>VLOOKUP(F50,'Set up'!$A$2:$C$48,3,FALSE)</f>
        <v>Cash</v>
      </c>
      <c r="J50" s="5">
        <f>VLOOKUP(F50,'Set up'!$A$2:$D$48,4,FALSE)</f>
        <v>0</v>
      </c>
      <c r="K50" s="4">
        <f t="shared" si="2"/>
        <v>44076</v>
      </c>
      <c r="L50" s="5">
        <f t="shared" si="3"/>
        <v>9</v>
      </c>
      <c r="M50" s="5">
        <f t="shared" si="4"/>
        <v>2020</v>
      </c>
      <c r="N50" s="6">
        <v>1250</v>
      </c>
      <c r="O50" s="6">
        <f t="shared" si="11"/>
        <v>-1250</v>
      </c>
      <c r="P50" s="6">
        <f t="shared" si="10"/>
        <v>0</v>
      </c>
      <c r="Q50" s="7">
        <f t="shared" si="7"/>
        <v>53514.7</v>
      </c>
      <c r="R50" s="44" t="str">
        <f>VLOOKUP(F50,'Set up'!$A$2:$E$48,5,FALSE)</f>
        <v>Trsf</v>
      </c>
      <c r="S50" s="1" t="s">
        <v>92</v>
      </c>
      <c r="T50" s="1" t="s">
        <v>74</v>
      </c>
    </row>
    <row r="51" spans="1:20" hidden="1" x14ac:dyDescent="0.3">
      <c r="A51" s="4">
        <v>44079</v>
      </c>
      <c r="B51" s="5">
        <f t="shared" si="8"/>
        <v>9</v>
      </c>
      <c r="C51" s="5">
        <f t="shared" si="9"/>
        <v>2020</v>
      </c>
      <c r="D51" s="5" t="s">
        <v>91</v>
      </c>
      <c r="E51" s="5" t="str">
        <f>VLOOKUP(F51,'Set up'!$A$2:$C$48,2,FALSE)</f>
        <v>C00000001</v>
      </c>
      <c r="F51" s="1" t="s">
        <v>7</v>
      </c>
      <c r="G51" s="11" t="s">
        <v>67</v>
      </c>
      <c r="H51" s="5">
        <v>1</v>
      </c>
      <c r="I51" s="5" t="str">
        <f>VLOOKUP(F51,'Set up'!$A$2:$C$48,3,FALSE)</f>
        <v>Cash</v>
      </c>
      <c r="J51" s="5">
        <f>VLOOKUP(F51,'Set up'!$A$2:$D$48,4,FALSE)</f>
        <v>0</v>
      </c>
      <c r="K51" s="4">
        <f t="shared" si="2"/>
        <v>44079</v>
      </c>
      <c r="L51" s="5">
        <f t="shared" si="3"/>
        <v>9</v>
      </c>
      <c r="M51" s="5">
        <f t="shared" si="4"/>
        <v>2020</v>
      </c>
      <c r="N51" s="6">
        <v>1496</v>
      </c>
      <c r="O51" s="6">
        <f t="shared" si="11"/>
        <v>-1496</v>
      </c>
      <c r="P51" s="6">
        <f t="shared" si="10"/>
        <v>0</v>
      </c>
      <c r="Q51" s="7">
        <f t="shared" si="7"/>
        <v>55010.7</v>
      </c>
      <c r="R51" s="44" t="str">
        <f>VLOOKUP(F51,'Set up'!$A$2:$E$48,5,FALSE)</f>
        <v>Trsf</v>
      </c>
      <c r="S51" s="1" t="s">
        <v>92</v>
      </c>
    </row>
    <row r="52" spans="1:20" hidden="1" x14ac:dyDescent="0.3">
      <c r="A52" s="4">
        <v>44079</v>
      </c>
      <c r="B52" s="5">
        <f t="shared" si="8"/>
        <v>9</v>
      </c>
      <c r="C52" s="5">
        <f t="shared" si="9"/>
        <v>2020</v>
      </c>
      <c r="D52" s="5" t="s">
        <v>91</v>
      </c>
      <c r="E52" s="5" t="str">
        <f>VLOOKUP(F52,'Set up'!$A$2:$C$48,2,FALSE)</f>
        <v>C00000001</v>
      </c>
      <c r="F52" s="1" t="s">
        <v>7</v>
      </c>
      <c r="G52" s="2" t="s">
        <v>63</v>
      </c>
      <c r="H52" s="5">
        <v>4</v>
      </c>
      <c r="I52" s="5" t="str">
        <f>VLOOKUP(F52,'Set up'!$A$2:$C$48,3,FALSE)</f>
        <v>Cash</v>
      </c>
      <c r="J52" s="5">
        <f>VLOOKUP(F52,'Set up'!$A$2:$D$48,4,FALSE)</f>
        <v>0</v>
      </c>
      <c r="K52" s="4">
        <f t="shared" si="2"/>
        <v>44079</v>
      </c>
      <c r="L52" s="5">
        <f t="shared" si="3"/>
        <v>9</v>
      </c>
      <c r="M52" s="5">
        <f t="shared" si="4"/>
        <v>2020</v>
      </c>
      <c r="N52" s="6">
        <v>962</v>
      </c>
      <c r="O52" s="6">
        <f t="shared" si="11"/>
        <v>-962</v>
      </c>
      <c r="P52" s="6">
        <f t="shared" si="10"/>
        <v>0</v>
      </c>
      <c r="Q52" s="7">
        <f t="shared" si="7"/>
        <v>55972.7</v>
      </c>
      <c r="R52" s="44" t="str">
        <f>VLOOKUP(F52,'Set up'!$A$2:$E$48,5,FALSE)</f>
        <v>Trsf</v>
      </c>
      <c r="S52" s="1" t="s">
        <v>92</v>
      </c>
    </row>
    <row r="53" spans="1:20" hidden="1" x14ac:dyDescent="0.3">
      <c r="A53" s="4">
        <v>44091</v>
      </c>
      <c r="B53" s="5">
        <f t="shared" si="8"/>
        <v>9</v>
      </c>
      <c r="C53" s="5">
        <f t="shared" si="9"/>
        <v>2020</v>
      </c>
      <c r="D53" s="5" t="s">
        <v>99</v>
      </c>
      <c r="E53" s="5" t="str">
        <f>VLOOKUP(F53,'Set up'!$A$2:$C$48,2,FALSE)</f>
        <v>C00000004</v>
      </c>
      <c r="F53" s="1" t="s">
        <v>23</v>
      </c>
      <c r="G53" s="2" t="s">
        <v>95</v>
      </c>
      <c r="H53" s="5">
        <v>5</v>
      </c>
      <c r="I53" s="5">
        <f>VLOOKUP(F53,'Set up'!$A$2:$C$48,3,FALSE)</f>
        <v>120</v>
      </c>
      <c r="J53" s="5">
        <f>VLOOKUP(F53,'Set up'!$A$2:$D$48,4,FALSE)</f>
        <v>120</v>
      </c>
      <c r="K53" s="4">
        <f t="shared" si="2"/>
        <v>44211</v>
      </c>
      <c r="L53" s="5">
        <f t="shared" si="3"/>
        <v>1</v>
      </c>
      <c r="M53" s="5">
        <f t="shared" si="4"/>
        <v>2021</v>
      </c>
      <c r="N53" s="6">
        <v>6270</v>
      </c>
      <c r="O53" s="6">
        <f t="shared" si="11"/>
        <v>-6270</v>
      </c>
      <c r="P53" s="6">
        <f t="shared" si="10"/>
        <v>0</v>
      </c>
      <c r="Q53" s="7">
        <f t="shared" si="7"/>
        <v>62242.7</v>
      </c>
      <c r="R53" s="44" t="str">
        <f>VLOOKUP(F53,'Set up'!$A$2:$E$48,5,FALSE)</f>
        <v>Chq</v>
      </c>
      <c r="S53" s="13" t="s">
        <v>248</v>
      </c>
    </row>
    <row r="54" spans="1:20" hidden="1" x14ac:dyDescent="0.3">
      <c r="A54" s="4">
        <v>44091</v>
      </c>
      <c r="B54" s="5">
        <f t="shared" si="8"/>
        <v>9</v>
      </c>
      <c r="C54" s="5">
        <f t="shared" si="9"/>
        <v>2020</v>
      </c>
      <c r="D54" s="5" t="s">
        <v>99</v>
      </c>
      <c r="E54" s="5" t="str">
        <f>VLOOKUP(F54,'Set up'!$A$2:$C$48,2,FALSE)</f>
        <v>C00000004</v>
      </c>
      <c r="F54" s="1" t="s">
        <v>23</v>
      </c>
      <c r="G54" s="2" t="s">
        <v>57</v>
      </c>
      <c r="H54" s="5">
        <v>1</v>
      </c>
      <c r="I54" s="5">
        <f>VLOOKUP(F54,'Set up'!$A$2:$C$48,3,FALSE)</f>
        <v>120</v>
      </c>
      <c r="J54" s="5">
        <f>VLOOKUP(F54,'Set up'!$A$2:$D$48,4,FALSE)</f>
        <v>120</v>
      </c>
      <c r="K54" s="4">
        <f t="shared" si="2"/>
        <v>44211</v>
      </c>
      <c r="L54" s="5">
        <f t="shared" si="3"/>
        <v>1</v>
      </c>
      <c r="M54" s="5">
        <f t="shared" si="4"/>
        <v>2021</v>
      </c>
      <c r="N54" s="6">
        <v>1254</v>
      </c>
      <c r="O54" s="6">
        <f t="shared" si="11"/>
        <v>-1254</v>
      </c>
      <c r="P54" s="6">
        <f t="shared" si="10"/>
        <v>0</v>
      </c>
      <c r="Q54" s="7">
        <f t="shared" si="7"/>
        <v>63496.7</v>
      </c>
      <c r="R54" s="44" t="str">
        <f>VLOOKUP(F54,'Set up'!$A$2:$E$48,5,FALSE)</f>
        <v>Chq</v>
      </c>
      <c r="S54" s="13" t="s">
        <v>248</v>
      </c>
    </row>
    <row r="55" spans="1:20" hidden="1" x14ac:dyDescent="0.3">
      <c r="A55" s="4">
        <v>44091</v>
      </c>
      <c r="B55" s="5">
        <f t="shared" si="8"/>
        <v>9</v>
      </c>
      <c r="C55" s="5">
        <f t="shared" si="9"/>
        <v>2020</v>
      </c>
      <c r="D55" s="5" t="s">
        <v>99</v>
      </c>
      <c r="E55" s="5" t="str">
        <f>VLOOKUP(F55,'Set up'!$A$2:$C$48,2,FALSE)</f>
        <v>C00000004</v>
      </c>
      <c r="F55" s="1" t="s">
        <v>23</v>
      </c>
      <c r="G55" s="2" t="s">
        <v>96</v>
      </c>
      <c r="H55" s="5">
        <v>3</v>
      </c>
      <c r="I55" s="5">
        <f>VLOOKUP(F55,'Set up'!$A$2:$C$48,3,FALSE)</f>
        <v>120</v>
      </c>
      <c r="J55" s="5">
        <f>VLOOKUP(F55,'Set up'!$A$2:$D$48,4,FALSE)</f>
        <v>120</v>
      </c>
      <c r="K55" s="4">
        <f t="shared" si="2"/>
        <v>44211</v>
      </c>
      <c r="L55" s="5">
        <f t="shared" si="3"/>
        <v>1</v>
      </c>
      <c r="M55" s="5">
        <f t="shared" si="4"/>
        <v>2021</v>
      </c>
      <c r="N55" s="6">
        <v>874.80000000000007</v>
      </c>
      <c r="O55" s="6">
        <f t="shared" si="11"/>
        <v>-874.80000000000007</v>
      </c>
      <c r="P55" s="6">
        <f t="shared" si="10"/>
        <v>0</v>
      </c>
      <c r="Q55" s="7">
        <f t="shared" si="7"/>
        <v>64371.5</v>
      </c>
      <c r="R55" s="44" t="str">
        <f>VLOOKUP(F55,'Set up'!$A$2:$E$48,5,FALSE)</f>
        <v>Chq</v>
      </c>
      <c r="S55" s="13" t="s">
        <v>248</v>
      </c>
    </row>
    <row r="56" spans="1:20" hidden="1" x14ac:dyDescent="0.3">
      <c r="A56" s="4">
        <v>44091</v>
      </c>
      <c r="B56" s="5">
        <f t="shared" si="8"/>
        <v>9</v>
      </c>
      <c r="C56" s="5">
        <f t="shared" si="9"/>
        <v>2020</v>
      </c>
      <c r="D56" s="5" t="s">
        <v>99</v>
      </c>
      <c r="E56" s="5" t="str">
        <f>VLOOKUP(F56,'Set up'!$A$2:$C$48,2,FALSE)</f>
        <v>C00000004</v>
      </c>
      <c r="F56" s="1" t="s">
        <v>23</v>
      </c>
      <c r="G56" s="2" t="s">
        <v>97</v>
      </c>
      <c r="H56" s="5">
        <v>3</v>
      </c>
      <c r="I56" s="5">
        <f>VLOOKUP(F56,'Set up'!$A$2:$C$48,3,FALSE)</f>
        <v>120</v>
      </c>
      <c r="J56" s="5">
        <f>VLOOKUP(F56,'Set up'!$A$2:$D$48,4,FALSE)</f>
        <v>120</v>
      </c>
      <c r="K56" s="4">
        <f t="shared" si="2"/>
        <v>44211</v>
      </c>
      <c r="L56" s="5">
        <f t="shared" si="3"/>
        <v>1</v>
      </c>
      <c r="M56" s="5">
        <f t="shared" si="4"/>
        <v>2021</v>
      </c>
      <c r="N56" s="6">
        <v>874.80000000000007</v>
      </c>
      <c r="O56" s="6">
        <f t="shared" si="11"/>
        <v>-874.80000000000007</v>
      </c>
      <c r="P56" s="6">
        <f t="shared" si="10"/>
        <v>0</v>
      </c>
      <c r="Q56" s="7">
        <f t="shared" si="7"/>
        <v>65246.3</v>
      </c>
      <c r="R56" s="44" t="str">
        <f>VLOOKUP(F56,'Set up'!$A$2:$E$48,5,FALSE)</f>
        <v>Chq</v>
      </c>
      <c r="S56" s="13" t="s">
        <v>248</v>
      </c>
    </row>
    <row r="57" spans="1:20" hidden="1" x14ac:dyDescent="0.3">
      <c r="A57" s="4">
        <v>44091</v>
      </c>
      <c r="B57" s="5">
        <f t="shared" si="8"/>
        <v>9</v>
      </c>
      <c r="C57" s="5">
        <f t="shared" si="9"/>
        <v>2020</v>
      </c>
      <c r="D57" s="5" t="s">
        <v>99</v>
      </c>
      <c r="E57" s="5" t="str">
        <f>VLOOKUP(F57,'Set up'!$A$2:$C$48,2,FALSE)</f>
        <v>C00000004</v>
      </c>
      <c r="F57" s="1" t="s">
        <v>23</v>
      </c>
      <c r="G57" s="11" t="s">
        <v>44</v>
      </c>
      <c r="H57" s="5">
        <v>6</v>
      </c>
      <c r="I57" s="5">
        <f>VLOOKUP(F57,'Set up'!$A$2:$C$48,3,FALSE)</f>
        <v>120</v>
      </c>
      <c r="J57" s="5">
        <f>VLOOKUP(F57,'Set up'!$A$2:$D$48,4,FALSE)</f>
        <v>120</v>
      </c>
      <c r="K57" s="4">
        <f t="shared" si="2"/>
        <v>44211</v>
      </c>
      <c r="L57" s="5">
        <f t="shared" si="3"/>
        <v>1</v>
      </c>
      <c r="M57" s="5">
        <f t="shared" si="4"/>
        <v>2021</v>
      </c>
      <c r="N57" s="6">
        <v>1224</v>
      </c>
      <c r="O57" s="6">
        <f t="shared" si="11"/>
        <v>-1224</v>
      </c>
      <c r="P57" s="6">
        <f t="shared" si="10"/>
        <v>0</v>
      </c>
      <c r="Q57" s="7">
        <f t="shared" si="7"/>
        <v>66470.3</v>
      </c>
      <c r="R57" s="44" t="str">
        <f>VLOOKUP(F57,'Set up'!$A$2:$E$48,5,FALSE)</f>
        <v>Chq</v>
      </c>
      <c r="S57" s="13" t="s">
        <v>248</v>
      </c>
    </row>
    <row r="58" spans="1:20" hidden="1" x14ac:dyDescent="0.3">
      <c r="A58" s="4">
        <v>44091</v>
      </c>
      <c r="B58" s="5">
        <f t="shared" si="8"/>
        <v>9</v>
      </c>
      <c r="C58" s="5">
        <f t="shared" si="9"/>
        <v>2020</v>
      </c>
      <c r="D58" s="5" t="s">
        <v>99</v>
      </c>
      <c r="E58" s="5" t="str">
        <f>VLOOKUP(F58,'Set up'!$A$2:$C$48,2,FALSE)</f>
        <v>C00000004</v>
      </c>
      <c r="F58" s="1" t="s">
        <v>23</v>
      </c>
      <c r="G58" s="11" t="s">
        <v>46</v>
      </c>
      <c r="H58" s="5">
        <v>4</v>
      </c>
      <c r="I58" s="5">
        <f>VLOOKUP(F58,'Set up'!$A$2:$C$48,3,FALSE)</f>
        <v>120</v>
      </c>
      <c r="J58" s="5">
        <f>VLOOKUP(F58,'Set up'!$A$2:$D$48,4,FALSE)</f>
        <v>120</v>
      </c>
      <c r="K58" s="4">
        <f t="shared" si="2"/>
        <v>44211</v>
      </c>
      <c r="L58" s="5">
        <f t="shared" si="3"/>
        <v>1</v>
      </c>
      <c r="M58" s="5">
        <f t="shared" si="4"/>
        <v>2021</v>
      </c>
      <c r="N58" s="6">
        <v>360</v>
      </c>
      <c r="O58" s="6">
        <f t="shared" si="11"/>
        <v>-360</v>
      </c>
      <c r="P58" s="6">
        <f t="shared" si="10"/>
        <v>0</v>
      </c>
      <c r="Q58" s="7">
        <f t="shared" si="7"/>
        <v>66830.3</v>
      </c>
      <c r="R58" s="44" t="str">
        <f>VLOOKUP(F58,'Set up'!$A$2:$E$48,5,FALSE)</f>
        <v>Chq</v>
      </c>
      <c r="S58" s="13" t="s">
        <v>248</v>
      </c>
    </row>
    <row r="59" spans="1:20" hidden="1" x14ac:dyDescent="0.3">
      <c r="A59" s="4">
        <v>44091</v>
      </c>
      <c r="B59" s="5">
        <f t="shared" si="8"/>
        <v>9</v>
      </c>
      <c r="C59" s="5">
        <f t="shared" si="9"/>
        <v>2020</v>
      </c>
      <c r="D59" s="5" t="s">
        <v>99</v>
      </c>
      <c r="E59" s="5" t="str">
        <f>VLOOKUP(F59,'Set up'!$A$2:$C$48,2,FALSE)</f>
        <v>C00000004</v>
      </c>
      <c r="F59" s="1" t="s">
        <v>23</v>
      </c>
      <c r="G59" s="11" t="s">
        <v>98</v>
      </c>
      <c r="H59" s="5">
        <v>1</v>
      </c>
      <c r="I59" s="5">
        <f>VLOOKUP(F59,'Set up'!$A$2:$C$48,3,FALSE)</f>
        <v>120</v>
      </c>
      <c r="J59" s="5">
        <f>VLOOKUP(F59,'Set up'!$A$2:$D$48,4,FALSE)</f>
        <v>120</v>
      </c>
      <c r="K59" s="4">
        <f t="shared" si="2"/>
        <v>44211</v>
      </c>
      <c r="L59" s="5">
        <f t="shared" si="3"/>
        <v>1</v>
      </c>
      <c r="M59" s="5">
        <f t="shared" si="4"/>
        <v>2021</v>
      </c>
      <c r="N59" s="6">
        <v>390</v>
      </c>
      <c r="O59" s="6">
        <f t="shared" si="11"/>
        <v>-390</v>
      </c>
      <c r="P59" s="6">
        <f t="shared" si="10"/>
        <v>0</v>
      </c>
      <c r="Q59" s="7">
        <f t="shared" si="7"/>
        <v>67220.3</v>
      </c>
      <c r="R59" s="44" t="str">
        <f>VLOOKUP(F59,'Set up'!$A$2:$E$48,5,FALSE)</f>
        <v>Chq</v>
      </c>
      <c r="S59" s="13" t="s">
        <v>248</v>
      </c>
    </row>
    <row r="60" spans="1:20" hidden="1" x14ac:dyDescent="0.3">
      <c r="A60" s="4">
        <v>44091</v>
      </c>
      <c r="B60" s="5">
        <f t="shared" si="8"/>
        <v>9</v>
      </c>
      <c r="C60" s="5">
        <f t="shared" si="9"/>
        <v>2020</v>
      </c>
      <c r="D60" s="5" t="s">
        <v>100</v>
      </c>
      <c r="E60" s="5" t="str">
        <f>VLOOKUP(F60,'Set up'!$A$2:$C$48,2,FALSE)</f>
        <v>C00000001</v>
      </c>
      <c r="F60" s="1" t="s">
        <v>7</v>
      </c>
      <c r="G60" s="11" t="s">
        <v>67</v>
      </c>
      <c r="H60" s="5">
        <v>1</v>
      </c>
      <c r="I60" s="5" t="str">
        <f>VLOOKUP(F60,'Set up'!$A$2:$C$48,3,FALSE)</f>
        <v>Cash</v>
      </c>
      <c r="J60" s="5">
        <f>VLOOKUP(F60,'Set up'!$A$2:$D$48,4,FALSE)</f>
        <v>0</v>
      </c>
      <c r="K60" s="4">
        <f t="shared" si="2"/>
        <v>44091</v>
      </c>
      <c r="L60" s="5">
        <f t="shared" si="3"/>
        <v>9</v>
      </c>
      <c r="M60" s="5">
        <f t="shared" si="4"/>
        <v>2020</v>
      </c>
      <c r="N60" s="6">
        <v>1496</v>
      </c>
      <c r="O60" s="6">
        <f t="shared" si="11"/>
        <v>-1496</v>
      </c>
      <c r="P60" s="6">
        <f t="shared" si="10"/>
        <v>0</v>
      </c>
      <c r="Q60" s="7">
        <f t="shared" si="7"/>
        <v>68716.3</v>
      </c>
      <c r="R60" s="44" t="str">
        <f>VLOOKUP(F60,'Set up'!$A$2:$E$48,5,FALSE)</f>
        <v>Trsf</v>
      </c>
      <c r="S60" s="1" t="s">
        <v>104</v>
      </c>
    </row>
    <row r="61" spans="1:20" hidden="1" x14ac:dyDescent="0.3">
      <c r="A61" s="4">
        <v>44091</v>
      </c>
      <c r="B61" s="5">
        <f t="shared" si="8"/>
        <v>9</v>
      </c>
      <c r="C61" s="5">
        <f t="shared" si="9"/>
        <v>2020</v>
      </c>
      <c r="D61" s="5" t="s">
        <v>100</v>
      </c>
      <c r="E61" s="5" t="str">
        <f>VLOOKUP(F61,'Set up'!$A$2:$C$48,2,FALSE)</f>
        <v>C00000001</v>
      </c>
      <c r="F61" s="1" t="s">
        <v>7</v>
      </c>
      <c r="G61" s="2" t="s">
        <v>63</v>
      </c>
      <c r="H61" s="5">
        <v>2</v>
      </c>
      <c r="I61" s="5" t="str">
        <f>VLOOKUP(F61,'Set up'!$A$2:$C$48,3,FALSE)</f>
        <v>Cash</v>
      </c>
      <c r="J61" s="5">
        <f>VLOOKUP(F61,'Set up'!$A$2:$D$48,4,FALSE)</f>
        <v>0</v>
      </c>
      <c r="K61" s="4">
        <f t="shared" si="2"/>
        <v>44091</v>
      </c>
      <c r="L61" s="5">
        <f t="shared" si="3"/>
        <v>9</v>
      </c>
      <c r="M61" s="5">
        <f t="shared" si="4"/>
        <v>2020</v>
      </c>
      <c r="N61" s="6">
        <v>481</v>
      </c>
      <c r="O61" s="6">
        <f t="shared" si="11"/>
        <v>-481</v>
      </c>
      <c r="P61" s="6">
        <f t="shared" si="10"/>
        <v>0</v>
      </c>
      <c r="Q61" s="7">
        <f t="shared" si="7"/>
        <v>69197.3</v>
      </c>
      <c r="R61" s="44" t="str">
        <f>VLOOKUP(F61,'Set up'!$A$2:$E$48,5,FALSE)</f>
        <v>Trsf</v>
      </c>
      <c r="S61" s="1" t="s">
        <v>104</v>
      </c>
    </row>
    <row r="62" spans="1:20" hidden="1" x14ac:dyDescent="0.3">
      <c r="A62" s="4">
        <v>44096</v>
      </c>
      <c r="B62" s="5">
        <f t="shared" si="8"/>
        <v>9</v>
      </c>
      <c r="C62" s="5">
        <f t="shared" si="9"/>
        <v>2020</v>
      </c>
      <c r="D62" s="5" t="s">
        <v>101</v>
      </c>
      <c r="E62" s="5" t="str">
        <f>VLOOKUP(F62,'Set up'!$A$2:$C$48,2,FALSE)</f>
        <v>C00000004</v>
      </c>
      <c r="F62" s="1" t="s">
        <v>23</v>
      </c>
      <c r="G62" s="2" t="s">
        <v>95</v>
      </c>
      <c r="H62" s="5">
        <v>5</v>
      </c>
      <c r="I62" s="5">
        <f>VLOOKUP(F62,'Set up'!$A$2:$C$48,3,FALSE)</f>
        <v>120</v>
      </c>
      <c r="J62" s="5">
        <f>VLOOKUP(F62,'Set up'!$A$2:$D$48,4,FALSE)</f>
        <v>120</v>
      </c>
      <c r="K62" s="4">
        <f t="shared" si="2"/>
        <v>44216</v>
      </c>
      <c r="L62" s="5">
        <f t="shared" si="3"/>
        <v>1</v>
      </c>
      <c r="M62" s="5">
        <f t="shared" si="4"/>
        <v>2021</v>
      </c>
      <c r="N62" s="6">
        <v>6270</v>
      </c>
      <c r="O62" s="6">
        <f t="shared" si="11"/>
        <v>-6270</v>
      </c>
      <c r="P62" s="6">
        <f t="shared" si="10"/>
        <v>0</v>
      </c>
      <c r="Q62" s="7">
        <f t="shared" si="7"/>
        <v>75467.3</v>
      </c>
      <c r="R62" s="44" t="str">
        <f>VLOOKUP(F62,'Set up'!$A$2:$E$48,5,FALSE)</f>
        <v>Chq</v>
      </c>
      <c r="S62" s="13" t="s">
        <v>248</v>
      </c>
    </row>
    <row r="63" spans="1:20" hidden="1" x14ac:dyDescent="0.3">
      <c r="A63" s="4">
        <v>44096</v>
      </c>
      <c r="B63" s="5">
        <f t="shared" si="8"/>
        <v>9</v>
      </c>
      <c r="C63" s="5">
        <f t="shared" si="9"/>
        <v>2020</v>
      </c>
      <c r="D63" s="5" t="s">
        <v>101</v>
      </c>
      <c r="E63" s="5" t="str">
        <f>VLOOKUP(F63,'Set up'!$A$2:$C$48,2,FALSE)</f>
        <v>C00000004</v>
      </c>
      <c r="F63" s="1" t="s">
        <v>23</v>
      </c>
      <c r="G63" s="2" t="s">
        <v>57</v>
      </c>
      <c r="H63" s="5">
        <v>1</v>
      </c>
      <c r="I63" s="5">
        <f>VLOOKUP(F63,'Set up'!$A$2:$C$48,3,FALSE)</f>
        <v>120</v>
      </c>
      <c r="J63" s="5">
        <f>VLOOKUP(F63,'Set up'!$A$2:$D$48,4,FALSE)</f>
        <v>120</v>
      </c>
      <c r="K63" s="4">
        <f t="shared" si="2"/>
        <v>44216</v>
      </c>
      <c r="L63" s="5">
        <f t="shared" si="3"/>
        <v>1</v>
      </c>
      <c r="M63" s="5">
        <f t="shared" si="4"/>
        <v>2021</v>
      </c>
      <c r="N63" s="6">
        <v>1254</v>
      </c>
      <c r="O63" s="6">
        <f t="shared" si="11"/>
        <v>-1254</v>
      </c>
      <c r="P63" s="6">
        <f t="shared" si="10"/>
        <v>0</v>
      </c>
      <c r="Q63" s="7">
        <f t="shared" si="7"/>
        <v>76721.3</v>
      </c>
      <c r="R63" s="44" t="str">
        <f>VLOOKUP(F63,'Set up'!$A$2:$E$48,5,FALSE)</f>
        <v>Chq</v>
      </c>
      <c r="S63" s="13" t="s">
        <v>248</v>
      </c>
    </row>
    <row r="64" spans="1:20" hidden="1" x14ac:dyDescent="0.3">
      <c r="A64" s="4">
        <v>44096</v>
      </c>
      <c r="B64" s="5">
        <f t="shared" si="8"/>
        <v>9</v>
      </c>
      <c r="C64" s="5">
        <f t="shared" si="9"/>
        <v>2020</v>
      </c>
      <c r="D64" s="5" t="s">
        <v>101</v>
      </c>
      <c r="E64" s="5" t="str">
        <f>VLOOKUP(F64,'Set up'!$A$2:$C$48,2,FALSE)</f>
        <v>C00000004</v>
      </c>
      <c r="F64" s="1" t="s">
        <v>23</v>
      </c>
      <c r="G64" s="2" t="s">
        <v>96</v>
      </c>
      <c r="H64" s="5">
        <v>5</v>
      </c>
      <c r="I64" s="5">
        <f>VLOOKUP(F64,'Set up'!$A$2:$C$48,3,FALSE)</f>
        <v>120</v>
      </c>
      <c r="J64" s="5">
        <f>VLOOKUP(F64,'Set up'!$A$2:$D$48,4,FALSE)</f>
        <v>120</v>
      </c>
      <c r="K64" s="4">
        <f t="shared" si="2"/>
        <v>44216</v>
      </c>
      <c r="L64" s="5">
        <f t="shared" si="3"/>
        <v>1</v>
      </c>
      <c r="M64" s="5">
        <f t="shared" si="4"/>
        <v>2021</v>
      </c>
      <c r="N64" s="6">
        <v>1458</v>
      </c>
      <c r="O64" s="6">
        <f t="shared" si="11"/>
        <v>-1458</v>
      </c>
      <c r="P64" s="6">
        <f t="shared" si="10"/>
        <v>0</v>
      </c>
      <c r="Q64" s="7">
        <f t="shared" si="7"/>
        <v>78179.3</v>
      </c>
      <c r="R64" s="44" t="str">
        <f>VLOOKUP(F64,'Set up'!$A$2:$E$48,5,FALSE)</f>
        <v>Chq</v>
      </c>
      <c r="S64" s="13" t="s">
        <v>248</v>
      </c>
    </row>
    <row r="65" spans="1:19" hidden="1" x14ac:dyDescent="0.3">
      <c r="A65" s="4">
        <v>44096</v>
      </c>
      <c r="B65" s="5">
        <f t="shared" si="8"/>
        <v>9</v>
      </c>
      <c r="C65" s="5">
        <f t="shared" si="9"/>
        <v>2020</v>
      </c>
      <c r="D65" s="5" t="s">
        <v>101</v>
      </c>
      <c r="E65" s="5" t="str">
        <f>VLOOKUP(F65,'Set up'!$A$2:$C$48,2,FALSE)</f>
        <v>C00000004</v>
      </c>
      <c r="F65" s="1" t="s">
        <v>23</v>
      </c>
      <c r="G65" s="11" t="s">
        <v>97</v>
      </c>
      <c r="H65" s="5">
        <v>2</v>
      </c>
      <c r="I65" s="5">
        <f>VLOOKUP(F65,'Set up'!$A$2:$C$48,3,FALSE)</f>
        <v>120</v>
      </c>
      <c r="J65" s="5">
        <f>VLOOKUP(F65,'Set up'!$A$2:$D$48,4,FALSE)</f>
        <v>120</v>
      </c>
      <c r="K65" s="4">
        <f t="shared" si="2"/>
        <v>44216</v>
      </c>
      <c r="L65" s="5">
        <f t="shared" si="3"/>
        <v>1</v>
      </c>
      <c r="M65" s="5">
        <f t="shared" si="4"/>
        <v>2021</v>
      </c>
      <c r="N65" s="6">
        <v>583.20000000000005</v>
      </c>
      <c r="O65" s="6">
        <f t="shared" si="11"/>
        <v>-583.20000000000005</v>
      </c>
      <c r="P65" s="6">
        <f t="shared" si="10"/>
        <v>0</v>
      </c>
      <c r="Q65" s="7">
        <f t="shared" si="7"/>
        <v>78762.5</v>
      </c>
      <c r="R65" s="44" t="str">
        <f>VLOOKUP(F65,'Set up'!$A$2:$E$48,5,FALSE)</f>
        <v>Chq</v>
      </c>
      <c r="S65" s="13" t="s">
        <v>248</v>
      </c>
    </row>
    <row r="66" spans="1:19" hidden="1" x14ac:dyDescent="0.3">
      <c r="A66" s="4">
        <v>44096</v>
      </c>
      <c r="B66" s="5">
        <f t="shared" ref="B66:B97" si="12">MONTH(A66)</f>
        <v>9</v>
      </c>
      <c r="C66" s="5">
        <f t="shared" ref="C66:C97" si="13">YEAR(A66)</f>
        <v>2020</v>
      </c>
      <c r="D66" s="5" t="s">
        <v>101</v>
      </c>
      <c r="E66" s="5" t="str">
        <f>VLOOKUP(F66,'Set up'!$A$2:$C$48,2,FALSE)</f>
        <v>C00000004</v>
      </c>
      <c r="F66" s="1" t="s">
        <v>23</v>
      </c>
      <c r="G66" s="11" t="s">
        <v>44</v>
      </c>
      <c r="H66" s="5">
        <v>10</v>
      </c>
      <c r="I66" s="5">
        <f>VLOOKUP(F66,'Set up'!$A$2:$C$48,3,FALSE)</f>
        <v>120</v>
      </c>
      <c r="J66" s="5">
        <f>VLOOKUP(F66,'Set up'!$A$2:$D$48,4,FALSE)</f>
        <v>120</v>
      </c>
      <c r="K66" s="4">
        <f t="shared" ref="K66:K129" si="14">A66+J66</f>
        <v>44216</v>
      </c>
      <c r="L66" s="5">
        <f t="shared" ref="L66:L129" si="15">MONTH(K66)</f>
        <v>1</v>
      </c>
      <c r="M66" s="5">
        <f t="shared" ref="M66:M129" si="16">YEAR(K66)</f>
        <v>2021</v>
      </c>
      <c r="N66" s="6">
        <v>2040</v>
      </c>
      <c r="O66" s="6">
        <f t="shared" si="11"/>
        <v>-2040</v>
      </c>
      <c r="P66" s="6">
        <f t="shared" ref="P66:P97" si="17">SUM(N66+O66)</f>
        <v>0</v>
      </c>
      <c r="Q66" s="7">
        <f t="shared" si="7"/>
        <v>80802.5</v>
      </c>
      <c r="R66" s="44" t="str">
        <f>VLOOKUP(F66,'Set up'!$A$2:$E$48,5,FALSE)</f>
        <v>Chq</v>
      </c>
      <c r="S66" s="13" t="s">
        <v>248</v>
      </c>
    </row>
    <row r="67" spans="1:19" hidden="1" x14ac:dyDescent="0.3">
      <c r="A67" s="4">
        <v>44097</v>
      </c>
      <c r="B67" s="5">
        <f t="shared" si="12"/>
        <v>9</v>
      </c>
      <c r="C67" s="5">
        <f t="shared" si="13"/>
        <v>2020</v>
      </c>
      <c r="D67" s="5" t="s">
        <v>102</v>
      </c>
      <c r="E67" s="5" t="str">
        <f>VLOOKUP(F67,'Set up'!$A$2:$C$48,2,FALSE)</f>
        <v>C00000010</v>
      </c>
      <c r="F67" s="1" t="s">
        <v>62</v>
      </c>
      <c r="G67" s="2" t="s">
        <v>95</v>
      </c>
      <c r="H67" s="5">
        <v>5</v>
      </c>
      <c r="I67" s="5">
        <f>VLOOKUP(F67,'Set up'!$A$2:$C$48,3,FALSE)</f>
        <v>120</v>
      </c>
      <c r="J67" s="5">
        <f>VLOOKUP(F67,'Set up'!$A$2:$D$48,4,FALSE)</f>
        <v>120</v>
      </c>
      <c r="K67" s="4">
        <f t="shared" si="14"/>
        <v>44217</v>
      </c>
      <c r="L67" s="5">
        <f t="shared" si="15"/>
        <v>1</v>
      </c>
      <c r="M67" s="5">
        <f t="shared" si="16"/>
        <v>2021</v>
      </c>
      <c r="N67" s="6">
        <v>6600</v>
      </c>
      <c r="O67" s="6">
        <f t="shared" si="11"/>
        <v>-6600</v>
      </c>
      <c r="P67" s="6">
        <f t="shared" si="17"/>
        <v>0</v>
      </c>
      <c r="Q67" s="7">
        <f t="shared" ref="Q67:Q130" si="18">SUM(Q66+N67)</f>
        <v>87402.5</v>
      </c>
      <c r="R67" s="44" t="str">
        <f>VLOOKUP(F67,'Set up'!$A$2:$E$48,5,FALSE)</f>
        <v>Trsf</v>
      </c>
      <c r="S67" s="13" t="s">
        <v>249</v>
      </c>
    </row>
    <row r="68" spans="1:19" hidden="1" x14ac:dyDescent="0.3">
      <c r="A68" s="4">
        <v>44097</v>
      </c>
      <c r="B68" s="5">
        <f t="shared" si="12"/>
        <v>9</v>
      </c>
      <c r="C68" s="5">
        <f t="shared" si="13"/>
        <v>2020</v>
      </c>
      <c r="D68" s="5" t="s">
        <v>102</v>
      </c>
      <c r="E68" s="5" t="str">
        <f>VLOOKUP(F68,'Set up'!$A$2:$C$48,2,FALSE)</f>
        <v>C00000010</v>
      </c>
      <c r="F68" s="1" t="s">
        <v>62</v>
      </c>
      <c r="G68" s="11" t="s">
        <v>63</v>
      </c>
      <c r="H68" s="5">
        <v>4</v>
      </c>
      <c r="I68" s="5">
        <f>VLOOKUP(F68,'Set up'!$A$2:$C$48,3,FALSE)</f>
        <v>120</v>
      </c>
      <c r="J68" s="5">
        <f>VLOOKUP(F68,'Set up'!$A$2:$D$48,4,FALSE)</f>
        <v>120</v>
      </c>
      <c r="K68" s="4">
        <f t="shared" si="14"/>
        <v>44217</v>
      </c>
      <c r="L68" s="5">
        <f t="shared" si="15"/>
        <v>1</v>
      </c>
      <c r="M68" s="5">
        <f t="shared" si="16"/>
        <v>2021</v>
      </c>
      <c r="N68" s="6">
        <v>888</v>
      </c>
      <c r="O68" s="6">
        <f t="shared" si="11"/>
        <v>-888</v>
      </c>
      <c r="P68" s="6">
        <f t="shared" si="17"/>
        <v>0</v>
      </c>
      <c r="Q68" s="7">
        <f t="shared" si="18"/>
        <v>88290.5</v>
      </c>
      <c r="R68" s="44" t="str">
        <f>VLOOKUP(F68,'Set up'!$A$2:$E$48,5,FALSE)</f>
        <v>Trsf</v>
      </c>
      <c r="S68" s="13" t="s">
        <v>249</v>
      </c>
    </row>
    <row r="69" spans="1:19" hidden="1" x14ac:dyDescent="0.3">
      <c r="A69" s="4">
        <v>44097</v>
      </c>
      <c r="B69" s="5">
        <f t="shared" si="12"/>
        <v>9</v>
      </c>
      <c r="C69" s="5">
        <f t="shared" si="13"/>
        <v>2020</v>
      </c>
      <c r="D69" s="5" t="s">
        <v>102</v>
      </c>
      <c r="E69" s="5" t="str">
        <f>VLOOKUP(F69,'Set up'!$A$2:$C$48,2,FALSE)</f>
        <v>C00000010</v>
      </c>
      <c r="F69" s="1" t="s">
        <v>62</v>
      </c>
      <c r="G69" s="11" t="s">
        <v>64</v>
      </c>
      <c r="H69" s="5">
        <v>5</v>
      </c>
      <c r="I69" s="5">
        <f>VLOOKUP(F69,'Set up'!$A$2:$C$48,3,FALSE)</f>
        <v>120</v>
      </c>
      <c r="J69" s="5">
        <f>VLOOKUP(F69,'Set up'!$A$2:$D$48,4,FALSE)</f>
        <v>120</v>
      </c>
      <c r="K69" s="4">
        <f t="shared" si="14"/>
        <v>44217</v>
      </c>
      <c r="L69" s="5">
        <f t="shared" si="15"/>
        <v>1</v>
      </c>
      <c r="M69" s="5">
        <f t="shared" si="16"/>
        <v>2021</v>
      </c>
      <c r="N69" s="6">
        <v>275</v>
      </c>
      <c r="O69" s="6">
        <f t="shared" si="11"/>
        <v>-275</v>
      </c>
      <c r="P69" s="6">
        <f t="shared" si="17"/>
        <v>0</v>
      </c>
      <c r="Q69" s="7">
        <f t="shared" si="18"/>
        <v>88565.5</v>
      </c>
      <c r="R69" s="44" t="str">
        <f>VLOOKUP(F69,'Set up'!$A$2:$E$48,5,FALSE)</f>
        <v>Trsf</v>
      </c>
      <c r="S69" s="13" t="s">
        <v>249</v>
      </c>
    </row>
    <row r="70" spans="1:19" hidden="1" x14ac:dyDescent="0.3">
      <c r="A70" s="4">
        <v>44097</v>
      </c>
      <c r="B70" s="5">
        <f t="shared" si="12"/>
        <v>9</v>
      </c>
      <c r="C70" s="5">
        <f t="shared" si="13"/>
        <v>2020</v>
      </c>
      <c r="D70" s="5" t="s">
        <v>102</v>
      </c>
      <c r="E70" s="5" t="str">
        <f>VLOOKUP(F70,'Set up'!$A$2:$C$48,2,FALSE)</f>
        <v>C00000010</v>
      </c>
      <c r="F70" s="1" t="s">
        <v>62</v>
      </c>
      <c r="G70" s="11" t="s">
        <v>46</v>
      </c>
      <c r="H70" s="5">
        <v>4</v>
      </c>
      <c r="I70" s="5">
        <f>VLOOKUP(F70,'Set up'!$A$2:$C$48,3,FALSE)</f>
        <v>120</v>
      </c>
      <c r="J70" s="5">
        <f>VLOOKUP(F70,'Set up'!$A$2:$D$48,4,FALSE)</f>
        <v>120</v>
      </c>
      <c r="K70" s="4">
        <f t="shared" si="14"/>
        <v>44217</v>
      </c>
      <c r="L70" s="5">
        <f t="shared" si="15"/>
        <v>1</v>
      </c>
      <c r="M70" s="5">
        <f t="shared" si="16"/>
        <v>2021</v>
      </c>
      <c r="N70" s="6">
        <v>360</v>
      </c>
      <c r="O70" s="6">
        <f t="shared" si="11"/>
        <v>-360</v>
      </c>
      <c r="P70" s="6">
        <f t="shared" si="17"/>
        <v>0</v>
      </c>
      <c r="Q70" s="7">
        <f t="shared" si="18"/>
        <v>88925.5</v>
      </c>
      <c r="R70" s="44" t="str">
        <f>VLOOKUP(F70,'Set up'!$A$2:$E$48,5,FALSE)</f>
        <v>Trsf</v>
      </c>
      <c r="S70" s="13" t="s">
        <v>249</v>
      </c>
    </row>
    <row r="71" spans="1:19" ht="15" hidden="1" customHeight="1" x14ac:dyDescent="0.3">
      <c r="A71" s="4">
        <v>44097</v>
      </c>
      <c r="B71" s="5">
        <f t="shared" si="12"/>
        <v>9</v>
      </c>
      <c r="C71" s="5">
        <f t="shared" si="13"/>
        <v>2020</v>
      </c>
      <c r="D71" s="5" t="s">
        <v>103</v>
      </c>
      <c r="E71" s="5" t="str">
        <f>VLOOKUP(F71,'Set up'!$A$2:$C$48,2,FALSE)</f>
        <v>C00000001</v>
      </c>
      <c r="F71" s="1" t="s">
        <v>7</v>
      </c>
      <c r="G71" s="11" t="s">
        <v>202</v>
      </c>
      <c r="H71" s="5">
        <v>6</v>
      </c>
      <c r="I71" s="5" t="str">
        <f>VLOOKUP(F71,'Set up'!$A$2:$C$48,3,FALSE)</f>
        <v>Cash</v>
      </c>
      <c r="J71" s="5">
        <f>VLOOKUP(F71,'Set up'!$A$2:$D$48,4,FALSE)</f>
        <v>0</v>
      </c>
      <c r="K71" s="4">
        <f t="shared" si="14"/>
        <v>44097</v>
      </c>
      <c r="L71" s="5">
        <f t="shared" si="15"/>
        <v>9</v>
      </c>
      <c r="M71" s="5">
        <f t="shared" si="16"/>
        <v>2020</v>
      </c>
      <c r="N71" s="6">
        <v>1392</v>
      </c>
      <c r="O71" s="6">
        <f t="shared" si="11"/>
        <v>-1392</v>
      </c>
      <c r="P71" s="6">
        <f t="shared" si="17"/>
        <v>0</v>
      </c>
      <c r="Q71" s="7">
        <f t="shared" si="18"/>
        <v>90317.5</v>
      </c>
      <c r="R71" s="44" t="str">
        <f>VLOOKUP(F71,'Set up'!$A$2:$E$48,5,FALSE)</f>
        <v>Trsf</v>
      </c>
      <c r="S71" s="1" t="s">
        <v>107</v>
      </c>
    </row>
    <row r="72" spans="1:19" hidden="1" x14ac:dyDescent="0.3">
      <c r="A72" s="4">
        <v>44100</v>
      </c>
      <c r="B72" s="5">
        <f t="shared" si="12"/>
        <v>9</v>
      </c>
      <c r="C72" s="5">
        <f t="shared" si="13"/>
        <v>2020</v>
      </c>
      <c r="D72" s="5" t="s">
        <v>105</v>
      </c>
      <c r="E72" s="5" t="str">
        <f>VLOOKUP(F72,'Set up'!$A$2:$C$48,2,FALSE)</f>
        <v>C00000001</v>
      </c>
      <c r="F72" s="1" t="s">
        <v>7</v>
      </c>
      <c r="G72" s="2" t="s">
        <v>95</v>
      </c>
      <c r="H72" s="5">
        <v>1</v>
      </c>
      <c r="I72" s="5" t="str">
        <f>VLOOKUP(F72,'Set up'!$A$2:$C$48,3,FALSE)</f>
        <v>Cash</v>
      </c>
      <c r="J72" s="5">
        <f>VLOOKUP(F72,'Set up'!$A$2:$D$48,4,FALSE)</f>
        <v>0</v>
      </c>
      <c r="K72" s="4">
        <f t="shared" si="14"/>
        <v>44100</v>
      </c>
      <c r="L72" s="5">
        <f t="shared" si="15"/>
        <v>9</v>
      </c>
      <c r="M72" s="5">
        <f t="shared" si="16"/>
        <v>2020</v>
      </c>
      <c r="N72" s="6">
        <v>1496</v>
      </c>
      <c r="O72" s="6">
        <f t="shared" si="11"/>
        <v>-1496</v>
      </c>
      <c r="P72" s="6">
        <f t="shared" si="17"/>
        <v>0</v>
      </c>
      <c r="Q72" s="7">
        <f t="shared" si="18"/>
        <v>91813.5</v>
      </c>
      <c r="R72" s="44" t="str">
        <f>VLOOKUP(F72,'Set up'!$A$2:$E$48,5,FALSE)</f>
        <v>Trsf</v>
      </c>
      <c r="S72" s="1" t="s">
        <v>107</v>
      </c>
    </row>
    <row r="73" spans="1:19" hidden="1" x14ac:dyDescent="0.3">
      <c r="A73" s="4">
        <v>44109</v>
      </c>
      <c r="B73" s="5">
        <f t="shared" si="12"/>
        <v>10</v>
      </c>
      <c r="C73" s="5">
        <f t="shared" si="13"/>
        <v>2020</v>
      </c>
      <c r="D73" s="5" t="s">
        <v>106</v>
      </c>
      <c r="E73" s="5" t="str">
        <f>VLOOKUP(F73,'Set up'!$A$2:$C$48,2,FALSE)</f>
        <v>C00000005</v>
      </c>
      <c r="F73" s="1" t="s">
        <v>35</v>
      </c>
      <c r="G73" s="11" t="s">
        <v>67</v>
      </c>
      <c r="H73" s="5">
        <v>1</v>
      </c>
      <c r="I73" s="5" t="str">
        <f>VLOOKUP(F73,'Set up'!$A$2:$C$48,3,FALSE)</f>
        <v>Cash</v>
      </c>
      <c r="J73" s="5">
        <f>VLOOKUP(F73,'Set up'!$A$2:$D$48,4,FALSE)</f>
        <v>0</v>
      </c>
      <c r="K73" s="4">
        <f t="shared" si="14"/>
        <v>44109</v>
      </c>
      <c r="L73" s="5">
        <f t="shared" si="15"/>
        <v>10</v>
      </c>
      <c r="M73" s="5">
        <f t="shared" si="16"/>
        <v>2020</v>
      </c>
      <c r="N73" s="6">
        <v>1496</v>
      </c>
      <c r="O73" s="6">
        <f t="shared" si="11"/>
        <v>-1496</v>
      </c>
      <c r="P73" s="6">
        <f t="shared" si="17"/>
        <v>0</v>
      </c>
      <c r="Q73" s="7">
        <f t="shared" si="18"/>
        <v>93309.5</v>
      </c>
      <c r="R73" s="44" t="str">
        <f>VLOOKUP(F73,'Set up'!$A$2:$E$48,5,FALSE)</f>
        <v>Chq</v>
      </c>
      <c r="S73" s="1" t="s">
        <v>128</v>
      </c>
    </row>
    <row r="74" spans="1:19" hidden="1" x14ac:dyDescent="0.3">
      <c r="A74" s="4">
        <v>44109</v>
      </c>
      <c r="B74" s="5">
        <f t="shared" si="12"/>
        <v>10</v>
      </c>
      <c r="C74" s="5">
        <f t="shared" si="13"/>
        <v>2020</v>
      </c>
      <c r="D74" s="5" t="s">
        <v>109</v>
      </c>
      <c r="E74" s="5" t="str">
        <f>VLOOKUP(F74,'Set up'!$A$2:$C$48,2,FALSE)</f>
        <v>C00000003</v>
      </c>
      <c r="F74" s="1" t="s">
        <v>20</v>
      </c>
      <c r="G74" s="2" t="s">
        <v>67</v>
      </c>
      <c r="H74" s="5">
        <v>3</v>
      </c>
      <c r="I74" s="5">
        <f>VLOOKUP(F74,'Set up'!$A$2:$C$48,3,FALSE)</f>
        <v>45</v>
      </c>
      <c r="J74" s="5">
        <f>VLOOKUP(F74,'Set up'!$A$2:$D$48,4,FALSE)</f>
        <v>45</v>
      </c>
      <c r="K74" s="4">
        <f t="shared" si="14"/>
        <v>44154</v>
      </c>
      <c r="L74" s="5">
        <f t="shared" si="15"/>
        <v>11</v>
      </c>
      <c r="M74" s="5">
        <f t="shared" si="16"/>
        <v>2020</v>
      </c>
      <c r="N74" s="6">
        <v>4554</v>
      </c>
      <c r="O74" s="6">
        <f t="shared" si="11"/>
        <v>-4554</v>
      </c>
      <c r="P74" s="6">
        <f t="shared" si="17"/>
        <v>0</v>
      </c>
      <c r="Q74" s="7">
        <f t="shared" si="18"/>
        <v>97863.5</v>
      </c>
      <c r="R74" s="44" t="str">
        <f>VLOOKUP(F74,'Set up'!$A$2:$E$48,5,FALSE)</f>
        <v>PD Chq</v>
      </c>
      <c r="S74" s="13" t="s">
        <v>113</v>
      </c>
    </row>
    <row r="75" spans="1:19" hidden="1" x14ac:dyDescent="0.3">
      <c r="A75" s="4">
        <v>44109</v>
      </c>
      <c r="B75" s="5">
        <f t="shared" si="12"/>
        <v>10</v>
      </c>
      <c r="C75" s="5">
        <f t="shared" si="13"/>
        <v>2020</v>
      </c>
      <c r="D75" s="5" t="s">
        <v>109</v>
      </c>
      <c r="E75" s="5" t="str">
        <f>VLOOKUP(F75,'Set up'!$A$2:$C$48,2,FALSE)</f>
        <v>C00000003</v>
      </c>
      <c r="F75" s="1" t="s">
        <v>20</v>
      </c>
      <c r="G75" s="11" t="s">
        <v>54</v>
      </c>
      <c r="H75" s="5">
        <v>8</v>
      </c>
      <c r="I75" s="5">
        <f>VLOOKUP(F75,'Set up'!$A$2:$C$48,3,FALSE)</f>
        <v>45</v>
      </c>
      <c r="J75" s="5">
        <f>VLOOKUP(F75,'Set up'!$A$2:$D$48,4,FALSE)</f>
        <v>45</v>
      </c>
      <c r="K75" s="4">
        <f t="shared" si="14"/>
        <v>44154</v>
      </c>
      <c r="L75" s="5">
        <f t="shared" si="15"/>
        <v>11</v>
      </c>
      <c r="M75" s="5">
        <f t="shared" si="16"/>
        <v>2020</v>
      </c>
      <c r="N75" s="6">
        <v>400</v>
      </c>
      <c r="O75" s="6">
        <f t="shared" si="11"/>
        <v>-400</v>
      </c>
      <c r="P75" s="6">
        <f t="shared" si="17"/>
        <v>0</v>
      </c>
      <c r="Q75" s="7">
        <f t="shared" si="18"/>
        <v>98263.5</v>
      </c>
      <c r="R75" s="44" t="str">
        <f>VLOOKUP(F75,'Set up'!$A$2:$E$48,5,FALSE)</f>
        <v>PD Chq</v>
      </c>
      <c r="S75" s="13" t="s">
        <v>114</v>
      </c>
    </row>
    <row r="76" spans="1:19" hidden="1" x14ac:dyDescent="0.3">
      <c r="A76" s="4">
        <v>44109</v>
      </c>
      <c r="B76" s="5">
        <f t="shared" si="12"/>
        <v>10</v>
      </c>
      <c r="C76" s="5">
        <f t="shared" si="13"/>
        <v>2020</v>
      </c>
      <c r="D76" s="5" t="s">
        <v>109</v>
      </c>
      <c r="E76" s="5" t="str">
        <f>VLOOKUP(F76,'Set up'!$A$2:$C$48,2,FALSE)</f>
        <v>C00000003</v>
      </c>
      <c r="F76" s="1" t="s">
        <v>20</v>
      </c>
      <c r="G76" s="2" t="s">
        <v>46</v>
      </c>
      <c r="H76" s="5">
        <v>6</v>
      </c>
      <c r="I76" s="5">
        <f>VLOOKUP(F76,'Set up'!$A$2:$C$48,3,FALSE)</f>
        <v>45</v>
      </c>
      <c r="J76" s="5">
        <f>VLOOKUP(F76,'Set up'!$A$2:$D$48,4,FALSE)</f>
        <v>45</v>
      </c>
      <c r="K76" s="4">
        <f t="shared" si="14"/>
        <v>44154</v>
      </c>
      <c r="L76" s="5">
        <f t="shared" si="15"/>
        <v>11</v>
      </c>
      <c r="M76" s="5">
        <f t="shared" si="16"/>
        <v>2020</v>
      </c>
      <c r="N76" s="6">
        <v>555</v>
      </c>
      <c r="O76" s="6">
        <f t="shared" si="11"/>
        <v>-555</v>
      </c>
      <c r="P76" s="6">
        <f t="shared" si="17"/>
        <v>0</v>
      </c>
      <c r="Q76" s="7">
        <f t="shared" si="18"/>
        <v>98818.5</v>
      </c>
      <c r="R76" s="44" t="str">
        <f>VLOOKUP(F76,'Set up'!$A$2:$E$48,5,FALSE)</f>
        <v>PD Chq</v>
      </c>
      <c r="S76" s="13" t="s">
        <v>115</v>
      </c>
    </row>
    <row r="77" spans="1:19" hidden="1" x14ac:dyDescent="0.3">
      <c r="A77" s="4">
        <v>44109</v>
      </c>
      <c r="B77" s="5">
        <f t="shared" si="12"/>
        <v>10</v>
      </c>
      <c r="C77" s="5">
        <f t="shared" si="13"/>
        <v>2020</v>
      </c>
      <c r="D77" s="5" t="s">
        <v>109</v>
      </c>
      <c r="E77" s="5" t="str">
        <f>VLOOKUP(F77,'Set up'!$A$2:$C$48,2,FALSE)</f>
        <v>C00000003</v>
      </c>
      <c r="F77" s="1" t="s">
        <v>20</v>
      </c>
      <c r="G77" s="11" t="s">
        <v>111</v>
      </c>
      <c r="H77" s="5">
        <v>1</v>
      </c>
      <c r="I77" s="5">
        <f>VLOOKUP(F77,'Set up'!$A$2:$C$48,3,FALSE)</f>
        <v>45</v>
      </c>
      <c r="J77" s="5">
        <f>VLOOKUP(F77,'Set up'!$A$2:$D$48,4,FALSE)</f>
        <v>45</v>
      </c>
      <c r="K77" s="4">
        <f t="shared" si="14"/>
        <v>44154</v>
      </c>
      <c r="L77" s="5">
        <f t="shared" si="15"/>
        <v>11</v>
      </c>
      <c r="M77" s="5">
        <f t="shared" si="16"/>
        <v>2020</v>
      </c>
      <c r="N77" s="6">
        <v>204</v>
      </c>
      <c r="O77" s="6">
        <f t="shared" si="11"/>
        <v>-204</v>
      </c>
      <c r="P77" s="6">
        <f t="shared" si="17"/>
        <v>0</v>
      </c>
      <c r="Q77" s="7">
        <f t="shared" si="18"/>
        <v>99022.5</v>
      </c>
      <c r="R77" s="44" t="str">
        <f>VLOOKUP(F77,'Set up'!$A$2:$E$48,5,FALSE)</f>
        <v>PD Chq</v>
      </c>
      <c r="S77" s="13" t="s">
        <v>115</v>
      </c>
    </row>
    <row r="78" spans="1:19" hidden="1" x14ac:dyDescent="0.3">
      <c r="A78" s="4">
        <v>44112</v>
      </c>
      <c r="B78" s="5">
        <f t="shared" si="12"/>
        <v>10</v>
      </c>
      <c r="C78" s="5">
        <f t="shared" si="13"/>
        <v>2020</v>
      </c>
      <c r="D78" s="5" t="s">
        <v>110</v>
      </c>
      <c r="E78" s="5" t="str">
        <f>VLOOKUP(F78,'Set up'!$A$2:$C$48,2,FALSE)</f>
        <v>C00000004</v>
      </c>
      <c r="F78" s="2" t="s">
        <v>23</v>
      </c>
      <c r="G78" s="2" t="s">
        <v>95</v>
      </c>
      <c r="H78" s="5">
        <v>5</v>
      </c>
      <c r="I78" s="5">
        <f>VLOOKUP(F78,'Set up'!$A$2:$C$48,3,FALSE)</f>
        <v>120</v>
      </c>
      <c r="J78" s="5">
        <f>VLOOKUP(F78,'Set up'!$A$2:$D$48,4,FALSE)</f>
        <v>120</v>
      </c>
      <c r="K78" s="4">
        <f t="shared" si="14"/>
        <v>44232</v>
      </c>
      <c r="L78" s="5">
        <f t="shared" si="15"/>
        <v>2</v>
      </c>
      <c r="M78" s="5">
        <f t="shared" si="16"/>
        <v>2021</v>
      </c>
      <c r="N78" s="6">
        <v>6270</v>
      </c>
      <c r="O78" s="6">
        <f t="shared" si="11"/>
        <v>-6270</v>
      </c>
      <c r="P78" s="6">
        <f t="shared" si="17"/>
        <v>0</v>
      </c>
      <c r="Q78" s="7">
        <f t="shared" si="18"/>
        <v>105292.5</v>
      </c>
      <c r="R78" s="44" t="str">
        <f>VLOOKUP(F78,'Set up'!$A$2:$E$48,5,FALSE)</f>
        <v>Chq</v>
      </c>
      <c r="S78" s="13" t="s">
        <v>277</v>
      </c>
    </row>
    <row r="79" spans="1:19" hidden="1" x14ac:dyDescent="0.3">
      <c r="A79" s="4">
        <v>44112</v>
      </c>
      <c r="B79" s="5">
        <f t="shared" si="12"/>
        <v>10</v>
      </c>
      <c r="C79" s="5">
        <f t="shared" si="13"/>
        <v>2020</v>
      </c>
      <c r="D79" s="5" t="s">
        <v>110</v>
      </c>
      <c r="E79" s="5" t="str">
        <f>VLOOKUP(F79,'Set up'!$A$2:$C$48,2,FALSE)</f>
        <v>C00000004</v>
      </c>
      <c r="F79" s="2" t="s">
        <v>23</v>
      </c>
      <c r="G79" s="2" t="s">
        <v>57</v>
      </c>
      <c r="H79" s="5">
        <v>1</v>
      </c>
      <c r="I79" s="5">
        <f>VLOOKUP(F79,'Set up'!$A$2:$C$48,3,FALSE)</f>
        <v>120</v>
      </c>
      <c r="J79" s="5">
        <f>VLOOKUP(F79,'Set up'!$A$2:$D$48,4,FALSE)</f>
        <v>120</v>
      </c>
      <c r="K79" s="4">
        <f t="shared" si="14"/>
        <v>44232</v>
      </c>
      <c r="L79" s="5">
        <f t="shared" si="15"/>
        <v>2</v>
      </c>
      <c r="M79" s="5">
        <f t="shared" si="16"/>
        <v>2021</v>
      </c>
      <c r="N79" s="6">
        <v>1254</v>
      </c>
      <c r="O79" s="6">
        <f t="shared" si="11"/>
        <v>-1254</v>
      </c>
      <c r="P79" s="6">
        <f t="shared" si="17"/>
        <v>0</v>
      </c>
      <c r="Q79" s="7">
        <f t="shared" si="18"/>
        <v>106546.5</v>
      </c>
      <c r="R79" s="44" t="str">
        <f>VLOOKUP(F79,'Set up'!$A$2:$E$48,5,FALSE)</f>
        <v>Chq</v>
      </c>
      <c r="S79" s="13" t="s">
        <v>277</v>
      </c>
    </row>
    <row r="80" spans="1:19" hidden="1" x14ac:dyDescent="0.3">
      <c r="A80" s="4">
        <v>44112</v>
      </c>
      <c r="B80" s="5">
        <f t="shared" si="12"/>
        <v>10</v>
      </c>
      <c r="C80" s="5">
        <f t="shared" si="13"/>
        <v>2020</v>
      </c>
      <c r="D80" s="5" t="s">
        <v>110</v>
      </c>
      <c r="E80" s="5" t="str">
        <f>VLOOKUP(F80,'Set up'!$A$2:$C$48,2,FALSE)</f>
        <v>C00000004</v>
      </c>
      <c r="F80" s="2" t="s">
        <v>23</v>
      </c>
      <c r="G80" s="11" t="s">
        <v>97</v>
      </c>
      <c r="H80" s="5">
        <v>3</v>
      </c>
      <c r="I80" s="5">
        <f>VLOOKUP(F80,'Set up'!$A$2:$C$48,3,FALSE)</f>
        <v>120</v>
      </c>
      <c r="J80" s="5">
        <f>VLOOKUP(F80,'Set up'!$A$2:$D$48,4,FALSE)</f>
        <v>120</v>
      </c>
      <c r="K80" s="4">
        <f t="shared" si="14"/>
        <v>44232</v>
      </c>
      <c r="L80" s="5">
        <f t="shared" si="15"/>
        <v>2</v>
      </c>
      <c r="M80" s="5">
        <f t="shared" si="16"/>
        <v>2021</v>
      </c>
      <c r="N80" s="6">
        <v>874.80000000000007</v>
      </c>
      <c r="O80" s="6">
        <f t="shared" si="11"/>
        <v>-874.80000000000007</v>
      </c>
      <c r="P80" s="6">
        <f t="shared" si="17"/>
        <v>0</v>
      </c>
      <c r="Q80" s="7">
        <f t="shared" si="18"/>
        <v>107421.3</v>
      </c>
      <c r="R80" s="44" t="str">
        <f>VLOOKUP(F80,'Set up'!$A$2:$E$48,5,FALSE)</f>
        <v>Chq</v>
      </c>
      <c r="S80" s="13" t="s">
        <v>277</v>
      </c>
    </row>
    <row r="81" spans="1:19" hidden="1" x14ac:dyDescent="0.3">
      <c r="A81" s="4">
        <v>44112</v>
      </c>
      <c r="B81" s="5">
        <f t="shared" si="12"/>
        <v>10</v>
      </c>
      <c r="C81" s="5">
        <f t="shared" si="13"/>
        <v>2020</v>
      </c>
      <c r="D81" s="5" t="s">
        <v>110</v>
      </c>
      <c r="E81" s="5" t="str">
        <f>VLOOKUP(F81,'Set up'!$A$2:$C$48,2,FALSE)</f>
        <v>C00000004</v>
      </c>
      <c r="F81" s="2" t="s">
        <v>23</v>
      </c>
      <c r="G81" s="11" t="s">
        <v>44</v>
      </c>
      <c r="H81" s="5">
        <v>10</v>
      </c>
      <c r="I81" s="5">
        <f>VLOOKUP(F81,'Set up'!$A$2:$C$48,3,FALSE)</f>
        <v>120</v>
      </c>
      <c r="J81" s="5">
        <f>VLOOKUP(F81,'Set up'!$A$2:$D$48,4,FALSE)</f>
        <v>120</v>
      </c>
      <c r="K81" s="4">
        <f t="shared" si="14"/>
        <v>44232</v>
      </c>
      <c r="L81" s="5">
        <f t="shared" si="15"/>
        <v>2</v>
      </c>
      <c r="M81" s="5">
        <f t="shared" si="16"/>
        <v>2021</v>
      </c>
      <c r="N81" s="6">
        <v>2040</v>
      </c>
      <c r="O81" s="6">
        <f t="shared" si="11"/>
        <v>-2040</v>
      </c>
      <c r="P81" s="6">
        <f t="shared" si="17"/>
        <v>0</v>
      </c>
      <c r="Q81" s="7">
        <f t="shared" si="18"/>
        <v>109461.3</v>
      </c>
      <c r="R81" s="44" t="str">
        <f>VLOOKUP(F81,'Set up'!$A$2:$E$48,5,FALSE)</f>
        <v>Chq</v>
      </c>
      <c r="S81" s="13" t="s">
        <v>277</v>
      </c>
    </row>
    <row r="82" spans="1:19" hidden="1" x14ac:dyDescent="0.3">
      <c r="A82" s="4">
        <v>44112</v>
      </c>
      <c r="B82" s="5">
        <f t="shared" si="12"/>
        <v>10</v>
      </c>
      <c r="C82" s="5">
        <f t="shared" si="13"/>
        <v>2020</v>
      </c>
      <c r="D82" s="5" t="s">
        <v>110</v>
      </c>
      <c r="E82" s="5" t="str">
        <f>VLOOKUP(F82,'Set up'!$A$2:$C$48,2,FALSE)</f>
        <v>C00000004</v>
      </c>
      <c r="F82" s="2" t="s">
        <v>23</v>
      </c>
      <c r="G82" s="11" t="s">
        <v>46</v>
      </c>
      <c r="H82" s="5">
        <v>2</v>
      </c>
      <c r="I82" s="5">
        <f>VLOOKUP(F82,'Set up'!$A$2:$C$48,3,FALSE)</f>
        <v>120</v>
      </c>
      <c r="J82" s="5">
        <f>VLOOKUP(F82,'Set up'!$A$2:$D$48,4,FALSE)</f>
        <v>120</v>
      </c>
      <c r="K82" s="4">
        <f t="shared" si="14"/>
        <v>44232</v>
      </c>
      <c r="L82" s="5">
        <f t="shared" si="15"/>
        <v>2</v>
      </c>
      <c r="M82" s="5">
        <f t="shared" si="16"/>
        <v>2021</v>
      </c>
      <c r="N82" s="6">
        <v>180</v>
      </c>
      <c r="O82" s="6">
        <f t="shared" si="11"/>
        <v>-180</v>
      </c>
      <c r="P82" s="6">
        <f t="shared" si="17"/>
        <v>0</v>
      </c>
      <c r="Q82" s="7">
        <f t="shared" si="18"/>
        <v>109641.3</v>
      </c>
      <c r="R82" s="44" t="str">
        <f>VLOOKUP(F82,'Set up'!$A$2:$E$48,5,FALSE)</f>
        <v>Chq</v>
      </c>
      <c r="S82" s="13" t="s">
        <v>277</v>
      </c>
    </row>
    <row r="83" spans="1:19" hidden="1" x14ac:dyDescent="0.3">
      <c r="A83" s="4">
        <v>44116</v>
      </c>
      <c r="B83" s="5">
        <f t="shared" si="12"/>
        <v>10</v>
      </c>
      <c r="C83" s="5">
        <f t="shared" si="13"/>
        <v>2020</v>
      </c>
      <c r="D83" s="5" t="s">
        <v>112</v>
      </c>
      <c r="E83" s="5" t="str">
        <f>VLOOKUP(F83,'Set up'!$A$2:$C$48,2,FALSE)</f>
        <v>C00000004</v>
      </c>
      <c r="F83" s="2" t="s">
        <v>23</v>
      </c>
      <c r="G83" s="2" t="s">
        <v>95</v>
      </c>
      <c r="H83" s="5">
        <v>6</v>
      </c>
      <c r="I83" s="5">
        <f>VLOOKUP(F83,'Set up'!$A$2:$C$48,3,FALSE)</f>
        <v>120</v>
      </c>
      <c r="J83" s="5">
        <f>VLOOKUP(F83,'Set up'!$A$2:$D$48,4,FALSE)</f>
        <v>120</v>
      </c>
      <c r="K83" s="4">
        <f t="shared" si="14"/>
        <v>44236</v>
      </c>
      <c r="L83" s="5">
        <f t="shared" si="15"/>
        <v>2</v>
      </c>
      <c r="M83" s="5">
        <f t="shared" si="16"/>
        <v>2021</v>
      </c>
      <c r="N83" s="6">
        <v>7524</v>
      </c>
      <c r="O83" s="6">
        <f t="shared" si="11"/>
        <v>-7524</v>
      </c>
      <c r="P83" s="6">
        <f t="shared" si="17"/>
        <v>0</v>
      </c>
      <c r="Q83" s="7">
        <f t="shared" si="18"/>
        <v>117165.3</v>
      </c>
      <c r="R83" s="44" t="str">
        <f>VLOOKUP(F83,'Set up'!$A$2:$E$48,5,FALSE)</f>
        <v>Chq</v>
      </c>
      <c r="S83" s="13" t="s">
        <v>277</v>
      </c>
    </row>
    <row r="84" spans="1:19" hidden="1" x14ac:dyDescent="0.3">
      <c r="A84" s="4">
        <v>44116</v>
      </c>
      <c r="B84" s="5">
        <f t="shared" si="12"/>
        <v>10</v>
      </c>
      <c r="C84" s="5">
        <f t="shared" si="13"/>
        <v>2020</v>
      </c>
      <c r="D84" s="5" t="s">
        <v>112</v>
      </c>
      <c r="E84" s="5" t="str">
        <f>VLOOKUP(F84,'Set up'!$A$2:$C$48,2,FALSE)</f>
        <v>C00000004</v>
      </c>
      <c r="F84" s="2" t="s">
        <v>23</v>
      </c>
      <c r="G84" s="2" t="s">
        <v>57</v>
      </c>
      <c r="H84" s="5">
        <v>1</v>
      </c>
      <c r="I84" s="5">
        <f>VLOOKUP(F84,'Set up'!$A$2:$C$48,3,FALSE)</f>
        <v>120</v>
      </c>
      <c r="J84" s="5">
        <f>VLOOKUP(F84,'Set up'!$A$2:$D$48,4,FALSE)</f>
        <v>120</v>
      </c>
      <c r="K84" s="4">
        <f t="shared" si="14"/>
        <v>44236</v>
      </c>
      <c r="L84" s="5">
        <f t="shared" si="15"/>
        <v>2</v>
      </c>
      <c r="M84" s="5">
        <f t="shared" si="16"/>
        <v>2021</v>
      </c>
      <c r="N84" s="6">
        <v>1254</v>
      </c>
      <c r="O84" s="6">
        <f t="shared" si="11"/>
        <v>-1254</v>
      </c>
      <c r="P84" s="6">
        <f t="shared" si="17"/>
        <v>0</v>
      </c>
      <c r="Q84" s="7">
        <f t="shared" si="18"/>
        <v>118419.3</v>
      </c>
      <c r="R84" s="44" t="str">
        <f>VLOOKUP(F84,'Set up'!$A$2:$E$48,5,FALSE)</f>
        <v>Chq</v>
      </c>
      <c r="S84" s="13" t="s">
        <v>277</v>
      </c>
    </row>
    <row r="85" spans="1:19" hidden="1" x14ac:dyDescent="0.3">
      <c r="A85" s="4">
        <v>44116</v>
      </c>
      <c r="B85" s="5">
        <f t="shared" si="12"/>
        <v>10</v>
      </c>
      <c r="C85" s="5">
        <f t="shared" si="13"/>
        <v>2020</v>
      </c>
      <c r="D85" s="5" t="s">
        <v>116</v>
      </c>
      <c r="E85" s="5" t="str">
        <f>VLOOKUP(F85,'Set up'!$A$2:$C$48,2,FALSE)</f>
        <v>C00000001</v>
      </c>
      <c r="F85" s="1" t="s">
        <v>7</v>
      </c>
      <c r="G85" s="11" t="s">
        <v>67</v>
      </c>
      <c r="H85" s="5">
        <v>1</v>
      </c>
      <c r="I85" s="5" t="str">
        <f>VLOOKUP(F85,'Set up'!$A$2:$C$48,3,FALSE)</f>
        <v>Cash</v>
      </c>
      <c r="J85" s="5">
        <f>VLOOKUP(F85,'Set up'!$A$2:$D$48,4,FALSE)</f>
        <v>0</v>
      </c>
      <c r="K85" s="4">
        <f t="shared" si="14"/>
        <v>44116</v>
      </c>
      <c r="L85" s="5">
        <f t="shared" si="15"/>
        <v>10</v>
      </c>
      <c r="M85" s="5">
        <f t="shared" si="16"/>
        <v>2020</v>
      </c>
      <c r="N85" s="6">
        <v>1496</v>
      </c>
      <c r="O85" s="6">
        <f t="shared" si="11"/>
        <v>-1496</v>
      </c>
      <c r="P85" s="6">
        <f t="shared" si="17"/>
        <v>0</v>
      </c>
      <c r="Q85" s="7">
        <f t="shared" si="18"/>
        <v>119915.3</v>
      </c>
      <c r="R85" s="44" t="str">
        <f>VLOOKUP(F85,'Set up'!$A$2:$E$48,5,FALSE)</f>
        <v>Trsf</v>
      </c>
      <c r="S85" s="1" t="s">
        <v>129</v>
      </c>
    </row>
    <row r="86" spans="1:19" hidden="1" x14ac:dyDescent="0.3">
      <c r="A86" s="4">
        <v>44116</v>
      </c>
      <c r="B86" s="5">
        <f t="shared" si="12"/>
        <v>10</v>
      </c>
      <c r="C86" s="5">
        <f t="shared" si="13"/>
        <v>2020</v>
      </c>
      <c r="D86" s="5" t="s">
        <v>116</v>
      </c>
      <c r="E86" s="5" t="str">
        <f>VLOOKUP(F86,'Set up'!$A$2:$C$48,2,FALSE)</f>
        <v>C00000001</v>
      </c>
      <c r="F86" s="1" t="s">
        <v>7</v>
      </c>
      <c r="G86" s="2" t="s">
        <v>63</v>
      </c>
      <c r="H86" s="5">
        <v>4</v>
      </c>
      <c r="I86" s="5" t="str">
        <f>VLOOKUP(F86,'Set up'!$A$2:$C$48,3,FALSE)</f>
        <v>Cash</v>
      </c>
      <c r="J86" s="5">
        <f>VLOOKUP(F86,'Set up'!$A$2:$D$48,4,FALSE)</f>
        <v>0</v>
      </c>
      <c r="K86" s="4">
        <f t="shared" si="14"/>
        <v>44116</v>
      </c>
      <c r="L86" s="5">
        <f t="shared" si="15"/>
        <v>10</v>
      </c>
      <c r="M86" s="5">
        <f t="shared" si="16"/>
        <v>2020</v>
      </c>
      <c r="N86" s="6">
        <v>962</v>
      </c>
      <c r="O86" s="6">
        <f t="shared" si="11"/>
        <v>-962</v>
      </c>
      <c r="P86" s="6">
        <f t="shared" si="17"/>
        <v>0</v>
      </c>
      <c r="Q86" s="7">
        <f t="shared" si="18"/>
        <v>120877.3</v>
      </c>
      <c r="R86" s="44" t="str">
        <f>VLOOKUP(F86,'Set up'!$A$2:$E$48,5,FALSE)</f>
        <v>Trsf</v>
      </c>
      <c r="S86" s="1" t="s">
        <v>129</v>
      </c>
    </row>
    <row r="87" spans="1:19" hidden="1" x14ac:dyDescent="0.3">
      <c r="A87" s="4">
        <v>44118</v>
      </c>
      <c r="B87" s="5">
        <f t="shared" si="12"/>
        <v>10</v>
      </c>
      <c r="C87" s="5">
        <f t="shared" si="13"/>
        <v>2020</v>
      </c>
      <c r="D87" s="5" t="s">
        <v>117</v>
      </c>
      <c r="E87" s="5" t="str">
        <f>VLOOKUP(F87,'Set up'!$A$2:$C$48,2,FALSE)</f>
        <v>C00000007</v>
      </c>
      <c r="F87" s="1" t="s">
        <v>47</v>
      </c>
      <c r="G87" s="11" t="s">
        <v>44</v>
      </c>
      <c r="H87" s="5">
        <v>7</v>
      </c>
      <c r="I87" s="5" t="str">
        <f>VLOOKUP(F87,'Set up'!$A$2:$C$48,3,FALSE)</f>
        <v>Cash</v>
      </c>
      <c r="J87" s="5">
        <f>VLOOKUP(F87,'Set up'!$A$2:$D$48,4,FALSE)</f>
        <v>0</v>
      </c>
      <c r="K87" s="4">
        <f t="shared" si="14"/>
        <v>44118</v>
      </c>
      <c r="L87" s="5">
        <f t="shared" si="15"/>
        <v>10</v>
      </c>
      <c r="M87" s="5">
        <f t="shared" si="16"/>
        <v>2020</v>
      </c>
      <c r="N87" s="6">
        <v>1470</v>
      </c>
      <c r="O87" s="6">
        <v>-1470</v>
      </c>
      <c r="P87" s="6">
        <f t="shared" si="17"/>
        <v>0</v>
      </c>
      <c r="Q87" s="7">
        <f t="shared" si="18"/>
        <v>122347.3</v>
      </c>
      <c r="R87" s="44" t="str">
        <f>VLOOKUP(F87,'Set up'!$A$2:$E$48,5,FALSE)</f>
        <v>Trsf</v>
      </c>
      <c r="S87" s="10" t="s">
        <v>70</v>
      </c>
    </row>
    <row r="88" spans="1:19" hidden="1" x14ac:dyDescent="0.3">
      <c r="A88" s="4">
        <v>44118</v>
      </c>
      <c r="B88" s="5">
        <f t="shared" si="12"/>
        <v>10</v>
      </c>
      <c r="C88" s="5">
        <f t="shared" si="13"/>
        <v>2020</v>
      </c>
      <c r="D88" s="5" t="s">
        <v>117</v>
      </c>
      <c r="E88" s="5" t="str">
        <f>VLOOKUP(F88,'Set up'!$A$2:$C$48,2,FALSE)</f>
        <v>C00000007</v>
      </c>
      <c r="F88" s="1" t="s">
        <v>47</v>
      </c>
      <c r="G88" s="11" t="s">
        <v>46</v>
      </c>
      <c r="H88" s="5">
        <v>8</v>
      </c>
      <c r="I88" s="5" t="str">
        <f>VLOOKUP(F88,'Set up'!$A$2:$C$48,3,FALSE)</f>
        <v>Cash</v>
      </c>
      <c r="J88" s="5">
        <f>VLOOKUP(F88,'Set up'!$A$2:$D$48,4,FALSE)</f>
        <v>0</v>
      </c>
      <c r="K88" s="4">
        <f t="shared" si="14"/>
        <v>44118</v>
      </c>
      <c r="L88" s="5">
        <f t="shared" si="15"/>
        <v>10</v>
      </c>
      <c r="M88" s="5">
        <f t="shared" si="16"/>
        <v>2020</v>
      </c>
      <c r="N88" s="6">
        <v>720</v>
      </c>
      <c r="O88" s="6">
        <v>-720</v>
      </c>
      <c r="P88" s="6">
        <f t="shared" si="17"/>
        <v>0</v>
      </c>
      <c r="Q88" s="7">
        <f t="shared" si="18"/>
        <v>123067.3</v>
      </c>
      <c r="R88" s="44" t="str">
        <f>VLOOKUP(F88,'Set up'!$A$2:$E$48,5,FALSE)</f>
        <v>Trsf</v>
      </c>
      <c r="S88" s="10" t="s">
        <v>70</v>
      </c>
    </row>
    <row r="89" spans="1:19" hidden="1" x14ac:dyDescent="0.3">
      <c r="A89" s="4">
        <v>44123</v>
      </c>
      <c r="B89" s="5">
        <f t="shared" si="12"/>
        <v>10</v>
      </c>
      <c r="C89" s="5">
        <f t="shared" si="13"/>
        <v>2020</v>
      </c>
      <c r="D89" s="5" t="s">
        <v>117</v>
      </c>
      <c r="E89" s="5" t="str">
        <f>VLOOKUP(F89,'Set up'!$A$2:$C$48,2,FALSE)</f>
        <v>C00000007</v>
      </c>
      <c r="F89" s="1" t="s">
        <v>47</v>
      </c>
      <c r="G89" s="11" t="s">
        <v>45</v>
      </c>
      <c r="H89" s="5">
        <v>2</v>
      </c>
      <c r="I89" s="5" t="str">
        <f>VLOOKUP(F89,'Set up'!$A$2:$C$48,3,FALSE)</f>
        <v>Cash</v>
      </c>
      <c r="J89" s="5">
        <f>VLOOKUP(F89,'Set up'!$A$2:$D$48,4,FALSE)</f>
        <v>0</v>
      </c>
      <c r="K89" s="4">
        <f t="shared" si="14"/>
        <v>44123</v>
      </c>
      <c r="L89" s="5">
        <f t="shared" si="15"/>
        <v>10</v>
      </c>
      <c r="M89" s="5">
        <f t="shared" si="16"/>
        <v>2020</v>
      </c>
      <c r="N89" s="6">
        <v>460</v>
      </c>
      <c r="O89" s="6">
        <v>-460</v>
      </c>
      <c r="P89" s="6">
        <f t="shared" si="17"/>
        <v>0</v>
      </c>
      <c r="Q89" s="7">
        <f t="shared" si="18"/>
        <v>123527.3</v>
      </c>
      <c r="R89" s="44" t="str">
        <f>VLOOKUP(F89,'Set up'!$A$2:$E$48,5,FALSE)</f>
        <v>Trsf</v>
      </c>
      <c r="S89" s="10" t="s">
        <v>70</v>
      </c>
    </row>
    <row r="90" spans="1:19" ht="15" hidden="1" customHeight="1" x14ac:dyDescent="0.3">
      <c r="A90" s="4">
        <v>44121</v>
      </c>
      <c r="B90" s="5">
        <f t="shared" si="12"/>
        <v>10</v>
      </c>
      <c r="C90" s="5">
        <f t="shared" si="13"/>
        <v>2020</v>
      </c>
      <c r="D90" s="5" t="s">
        <v>118</v>
      </c>
      <c r="E90" s="5" t="str">
        <f>VLOOKUP(F90,'Set up'!$A$2:$C$48,2,FALSE)</f>
        <v>C00000003</v>
      </c>
      <c r="F90" s="1" t="s">
        <v>20</v>
      </c>
      <c r="G90" s="2" t="s">
        <v>119</v>
      </c>
      <c r="H90" s="5">
        <v>4</v>
      </c>
      <c r="I90" s="5">
        <f>VLOOKUP(F90,'Set up'!$A$2:$C$48,3,FALSE)</f>
        <v>45</v>
      </c>
      <c r="J90" s="5">
        <f>VLOOKUP(F90,'Set up'!$A$2:$D$48,4,FALSE)</f>
        <v>45</v>
      </c>
      <c r="K90" s="4">
        <f t="shared" si="14"/>
        <v>44166</v>
      </c>
      <c r="L90" s="5">
        <f t="shared" si="15"/>
        <v>12</v>
      </c>
      <c r="M90" s="5">
        <f t="shared" si="16"/>
        <v>2020</v>
      </c>
      <c r="N90" s="6">
        <v>180</v>
      </c>
      <c r="O90" s="6">
        <f t="shared" ref="O90:O123" si="19">SUM(-N90)</f>
        <v>-180</v>
      </c>
      <c r="P90" s="6">
        <f t="shared" si="17"/>
        <v>0</v>
      </c>
      <c r="Q90" s="7">
        <f t="shared" si="18"/>
        <v>123707.3</v>
      </c>
      <c r="R90" s="44" t="str">
        <f>VLOOKUP(F90,'Set up'!$A$2:$E$48,5,FALSE)</f>
        <v>PD Chq</v>
      </c>
      <c r="S90" s="13" t="s">
        <v>121</v>
      </c>
    </row>
    <row r="91" spans="1:19" hidden="1" x14ac:dyDescent="0.3">
      <c r="A91" s="4">
        <v>44121</v>
      </c>
      <c r="B91" s="5">
        <f t="shared" si="12"/>
        <v>10</v>
      </c>
      <c r="C91" s="5">
        <f t="shared" si="13"/>
        <v>2020</v>
      </c>
      <c r="D91" s="5" t="s">
        <v>120</v>
      </c>
      <c r="E91" s="5" t="str">
        <f>VLOOKUP(F91,'Set up'!$A$2:$C$48,2,FALSE)</f>
        <v>C00000003</v>
      </c>
      <c r="F91" s="1" t="s">
        <v>20</v>
      </c>
      <c r="G91" s="11" t="s">
        <v>111</v>
      </c>
      <c r="H91" s="5">
        <v>1</v>
      </c>
      <c r="I91" s="5">
        <f>VLOOKUP(F91,'Set up'!$A$2:$C$48,3,FALSE)</f>
        <v>45</v>
      </c>
      <c r="J91" s="5">
        <f>VLOOKUP(F91,'Set up'!$A$2:$D$48,4,FALSE)</f>
        <v>45</v>
      </c>
      <c r="K91" s="4">
        <f t="shared" si="14"/>
        <v>44166</v>
      </c>
      <c r="L91" s="5">
        <f t="shared" si="15"/>
        <v>12</v>
      </c>
      <c r="M91" s="5">
        <f t="shared" si="16"/>
        <v>2020</v>
      </c>
      <c r="N91" s="6">
        <v>204</v>
      </c>
      <c r="O91" s="6">
        <f t="shared" si="19"/>
        <v>-204</v>
      </c>
      <c r="P91" s="6">
        <f t="shared" si="17"/>
        <v>0</v>
      </c>
      <c r="Q91" s="7">
        <f t="shared" si="18"/>
        <v>123911.3</v>
      </c>
      <c r="R91" s="44" t="str">
        <f>VLOOKUP(F91,'Set up'!$A$2:$E$48,5,FALSE)</f>
        <v>PD Chq</v>
      </c>
      <c r="S91" s="13" t="s">
        <v>121</v>
      </c>
    </row>
    <row r="92" spans="1:19" hidden="1" x14ac:dyDescent="0.3">
      <c r="A92" s="4">
        <v>44123</v>
      </c>
      <c r="B92" s="5">
        <f t="shared" si="12"/>
        <v>10</v>
      </c>
      <c r="C92" s="5">
        <f t="shared" si="13"/>
        <v>2020</v>
      </c>
      <c r="D92" s="5" t="s">
        <v>122</v>
      </c>
      <c r="E92" s="5" t="str">
        <f>VLOOKUP(F92,'Set up'!$A$2:$C$48,2,FALSE)</f>
        <v>C00000001</v>
      </c>
      <c r="F92" s="1" t="s">
        <v>7</v>
      </c>
      <c r="G92" s="11" t="s">
        <v>39</v>
      </c>
      <c r="H92" s="5">
        <v>4</v>
      </c>
      <c r="I92" s="5" t="str">
        <f>VLOOKUP(F92,'Set up'!$A$2:$C$48,3,FALSE)</f>
        <v>Cash</v>
      </c>
      <c r="J92" s="5">
        <f>VLOOKUP(F92,'Set up'!$A$2:$D$48,4,FALSE)</f>
        <v>0</v>
      </c>
      <c r="K92" s="4">
        <f t="shared" si="14"/>
        <v>44123</v>
      </c>
      <c r="L92" s="5">
        <f t="shared" si="15"/>
        <v>10</v>
      </c>
      <c r="M92" s="5">
        <f t="shared" si="16"/>
        <v>2020</v>
      </c>
      <c r="N92" s="6">
        <v>960</v>
      </c>
      <c r="O92" s="6">
        <f t="shared" si="19"/>
        <v>-960</v>
      </c>
      <c r="P92" s="6">
        <f t="shared" si="17"/>
        <v>0</v>
      </c>
      <c r="Q92" s="7">
        <f t="shared" si="18"/>
        <v>124871.3</v>
      </c>
      <c r="R92" s="44" t="str">
        <f>VLOOKUP(F92,'Set up'!$A$2:$E$48,5,FALSE)</f>
        <v>Trsf</v>
      </c>
      <c r="S92" s="1" t="s">
        <v>160</v>
      </c>
    </row>
    <row r="93" spans="1:19" hidden="1" x14ac:dyDescent="0.3">
      <c r="A93" s="4">
        <v>44123</v>
      </c>
      <c r="B93" s="5">
        <f t="shared" si="12"/>
        <v>10</v>
      </c>
      <c r="C93" s="5">
        <f t="shared" si="13"/>
        <v>2020</v>
      </c>
      <c r="D93" s="5" t="s">
        <v>122</v>
      </c>
      <c r="E93" s="5" t="str">
        <f>VLOOKUP(F93,'Set up'!$A$2:$C$48,2,FALSE)</f>
        <v>C00000001</v>
      </c>
      <c r="F93" s="1" t="s">
        <v>7</v>
      </c>
      <c r="G93" s="2" t="s">
        <v>124</v>
      </c>
      <c r="H93" s="5">
        <v>1</v>
      </c>
      <c r="I93" s="5" t="str">
        <f>VLOOKUP(F93,'Set up'!$A$2:$C$48,3,FALSE)</f>
        <v>Cash</v>
      </c>
      <c r="J93" s="5">
        <f>VLOOKUP(F93,'Set up'!$A$2:$D$48,4,FALSE)</f>
        <v>0</v>
      </c>
      <c r="K93" s="4">
        <f t="shared" si="14"/>
        <v>44123</v>
      </c>
      <c r="L93" s="5">
        <f t="shared" si="15"/>
        <v>10</v>
      </c>
      <c r="M93" s="5">
        <f t="shared" si="16"/>
        <v>2020</v>
      </c>
      <c r="N93" s="6">
        <v>625</v>
      </c>
      <c r="O93" s="6">
        <f t="shared" si="19"/>
        <v>-625</v>
      </c>
      <c r="P93" s="6">
        <f t="shared" si="17"/>
        <v>0</v>
      </c>
      <c r="Q93" s="7">
        <f t="shared" si="18"/>
        <v>125496.3</v>
      </c>
      <c r="R93" s="44" t="str">
        <f>VLOOKUP(F93,'Set up'!$A$2:$E$48,5,FALSE)</f>
        <v>Trsf</v>
      </c>
      <c r="S93" s="1" t="s">
        <v>160</v>
      </c>
    </row>
    <row r="94" spans="1:19" hidden="1" x14ac:dyDescent="0.3">
      <c r="A94" s="4">
        <v>44123</v>
      </c>
      <c r="B94" s="5">
        <f t="shared" si="12"/>
        <v>10</v>
      </c>
      <c r="C94" s="5">
        <f t="shared" si="13"/>
        <v>2020</v>
      </c>
      <c r="D94" s="5" t="s">
        <v>122</v>
      </c>
      <c r="E94" s="5" t="str">
        <f>VLOOKUP(F94,'Set up'!$A$2:$C$48,2,FALSE)</f>
        <v>C00000001</v>
      </c>
      <c r="F94" s="1" t="s">
        <v>7</v>
      </c>
      <c r="G94" s="2" t="s">
        <v>125</v>
      </c>
      <c r="H94" s="5">
        <v>1</v>
      </c>
      <c r="I94" s="5" t="str">
        <f>VLOOKUP(F94,'Set up'!$A$2:$C$48,3,FALSE)</f>
        <v>Cash</v>
      </c>
      <c r="J94" s="5">
        <f>VLOOKUP(F94,'Set up'!$A$2:$D$48,4,FALSE)</f>
        <v>0</v>
      </c>
      <c r="K94" s="4">
        <f t="shared" si="14"/>
        <v>44123</v>
      </c>
      <c r="L94" s="5">
        <f t="shared" si="15"/>
        <v>10</v>
      </c>
      <c r="M94" s="5">
        <f t="shared" si="16"/>
        <v>2020</v>
      </c>
      <c r="N94" s="6">
        <v>60</v>
      </c>
      <c r="O94" s="6">
        <f t="shared" si="19"/>
        <v>-60</v>
      </c>
      <c r="P94" s="6">
        <f t="shared" si="17"/>
        <v>0</v>
      </c>
      <c r="Q94" s="7">
        <f t="shared" si="18"/>
        <v>125556.3</v>
      </c>
      <c r="R94" s="44" t="str">
        <f>VLOOKUP(F94,'Set up'!$A$2:$E$48,5,FALSE)</f>
        <v>Trsf</v>
      </c>
      <c r="S94" s="1" t="s">
        <v>160</v>
      </c>
    </row>
    <row r="95" spans="1:19" hidden="1" x14ac:dyDescent="0.3">
      <c r="A95" s="4">
        <v>44123</v>
      </c>
      <c r="B95" s="5">
        <f t="shared" si="12"/>
        <v>10</v>
      </c>
      <c r="C95" s="5">
        <f t="shared" si="13"/>
        <v>2020</v>
      </c>
      <c r="D95" s="5" t="s">
        <v>123</v>
      </c>
      <c r="E95" s="5" t="str">
        <f>VLOOKUP(F95,'Set up'!$A$2:$C$48,2,FALSE)</f>
        <v>C00000005</v>
      </c>
      <c r="F95" s="1" t="s">
        <v>35</v>
      </c>
      <c r="G95" s="11" t="s">
        <v>46</v>
      </c>
      <c r="H95" s="5">
        <v>1</v>
      </c>
      <c r="I95" s="5" t="str">
        <f>VLOOKUP(F95,'Set up'!$A$2:$C$48,3,FALSE)</f>
        <v>Cash</v>
      </c>
      <c r="J95" s="5">
        <f>VLOOKUP(F95,'Set up'!$A$2:$D$48,4,FALSE)</f>
        <v>0</v>
      </c>
      <c r="K95" s="4">
        <f t="shared" si="14"/>
        <v>44123</v>
      </c>
      <c r="L95" s="5">
        <f t="shared" si="15"/>
        <v>10</v>
      </c>
      <c r="M95" s="5">
        <f t="shared" si="16"/>
        <v>2020</v>
      </c>
      <c r="N95" s="6">
        <v>90</v>
      </c>
      <c r="O95" s="6">
        <f t="shared" si="19"/>
        <v>-90</v>
      </c>
      <c r="P95" s="6">
        <f t="shared" si="17"/>
        <v>0</v>
      </c>
      <c r="Q95" s="7">
        <f t="shared" si="18"/>
        <v>125646.3</v>
      </c>
      <c r="R95" s="44" t="str">
        <f>VLOOKUP(F95,'Set up'!$A$2:$E$48,5,FALSE)</f>
        <v>Chq</v>
      </c>
      <c r="S95" s="1" t="s">
        <v>158</v>
      </c>
    </row>
    <row r="96" spans="1:19" hidden="1" x14ac:dyDescent="0.3">
      <c r="A96" s="4">
        <v>44125</v>
      </c>
      <c r="B96" s="5">
        <f t="shared" si="12"/>
        <v>10</v>
      </c>
      <c r="C96" s="5">
        <f t="shared" si="13"/>
        <v>2020</v>
      </c>
      <c r="D96" s="5" t="s">
        <v>126</v>
      </c>
      <c r="E96" s="5" t="str">
        <f>VLOOKUP(F96,'Set up'!$A$2:$C$48,2,FALSE)</f>
        <v>C00000005</v>
      </c>
      <c r="F96" s="1" t="s">
        <v>35</v>
      </c>
      <c r="G96" s="11" t="s">
        <v>67</v>
      </c>
      <c r="H96" s="5">
        <v>1</v>
      </c>
      <c r="I96" s="5" t="str">
        <f>VLOOKUP(F96,'Set up'!$A$2:$C$48,3,FALSE)</f>
        <v>Cash</v>
      </c>
      <c r="J96" s="5">
        <f>VLOOKUP(F96,'Set up'!$A$2:$D$48,4,FALSE)</f>
        <v>0</v>
      </c>
      <c r="K96" s="4">
        <f t="shared" si="14"/>
        <v>44125</v>
      </c>
      <c r="L96" s="5">
        <f t="shared" si="15"/>
        <v>10</v>
      </c>
      <c r="M96" s="5">
        <f t="shared" si="16"/>
        <v>2020</v>
      </c>
      <c r="N96" s="6">
        <v>1496</v>
      </c>
      <c r="O96" s="6">
        <f t="shared" si="19"/>
        <v>-1496</v>
      </c>
      <c r="P96" s="6">
        <f t="shared" si="17"/>
        <v>0</v>
      </c>
      <c r="Q96" s="7">
        <f t="shared" si="18"/>
        <v>127142.3</v>
      </c>
      <c r="R96" s="44" t="str">
        <f>VLOOKUP(F96,'Set up'!$A$2:$E$48,5,FALSE)</f>
        <v>Chq</v>
      </c>
      <c r="S96" s="1" t="s">
        <v>157</v>
      </c>
    </row>
    <row r="97" spans="1:19" hidden="1" x14ac:dyDescent="0.3">
      <c r="A97" s="4">
        <v>44125</v>
      </c>
      <c r="B97" s="5">
        <f t="shared" si="12"/>
        <v>10</v>
      </c>
      <c r="C97" s="5">
        <f t="shared" si="13"/>
        <v>2020</v>
      </c>
      <c r="D97" s="5" t="s">
        <v>127</v>
      </c>
      <c r="E97" s="5" t="str">
        <f>VLOOKUP(F97,'Set up'!$A$2:$C$48,2,FALSE)</f>
        <v>C00000010</v>
      </c>
      <c r="F97" s="1" t="s">
        <v>62</v>
      </c>
      <c r="G97" s="2" t="s">
        <v>95</v>
      </c>
      <c r="H97" s="5">
        <v>5</v>
      </c>
      <c r="I97" s="5">
        <f>VLOOKUP(F97,'Set up'!$A$2:$C$48,3,FALSE)</f>
        <v>120</v>
      </c>
      <c r="J97" s="5">
        <f>VLOOKUP(F97,'Set up'!$A$2:$D$48,4,FALSE)</f>
        <v>120</v>
      </c>
      <c r="K97" s="4">
        <f t="shared" si="14"/>
        <v>44245</v>
      </c>
      <c r="L97" s="5">
        <f t="shared" si="15"/>
        <v>2</v>
      </c>
      <c r="M97" s="5">
        <f t="shared" si="16"/>
        <v>2021</v>
      </c>
      <c r="N97" s="6">
        <v>6600</v>
      </c>
      <c r="O97" s="6">
        <f t="shared" si="19"/>
        <v>-6600</v>
      </c>
      <c r="P97" s="6">
        <f t="shared" si="17"/>
        <v>0</v>
      </c>
      <c r="Q97" s="7">
        <f t="shared" si="18"/>
        <v>133742.29999999999</v>
      </c>
      <c r="R97" s="44" t="str">
        <f>VLOOKUP(F97,'Set up'!$A$2:$E$48,5,FALSE)</f>
        <v>Trsf</v>
      </c>
      <c r="S97" s="13" t="s">
        <v>300</v>
      </c>
    </row>
    <row r="98" spans="1:19" hidden="1" x14ac:dyDescent="0.3">
      <c r="A98" s="4">
        <v>44125</v>
      </c>
      <c r="B98" s="5">
        <f t="shared" ref="B98:B129" si="20">MONTH(A98)</f>
        <v>10</v>
      </c>
      <c r="C98" s="5">
        <f t="shared" ref="C98:C129" si="21">YEAR(A98)</f>
        <v>2020</v>
      </c>
      <c r="D98" s="5" t="s">
        <v>127</v>
      </c>
      <c r="E98" s="5" t="str">
        <f>VLOOKUP(F98,'Set up'!$A$2:$C$48,2,FALSE)</f>
        <v>C00000010</v>
      </c>
      <c r="F98" s="1" t="s">
        <v>62</v>
      </c>
      <c r="G98" s="11" t="s">
        <v>63</v>
      </c>
      <c r="H98" s="5">
        <v>4</v>
      </c>
      <c r="I98" s="5">
        <f>VLOOKUP(F98,'Set up'!$A$2:$C$48,3,FALSE)</f>
        <v>120</v>
      </c>
      <c r="J98" s="5">
        <f>VLOOKUP(F98,'Set up'!$A$2:$D$48,4,FALSE)</f>
        <v>120</v>
      </c>
      <c r="K98" s="4">
        <f t="shared" si="14"/>
        <v>44245</v>
      </c>
      <c r="L98" s="5">
        <f t="shared" si="15"/>
        <v>2</v>
      </c>
      <c r="M98" s="5">
        <f t="shared" si="16"/>
        <v>2021</v>
      </c>
      <c r="N98" s="6">
        <v>888</v>
      </c>
      <c r="O98" s="6">
        <f t="shared" si="19"/>
        <v>-888</v>
      </c>
      <c r="P98" s="6">
        <f t="shared" ref="P98:P129" si="22">SUM(N98+O98)</f>
        <v>0</v>
      </c>
      <c r="Q98" s="7">
        <f t="shared" si="18"/>
        <v>134630.29999999999</v>
      </c>
      <c r="R98" s="44" t="str">
        <f>VLOOKUP(F98,'Set up'!$A$2:$E$48,5,FALSE)</f>
        <v>Trsf</v>
      </c>
      <c r="S98" s="13" t="s">
        <v>300</v>
      </c>
    </row>
    <row r="99" spans="1:19" hidden="1" x14ac:dyDescent="0.3">
      <c r="A99" s="4">
        <v>44125</v>
      </c>
      <c r="B99" s="5">
        <f t="shared" si="20"/>
        <v>10</v>
      </c>
      <c r="C99" s="5">
        <f t="shared" si="21"/>
        <v>2020</v>
      </c>
      <c r="D99" s="5" t="s">
        <v>127</v>
      </c>
      <c r="E99" s="5" t="str">
        <f>VLOOKUP(F99,'Set up'!$A$2:$C$48,2,FALSE)</f>
        <v>C00000010</v>
      </c>
      <c r="F99" s="1" t="s">
        <v>62</v>
      </c>
      <c r="G99" s="11" t="s">
        <v>64</v>
      </c>
      <c r="H99" s="5">
        <v>5</v>
      </c>
      <c r="I99" s="5">
        <f>VLOOKUP(F99,'Set up'!$A$2:$C$48,3,FALSE)</f>
        <v>120</v>
      </c>
      <c r="J99" s="5">
        <f>VLOOKUP(F99,'Set up'!$A$2:$D$48,4,FALSE)</f>
        <v>120</v>
      </c>
      <c r="K99" s="4">
        <f t="shared" si="14"/>
        <v>44245</v>
      </c>
      <c r="L99" s="5">
        <f t="shared" si="15"/>
        <v>2</v>
      </c>
      <c r="M99" s="5">
        <f t="shared" si="16"/>
        <v>2021</v>
      </c>
      <c r="N99" s="6">
        <v>275</v>
      </c>
      <c r="O99" s="6">
        <f t="shared" si="19"/>
        <v>-275</v>
      </c>
      <c r="P99" s="6">
        <f t="shared" si="22"/>
        <v>0</v>
      </c>
      <c r="Q99" s="7">
        <f t="shared" si="18"/>
        <v>134905.29999999999</v>
      </c>
      <c r="R99" s="44" t="str">
        <f>VLOOKUP(F99,'Set up'!$A$2:$E$48,5,FALSE)</f>
        <v>Trsf</v>
      </c>
      <c r="S99" s="13" t="s">
        <v>300</v>
      </c>
    </row>
    <row r="100" spans="1:19" hidden="1" x14ac:dyDescent="0.3">
      <c r="A100" s="4">
        <v>44125</v>
      </c>
      <c r="B100" s="5">
        <f t="shared" si="20"/>
        <v>10</v>
      </c>
      <c r="C100" s="5">
        <f t="shared" si="21"/>
        <v>2020</v>
      </c>
      <c r="D100" s="5" t="s">
        <v>127</v>
      </c>
      <c r="E100" s="5" t="str">
        <f>VLOOKUP(F100,'Set up'!$A$2:$C$48,2,FALSE)</f>
        <v>C00000010</v>
      </c>
      <c r="F100" s="1" t="s">
        <v>62</v>
      </c>
      <c r="G100" s="11" t="s">
        <v>46</v>
      </c>
      <c r="H100" s="5">
        <v>4</v>
      </c>
      <c r="I100" s="5">
        <f>VLOOKUP(F100,'Set up'!$A$2:$C$48,3,FALSE)</f>
        <v>120</v>
      </c>
      <c r="J100" s="5">
        <f>VLOOKUP(F100,'Set up'!$A$2:$D$48,4,FALSE)</f>
        <v>120</v>
      </c>
      <c r="K100" s="4">
        <f t="shared" si="14"/>
        <v>44245</v>
      </c>
      <c r="L100" s="5">
        <f t="shared" si="15"/>
        <v>2</v>
      </c>
      <c r="M100" s="5">
        <f t="shared" si="16"/>
        <v>2021</v>
      </c>
      <c r="N100" s="6">
        <v>360</v>
      </c>
      <c r="O100" s="6">
        <f t="shared" si="19"/>
        <v>-360</v>
      </c>
      <c r="P100" s="6">
        <f t="shared" si="22"/>
        <v>0</v>
      </c>
      <c r="Q100" s="7">
        <f t="shared" si="18"/>
        <v>135265.29999999999</v>
      </c>
      <c r="R100" s="44" t="str">
        <f>VLOOKUP(F100,'Set up'!$A$2:$E$48,5,FALSE)</f>
        <v>Trsf</v>
      </c>
      <c r="S100" s="13" t="s">
        <v>300</v>
      </c>
    </row>
    <row r="101" spans="1:19" hidden="1" x14ac:dyDescent="0.3">
      <c r="A101" s="4">
        <v>44130</v>
      </c>
      <c r="B101" s="5">
        <f t="shared" si="20"/>
        <v>10</v>
      </c>
      <c r="C101" s="5">
        <f t="shared" si="21"/>
        <v>2020</v>
      </c>
      <c r="D101" s="5" t="s">
        <v>130</v>
      </c>
      <c r="E101" s="5" t="str">
        <f>VLOOKUP(F101,'Set up'!$A$2:$C$48,2,FALSE)</f>
        <v>C00000003</v>
      </c>
      <c r="F101" s="1" t="s">
        <v>20</v>
      </c>
      <c r="G101" s="2" t="s">
        <v>67</v>
      </c>
      <c r="H101" s="5">
        <v>3</v>
      </c>
      <c r="I101" s="5">
        <f>VLOOKUP(F101,'Set up'!$A$2:$C$48,3,FALSE)</f>
        <v>45</v>
      </c>
      <c r="J101" s="5">
        <f>VLOOKUP(F101,'Set up'!$A$2:$D$48,4,FALSE)</f>
        <v>45</v>
      </c>
      <c r="K101" s="4">
        <f t="shared" si="14"/>
        <v>44175</v>
      </c>
      <c r="L101" s="5">
        <f t="shared" si="15"/>
        <v>12</v>
      </c>
      <c r="M101" s="5">
        <f t="shared" si="16"/>
        <v>2020</v>
      </c>
      <c r="N101" s="6">
        <v>4554</v>
      </c>
      <c r="O101" s="6">
        <f t="shared" si="19"/>
        <v>-4554</v>
      </c>
      <c r="P101" s="6">
        <f t="shared" si="22"/>
        <v>0</v>
      </c>
      <c r="Q101" s="7">
        <f t="shared" si="18"/>
        <v>139819.29999999999</v>
      </c>
      <c r="R101" s="44" t="str">
        <f>VLOOKUP(F101,'Set up'!$A$2:$E$48,5,FALSE)</f>
        <v>PD Chq</v>
      </c>
      <c r="S101" s="13" t="s">
        <v>146</v>
      </c>
    </row>
    <row r="102" spans="1:19" hidden="1" x14ac:dyDescent="0.3">
      <c r="A102" s="4">
        <v>44130</v>
      </c>
      <c r="B102" s="5">
        <f t="shared" si="20"/>
        <v>10</v>
      </c>
      <c r="C102" s="5">
        <f t="shared" si="21"/>
        <v>2020</v>
      </c>
      <c r="D102" s="5" t="s">
        <v>130</v>
      </c>
      <c r="E102" s="5" t="str">
        <f>VLOOKUP(F102,'Set up'!$A$2:$C$48,2,FALSE)</f>
        <v>C00000003</v>
      </c>
      <c r="F102" s="1" t="s">
        <v>20</v>
      </c>
      <c r="G102" s="2" t="s">
        <v>46</v>
      </c>
      <c r="H102" s="5">
        <v>6</v>
      </c>
      <c r="I102" s="5">
        <f>VLOOKUP(F102,'Set up'!$A$2:$C$48,3,FALSE)</f>
        <v>45</v>
      </c>
      <c r="J102" s="5">
        <f>VLOOKUP(F102,'Set up'!$A$2:$D$48,4,FALSE)</f>
        <v>45</v>
      </c>
      <c r="K102" s="4">
        <f t="shared" si="14"/>
        <v>44175</v>
      </c>
      <c r="L102" s="5">
        <f t="shared" si="15"/>
        <v>12</v>
      </c>
      <c r="M102" s="5">
        <f t="shared" si="16"/>
        <v>2020</v>
      </c>
      <c r="N102" s="6">
        <v>555</v>
      </c>
      <c r="O102" s="6">
        <f t="shared" si="19"/>
        <v>-555</v>
      </c>
      <c r="P102" s="6">
        <f t="shared" si="22"/>
        <v>0</v>
      </c>
      <c r="Q102" s="7">
        <f t="shared" si="18"/>
        <v>140374.29999999999</v>
      </c>
      <c r="R102" s="44" t="str">
        <f>VLOOKUP(F102,'Set up'!$A$2:$E$48,5,FALSE)</f>
        <v>PD Chq</v>
      </c>
      <c r="S102" s="13" t="s">
        <v>147</v>
      </c>
    </row>
    <row r="103" spans="1:19" hidden="1" x14ac:dyDescent="0.3">
      <c r="A103" s="4">
        <v>44135</v>
      </c>
      <c r="B103" s="5">
        <f t="shared" si="20"/>
        <v>10</v>
      </c>
      <c r="C103" s="5">
        <f t="shared" si="21"/>
        <v>2020</v>
      </c>
      <c r="D103" s="5" t="s">
        <v>148</v>
      </c>
      <c r="E103" s="5" t="str">
        <f>VLOOKUP(F103,'Set up'!$A$2:$C$48,2,FALSE)</f>
        <v>C00000001</v>
      </c>
      <c r="F103" s="1" t="s">
        <v>7</v>
      </c>
      <c r="G103" s="11" t="s">
        <v>67</v>
      </c>
      <c r="H103" s="5">
        <v>1</v>
      </c>
      <c r="I103" s="5" t="str">
        <f>VLOOKUP(F103,'Set up'!$A$2:$C$48,3,FALSE)</f>
        <v>Cash</v>
      </c>
      <c r="J103" s="5">
        <f>VLOOKUP(F103,'Set up'!$A$2:$D$48,4,FALSE)</f>
        <v>0</v>
      </c>
      <c r="K103" s="4">
        <f t="shared" si="14"/>
        <v>44135</v>
      </c>
      <c r="L103" s="5">
        <f t="shared" si="15"/>
        <v>10</v>
      </c>
      <c r="M103" s="5">
        <f t="shared" si="16"/>
        <v>2020</v>
      </c>
      <c r="N103" s="6">
        <v>1496</v>
      </c>
      <c r="O103" s="6">
        <f t="shared" si="19"/>
        <v>-1496</v>
      </c>
      <c r="P103" s="6">
        <f t="shared" si="22"/>
        <v>0</v>
      </c>
      <c r="Q103" s="7">
        <f t="shared" si="18"/>
        <v>141870.29999999999</v>
      </c>
      <c r="R103" s="44" t="str">
        <f>VLOOKUP(F103,'Set up'!$A$2:$E$48,5,FALSE)</f>
        <v>Trsf</v>
      </c>
      <c r="S103" s="1" t="s">
        <v>160</v>
      </c>
    </row>
    <row r="104" spans="1:19" hidden="1" x14ac:dyDescent="0.3">
      <c r="A104" s="4">
        <v>44135</v>
      </c>
      <c r="B104" s="5">
        <f t="shared" si="20"/>
        <v>10</v>
      </c>
      <c r="C104" s="5">
        <f t="shared" si="21"/>
        <v>2020</v>
      </c>
      <c r="D104" s="5" t="s">
        <v>148</v>
      </c>
      <c r="E104" s="5" t="str">
        <f>VLOOKUP(F104,'Set up'!$A$2:$C$48,2,FALSE)</f>
        <v>C00000001</v>
      </c>
      <c r="F104" s="1" t="s">
        <v>7</v>
      </c>
      <c r="G104" s="2" t="s">
        <v>63</v>
      </c>
      <c r="H104" s="5">
        <v>4</v>
      </c>
      <c r="I104" s="5" t="str">
        <f>VLOOKUP(F104,'Set up'!$A$2:$C$48,3,FALSE)</f>
        <v>Cash</v>
      </c>
      <c r="J104" s="5">
        <f>VLOOKUP(F104,'Set up'!$A$2:$D$48,4,FALSE)</f>
        <v>0</v>
      </c>
      <c r="K104" s="4">
        <f t="shared" si="14"/>
        <v>44135</v>
      </c>
      <c r="L104" s="5">
        <f t="shared" si="15"/>
        <v>10</v>
      </c>
      <c r="M104" s="5">
        <f t="shared" si="16"/>
        <v>2020</v>
      </c>
      <c r="N104" s="6">
        <v>962</v>
      </c>
      <c r="O104" s="6">
        <f t="shared" si="19"/>
        <v>-962</v>
      </c>
      <c r="P104" s="6">
        <f t="shared" si="22"/>
        <v>0</v>
      </c>
      <c r="Q104" s="7">
        <f t="shared" si="18"/>
        <v>142832.29999999999</v>
      </c>
      <c r="R104" s="44" t="str">
        <f>VLOOKUP(F104,'Set up'!$A$2:$E$48,5,FALSE)</f>
        <v>Trsf</v>
      </c>
      <c r="S104" s="1" t="s">
        <v>160</v>
      </c>
    </row>
    <row r="105" spans="1:19" hidden="1" x14ac:dyDescent="0.3">
      <c r="A105" s="4">
        <v>44135</v>
      </c>
      <c r="B105" s="5">
        <f t="shared" si="20"/>
        <v>10</v>
      </c>
      <c r="C105" s="5">
        <f t="shared" si="21"/>
        <v>2020</v>
      </c>
      <c r="D105" s="5" t="s">
        <v>149</v>
      </c>
      <c r="E105" s="5" t="str">
        <f>VLOOKUP(F105,'Set up'!$A$2:$C$48,2,FALSE)</f>
        <v>C00000005</v>
      </c>
      <c r="F105" s="1" t="s">
        <v>35</v>
      </c>
      <c r="G105" s="11" t="s">
        <v>67</v>
      </c>
      <c r="H105" s="5">
        <v>1</v>
      </c>
      <c r="I105" s="5" t="str">
        <f>VLOOKUP(F105,'Set up'!$A$2:$C$48,3,FALSE)</f>
        <v>Cash</v>
      </c>
      <c r="J105" s="5">
        <f>VLOOKUP(F105,'Set up'!$A$2:$D$48,4,FALSE)</f>
        <v>0</v>
      </c>
      <c r="K105" s="4">
        <f t="shared" si="14"/>
        <v>44135</v>
      </c>
      <c r="L105" s="5">
        <f t="shared" si="15"/>
        <v>10</v>
      </c>
      <c r="M105" s="5">
        <f t="shared" si="16"/>
        <v>2020</v>
      </c>
      <c r="N105" s="6">
        <v>1496</v>
      </c>
      <c r="O105" s="6">
        <f t="shared" si="19"/>
        <v>-1496</v>
      </c>
      <c r="P105" s="6">
        <f t="shared" si="22"/>
        <v>0</v>
      </c>
      <c r="Q105" s="7">
        <f t="shared" si="18"/>
        <v>144328.29999999999</v>
      </c>
      <c r="R105" s="44" t="str">
        <f>VLOOKUP(F105,'Set up'!$A$2:$E$48,5,FALSE)</f>
        <v>Chq</v>
      </c>
      <c r="S105" s="1" t="s">
        <v>159</v>
      </c>
    </row>
    <row r="106" spans="1:19" hidden="1" x14ac:dyDescent="0.3">
      <c r="A106" s="4">
        <v>44144</v>
      </c>
      <c r="B106" s="5">
        <f t="shared" si="20"/>
        <v>11</v>
      </c>
      <c r="C106" s="5">
        <f t="shared" si="21"/>
        <v>2020</v>
      </c>
      <c r="D106" s="5" t="s">
        <v>152</v>
      </c>
      <c r="E106" s="5" t="str">
        <f>VLOOKUP(F106,'Set up'!$A$2:$C$48,2,FALSE)</f>
        <v>C00000006</v>
      </c>
      <c r="F106" s="1" t="s">
        <v>43</v>
      </c>
      <c r="G106" s="2" t="s">
        <v>95</v>
      </c>
      <c r="H106" s="5">
        <v>1</v>
      </c>
      <c r="I106" s="5" t="str">
        <f>VLOOKUP(F106,'Set up'!$A$2:$C$48,3,FALSE)</f>
        <v>Cash</v>
      </c>
      <c r="J106" s="5">
        <f>VLOOKUP(F106,'Set up'!$A$2:$D$48,4,FALSE)</f>
        <v>0</v>
      </c>
      <c r="K106" s="4">
        <f t="shared" si="14"/>
        <v>44144</v>
      </c>
      <c r="L106" s="5">
        <f t="shared" si="15"/>
        <v>11</v>
      </c>
      <c r="M106" s="5">
        <f t="shared" si="16"/>
        <v>2020</v>
      </c>
      <c r="N106" s="6">
        <v>1584</v>
      </c>
      <c r="O106" s="6">
        <f t="shared" si="19"/>
        <v>-1584</v>
      </c>
      <c r="P106" s="6">
        <f t="shared" si="22"/>
        <v>0</v>
      </c>
      <c r="Q106" s="7">
        <f t="shared" si="18"/>
        <v>145912.29999999999</v>
      </c>
      <c r="R106" s="44" t="str">
        <f>VLOOKUP(F106,'Set up'!$A$2:$E$48,5,FALSE)</f>
        <v>Chq</v>
      </c>
      <c r="S106" s="1" t="s">
        <v>214</v>
      </c>
    </row>
    <row r="107" spans="1:19" hidden="1" x14ac:dyDescent="0.3">
      <c r="A107" s="4">
        <v>44144</v>
      </c>
      <c r="B107" s="5">
        <f t="shared" si="20"/>
        <v>11</v>
      </c>
      <c r="C107" s="5">
        <f t="shared" si="21"/>
        <v>2020</v>
      </c>
      <c r="D107" s="5" t="s">
        <v>152</v>
      </c>
      <c r="E107" s="5" t="str">
        <f>VLOOKUP(F107,'Set up'!$A$2:$C$48,2,FALSE)</f>
        <v>C00000006</v>
      </c>
      <c r="F107" s="1" t="s">
        <v>43</v>
      </c>
      <c r="G107" s="11" t="s">
        <v>44</v>
      </c>
      <c r="H107" s="5">
        <v>1</v>
      </c>
      <c r="I107" s="5" t="str">
        <f>VLOOKUP(F107,'Set up'!$A$2:$C$48,3,FALSE)</f>
        <v>Cash</v>
      </c>
      <c r="J107" s="5">
        <f>VLOOKUP(F107,'Set up'!$A$2:$D$48,4,FALSE)</f>
        <v>0</v>
      </c>
      <c r="K107" s="4">
        <f t="shared" si="14"/>
        <v>44144</v>
      </c>
      <c r="L107" s="5">
        <f t="shared" si="15"/>
        <v>11</v>
      </c>
      <c r="M107" s="5">
        <f t="shared" si="16"/>
        <v>2020</v>
      </c>
      <c r="N107" s="6">
        <v>210</v>
      </c>
      <c r="O107" s="6">
        <f t="shared" si="19"/>
        <v>-210</v>
      </c>
      <c r="P107" s="6">
        <f t="shared" si="22"/>
        <v>0</v>
      </c>
      <c r="Q107" s="7">
        <f t="shared" si="18"/>
        <v>146122.29999999999</v>
      </c>
      <c r="R107" s="44" t="str">
        <f>VLOOKUP(F107,'Set up'!$A$2:$E$48,5,FALSE)</f>
        <v>Chq</v>
      </c>
      <c r="S107" s="1" t="s">
        <v>214</v>
      </c>
    </row>
    <row r="108" spans="1:19" hidden="1" x14ac:dyDescent="0.3">
      <c r="A108" s="4">
        <v>44144</v>
      </c>
      <c r="B108" s="5">
        <f t="shared" si="20"/>
        <v>11</v>
      </c>
      <c r="C108" s="5">
        <f t="shared" si="21"/>
        <v>2020</v>
      </c>
      <c r="D108" s="5" t="s">
        <v>152</v>
      </c>
      <c r="E108" s="5" t="str">
        <f>VLOOKUP(F108,'Set up'!$A$2:$C$48,2,FALSE)</f>
        <v>C00000006</v>
      </c>
      <c r="F108" s="1" t="s">
        <v>43</v>
      </c>
      <c r="G108" s="11" t="s">
        <v>97</v>
      </c>
      <c r="H108" s="5">
        <v>1</v>
      </c>
      <c r="I108" s="5" t="str">
        <f>VLOOKUP(F108,'Set up'!$A$2:$C$48,3,FALSE)</f>
        <v>Cash</v>
      </c>
      <c r="J108" s="5">
        <f>VLOOKUP(F108,'Set up'!$A$2:$D$48,4,FALSE)</f>
        <v>0</v>
      </c>
      <c r="K108" s="4">
        <f t="shared" si="14"/>
        <v>44144</v>
      </c>
      <c r="L108" s="5">
        <f t="shared" si="15"/>
        <v>11</v>
      </c>
      <c r="M108" s="5">
        <f t="shared" si="16"/>
        <v>2020</v>
      </c>
      <c r="N108" s="6">
        <v>378</v>
      </c>
      <c r="O108" s="6">
        <f t="shared" si="19"/>
        <v>-378</v>
      </c>
      <c r="P108" s="6">
        <f t="shared" si="22"/>
        <v>0</v>
      </c>
      <c r="Q108" s="7">
        <f t="shared" si="18"/>
        <v>146500.29999999999</v>
      </c>
      <c r="R108" s="44" t="str">
        <f>VLOOKUP(F108,'Set up'!$A$2:$E$48,5,FALSE)</f>
        <v>Chq</v>
      </c>
      <c r="S108" s="1" t="s">
        <v>214</v>
      </c>
    </row>
    <row r="109" spans="1:19" hidden="1" x14ac:dyDescent="0.3">
      <c r="A109" s="4">
        <v>44144</v>
      </c>
      <c r="B109" s="5">
        <f t="shared" si="20"/>
        <v>11</v>
      </c>
      <c r="C109" s="5">
        <f t="shared" si="21"/>
        <v>2020</v>
      </c>
      <c r="D109" s="5" t="s">
        <v>152</v>
      </c>
      <c r="E109" s="5" t="str">
        <f>VLOOKUP(F109,'Set up'!$A$2:$C$48,2,FALSE)</f>
        <v>C00000006</v>
      </c>
      <c r="F109" s="1" t="s">
        <v>43</v>
      </c>
      <c r="G109" s="2" t="s">
        <v>153</v>
      </c>
      <c r="H109" s="5">
        <v>1</v>
      </c>
      <c r="I109" s="5" t="str">
        <f>VLOOKUP(F109,'Set up'!$A$2:$C$48,3,FALSE)</f>
        <v>Cash</v>
      </c>
      <c r="J109" s="5">
        <f>VLOOKUP(F109,'Set up'!$A$2:$D$48,4,FALSE)</f>
        <v>0</v>
      </c>
      <c r="K109" s="4">
        <f t="shared" si="14"/>
        <v>44144</v>
      </c>
      <c r="L109" s="5">
        <f t="shared" si="15"/>
        <v>11</v>
      </c>
      <c r="M109" s="5">
        <f t="shared" si="16"/>
        <v>2020</v>
      </c>
      <c r="N109" s="6">
        <v>130</v>
      </c>
      <c r="O109" s="6">
        <f t="shared" si="19"/>
        <v>-130</v>
      </c>
      <c r="P109" s="6">
        <f t="shared" si="22"/>
        <v>0</v>
      </c>
      <c r="Q109" s="7">
        <f t="shared" si="18"/>
        <v>146630.29999999999</v>
      </c>
      <c r="R109" s="44" t="str">
        <f>VLOOKUP(F109,'Set up'!$A$2:$E$48,5,FALSE)</f>
        <v>Chq</v>
      </c>
      <c r="S109" s="1" t="s">
        <v>214</v>
      </c>
    </row>
    <row r="110" spans="1:19" hidden="1" x14ac:dyDescent="0.3">
      <c r="A110" s="4">
        <v>44145</v>
      </c>
      <c r="B110" s="5">
        <f t="shared" si="20"/>
        <v>11</v>
      </c>
      <c r="C110" s="5">
        <f t="shared" si="21"/>
        <v>2020</v>
      </c>
      <c r="D110" s="5" t="s">
        <v>154</v>
      </c>
      <c r="E110" s="5" t="str">
        <f>VLOOKUP(F110,'Set up'!$A$2:$C$48,2,FALSE)</f>
        <v>C00000001</v>
      </c>
      <c r="F110" s="1" t="s">
        <v>7</v>
      </c>
      <c r="G110" s="11" t="s">
        <v>67</v>
      </c>
      <c r="H110" s="5">
        <v>1</v>
      </c>
      <c r="I110" s="5" t="str">
        <f>VLOOKUP(F110,'Set up'!$A$2:$C$48,3,FALSE)</f>
        <v>Cash</v>
      </c>
      <c r="J110" s="5">
        <f>VLOOKUP(F110,'Set up'!$A$2:$D$48,4,FALSE)</f>
        <v>0</v>
      </c>
      <c r="K110" s="4">
        <f t="shared" si="14"/>
        <v>44145</v>
      </c>
      <c r="L110" s="5">
        <f t="shared" si="15"/>
        <v>11</v>
      </c>
      <c r="M110" s="5">
        <f t="shared" si="16"/>
        <v>2020</v>
      </c>
      <c r="N110" s="6">
        <v>1584</v>
      </c>
      <c r="O110" s="6">
        <f t="shared" si="19"/>
        <v>-1584</v>
      </c>
      <c r="P110" s="6">
        <f t="shared" si="22"/>
        <v>0</v>
      </c>
      <c r="Q110" s="7">
        <f t="shared" si="18"/>
        <v>148214.29999999999</v>
      </c>
      <c r="R110" s="44" t="str">
        <f>VLOOKUP(F110,'Set up'!$A$2:$E$48,5,FALSE)</f>
        <v>Trsf</v>
      </c>
      <c r="S110" s="1" t="s">
        <v>172</v>
      </c>
    </row>
    <row r="111" spans="1:19" hidden="1" x14ac:dyDescent="0.3">
      <c r="A111" s="4">
        <v>44145</v>
      </c>
      <c r="B111" s="5">
        <f t="shared" si="20"/>
        <v>11</v>
      </c>
      <c r="C111" s="5">
        <f t="shared" si="21"/>
        <v>2020</v>
      </c>
      <c r="D111" s="5" t="s">
        <v>154</v>
      </c>
      <c r="E111" s="5" t="str">
        <f>VLOOKUP(F111,'Set up'!$A$2:$C$48,2,FALSE)</f>
        <v>C00000001</v>
      </c>
      <c r="F111" s="1" t="s">
        <v>7</v>
      </c>
      <c r="G111" s="11" t="s">
        <v>46</v>
      </c>
      <c r="H111" s="5">
        <v>4</v>
      </c>
      <c r="I111" s="5" t="str">
        <f>VLOOKUP(F111,'Set up'!$A$2:$C$48,3,FALSE)</f>
        <v>Cash</v>
      </c>
      <c r="J111" s="5">
        <f>VLOOKUP(F111,'Set up'!$A$2:$D$48,4,FALSE)</f>
        <v>0</v>
      </c>
      <c r="K111" s="4">
        <f t="shared" si="14"/>
        <v>44145</v>
      </c>
      <c r="L111" s="5">
        <f t="shared" si="15"/>
        <v>11</v>
      </c>
      <c r="M111" s="5">
        <f t="shared" si="16"/>
        <v>2020</v>
      </c>
      <c r="N111" s="6">
        <v>370</v>
      </c>
      <c r="O111" s="6">
        <f t="shared" si="19"/>
        <v>-370</v>
      </c>
      <c r="P111" s="6">
        <f t="shared" si="22"/>
        <v>0</v>
      </c>
      <c r="Q111" s="7">
        <f t="shared" si="18"/>
        <v>148584.29999999999</v>
      </c>
      <c r="R111" s="44" t="str">
        <f>VLOOKUP(F111,'Set up'!$A$2:$E$48,5,FALSE)</f>
        <v>Trsf</v>
      </c>
      <c r="S111" s="1" t="s">
        <v>172</v>
      </c>
    </row>
    <row r="112" spans="1:19" hidden="1" x14ac:dyDescent="0.3">
      <c r="A112" s="4">
        <v>44145</v>
      </c>
      <c r="B112" s="5">
        <f t="shared" si="20"/>
        <v>11</v>
      </c>
      <c r="C112" s="5">
        <f t="shared" si="21"/>
        <v>2020</v>
      </c>
      <c r="D112" s="5" t="s">
        <v>155</v>
      </c>
      <c r="E112" s="5" t="str">
        <f>VLOOKUP(F112,'Set up'!$A$2:$C$48,2,FALSE)</f>
        <v>C00000005</v>
      </c>
      <c r="F112" s="1" t="s">
        <v>35</v>
      </c>
      <c r="G112" s="11" t="s">
        <v>67</v>
      </c>
      <c r="H112" s="5">
        <v>1</v>
      </c>
      <c r="I112" s="5" t="str">
        <f>VLOOKUP(F112,'Set up'!$A$2:$C$48,3,FALSE)</f>
        <v>Cash</v>
      </c>
      <c r="J112" s="5">
        <f>VLOOKUP(F112,'Set up'!$A$2:$D$48,4,FALSE)</f>
        <v>0</v>
      </c>
      <c r="K112" s="4">
        <f t="shared" si="14"/>
        <v>44145</v>
      </c>
      <c r="L112" s="5">
        <f t="shared" si="15"/>
        <v>11</v>
      </c>
      <c r="M112" s="5">
        <f t="shared" si="16"/>
        <v>2020</v>
      </c>
      <c r="N112" s="6">
        <v>1540</v>
      </c>
      <c r="O112" s="6">
        <f t="shared" si="19"/>
        <v>-1540</v>
      </c>
      <c r="P112" s="6">
        <f t="shared" si="22"/>
        <v>0</v>
      </c>
      <c r="Q112" s="7">
        <f t="shared" si="18"/>
        <v>150124.29999999999</v>
      </c>
      <c r="R112" s="44" t="str">
        <f>VLOOKUP(F112,'Set up'!$A$2:$E$48,5,FALSE)</f>
        <v>Chq</v>
      </c>
      <c r="S112" s="1" t="s">
        <v>190</v>
      </c>
    </row>
    <row r="113" spans="1:19" hidden="1" x14ac:dyDescent="0.3">
      <c r="A113" s="4">
        <v>44145</v>
      </c>
      <c r="B113" s="5">
        <f t="shared" si="20"/>
        <v>11</v>
      </c>
      <c r="C113" s="5">
        <f t="shared" si="21"/>
        <v>2020</v>
      </c>
      <c r="D113" s="5" t="s">
        <v>155</v>
      </c>
      <c r="E113" s="5" t="str">
        <f>VLOOKUP(F113,'Set up'!$A$2:$C$48,2,FALSE)</f>
        <v>C00000005</v>
      </c>
      <c r="F113" s="1" t="s">
        <v>35</v>
      </c>
      <c r="G113" s="11" t="s">
        <v>46</v>
      </c>
      <c r="H113" s="5">
        <v>1</v>
      </c>
      <c r="I113" s="5" t="str">
        <f>VLOOKUP(F113,'Set up'!$A$2:$C$48,3,FALSE)</f>
        <v>Cash</v>
      </c>
      <c r="J113" s="5">
        <f>VLOOKUP(F113,'Set up'!$A$2:$D$48,4,FALSE)</f>
        <v>0</v>
      </c>
      <c r="K113" s="4">
        <f t="shared" si="14"/>
        <v>44145</v>
      </c>
      <c r="L113" s="5">
        <f t="shared" si="15"/>
        <v>11</v>
      </c>
      <c r="M113" s="5">
        <f t="shared" si="16"/>
        <v>2020</v>
      </c>
      <c r="N113" s="6">
        <v>90</v>
      </c>
      <c r="O113" s="6">
        <f t="shared" si="19"/>
        <v>-90</v>
      </c>
      <c r="P113" s="6">
        <f t="shared" si="22"/>
        <v>0</v>
      </c>
      <c r="Q113" s="7">
        <f t="shared" si="18"/>
        <v>150214.29999999999</v>
      </c>
      <c r="R113" s="44" t="str">
        <f>VLOOKUP(F113,'Set up'!$A$2:$E$48,5,FALSE)</f>
        <v>Chq</v>
      </c>
      <c r="S113" s="1" t="s">
        <v>190</v>
      </c>
    </row>
    <row r="114" spans="1:19" hidden="1" x14ac:dyDescent="0.3">
      <c r="A114" s="4">
        <v>44146</v>
      </c>
      <c r="B114" s="5">
        <f t="shared" si="20"/>
        <v>11</v>
      </c>
      <c r="C114" s="5">
        <f t="shared" si="21"/>
        <v>2020</v>
      </c>
      <c r="D114" s="5" t="s">
        <v>156</v>
      </c>
      <c r="E114" s="5" t="str">
        <f>VLOOKUP(F114,'Set up'!$A$2:$C$48,2,FALSE)</f>
        <v>C00000009</v>
      </c>
      <c r="F114" s="1" t="s">
        <v>58</v>
      </c>
      <c r="G114" s="2" t="s">
        <v>96</v>
      </c>
      <c r="H114" s="5">
        <v>3</v>
      </c>
      <c r="I114" s="5">
        <f>VLOOKUP(F114,'Set up'!$A$2:$C$48,3,FALSE)</f>
        <v>60</v>
      </c>
      <c r="J114" s="5">
        <f>VLOOKUP(F114,'Set up'!$A$2:$D$48,4,FALSE)</f>
        <v>60</v>
      </c>
      <c r="K114" s="4">
        <f t="shared" si="14"/>
        <v>44206</v>
      </c>
      <c r="L114" s="5">
        <f t="shared" si="15"/>
        <v>1</v>
      </c>
      <c r="M114" s="5">
        <f t="shared" si="16"/>
        <v>2021</v>
      </c>
      <c r="N114" s="6">
        <v>923.4</v>
      </c>
      <c r="O114" s="6">
        <f t="shared" si="19"/>
        <v>-923.4</v>
      </c>
      <c r="P114" s="6">
        <f t="shared" si="22"/>
        <v>0</v>
      </c>
      <c r="Q114" s="7">
        <f t="shared" si="18"/>
        <v>151137.69999999998</v>
      </c>
      <c r="R114" s="44" t="str">
        <f>VLOOKUP(F114,'Set up'!$A$2:$E$48,5,FALSE)</f>
        <v>Chq</v>
      </c>
      <c r="S114" s="9" t="s">
        <v>265</v>
      </c>
    </row>
    <row r="115" spans="1:19" hidden="1" x14ac:dyDescent="0.3">
      <c r="A115" s="4">
        <v>44146</v>
      </c>
      <c r="B115" s="5">
        <f t="shared" si="20"/>
        <v>11</v>
      </c>
      <c r="C115" s="5">
        <f t="shared" si="21"/>
        <v>2020</v>
      </c>
      <c r="D115" s="5" t="s">
        <v>156</v>
      </c>
      <c r="E115" s="5" t="str">
        <f>VLOOKUP(F115,'Set up'!$A$2:$C$48,2,FALSE)</f>
        <v>C00000009</v>
      </c>
      <c r="F115" s="1" t="s">
        <v>58</v>
      </c>
      <c r="G115" s="11" t="s">
        <v>97</v>
      </c>
      <c r="H115" s="5">
        <v>1</v>
      </c>
      <c r="I115" s="5">
        <f>VLOOKUP(F115,'Set up'!$A$2:$C$48,3,FALSE)</f>
        <v>60</v>
      </c>
      <c r="J115" s="5">
        <f>VLOOKUP(F115,'Set up'!$A$2:$D$48,4,FALSE)</f>
        <v>60</v>
      </c>
      <c r="K115" s="4">
        <f t="shared" si="14"/>
        <v>44206</v>
      </c>
      <c r="L115" s="5">
        <f t="shared" si="15"/>
        <v>1</v>
      </c>
      <c r="M115" s="5">
        <f t="shared" si="16"/>
        <v>2021</v>
      </c>
      <c r="N115" s="6">
        <v>307.8</v>
      </c>
      <c r="O115" s="6">
        <f t="shared" si="19"/>
        <v>-307.8</v>
      </c>
      <c r="P115" s="6">
        <f t="shared" si="22"/>
        <v>0</v>
      </c>
      <c r="Q115" s="7">
        <f t="shared" si="18"/>
        <v>151445.49999999997</v>
      </c>
      <c r="R115" s="44" t="str">
        <f>VLOOKUP(F115,'Set up'!$A$2:$E$48,5,FALSE)</f>
        <v>Chq</v>
      </c>
      <c r="S115" s="9" t="s">
        <v>265</v>
      </c>
    </row>
    <row r="116" spans="1:19" hidden="1" x14ac:dyDescent="0.3">
      <c r="A116" s="4">
        <v>44153</v>
      </c>
      <c r="B116" s="5">
        <f t="shared" si="20"/>
        <v>11</v>
      </c>
      <c r="C116" s="5">
        <f t="shared" si="21"/>
        <v>2020</v>
      </c>
      <c r="D116" s="5" t="s">
        <v>166</v>
      </c>
      <c r="E116" s="5" t="str">
        <f>VLOOKUP(F116,'Set up'!$A$2:$C$48,2,FALSE)</f>
        <v>C00000001</v>
      </c>
      <c r="F116" s="1" t="s">
        <v>7</v>
      </c>
      <c r="G116" s="11" t="s">
        <v>67</v>
      </c>
      <c r="H116" s="5">
        <v>1</v>
      </c>
      <c r="I116" s="5" t="str">
        <f>VLOOKUP(F116,'Set up'!$A$2:$C$48,3,FALSE)</f>
        <v>Cash</v>
      </c>
      <c r="J116" s="5">
        <f>VLOOKUP(F116,'Set up'!$A$2:$D$48,4,FALSE)</f>
        <v>0</v>
      </c>
      <c r="K116" s="4">
        <f t="shared" si="14"/>
        <v>44153</v>
      </c>
      <c r="L116" s="5">
        <f t="shared" si="15"/>
        <v>11</v>
      </c>
      <c r="M116" s="5">
        <f t="shared" si="16"/>
        <v>2020</v>
      </c>
      <c r="N116" s="6">
        <v>1584</v>
      </c>
      <c r="O116" s="6">
        <f t="shared" si="19"/>
        <v>-1584</v>
      </c>
      <c r="P116" s="6">
        <f t="shared" si="22"/>
        <v>0</v>
      </c>
      <c r="Q116" s="7">
        <f t="shared" si="18"/>
        <v>153029.49999999997</v>
      </c>
      <c r="R116" s="44" t="str">
        <f>VLOOKUP(F116,'Set up'!$A$2:$E$48,5,FALSE)</f>
        <v>Trsf</v>
      </c>
      <c r="S116" s="1" t="s">
        <v>172</v>
      </c>
    </row>
    <row r="117" spans="1:19" hidden="1" x14ac:dyDescent="0.3">
      <c r="A117" s="4">
        <v>44159</v>
      </c>
      <c r="B117" s="5">
        <f t="shared" si="20"/>
        <v>11</v>
      </c>
      <c r="C117" s="5">
        <f t="shared" si="21"/>
        <v>2020</v>
      </c>
      <c r="D117" s="5" t="s">
        <v>167</v>
      </c>
      <c r="E117" s="5" t="str">
        <f>VLOOKUP(F117,'Set up'!$A$2:$C$48,2,FALSE)</f>
        <v>C00000001</v>
      </c>
      <c r="F117" s="1" t="s">
        <v>7</v>
      </c>
      <c r="G117" s="11" t="s">
        <v>202</v>
      </c>
      <c r="H117" s="5">
        <v>2</v>
      </c>
      <c r="I117" s="5" t="str">
        <f>VLOOKUP(F117,'Set up'!$A$2:$C$48,3,FALSE)</f>
        <v>Cash</v>
      </c>
      <c r="J117" s="5">
        <f>VLOOKUP(F117,'Set up'!$A$2:$D$48,4,FALSE)</f>
        <v>0</v>
      </c>
      <c r="K117" s="4">
        <f t="shared" si="14"/>
        <v>44159</v>
      </c>
      <c r="L117" s="5">
        <f t="shared" si="15"/>
        <v>11</v>
      </c>
      <c r="M117" s="5">
        <f t="shared" si="16"/>
        <v>2020</v>
      </c>
      <c r="N117" s="6">
        <v>520</v>
      </c>
      <c r="O117" s="6">
        <f t="shared" si="19"/>
        <v>-520</v>
      </c>
      <c r="P117" s="6">
        <f t="shared" si="22"/>
        <v>0</v>
      </c>
      <c r="Q117" s="7">
        <f t="shared" si="18"/>
        <v>153549.49999999997</v>
      </c>
      <c r="R117" s="44" t="str">
        <f>VLOOKUP(F117,'Set up'!$A$2:$E$48,5,FALSE)</f>
        <v>Trsf</v>
      </c>
      <c r="S117" s="1" t="s">
        <v>215</v>
      </c>
    </row>
    <row r="118" spans="1:19" hidden="1" x14ac:dyDescent="0.3">
      <c r="A118" s="4">
        <v>44155</v>
      </c>
      <c r="B118" s="5">
        <f t="shared" si="20"/>
        <v>11</v>
      </c>
      <c r="C118" s="5">
        <f t="shared" si="21"/>
        <v>2020</v>
      </c>
      <c r="D118" s="5" t="s">
        <v>168</v>
      </c>
      <c r="E118" s="5" t="str">
        <f>VLOOKUP(F118,'Set up'!$A$2:$C$48,2,FALSE)</f>
        <v>C00000010</v>
      </c>
      <c r="F118" s="1" t="s">
        <v>62</v>
      </c>
      <c r="G118" s="2" t="s">
        <v>169</v>
      </c>
      <c r="H118" s="5">
        <v>3</v>
      </c>
      <c r="I118" s="5">
        <f>VLOOKUP(F118,'Set up'!$A$2:$C$48,3,FALSE)</f>
        <v>120</v>
      </c>
      <c r="J118" s="5">
        <f>VLOOKUP(F118,'Set up'!$A$2:$D$48,4,FALSE)</f>
        <v>120</v>
      </c>
      <c r="K118" s="4">
        <f t="shared" si="14"/>
        <v>44275</v>
      </c>
      <c r="L118" s="5">
        <f t="shared" si="15"/>
        <v>3</v>
      </c>
      <c r="M118" s="5">
        <f t="shared" si="16"/>
        <v>2021</v>
      </c>
      <c r="N118" s="6">
        <v>4050</v>
      </c>
      <c r="O118" s="6">
        <f t="shared" si="19"/>
        <v>-4050</v>
      </c>
      <c r="P118" s="6">
        <f t="shared" si="22"/>
        <v>0</v>
      </c>
      <c r="Q118" s="7">
        <f t="shared" si="18"/>
        <v>157599.49999999997</v>
      </c>
      <c r="R118" s="44" t="str">
        <f>VLOOKUP(F118,'Set up'!$A$2:$E$48,5,FALSE)</f>
        <v>Trsf</v>
      </c>
      <c r="S118" s="13" t="s">
        <v>188</v>
      </c>
    </row>
    <row r="119" spans="1:19" hidden="1" x14ac:dyDescent="0.3">
      <c r="A119" s="4">
        <v>44155</v>
      </c>
      <c r="B119" s="5">
        <f t="shared" si="20"/>
        <v>11</v>
      </c>
      <c r="C119" s="5">
        <f t="shared" si="21"/>
        <v>2020</v>
      </c>
      <c r="D119" s="5" t="s">
        <v>168</v>
      </c>
      <c r="E119" s="5" t="str">
        <f>VLOOKUP(F119,'Set up'!$A$2:$C$48,2,FALSE)</f>
        <v>C00000010</v>
      </c>
      <c r="F119" s="1" t="s">
        <v>62</v>
      </c>
      <c r="G119" s="2" t="s">
        <v>95</v>
      </c>
      <c r="H119" s="5">
        <v>2</v>
      </c>
      <c r="I119" s="5">
        <f>VLOOKUP(F119,'Set up'!$A$2:$C$48,3,FALSE)</f>
        <v>120</v>
      </c>
      <c r="J119" s="5">
        <f>VLOOKUP(F119,'Set up'!$A$2:$D$48,4,FALSE)</f>
        <v>120</v>
      </c>
      <c r="K119" s="4">
        <f t="shared" si="14"/>
        <v>44275</v>
      </c>
      <c r="L119" s="5">
        <f t="shared" si="15"/>
        <v>3</v>
      </c>
      <c r="M119" s="5">
        <f t="shared" si="16"/>
        <v>2021</v>
      </c>
      <c r="N119" s="6">
        <v>2640</v>
      </c>
      <c r="O119" s="6">
        <f t="shared" si="19"/>
        <v>-2640</v>
      </c>
      <c r="P119" s="6">
        <f t="shared" si="22"/>
        <v>0</v>
      </c>
      <c r="Q119" s="7">
        <f t="shared" si="18"/>
        <v>160239.49999999997</v>
      </c>
      <c r="R119" s="44" t="str">
        <f>VLOOKUP(F119,'Set up'!$A$2:$E$48,5,FALSE)</f>
        <v>Trsf</v>
      </c>
      <c r="S119" s="13" t="s">
        <v>188</v>
      </c>
    </row>
    <row r="120" spans="1:19" hidden="1" x14ac:dyDescent="0.3">
      <c r="A120" s="4">
        <v>44155</v>
      </c>
      <c r="B120" s="5">
        <f t="shared" si="20"/>
        <v>11</v>
      </c>
      <c r="C120" s="5">
        <f t="shared" si="21"/>
        <v>2020</v>
      </c>
      <c r="D120" s="5" t="s">
        <v>168</v>
      </c>
      <c r="E120" s="5" t="str">
        <f>VLOOKUP(F120,'Set up'!$A$2:$C$48,2,FALSE)</f>
        <v>C00000010</v>
      </c>
      <c r="F120" s="1" t="s">
        <v>62</v>
      </c>
      <c r="G120" s="2" t="s">
        <v>63</v>
      </c>
      <c r="H120" s="5">
        <v>8</v>
      </c>
      <c r="I120" s="5">
        <f>VLOOKUP(F120,'Set up'!$A$2:$C$48,3,FALSE)</f>
        <v>120</v>
      </c>
      <c r="J120" s="5">
        <f>VLOOKUP(F120,'Set up'!$A$2:$D$48,4,FALSE)</f>
        <v>120</v>
      </c>
      <c r="K120" s="4">
        <f t="shared" si="14"/>
        <v>44275</v>
      </c>
      <c r="L120" s="5">
        <f t="shared" si="15"/>
        <v>3</v>
      </c>
      <c r="M120" s="5">
        <f t="shared" si="16"/>
        <v>2021</v>
      </c>
      <c r="N120" s="6">
        <v>1776</v>
      </c>
      <c r="O120" s="6">
        <f t="shared" si="19"/>
        <v>-1776</v>
      </c>
      <c r="P120" s="6">
        <f t="shared" si="22"/>
        <v>0</v>
      </c>
      <c r="Q120" s="7">
        <f t="shared" si="18"/>
        <v>162015.49999999997</v>
      </c>
      <c r="R120" s="44" t="str">
        <f>VLOOKUP(F120,'Set up'!$A$2:$E$48,5,FALSE)</f>
        <v>Trsf</v>
      </c>
      <c r="S120" s="13" t="s">
        <v>188</v>
      </c>
    </row>
    <row r="121" spans="1:19" hidden="1" x14ac:dyDescent="0.3">
      <c r="A121" s="4">
        <v>44155</v>
      </c>
      <c r="B121" s="5">
        <f t="shared" si="20"/>
        <v>11</v>
      </c>
      <c r="C121" s="5">
        <f t="shared" si="21"/>
        <v>2020</v>
      </c>
      <c r="D121" s="5" t="s">
        <v>168</v>
      </c>
      <c r="E121" s="5" t="str">
        <f>VLOOKUP(F121,'Set up'!$A$2:$C$48,2,FALSE)</f>
        <v>C00000010</v>
      </c>
      <c r="F121" s="1" t="s">
        <v>62</v>
      </c>
      <c r="G121" s="11" t="s">
        <v>64</v>
      </c>
      <c r="H121" s="5">
        <v>5</v>
      </c>
      <c r="I121" s="5">
        <f>VLOOKUP(F121,'Set up'!$A$2:$C$48,3,FALSE)</f>
        <v>120</v>
      </c>
      <c r="J121" s="5">
        <f>VLOOKUP(F121,'Set up'!$A$2:$D$48,4,FALSE)</f>
        <v>120</v>
      </c>
      <c r="K121" s="4">
        <f t="shared" si="14"/>
        <v>44275</v>
      </c>
      <c r="L121" s="5">
        <f t="shared" si="15"/>
        <v>3</v>
      </c>
      <c r="M121" s="5">
        <f t="shared" si="16"/>
        <v>2021</v>
      </c>
      <c r="N121" s="6">
        <v>275</v>
      </c>
      <c r="O121" s="6">
        <f t="shared" si="19"/>
        <v>-275</v>
      </c>
      <c r="P121" s="6">
        <f t="shared" si="22"/>
        <v>0</v>
      </c>
      <c r="Q121" s="7">
        <f t="shared" si="18"/>
        <v>162290.49999999997</v>
      </c>
      <c r="R121" s="44" t="str">
        <f>VLOOKUP(F121,'Set up'!$A$2:$E$48,5,FALSE)</f>
        <v>Trsf</v>
      </c>
      <c r="S121" s="13" t="s">
        <v>188</v>
      </c>
    </row>
    <row r="122" spans="1:19" hidden="1" x14ac:dyDescent="0.3">
      <c r="A122" s="4">
        <v>44155</v>
      </c>
      <c r="B122" s="5">
        <f t="shared" si="20"/>
        <v>11</v>
      </c>
      <c r="C122" s="5">
        <f t="shared" si="21"/>
        <v>2020</v>
      </c>
      <c r="D122" s="5" t="s">
        <v>168</v>
      </c>
      <c r="E122" s="5" t="str">
        <f>VLOOKUP(F122,'Set up'!$A$2:$C$48,2,FALSE)</f>
        <v>C00000010</v>
      </c>
      <c r="F122" s="1" t="s">
        <v>62</v>
      </c>
      <c r="G122" s="11" t="s">
        <v>46</v>
      </c>
      <c r="H122" s="5">
        <v>2</v>
      </c>
      <c r="I122" s="5">
        <f>VLOOKUP(F122,'Set up'!$A$2:$C$48,3,FALSE)</f>
        <v>120</v>
      </c>
      <c r="J122" s="5">
        <f>VLOOKUP(F122,'Set up'!$A$2:$D$48,4,FALSE)</f>
        <v>120</v>
      </c>
      <c r="K122" s="4">
        <f t="shared" si="14"/>
        <v>44275</v>
      </c>
      <c r="L122" s="5">
        <f t="shared" si="15"/>
        <v>3</v>
      </c>
      <c r="M122" s="5">
        <f t="shared" si="16"/>
        <v>2021</v>
      </c>
      <c r="N122" s="6">
        <v>180</v>
      </c>
      <c r="O122" s="6">
        <f t="shared" si="19"/>
        <v>-180</v>
      </c>
      <c r="P122" s="6">
        <f t="shared" si="22"/>
        <v>0</v>
      </c>
      <c r="Q122" s="7">
        <f t="shared" si="18"/>
        <v>162470.49999999997</v>
      </c>
      <c r="R122" s="44" t="str">
        <f>VLOOKUP(F122,'Set up'!$A$2:$E$48,5,FALSE)</f>
        <v>Trsf</v>
      </c>
      <c r="S122" s="13" t="s">
        <v>188</v>
      </c>
    </row>
    <row r="123" spans="1:19" hidden="1" x14ac:dyDescent="0.3">
      <c r="A123" s="4">
        <v>44155</v>
      </c>
      <c r="B123" s="5">
        <f t="shared" si="20"/>
        <v>11</v>
      </c>
      <c r="C123" s="5">
        <f t="shared" si="21"/>
        <v>2020</v>
      </c>
      <c r="D123" s="5" t="s">
        <v>168</v>
      </c>
      <c r="E123" s="5" t="str">
        <f>VLOOKUP(F123,'Set up'!$A$2:$C$48,2,FALSE)</f>
        <v>C00000010</v>
      </c>
      <c r="F123" s="1" t="s">
        <v>62</v>
      </c>
      <c r="G123" s="11" t="s">
        <v>65</v>
      </c>
      <c r="H123" s="5">
        <v>1</v>
      </c>
      <c r="I123" s="5">
        <f>VLOOKUP(F123,'Set up'!$A$2:$C$48,3,FALSE)</f>
        <v>120</v>
      </c>
      <c r="J123" s="5">
        <f>VLOOKUP(F123,'Set up'!$A$2:$D$48,4,FALSE)</f>
        <v>120</v>
      </c>
      <c r="K123" s="4">
        <f t="shared" si="14"/>
        <v>44275</v>
      </c>
      <c r="L123" s="5">
        <f t="shared" si="15"/>
        <v>3</v>
      </c>
      <c r="M123" s="5">
        <f t="shared" si="16"/>
        <v>2021</v>
      </c>
      <c r="N123" s="6">
        <v>375</v>
      </c>
      <c r="O123" s="6">
        <f t="shared" si="19"/>
        <v>-375</v>
      </c>
      <c r="P123" s="6">
        <f t="shared" si="22"/>
        <v>0</v>
      </c>
      <c r="Q123" s="7">
        <f t="shared" si="18"/>
        <v>162845.49999999997</v>
      </c>
      <c r="R123" s="44" t="str">
        <f>VLOOKUP(F123,'Set up'!$A$2:$E$48,5,FALSE)</f>
        <v>Trsf</v>
      </c>
      <c r="S123" s="13" t="s">
        <v>188</v>
      </c>
    </row>
    <row r="124" spans="1:19" hidden="1" x14ac:dyDescent="0.3">
      <c r="A124" s="4">
        <v>44156</v>
      </c>
      <c r="B124" s="5">
        <f t="shared" si="20"/>
        <v>11</v>
      </c>
      <c r="C124" s="5">
        <f t="shared" si="21"/>
        <v>2020</v>
      </c>
      <c r="D124" s="5" t="s">
        <v>171</v>
      </c>
      <c r="E124" s="5" t="str">
        <f>VLOOKUP(F124,'Set up'!$A$2:$C$48,2,FALSE)</f>
        <v>C00000008</v>
      </c>
      <c r="F124" s="1" t="s">
        <v>52</v>
      </c>
      <c r="G124" s="2" t="s">
        <v>95</v>
      </c>
      <c r="H124" s="5">
        <v>1</v>
      </c>
      <c r="I124" s="5" t="str">
        <f>VLOOKUP(F124,'Set up'!$A$2:$C$48,3,FALSE)</f>
        <v>Cash</v>
      </c>
      <c r="J124" s="5">
        <f>VLOOKUP(F124,'Set up'!$A$2:$D$48,4,FALSE)</f>
        <v>0</v>
      </c>
      <c r="K124" s="4">
        <f t="shared" si="14"/>
        <v>44156</v>
      </c>
      <c r="L124" s="5">
        <f t="shared" si="15"/>
        <v>11</v>
      </c>
      <c r="M124" s="5">
        <f t="shared" si="16"/>
        <v>2020</v>
      </c>
      <c r="N124" s="6">
        <v>1584</v>
      </c>
      <c r="O124" s="6">
        <v>-1584</v>
      </c>
      <c r="P124" s="6">
        <f t="shared" si="22"/>
        <v>0</v>
      </c>
      <c r="Q124" s="7">
        <f t="shared" si="18"/>
        <v>164429.49999999997</v>
      </c>
      <c r="R124" s="44" t="str">
        <f>VLOOKUP(F124,'Set up'!$A$2:$E$48,5,FALSE)</f>
        <v>Trsf</v>
      </c>
    </row>
    <row r="125" spans="1:19" hidden="1" x14ac:dyDescent="0.3">
      <c r="A125" s="4">
        <v>44156</v>
      </c>
      <c r="B125" s="5">
        <f t="shared" si="20"/>
        <v>11</v>
      </c>
      <c r="C125" s="5">
        <f t="shared" si="21"/>
        <v>2020</v>
      </c>
      <c r="D125" s="5" t="s">
        <v>171</v>
      </c>
      <c r="E125" s="5" t="str">
        <f>VLOOKUP(F125,'Set up'!$A$2:$C$48,2,FALSE)</f>
        <v>C00000008</v>
      </c>
      <c r="F125" s="1" t="s">
        <v>52</v>
      </c>
      <c r="G125" s="11" t="s">
        <v>44</v>
      </c>
      <c r="H125" s="5">
        <v>2</v>
      </c>
      <c r="I125" s="5" t="str">
        <f>VLOOKUP(F125,'Set up'!$A$2:$C$48,3,FALSE)</f>
        <v>Cash</v>
      </c>
      <c r="J125" s="5">
        <f>VLOOKUP(F125,'Set up'!$A$2:$D$48,4,FALSE)</f>
        <v>0</v>
      </c>
      <c r="K125" s="4">
        <f t="shared" si="14"/>
        <v>44156</v>
      </c>
      <c r="L125" s="5">
        <f t="shared" si="15"/>
        <v>11</v>
      </c>
      <c r="M125" s="5">
        <f t="shared" si="16"/>
        <v>2020</v>
      </c>
      <c r="N125" s="6">
        <v>420</v>
      </c>
      <c r="O125" s="6">
        <v>-420</v>
      </c>
      <c r="P125" s="6">
        <f t="shared" si="22"/>
        <v>0</v>
      </c>
      <c r="Q125" s="7">
        <f t="shared" si="18"/>
        <v>164849.49999999997</v>
      </c>
      <c r="R125" s="44" t="str">
        <f>VLOOKUP(F125,'Set up'!$A$2:$E$48,5,FALSE)</f>
        <v>Trsf</v>
      </c>
    </row>
    <row r="126" spans="1:19" hidden="1" x14ac:dyDescent="0.3">
      <c r="A126" s="4">
        <v>44156</v>
      </c>
      <c r="B126" s="5">
        <f t="shared" si="20"/>
        <v>11</v>
      </c>
      <c r="C126" s="5">
        <f t="shared" si="21"/>
        <v>2020</v>
      </c>
      <c r="D126" s="5" t="s">
        <v>171</v>
      </c>
      <c r="E126" s="5" t="str">
        <f>VLOOKUP(F126,'Set up'!$A$2:$C$48,2,FALSE)</f>
        <v>C00000008</v>
      </c>
      <c r="F126" s="1" t="s">
        <v>52</v>
      </c>
      <c r="G126" s="11" t="s">
        <v>46</v>
      </c>
      <c r="H126" s="5">
        <v>1</v>
      </c>
      <c r="I126" s="5" t="str">
        <f>VLOOKUP(F126,'Set up'!$A$2:$C$48,3,FALSE)</f>
        <v>Cash</v>
      </c>
      <c r="J126" s="5">
        <f>VLOOKUP(F126,'Set up'!$A$2:$D$48,4,FALSE)</f>
        <v>0</v>
      </c>
      <c r="K126" s="4">
        <f t="shared" si="14"/>
        <v>44156</v>
      </c>
      <c r="L126" s="5">
        <f t="shared" si="15"/>
        <v>11</v>
      </c>
      <c r="M126" s="5">
        <f t="shared" si="16"/>
        <v>2020</v>
      </c>
      <c r="N126" s="6">
        <v>90</v>
      </c>
      <c r="O126" s="6">
        <v>-90</v>
      </c>
      <c r="P126" s="6">
        <f t="shared" si="22"/>
        <v>0</v>
      </c>
      <c r="Q126" s="7">
        <f t="shared" si="18"/>
        <v>164939.49999999997</v>
      </c>
      <c r="R126" s="44" t="str">
        <f>VLOOKUP(F126,'Set up'!$A$2:$E$48,5,FALSE)</f>
        <v>Trsf</v>
      </c>
    </row>
    <row r="127" spans="1:19" hidden="1" x14ac:dyDescent="0.3">
      <c r="A127" s="4">
        <v>44156</v>
      </c>
      <c r="B127" s="5">
        <f t="shared" si="20"/>
        <v>11</v>
      </c>
      <c r="C127" s="5">
        <f t="shared" si="21"/>
        <v>2020</v>
      </c>
      <c r="D127" s="5" t="s">
        <v>171</v>
      </c>
      <c r="E127" s="5" t="str">
        <f>VLOOKUP(F127,'Set up'!$A$2:$C$48,2,FALSE)</f>
        <v>C00000008</v>
      </c>
      <c r="F127" s="1" t="s">
        <v>52</v>
      </c>
      <c r="G127" s="11" t="s">
        <v>63</v>
      </c>
      <c r="H127" s="5">
        <v>2</v>
      </c>
      <c r="I127" s="5" t="str">
        <f>VLOOKUP(F127,'Set up'!$A$2:$C$48,3,FALSE)</f>
        <v>Cash</v>
      </c>
      <c r="J127" s="5">
        <f>VLOOKUP(F127,'Set up'!$A$2:$D$48,4,FALSE)</f>
        <v>0</v>
      </c>
      <c r="K127" s="4">
        <f t="shared" si="14"/>
        <v>44156</v>
      </c>
      <c r="L127" s="5">
        <f t="shared" si="15"/>
        <v>11</v>
      </c>
      <c r="M127" s="5">
        <f t="shared" si="16"/>
        <v>2020</v>
      </c>
      <c r="N127" s="6">
        <v>518</v>
      </c>
      <c r="O127" s="6">
        <v>-518</v>
      </c>
      <c r="P127" s="6">
        <f t="shared" si="22"/>
        <v>0</v>
      </c>
      <c r="Q127" s="7">
        <f t="shared" si="18"/>
        <v>165457.49999999997</v>
      </c>
      <c r="R127" s="44" t="str">
        <f>VLOOKUP(F127,'Set up'!$A$2:$E$48,5,FALSE)</f>
        <v>Trsf</v>
      </c>
    </row>
    <row r="128" spans="1:19" hidden="1" x14ac:dyDescent="0.3">
      <c r="A128" s="4">
        <v>44158</v>
      </c>
      <c r="B128" s="5">
        <f t="shared" si="20"/>
        <v>11</v>
      </c>
      <c r="C128" s="5">
        <f t="shared" si="21"/>
        <v>2020</v>
      </c>
      <c r="D128" s="5" t="s">
        <v>173</v>
      </c>
      <c r="E128" s="5" t="str">
        <f>VLOOKUP(F128,'Set up'!$A$2:$C$48,2,FALSE)</f>
        <v>C00000005</v>
      </c>
      <c r="F128" s="1" t="s">
        <v>35</v>
      </c>
      <c r="G128" s="11" t="s">
        <v>67</v>
      </c>
      <c r="H128" s="5">
        <v>1</v>
      </c>
      <c r="I128" s="5" t="str">
        <f>VLOOKUP(F128,'Set up'!$A$2:$C$48,3,FALSE)</f>
        <v>Cash</v>
      </c>
      <c r="J128" s="5">
        <f>VLOOKUP(F128,'Set up'!$A$2:$D$48,4,FALSE)</f>
        <v>0</v>
      </c>
      <c r="K128" s="4">
        <f t="shared" si="14"/>
        <v>44158</v>
      </c>
      <c r="L128" s="5">
        <f t="shared" si="15"/>
        <v>11</v>
      </c>
      <c r="M128" s="5">
        <f t="shared" si="16"/>
        <v>2020</v>
      </c>
      <c r="N128" s="6">
        <v>1540</v>
      </c>
      <c r="O128" s="6">
        <f t="shared" ref="O128:O154" si="23">SUM(-N128)</f>
        <v>-1540</v>
      </c>
      <c r="P128" s="6">
        <f t="shared" si="22"/>
        <v>0</v>
      </c>
      <c r="Q128" s="7">
        <f t="shared" si="18"/>
        <v>166997.49999999997</v>
      </c>
      <c r="R128" s="44" t="str">
        <f>VLOOKUP(F128,'Set up'!$A$2:$E$48,5,FALSE)</f>
        <v>Chq</v>
      </c>
      <c r="S128" s="1" t="s">
        <v>191</v>
      </c>
    </row>
    <row r="129" spans="1:19" hidden="1" x14ac:dyDescent="0.3">
      <c r="A129" s="4">
        <v>44159</v>
      </c>
      <c r="B129" s="5">
        <f t="shared" si="20"/>
        <v>11</v>
      </c>
      <c r="C129" s="5">
        <f t="shared" si="21"/>
        <v>2020</v>
      </c>
      <c r="D129" s="5" t="s">
        <v>176</v>
      </c>
      <c r="E129" s="5" t="str">
        <f>VLOOKUP(F129,'Set up'!$A$2:$C$48,2,FALSE)</f>
        <v>C00000011</v>
      </c>
      <c r="F129" s="1" t="s">
        <v>174</v>
      </c>
      <c r="G129" s="2" t="s">
        <v>177</v>
      </c>
      <c r="H129" s="5">
        <v>3</v>
      </c>
      <c r="I129" s="5" t="str">
        <f>VLOOKUP(F129,'Set up'!$A$2:$C$48,3,FALSE)</f>
        <v>Cash</v>
      </c>
      <c r="J129" s="5">
        <f>VLOOKUP(F129,'Set up'!$A$2:$D$48,4,FALSE)</f>
        <v>0</v>
      </c>
      <c r="K129" s="4">
        <f t="shared" si="14"/>
        <v>44159</v>
      </c>
      <c r="L129" s="5">
        <f t="shared" si="15"/>
        <v>11</v>
      </c>
      <c r="M129" s="5">
        <f t="shared" si="16"/>
        <v>2020</v>
      </c>
      <c r="N129" s="6">
        <v>982.80000000000007</v>
      </c>
      <c r="O129" s="6">
        <f t="shared" si="23"/>
        <v>-982.80000000000007</v>
      </c>
      <c r="P129" s="6">
        <f t="shared" si="22"/>
        <v>0</v>
      </c>
      <c r="Q129" s="7">
        <f t="shared" si="18"/>
        <v>167980.29999999996</v>
      </c>
      <c r="R129" s="44" t="str">
        <f>VLOOKUP(F129,'Set up'!$A$2:$E$48,5,FALSE)</f>
        <v>Trsf</v>
      </c>
      <c r="S129" s="1" t="s">
        <v>189</v>
      </c>
    </row>
    <row r="130" spans="1:19" hidden="1" x14ac:dyDescent="0.3">
      <c r="A130" s="4">
        <v>44159</v>
      </c>
      <c r="B130" s="5">
        <f t="shared" ref="B130:B161" si="24">MONTH(A130)</f>
        <v>11</v>
      </c>
      <c r="C130" s="5">
        <f t="shared" ref="C130:C161" si="25">YEAR(A130)</f>
        <v>2020</v>
      </c>
      <c r="D130" s="5" t="s">
        <v>176</v>
      </c>
      <c r="E130" s="5" t="str">
        <f>VLOOKUP(F130,'Set up'!$A$2:$C$48,2,FALSE)</f>
        <v>C00000011</v>
      </c>
      <c r="F130" s="1" t="s">
        <v>174</v>
      </c>
      <c r="G130" s="2" t="s">
        <v>178</v>
      </c>
      <c r="H130" s="5">
        <v>1</v>
      </c>
      <c r="I130" s="5" t="str">
        <f>VLOOKUP(F130,'Set up'!$A$2:$C$48,3,FALSE)</f>
        <v>Cash</v>
      </c>
      <c r="J130" s="5">
        <f>VLOOKUP(F130,'Set up'!$A$2:$D$48,4,FALSE)</f>
        <v>0</v>
      </c>
      <c r="K130" s="4">
        <f t="shared" ref="K130:K193" si="26">A130+J130</f>
        <v>44159</v>
      </c>
      <c r="L130" s="5">
        <f t="shared" ref="L130:L193" si="27">MONTH(K130)</f>
        <v>11</v>
      </c>
      <c r="M130" s="5">
        <f t="shared" ref="M130:M193" si="28">YEAR(K130)</f>
        <v>2020</v>
      </c>
      <c r="N130" s="6">
        <v>100</v>
      </c>
      <c r="O130" s="6">
        <f t="shared" si="23"/>
        <v>-100</v>
      </c>
      <c r="P130" s="6">
        <f t="shared" ref="P130:P147" si="29">SUM(N130+O130)</f>
        <v>0</v>
      </c>
      <c r="Q130" s="7">
        <f t="shared" si="18"/>
        <v>168080.29999999996</v>
      </c>
      <c r="R130" s="44" t="str">
        <f>VLOOKUP(F130,'Set up'!$A$2:$E$48,5,FALSE)</f>
        <v>Trsf</v>
      </c>
      <c r="S130" s="1" t="s">
        <v>189</v>
      </c>
    </row>
    <row r="131" spans="1:19" hidden="1" x14ac:dyDescent="0.3">
      <c r="A131" s="4">
        <v>44159</v>
      </c>
      <c r="B131" s="5">
        <f t="shared" si="24"/>
        <v>11</v>
      </c>
      <c r="C131" s="5">
        <f t="shared" si="25"/>
        <v>2020</v>
      </c>
      <c r="D131" s="5" t="s">
        <v>180</v>
      </c>
      <c r="E131" s="5" t="str">
        <f>VLOOKUP(F131,'Set up'!$A$2:$C$48,2,FALSE)</f>
        <v>C00000003</v>
      </c>
      <c r="F131" s="1" t="s">
        <v>20</v>
      </c>
      <c r="G131" s="11" t="s">
        <v>67</v>
      </c>
      <c r="H131" s="5">
        <v>1</v>
      </c>
      <c r="I131" s="5">
        <f>VLOOKUP(F131,'Set up'!$A$2:$C$48,3,FALSE)</f>
        <v>45</v>
      </c>
      <c r="J131" s="5">
        <f>VLOOKUP(F131,'Set up'!$A$2:$D$48,4,FALSE)</f>
        <v>45</v>
      </c>
      <c r="K131" s="4">
        <f t="shared" si="26"/>
        <v>44204</v>
      </c>
      <c r="L131" s="5">
        <f t="shared" si="27"/>
        <v>1</v>
      </c>
      <c r="M131" s="5">
        <f t="shared" si="28"/>
        <v>2021</v>
      </c>
      <c r="N131" s="6">
        <v>1628</v>
      </c>
      <c r="O131" s="6">
        <f t="shared" si="23"/>
        <v>-1628</v>
      </c>
      <c r="P131" s="6">
        <f t="shared" si="29"/>
        <v>0</v>
      </c>
      <c r="Q131" s="7">
        <f t="shared" ref="Q131:Q194" si="30">SUM(Q130+N131)</f>
        <v>169708.29999999996</v>
      </c>
      <c r="R131" s="44" t="str">
        <f>VLOOKUP(F131,'Set up'!$A$2:$E$48,5,FALSE)</f>
        <v>PD Chq</v>
      </c>
      <c r="S131" s="13" t="s">
        <v>222</v>
      </c>
    </row>
    <row r="132" spans="1:19" hidden="1" x14ac:dyDescent="0.3">
      <c r="A132" s="4">
        <v>44159</v>
      </c>
      <c r="B132" s="5">
        <f t="shared" si="24"/>
        <v>11</v>
      </c>
      <c r="C132" s="5">
        <f t="shared" si="25"/>
        <v>2020</v>
      </c>
      <c r="D132" s="5" t="s">
        <v>180</v>
      </c>
      <c r="E132" s="5" t="str">
        <f>VLOOKUP(F132,'Set up'!$A$2:$C$48,2,FALSE)</f>
        <v>C00000003</v>
      </c>
      <c r="F132" s="1" t="s">
        <v>20</v>
      </c>
      <c r="G132" s="11" t="s">
        <v>54</v>
      </c>
      <c r="H132" s="5">
        <v>3</v>
      </c>
      <c r="I132" s="5">
        <f>VLOOKUP(F132,'Set up'!$A$2:$C$48,3,FALSE)</f>
        <v>45</v>
      </c>
      <c r="J132" s="5">
        <f>VLOOKUP(F132,'Set up'!$A$2:$D$48,4,FALSE)</f>
        <v>45</v>
      </c>
      <c r="K132" s="4">
        <f t="shared" si="26"/>
        <v>44204</v>
      </c>
      <c r="L132" s="5">
        <f t="shared" si="27"/>
        <v>1</v>
      </c>
      <c r="M132" s="5">
        <f t="shared" si="28"/>
        <v>2021</v>
      </c>
      <c r="N132" s="6">
        <v>150</v>
      </c>
      <c r="O132" s="6">
        <f t="shared" si="23"/>
        <v>-150</v>
      </c>
      <c r="P132" s="6">
        <f t="shared" si="29"/>
        <v>0</v>
      </c>
      <c r="Q132" s="7">
        <f t="shared" si="30"/>
        <v>169858.29999999996</v>
      </c>
      <c r="R132" s="44" t="str">
        <f>VLOOKUP(F132,'Set up'!$A$2:$E$48,5,FALSE)</f>
        <v>PD Chq</v>
      </c>
      <c r="S132" s="13" t="s">
        <v>222</v>
      </c>
    </row>
    <row r="133" spans="1:19" hidden="1" x14ac:dyDescent="0.3">
      <c r="A133" s="4">
        <v>44159</v>
      </c>
      <c r="B133" s="5">
        <f t="shared" si="24"/>
        <v>11</v>
      </c>
      <c r="C133" s="5">
        <f t="shared" si="25"/>
        <v>2020</v>
      </c>
      <c r="D133" s="5" t="s">
        <v>180</v>
      </c>
      <c r="E133" s="5" t="str">
        <f>VLOOKUP(F133,'Set up'!$A$2:$C$48,2,FALSE)</f>
        <v>C00000003</v>
      </c>
      <c r="F133" s="1" t="s">
        <v>20</v>
      </c>
      <c r="G133" s="11" t="s">
        <v>46</v>
      </c>
      <c r="H133" s="5">
        <v>2</v>
      </c>
      <c r="I133" s="5">
        <f>VLOOKUP(F133,'Set up'!$A$2:$C$48,3,FALSE)</f>
        <v>45</v>
      </c>
      <c r="J133" s="5">
        <f>VLOOKUP(F133,'Set up'!$A$2:$D$48,4,FALSE)</f>
        <v>45</v>
      </c>
      <c r="K133" s="4">
        <f t="shared" si="26"/>
        <v>44204</v>
      </c>
      <c r="L133" s="5">
        <f t="shared" si="27"/>
        <v>1</v>
      </c>
      <c r="M133" s="5">
        <f t="shared" si="28"/>
        <v>2021</v>
      </c>
      <c r="N133" s="6">
        <v>185</v>
      </c>
      <c r="O133" s="6">
        <f t="shared" si="23"/>
        <v>-185</v>
      </c>
      <c r="P133" s="6">
        <f t="shared" si="29"/>
        <v>0</v>
      </c>
      <c r="Q133" s="7">
        <f t="shared" si="30"/>
        <v>170043.29999999996</v>
      </c>
      <c r="R133" s="44" t="str">
        <f>VLOOKUP(F133,'Set up'!$A$2:$E$48,5,FALSE)</f>
        <v>PD Chq</v>
      </c>
      <c r="S133" s="13" t="s">
        <v>222</v>
      </c>
    </row>
    <row r="134" spans="1:19" hidden="1" x14ac:dyDescent="0.3">
      <c r="A134" s="4">
        <v>44159</v>
      </c>
      <c r="B134" s="5">
        <f t="shared" si="24"/>
        <v>11</v>
      </c>
      <c r="C134" s="5">
        <f t="shared" si="25"/>
        <v>2020</v>
      </c>
      <c r="D134" s="5" t="s">
        <v>180</v>
      </c>
      <c r="E134" s="5" t="str">
        <f>VLOOKUP(F134,'Set up'!$A$2:$C$48,2,FALSE)</f>
        <v>C00000003</v>
      </c>
      <c r="F134" s="1" t="s">
        <v>20</v>
      </c>
      <c r="G134" s="11" t="s">
        <v>179</v>
      </c>
      <c r="H134" s="5">
        <v>1</v>
      </c>
      <c r="I134" s="5">
        <f>VLOOKUP(F134,'Set up'!$A$2:$C$48,3,FALSE)</f>
        <v>45</v>
      </c>
      <c r="J134" s="5">
        <f>VLOOKUP(F134,'Set up'!$A$2:$D$48,4,FALSE)</f>
        <v>45</v>
      </c>
      <c r="K134" s="4">
        <f t="shared" si="26"/>
        <v>44204</v>
      </c>
      <c r="L134" s="5">
        <f t="shared" si="27"/>
        <v>1</v>
      </c>
      <c r="M134" s="5">
        <f t="shared" si="28"/>
        <v>2021</v>
      </c>
      <c r="N134" s="6">
        <v>45</v>
      </c>
      <c r="O134" s="6">
        <f t="shared" si="23"/>
        <v>-45</v>
      </c>
      <c r="P134" s="6">
        <f t="shared" si="29"/>
        <v>0</v>
      </c>
      <c r="Q134" s="7">
        <f t="shared" si="30"/>
        <v>170088.29999999996</v>
      </c>
      <c r="R134" s="44" t="str">
        <f>VLOOKUP(F134,'Set up'!$A$2:$E$48,5,FALSE)</f>
        <v>PD Chq</v>
      </c>
      <c r="S134" s="13" t="s">
        <v>222</v>
      </c>
    </row>
    <row r="135" spans="1:19" hidden="1" x14ac:dyDescent="0.3">
      <c r="A135" s="4">
        <v>44162</v>
      </c>
      <c r="B135" s="5">
        <f t="shared" si="24"/>
        <v>11</v>
      </c>
      <c r="C135" s="5">
        <f t="shared" si="25"/>
        <v>2020</v>
      </c>
      <c r="D135" s="5" t="s">
        <v>182</v>
      </c>
      <c r="E135" s="5" t="str">
        <f>VLOOKUP(F135,'Set up'!$A$2:$C$48,2,FALSE)</f>
        <v>C00000001</v>
      </c>
      <c r="F135" s="1" t="s">
        <v>7</v>
      </c>
      <c r="G135" s="2" t="s">
        <v>95</v>
      </c>
      <c r="H135" s="5">
        <v>1</v>
      </c>
      <c r="I135" s="5" t="str">
        <f>VLOOKUP(F135,'Set up'!$A$2:$C$48,3,FALSE)</f>
        <v>Cash</v>
      </c>
      <c r="J135" s="5">
        <f>VLOOKUP(F135,'Set up'!$A$2:$D$48,4,FALSE)</f>
        <v>0</v>
      </c>
      <c r="K135" s="4">
        <f t="shared" si="26"/>
        <v>44162</v>
      </c>
      <c r="L135" s="5">
        <f t="shared" si="27"/>
        <v>11</v>
      </c>
      <c r="M135" s="5">
        <f t="shared" si="28"/>
        <v>2020</v>
      </c>
      <c r="N135" s="24">
        <v>1584</v>
      </c>
      <c r="O135" s="6">
        <f t="shared" si="23"/>
        <v>-1584</v>
      </c>
      <c r="P135" s="6">
        <f t="shared" si="29"/>
        <v>0</v>
      </c>
      <c r="Q135" s="7">
        <f t="shared" si="30"/>
        <v>171672.29999999996</v>
      </c>
      <c r="R135" s="44" t="str">
        <f>VLOOKUP(F135,'Set up'!$A$2:$E$48,5,FALSE)</f>
        <v>Trsf</v>
      </c>
      <c r="S135" s="1" t="s">
        <v>215</v>
      </c>
    </row>
    <row r="136" spans="1:19" hidden="1" x14ac:dyDescent="0.3">
      <c r="A136" s="4">
        <v>44162</v>
      </c>
      <c r="B136" s="5">
        <f t="shared" si="24"/>
        <v>11</v>
      </c>
      <c r="C136" s="5">
        <f t="shared" si="25"/>
        <v>2020</v>
      </c>
      <c r="D136" s="5" t="s">
        <v>182</v>
      </c>
      <c r="E136" s="5" t="str">
        <f>VLOOKUP(F136,'Set up'!$A$2:$C$48,2,FALSE)</f>
        <v>C00000001</v>
      </c>
      <c r="F136" s="1" t="s">
        <v>7</v>
      </c>
      <c r="G136" s="11" t="s">
        <v>181</v>
      </c>
      <c r="H136" s="5">
        <v>4</v>
      </c>
      <c r="I136" s="5" t="str">
        <f>VLOOKUP(F136,'Set up'!$A$2:$C$48,3,FALSE)</f>
        <v>Cash</v>
      </c>
      <c r="J136" s="5">
        <f>VLOOKUP(F136,'Set up'!$A$2:$D$48,4,FALSE)</f>
        <v>0</v>
      </c>
      <c r="K136" s="4">
        <f t="shared" si="26"/>
        <v>44162</v>
      </c>
      <c r="L136" s="5">
        <f t="shared" si="27"/>
        <v>11</v>
      </c>
      <c r="M136" s="5">
        <f t="shared" si="28"/>
        <v>2020</v>
      </c>
      <c r="N136" s="46">
        <v>840</v>
      </c>
      <c r="O136" s="6">
        <f t="shared" si="23"/>
        <v>-840</v>
      </c>
      <c r="P136" s="6">
        <f t="shared" si="29"/>
        <v>0</v>
      </c>
      <c r="Q136" s="7">
        <f t="shared" si="30"/>
        <v>172512.29999999996</v>
      </c>
      <c r="R136" s="44" t="str">
        <f>VLOOKUP(F136,'Set up'!$A$2:$E$48,5,FALSE)</f>
        <v>Trsf</v>
      </c>
      <c r="S136" s="1" t="s">
        <v>215</v>
      </c>
    </row>
    <row r="137" spans="1:19" hidden="1" x14ac:dyDescent="0.3">
      <c r="A137" s="4">
        <v>44163</v>
      </c>
      <c r="B137" s="5">
        <f t="shared" si="24"/>
        <v>11</v>
      </c>
      <c r="C137" s="5">
        <f t="shared" si="25"/>
        <v>2020</v>
      </c>
      <c r="D137" s="5" t="s">
        <v>183</v>
      </c>
      <c r="E137" s="5" t="str">
        <f>VLOOKUP(F137,'Set up'!$A$2:$C$48,2,FALSE)</f>
        <v>C00000009</v>
      </c>
      <c r="F137" s="1" t="s">
        <v>58</v>
      </c>
      <c r="G137" s="11" t="s">
        <v>44</v>
      </c>
      <c r="H137" s="5">
        <v>2</v>
      </c>
      <c r="I137" s="5">
        <f>VLOOKUP(F137,'Set up'!$A$2:$C$48,3,FALSE)</f>
        <v>60</v>
      </c>
      <c r="J137" s="5">
        <f>VLOOKUP(F137,'Set up'!$A$2:$D$48,4,FALSE)</f>
        <v>60</v>
      </c>
      <c r="K137" s="4">
        <f t="shared" si="26"/>
        <v>44223</v>
      </c>
      <c r="L137" s="5">
        <f t="shared" si="27"/>
        <v>1</v>
      </c>
      <c r="M137" s="5">
        <f t="shared" si="28"/>
        <v>2021</v>
      </c>
      <c r="N137" s="6">
        <v>408</v>
      </c>
      <c r="O137" s="6">
        <f t="shared" si="23"/>
        <v>-408</v>
      </c>
      <c r="P137" s="6">
        <f t="shared" si="29"/>
        <v>0</v>
      </c>
      <c r="Q137" s="7">
        <f t="shared" si="30"/>
        <v>172920.29999999996</v>
      </c>
      <c r="R137" s="44" t="str">
        <f>VLOOKUP(F137,'Set up'!$A$2:$E$48,5,FALSE)</f>
        <v>Chq</v>
      </c>
      <c r="S137" s="9" t="s">
        <v>265</v>
      </c>
    </row>
    <row r="138" spans="1:19" hidden="1" x14ac:dyDescent="0.3">
      <c r="A138" s="4">
        <v>44165</v>
      </c>
      <c r="B138" s="5">
        <f t="shared" si="24"/>
        <v>11</v>
      </c>
      <c r="C138" s="5">
        <f t="shared" si="25"/>
        <v>2020</v>
      </c>
      <c r="D138" s="5" t="s">
        <v>184</v>
      </c>
      <c r="E138" s="5" t="str">
        <f>VLOOKUP(F138,'Set up'!$A$2:$C$48,2,FALSE)</f>
        <v>C00000008</v>
      </c>
      <c r="F138" s="1" t="s">
        <v>52</v>
      </c>
      <c r="G138" s="11" t="s">
        <v>44</v>
      </c>
      <c r="H138" s="5">
        <v>5</v>
      </c>
      <c r="I138" s="5" t="str">
        <f>VLOOKUP(F138,'Set up'!$A$2:$C$48,3,FALSE)</f>
        <v>Cash</v>
      </c>
      <c r="J138" s="5">
        <f>VLOOKUP(F138,'Set up'!$A$2:$D$48,4,FALSE)</f>
        <v>0</v>
      </c>
      <c r="K138" s="4">
        <f t="shared" si="26"/>
        <v>44165</v>
      </c>
      <c r="L138" s="5">
        <f t="shared" si="27"/>
        <v>11</v>
      </c>
      <c r="M138" s="5">
        <f t="shared" si="28"/>
        <v>2020</v>
      </c>
      <c r="N138" s="6">
        <v>1050</v>
      </c>
      <c r="O138" s="6">
        <f t="shared" si="23"/>
        <v>-1050</v>
      </c>
      <c r="P138" s="6">
        <f t="shared" si="29"/>
        <v>0</v>
      </c>
      <c r="Q138" s="7">
        <f t="shared" si="30"/>
        <v>173970.29999999996</v>
      </c>
      <c r="R138" s="44" t="str">
        <f>VLOOKUP(F138,'Set up'!$A$2:$E$48,5,FALSE)</f>
        <v>Trsf</v>
      </c>
    </row>
    <row r="139" spans="1:19" hidden="1" x14ac:dyDescent="0.3">
      <c r="A139" s="4">
        <v>44165</v>
      </c>
      <c r="B139" s="5">
        <f t="shared" si="24"/>
        <v>11</v>
      </c>
      <c r="C139" s="5">
        <f t="shared" si="25"/>
        <v>2020</v>
      </c>
      <c r="D139" s="5" t="s">
        <v>185</v>
      </c>
      <c r="E139" s="5" t="str">
        <f>VLOOKUP(F139,'Set up'!$A$2:$C$48,2,FALSE)</f>
        <v>C00000010</v>
      </c>
      <c r="F139" s="1" t="s">
        <v>62</v>
      </c>
      <c r="G139" s="2" t="s">
        <v>95</v>
      </c>
      <c r="H139" s="5">
        <v>5</v>
      </c>
      <c r="I139" s="5">
        <f>VLOOKUP(F139,'Set up'!$A$2:$C$48,3,FALSE)</f>
        <v>120</v>
      </c>
      <c r="J139" s="5">
        <f>VLOOKUP(F139,'Set up'!$A$2:$D$48,4,FALSE)</f>
        <v>120</v>
      </c>
      <c r="K139" s="4">
        <f t="shared" si="26"/>
        <v>44285</v>
      </c>
      <c r="L139" s="5">
        <f t="shared" si="27"/>
        <v>3</v>
      </c>
      <c r="M139" s="5">
        <f t="shared" si="28"/>
        <v>2021</v>
      </c>
      <c r="N139" s="6">
        <v>6600</v>
      </c>
      <c r="O139" s="6">
        <f t="shared" si="23"/>
        <v>-6600</v>
      </c>
      <c r="P139" s="6">
        <f t="shared" si="29"/>
        <v>0</v>
      </c>
      <c r="Q139" s="7">
        <f t="shared" si="30"/>
        <v>180570.29999999996</v>
      </c>
      <c r="R139" s="44" t="str">
        <f>VLOOKUP(F139,'Set up'!$A$2:$E$48,5,FALSE)</f>
        <v>Trsf</v>
      </c>
      <c r="S139" s="13" t="s">
        <v>188</v>
      </c>
    </row>
    <row r="140" spans="1:19" hidden="1" x14ac:dyDescent="0.3">
      <c r="A140" s="4">
        <v>44165</v>
      </c>
      <c r="B140" s="5">
        <f t="shared" si="24"/>
        <v>11</v>
      </c>
      <c r="C140" s="5">
        <f t="shared" si="25"/>
        <v>2020</v>
      </c>
      <c r="D140" s="5" t="s">
        <v>185</v>
      </c>
      <c r="E140" s="5" t="str">
        <f>VLOOKUP(F140,'Set up'!$A$2:$C$48,2,FALSE)</f>
        <v>C00000010</v>
      </c>
      <c r="F140" s="1" t="s">
        <v>62</v>
      </c>
      <c r="G140" s="11" t="s">
        <v>181</v>
      </c>
      <c r="H140" s="5">
        <v>4</v>
      </c>
      <c r="I140" s="5">
        <f>VLOOKUP(F140,'Set up'!$A$2:$C$48,3,FALSE)</f>
        <v>120</v>
      </c>
      <c r="J140" s="5">
        <f>VLOOKUP(F140,'Set up'!$A$2:$D$48,4,FALSE)</f>
        <v>120</v>
      </c>
      <c r="K140" s="4">
        <f t="shared" si="26"/>
        <v>44285</v>
      </c>
      <c r="L140" s="5">
        <f t="shared" si="27"/>
        <v>3</v>
      </c>
      <c r="M140" s="5">
        <f t="shared" si="28"/>
        <v>2021</v>
      </c>
      <c r="N140" s="6">
        <v>720</v>
      </c>
      <c r="O140" s="6">
        <f t="shared" si="23"/>
        <v>-720</v>
      </c>
      <c r="P140" s="6">
        <f t="shared" si="29"/>
        <v>0</v>
      </c>
      <c r="Q140" s="7">
        <f t="shared" si="30"/>
        <v>181290.29999999996</v>
      </c>
      <c r="R140" s="44" t="str">
        <f>VLOOKUP(F140,'Set up'!$A$2:$E$48,5,FALSE)</f>
        <v>Trsf</v>
      </c>
      <c r="S140" s="13" t="s">
        <v>188</v>
      </c>
    </row>
    <row r="141" spans="1:19" hidden="1" x14ac:dyDescent="0.3">
      <c r="A141" s="4">
        <v>44165</v>
      </c>
      <c r="B141" s="5">
        <f t="shared" si="24"/>
        <v>11</v>
      </c>
      <c r="C141" s="5">
        <f t="shared" si="25"/>
        <v>2020</v>
      </c>
      <c r="D141" s="5" t="s">
        <v>185</v>
      </c>
      <c r="E141" s="5" t="str">
        <f>VLOOKUP(F141,'Set up'!$A$2:$C$48,2,FALSE)</f>
        <v>C00000010</v>
      </c>
      <c r="F141" s="1" t="s">
        <v>62</v>
      </c>
      <c r="G141" s="11" t="s">
        <v>64</v>
      </c>
      <c r="H141" s="5">
        <v>5</v>
      </c>
      <c r="I141" s="5">
        <f>VLOOKUP(F141,'Set up'!$A$2:$C$48,3,FALSE)</f>
        <v>120</v>
      </c>
      <c r="J141" s="5">
        <f>VLOOKUP(F141,'Set up'!$A$2:$D$48,4,FALSE)</f>
        <v>120</v>
      </c>
      <c r="K141" s="4">
        <f t="shared" si="26"/>
        <v>44285</v>
      </c>
      <c r="L141" s="5">
        <f t="shared" si="27"/>
        <v>3</v>
      </c>
      <c r="M141" s="5">
        <f t="shared" si="28"/>
        <v>2021</v>
      </c>
      <c r="N141" s="6">
        <v>275</v>
      </c>
      <c r="O141" s="6">
        <f t="shared" si="23"/>
        <v>-275</v>
      </c>
      <c r="P141" s="6">
        <f t="shared" si="29"/>
        <v>0</v>
      </c>
      <c r="Q141" s="7">
        <f t="shared" si="30"/>
        <v>181565.29999999996</v>
      </c>
      <c r="R141" s="44" t="str">
        <f>VLOOKUP(F141,'Set up'!$A$2:$E$48,5,FALSE)</f>
        <v>Trsf</v>
      </c>
      <c r="S141" s="13" t="s">
        <v>188</v>
      </c>
    </row>
    <row r="142" spans="1:19" hidden="1" x14ac:dyDescent="0.3">
      <c r="A142" s="4">
        <v>44165</v>
      </c>
      <c r="B142" s="5">
        <f t="shared" si="24"/>
        <v>11</v>
      </c>
      <c r="C142" s="5">
        <f t="shared" si="25"/>
        <v>2020</v>
      </c>
      <c r="D142" s="5" t="s">
        <v>185</v>
      </c>
      <c r="E142" s="5" t="str">
        <f>VLOOKUP(F142,'Set up'!$A$2:$C$48,2,FALSE)</f>
        <v>C00000010</v>
      </c>
      <c r="F142" s="1" t="s">
        <v>62</v>
      </c>
      <c r="G142" s="11" t="s">
        <v>46</v>
      </c>
      <c r="H142" s="5">
        <v>2</v>
      </c>
      <c r="I142" s="5">
        <f>VLOOKUP(F142,'Set up'!$A$2:$C$48,3,FALSE)</f>
        <v>120</v>
      </c>
      <c r="J142" s="5">
        <f>VLOOKUP(F142,'Set up'!$A$2:$D$48,4,FALSE)</f>
        <v>120</v>
      </c>
      <c r="K142" s="4">
        <f t="shared" si="26"/>
        <v>44285</v>
      </c>
      <c r="L142" s="5">
        <f t="shared" si="27"/>
        <v>3</v>
      </c>
      <c r="M142" s="5">
        <f t="shared" si="28"/>
        <v>2021</v>
      </c>
      <c r="N142" s="6">
        <v>180</v>
      </c>
      <c r="O142" s="6">
        <f t="shared" si="23"/>
        <v>-180</v>
      </c>
      <c r="P142" s="6">
        <f t="shared" si="29"/>
        <v>0</v>
      </c>
      <c r="Q142" s="7">
        <f t="shared" si="30"/>
        <v>181745.29999999996</v>
      </c>
      <c r="R142" s="44" t="str">
        <f>VLOOKUP(F142,'Set up'!$A$2:$E$48,5,FALSE)</f>
        <v>Trsf</v>
      </c>
      <c r="S142" s="13" t="s">
        <v>188</v>
      </c>
    </row>
    <row r="143" spans="1:19" hidden="1" x14ac:dyDescent="0.3">
      <c r="A143" s="4">
        <v>44165</v>
      </c>
      <c r="B143" s="5">
        <f t="shared" si="24"/>
        <v>11</v>
      </c>
      <c r="C143" s="5">
        <f t="shared" si="25"/>
        <v>2020</v>
      </c>
      <c r="D143" s="5" t="s">
        <v>201</v>
      </c>
      <c r="E143" s="5" t="str">
        <f>VLOOKUP(F143,'Set up'!$A$2:$C$48,2,FALSE)</f>
        <v>C00000010</v>
      </c>
      <c r="F143" s="1" t="s">
        <v>62</v>
      </c>
      <c r="G143" s="11" t="s">
        <v>64</v>
      </c>
      <c r="H143" s="5">
        <v>5</v>
      </c>
      <c r="I143" s="5">
        <f>VLOOKUP(F143,'Set up'!$A$2:$C$48,3,FALSE)</f>
        <v>120</v>
      </c>
      <c r="J143" s="5">
        <f>VLOOKUP(F143,'Set up'!$A$2:$D$48,4,FALSE)</f>
        <v>120</v>
      </c>
      <c r="K143" s="4">
        <f t="shared" si="26"/>
        <v>44285</v>
      </c>
      <c r="L143" s="5">
        <f t="shared" si="27"/>
        <v>3</v>
      </c>
      <c r="M143" s="5">
        <f t="shared" si="28"/>
        <v>2021</v>
      </c>
      <c r="N143" s="6">
        <v>275</v>
      </c>
      <c r="O143" s="6">
        <f t="shared" si="23"/>
        <v>-275</v>
      </c>
      <c r="P143" s="6">
        <f t="shared" si="29"/>
        <v>0</v>
      </c>
      <c r="Q143" s="7">
        <f t="shared" si="30"/>
        <v>182020.29999999996</v>
      </c>
      <c r="R143" s="44" t="str">
        <f>VLOOKUP(F143,'Set up'!$A$2:$E$48,5,FALSE)</f>
        <v>Trsf</v>
      </c>
      <c r="S143" s="13" t="s">
        <v>188</v>
      </c>
    </row>
    <row r="144" spans="1:19" hidden="1" x14ac:dyDescent="0.3">
      <c r="A144" s="4">
        <v>44170</v>
      </c>
      <c r="B144" s="5">
        <f t="shared" si="24"/>
        <v>12</v>
      </c>
      <c r="C144" s="5">
        <f t="shared" si="25"/>
        <v>2020</v>
      </c>
      <c r="D144" s="5" t="s">
        <v>210</v>
      </c>
      <c r="E144" s="5" t="e">
        <f>VLOOKUP(F144,'Set up'!$A$2:$C$48,2,FALSE)</f>
        <v>#N/A</v>
      </c>
      <c r="F144" s="1" t="s">
        <v>224</v>
      </c>
      <c r="G144" s="2" t="s">
        <v>96</v>
      </c>
      <c r="H144" s="5">
        <v>2</v>
      </c>
      <c r="I144" s="5" t="e">
        <f>VLOOKUP(F144,'Set up'!$A$2:$C$48,3,FALSE)</f>
        <v>#N/A</v>
      </c>
      <c r="J144" s="5" t="e">
        <f>VLOOKUP(F144,'Set up'!$A$2:$D$48,4,FALSE)</f>
        <v>#N/A</v>
      </c>
      <c r="K144" s="4" t="e">
        <f t="shared" si="26"/>
        <v>#N/A</v>
      </c>
      <c r="L144" s="5" t="e">
        <f t="shared" si="27"/>
        <v>#N/A</v>
      </c>
      <c r="M144" s="5" t="e">
        <f t="shared" si="28"/>
        <v>#N/A</v>
      </c>
      <c r="N144" s="6">
        <v>799.2</v>
      </c>
      <c r="O144" s="6">
        <f t="shared" si="23"/>
        <v>-799.2</v>
      </c>
      <c r="P144" s="6">
        <f t="shared" si="29"/>
        <v>0</v>
      </c>
      <c r="Q144" s="7">
        <f t="shared" si="30"/>
        <v>182819.49999999997</v>
      </c>
      <c r="R144" s="44" t="e">
        <f>VLOOKUP(F144,'Set up'!$A$2:$E$48,5,FALSE)</f>
        <v>#N/A</v>
      </c>
      <c r="S144" s="13" t="s">
        <v>215</v>
      </c>
    </row>
    <row r="145" spans="1:19" hidden="1" x14ac:dyDescent="0.3">
      <c r="A145" s="4">
        <v>44180</v>
      </c>
      <c r="B145" s="5">
        <f t="shared" si="24"/>
        <v>12</v>
      </c>
      <c r="C145" s="5">
        <f t="shared" si="25"/>
        <v>2020</v>
      </c>
      <c r="D145" s="5" t="s">
        <v>211</v>
      </c>
      <c r="E145" s="5" t="str">
        <f>VLOOKUP(F145,'Set up'!$A$2:$C$48,2,FALSE)</f>
        <v>C00000001</v>
      </c>
      <c r="F145" s="1" t="s">
        <v>7</v>
      </c>
      <c r="G145" s="11" t="s">
        <v>67</v>
      </c>
      <c r="H145" s="5">
        <v>1</v>
      </c>
      <c r="I145" s="5" t="str">
        <f>VLOOKUP(F145,'Set up'!$A$2:$C$48,3,FALSE)</f>
        <v>Cash</v>
      </c>
      <c r="J145" s="5">
        <f>VLOOKUP(F145,'Set up'!$A$2:$D$48,4,FALSE)</f>
        <v>0</v>
      </c>
      <c r="K145" s="4">
        <f t="shared" si="26"/>
        <v>44180</v>
      </c>
      <c r="L145" s="5">
        <f t="shared" si="27"/>
        <v>12</v>
      </c>
      <c r="M145" s="5">
        <f t="shared" si="28"/>
        <v>2020</v>
      </c>
      <c r="N145" s="24">
        <v>1716</v>
      </c>
      <c r="O145" s="6">
        <f t="shared" si="23"/>
        <v>-1716</v>
      </c>
      <c r="P145" s="6">
        <f t="shared" si="29"/>
        <v>0</v>
      </c>
      <c r="Q145" s="7">
        <f t="shared" si="30"/>
        <v>184535.49999999997</v>
      </c>
      <c r="R145" s="44" t="str">
        <f>VLOOKUP(F145,'Set up'!$A$2:$E$48,5,FALSE)</f>
        <v>Trsf</v>
      </c>
      <c r="S145" s="1" t="s">
        <v>216</v>
      </c>
    </row>
    <row r="146" spans="1:19" hidden="1" x14ac:dyDescent="0.3">
      <c r="A146" s="4">
        <v>44180</v>
      </c>
      <c r="B146" s="5">
        <f t="shared" si="24"/>
        <v>12</v>
      </c>
      <c r="C146" s="5">
        <f t="shared" si="25"/>
        <v>2020</v>
      </c>
      <c r="D146" s="5" t="s">
        <v>211</v>
      </c>
      <c r="E146" s="5" t="str">
        <f>VLOOKUP(F146,'Set up'!$A$2:$C$48,2,FALSE)</f>
        <v>C00000001</v>
      </c>
      <c r="F146" s="1" t="s">
        <v>7</v>
      </c>
      <c r="G146" s="11" t="s">
        <v>39</v>
      </c>
      <c r="H146" s="5">
        <v>2</v>
      </c>
      <c r="I146" s="5" t="str">
        <f>VLOOKUP(F146,'Set up'!$A$2:$C$48,3,FALSE)</f>
        <v>Cash</v>
      </c>
      <c r="J146" s="5">
        <f>VLOOKUP(F146,'Set up'!$A$2:$D$48,4,FALSE)</f>
        <v>0</v>
      </c>
      <c r="K146" s="4">
        <f t="shared" si="26"/>
        <v>44180</v>
      </c>
      <c r="L146" s="5">
        <f t="shared" si="27"/>
        <v>12</v>
      </c>
      <c r="M146" s="5">
        <f t="shared" si="28"/>
        <v>2020</v>
      </c>
      <c r="N146" s="24">
        <v>512</v>
      </c>
      <c r="O146" s="6">
        <f t="shared" si="23"/>
        <v>-512</v>
      </c>
      <c r="P146" s="6">
        <f t="shared" si="29"/>
        <v>0</v>
      </c>
      <c r="Q146" s="7">
        <f t="shared" si="30"/>
        <v>185047.49999999997</v>
      </c>
      <c r="R146" s="44" t="str">
        <f>VLOOKUP(F146,'Set up'!$A$2:$E$48,5,FALSE)</f>
        <v>Trsf</v>
      </c>
      <c r="S146" s="1" t="s">
        <v>216</v>
      </c>
    </row>
    <row r="147" spans="1:19" hidden="1" x14ac:dyDescent="0.3">
      <c r="A147" s="4">
        <v>44191</v>
      </c>
      <c r="B147" s="5">
        <f t="shared" si="24"/>
        <v>12</v>
      </c>
      <c r="C147" s="5">
        <f t="shared" si="25"/>
        <v>2020</v>
      </c>
      <c r="D147" s="5" t="s">
        <v>212</v>
      </c>
      <c r="E147" s="5" t="str">
        <f>VLOOKUP(F147,'Set up'!$A$2:$C$48,2,FALSE)</f>
        <v>C00000004</v>
      </c>
      <c r="F147" s="1" t="s">
        <v>23</v>
      </c>
      <c r="G147" s="11" t="s">
        <v>57</v>
      </c>
      <c r="H147" s="5">
        <v>2</v>
      </c>
      <c r="I147" s="5">
        <f>VLOOKUP(F147,'Set up'!$A$2:$C$48,3,FALSE)</f>
        <v>120</v>
      </c>
      <c r="J147" s="5">
        <f>VLOOKUP(F147,'Set up'!$A$2:$D$48,4,FALSE)</f>
        <v>120</v>
      </c>
      <c r="K147" s="4">
        <f t="shared" si="26"/>
        <v>44311</v>
      </c>
      <c r="L147" s="5">
        <f t="shared" si="27"/>
        <v>4</v>
      </c>
      <c r="M147" s="5">
        <f t="shared" si="28"/>
        <v>2021</v>
      </c>
      <c r="N147" s="24">
        <v>2860</v>
      </c>
      <c r="O147" s="6">
        <f t="shared" si="23"/>
        <v>-2860</v>
      </c>
      <c r="P147" s="6">
        <f t="shared" si="29"/>
        <v>0</v>
      </c>
      <c r="Q147" s="7">
        <f t="shared" si="30"/>
        <v>187907.49999999997</v>
      </c>
      <c r="R147" s="44" t="str">
        <f>VLOOKUP(F147,'Set up'!$A$2:$E$48,5,FALSE)</f>
        <v>Chq</v>
      </c>
      <c r="S147" s="1" t="s">
        <v>303</v>
      </c>
    </row>
    <row r="148" spans="1:19" ht="46.8" hidden="1" x14ac:dyDescent="0.3">
      <c r="A148" s="4">
        <v>44195</v>
      </c>
      <c r="B148" s="5">
        <f t="shared" si="24"/>
        <v>12</v>
      </c>
      <c r="C148" s="5">
        <f t="shared" si="25"/>
        <v>2020</v>
      </c>
      <c r="D148" s="5" t="s">
        <v>217</v>
      </c>
      <c r="E148" s="5" t="str">
        <f>VLOOKUP(F148,'Set up'!$A$2:$C$48,2,FALSE)</f>
        <v>C00000003</v>
      </c>
      <c r="F148" s="1" t="s">
        <v>20</v>
      </c>
      <c r="G148" s="11" t="s">
        <v>67</v>
      </c>
      <c r="H148" s="5">
        <v>3</v>
      </c>
      <c r="I148" s="5">
        <f>VLOOKUP(F148,'Set up'!$A$2:$C$48,3,FALSE)</f>
        <v>45</v>
      </c>
      <c r="J148" s="5">
        <f>VLOOKUP(F148,'Set up'!$A$2:$D$48,4,FALSE)</f>
        <v>45</v>
      </c>
      <c r="K148" s="4">
        <f t="shared" si="26"/>
        <v>44240</v>
      </c>
      <c r="L148" s="5">
        <f t="shared" si="27"/>
        <v>2</v>
      </c>
      <c r="M148" s="5">
        <f t="shared" si="28"/>
        <v>2021</v>
      </c>
      <c r="N148" s="24">
        <v>5148</v>
      </c>
      <c r="O148" s="6">
        <f t="shared" si="23"/>
        <v>-5148</v>
      </c>
      <c r="P148" s="48"/>
      <c r="Q148" s="7">
        <f t="shared" si="30"/>
        <v>193055.49999999997</v>
      </c>
      <c r="R148" s="44" t="str">
        <f>VLOOKUP(F148,'Set up'!$A$2:$E$48,5,FALSE)</f>
        <v>PD Chq</v>
      </c>
      <c r="S148" s="40" t="s">
        <v>221</v>
      </c>
    </row>
    <row r="149" spans="1:19" ht="46.8" hidden="1" x14ac:dyDescent="0.3">
      <c r="A149" s="4">
        <v>44195</v>
      </c>
      <c r="B149" s="5">
        <f t="shared" si="24"/>
        <v>12</v>
      </c>
      <c r="C149" s="5">
        <f t="shared" si="25"/>
        <v>2020</v>
      </c>
      <c r="D149" s="5" t="s">
        <v>217</v>
      </c>
      <c r="E149" s="5" t="str">
        <f>VLOOKUP(F149,'Set up'!$A$2:$C$48,2,FALSE)</f>
        <v>C00000003</v>
      </c>
      <c r="F149" s="1" t="s">
        <v>20</v>
      </c>
      <c r="G149" s="11" t="s">
        <v>96</v>
      </c>
      <c r="H149" s="5">
        <v>1</v>
      </c>
      <c r="I149" s="5">
        <f>VLOOKUP(F149,'Set up'!$A$2:$C$48,3,FALSE)</f>
        <v>45</v>
      </c>
      <c r="J149" s="5">
        <f>VLOOKUP(F149,'Set up'!$A$2:$D$48,4,FALSE)</f>
        <v>45</v>
      </c>
      <c r="K149" s="4">
        <f t="shared" si="26"/>
        <v>44240</v>
      </c>
      <c r="L149" s="5">
        <f t="shared" si="27"/>
        <v>2</v>
      </c>
      <c r="M149" s="5">
        <f t="shared" si="28"/>
        <v>2021</v>
      </c>
      <c r="N149" s="24">
        <v>405</v>
      </c>
      <c r="O149" s="6">
        <f t="shared" si="23"/>
        <v>-405</v>
      </c>
      <c r="P149" s="6">
        <f t="shared" ref="P149:P212" si="31">SUM(N149+O149)</f>
        <v>0</v>
      </c>
      <c r="Q149" s="7">
        <f t="shared" si="30"/>
        <v>193460.49999999997</v>
      </c>
      <c r="R149" s="44" t="str">
        <f>VLOOKUP(F149,'Set up'!$A$2:$E$48,5,FALSE)</f>
        <v>PD Chq</v>
      </c>
      <c r="S149" s="40" t="s">
        <v>221</v>
      </c>
    </row>
    <row r="150" spans="1:19" ht="46.8" hidden="1" x14ac:dyDescent="0.3">
      <c r="A150" s="4">
        <v>44195</v>
      </c>
      <c r="B150" s="5">
        <f t="shared" si="24"/>
        <v>12</v>
      </c>
      <c r="C150" s="5">
        <f t="shared" si="25"/>
        <v>2020</v>
      </c>
      <c r="D150" s="5" t="s">
        <v>217</v>
      </c>
      <c r="E150" s="5" t="str">
        <f>VLOOKUP(F150,'Set up'!$A$2:$C$48,2,FALSE)</f>
        <v>C00000003</v>
      </c>
      <c r="F150" s="1" t="s">
        <v>20</v>
      </c>
      <c r="G150" s="11" t="s">
        <v>46</v>
      </c>
      <c r="H150" s="5">
        <v>6</v>
      </c>
      <c r="I150" s="5">
        <f>VLOOKUP(F150,'Set up'!$A$2:$C$48,3,FALSE)</f>
        <v>45</v>
      </c>
      <c r="J150" s="5">
        <f>VLOOKUP(F150,'Set up'!$A$2:$D$48,4,FALSE)</f>
        <v>45</v>
      </c>
      <c r="K150" s="4">
        <f t="shared" si="26"/>
        <v>44240</v>
      </c>
      <c r="L150" s="5">
        <f t="shared" si="27"/>
        <v>2</v>
      </c>
      <c r="M150" s="5">
        <f t="shared" si="28"/>
        <v>2021</v>
      </c>
      <c r="N150" s="24">
        <v>555</v>
      </c>
      <c r="O150" s="6">
        <f t="shared" si="23"/>
        <v>-555</v>
      </c>
      <c r="P150" s="6">
        <f t="shared" si="31"/>
        <v>0</v>
      </c>
      <c r="Q150" s="7">
        <f t="shared" si="30"/>
        <v>194015.49999999997</v>
      </c>
      <c r="R150" s="44" t="str">
        <f>VLOOKUP(F150,'Set up'!$A$2:$E$48,5,FALSE)</f>
        <v>PD Chq</v>
      </c>
      <c r="S150" s="40" t="s">
        <v>221</v>
      </c>
    </row>
    <row r="151" spans="1:19" hidden="1" x14ac:dyDescent="0.3">
      <c r="A151" s="4">
        <v>44196</v>
      </c>
      <c r="B151" s="5">
        <f t="shared" si="24"/>
        <v>12</v>
      </c>
      <c r="C151" s="5">
        <f t="shared" si="25"/>
        <v>2020</v>
      </c>
      <c r="D151" s="5" t="s">
        <v>218</v>
      </c>
      <c r="E151" s="5" t="str">
        <f>VLOOKUP(F151,'Set up'!$A$2:$C$48,2,FALSE)</f>
        <v>C00000010</v>
      </c>
      <c r="F151" s="1" t="s">
        <v>62</v>
      </c>
      <c r="G151" s="11" t="s">
        <v>219</v>
      </c>
      <c r="H151" s="5">
        <v>5</v>
      </c>
      <c r="I151" s="5">
        <f>VLOOKUP(F151,'Set up'!$A$2:$C$48,3,FALSE)</f>
        <v>120</v>
      </c>
      <c r="J151" s="5">
        <f>VLOOKUP(F151,'Set up'!$A$2:$D$48,4,FALSE)</f>
        <v>120</v>
      </c>
      <c r="K151" s="4">
        <f t="shared" si="26"/>
        <v>44316</v>
      </c>
      <c r="L151" s="5">
        <f t="shared" si="27"/>
        <v>4</v>
      </c>
      <c r="M151" s="5">
        <f t="shared" si="28"/>
        <v>2021</v>
      </c>
      <c r="N151" s="24">
        <v>7700</v>
      </c>
      <c r="O151" s="6">
        <f t="shared" si="23"/>
        <v>-7700</v>
      </c>
      <c r="P151" s="6">
        <f t="shared" si="31"/>
        <v>0</v>
      </c>
      <c r="Q151" s="7">
        <f t="shared" si="30"/>
        <v>201715.49999999997</v>
      </c>
      <c r="R151" s="44" t="str">
        <f>VLOOKUP(F151,'Set up'!$A$2:$E$48,5,FALSE)</f>
        <v>Trsf</v>
      </c>
      <c r="S151" s="1" t="s">
        <v>313</v>
      </c>
    </row>
    <row r="152" spans="1:19" hidden="1" x14ac:dyDescent="0.3">
      <c r="A152" s="4">
        <v>44196</v>
      </c>
      <c r="B152" s="5">
        <f t="shared" si="24"/>
        <v>12</v>
      </c>
      <c r="C152" s="5">
        <f t="shared" si="25"/>
        <v>2020</v>
      </c>
      <c r="D152" s="5" t="s">
        <v>218</v>
      </c>
      <c r="E152" s="5" t="str">
        <f>VLOOKUP(F152,'Set up'!$A$2:$C$48,2,FALSE)</f>
        <v>C00000010</v>
      </c>
      <c r="F152" s="1" t="s">
        <v>62</v>
      </c>
      <c r="G152" s="11" t="s">
        <v>220</v>
      </c>
      <c r="H152" s="5">
        <v>8</v>
      </c>
      <c r="I152" s="5">
        <f>VLOOKUP(F152,'Set up'!$A$2:$C$48,3,FALSE)</f>
        <v>120</v>
      </c>
      <c r="J152" s="5">
        <f>VLOOKUP(F152,'Set up'!$A$2:$D$48,4,FALSE)</f>
        <v>120</v>
      </c>
      <c r="K152" s="4">
        <f t="shared" si="26"/>
        <v>44316</v>
      </c>
      <c r="L152" s="5">
        <f t="shared" si="27"/>
        <v>4</v>
      </c>
      <c r="M152" s="5">
        <f t="shared" si="28"/>
        <v>2021</v>
      </c>
      <c r="N152" s="24">
        <v>1680</v>
      </c>
      <c r="O152" s="6">
        <f t="shared" si="23"/>
        <v>-1680</v>
      </c>
      <c r="P152" s="6">
        <f t="shared" si="31"/>
        <v>0</v>
      </c>
      <c r="Q152" s="7">
        <f t="shared" si="30"/>
        <v>203395.49999999997</v>
      </c>
      <c r="R152" s="44" t="str">
        <f>VLOOKUP(F152,'Set up'!$A$2:$E$48,5,FALSE)</f>
        <v>Trsf</v>
      </c>
      <c r="S152" s="1" t="s">
        <v>313</v>
      </c>
    </row>
    <row r="153" spans="1:19" hidden="1" x14ac:dyDescent="0.3">
      <c r="A153" s="4">
        <v>44196</v>
      </c>
      <c r="B153" s="5">
        <f t="shared" si="24"/>
        <v>12</v>
      </c>
      <c r="C153" s="5">
        <f t="shared" si="25"/>
        <v>2020</v>
      </c>
      <c r="D153" s="5" t="s">
        <v>218</v>
      </c>
      <c r="E153" s="5" t="str">
        <f>VLOOKUP(F153,'Set up'!$A$2:$C$48,2,FALSE)</f>
        <v>C00000010</v>
      </c>
      <c r="F153" s="1" t="s">
        <v>62</v>
      </c>
      <c r="G153" s="11" t="s">
        <v>64</v>
      </c>
      <c r="H153" s="5">
        <v>10</v>
      </c>
      <c r="I153" s="5">
        <f>VLOOKUP(F153,'Set up'!$A$2:$C$48,3,FALSE)</f>
        <v>120</v>
      </c>
      <c r="J153" s="5">
        <f>VLOOKUP(F153,'Set up'!$A$2:$D$48,4,FALSE)</f>
        <v>120</v>
      </c>
      <c r="K153" s="4">
        <f t="shared" si="26"/>
        <v>44316</v>
      </c>
      <c r="L153" s="5">
        <f t="shared" si="27"/>
        <v>4</v>
      </c>
      <c r="M153" s="5">
        <f t="shared" si="28"/>
        <v>2021</v>
      </c>
      <c r="N153" s="24">
        <v>550</v>
      </c>
      <c r="O153" s="6">
        <f t="shared" si="23"/>
        <v>-550</v>
      </c>
      <c r="P153" s="6">
        <f t="shared" si="31"/>
        <v>0</v>
      </c>
      <c r="Q153" s="7">
        <f t="shared" si="30"/>
        <v>203945.49999999997</v>
      </c>
      <c r="R153" s="44" t="str">
        <f>VLOOKUP(F153,'Set up'!$A$2:$E$48,5,FALSE)</f>
        <v>Trsf</v>
      </c>
      <c r="S153" s="1" t="s">
        <v>313</v>
      </c>
    </row>
    <row r="154" spans="1:19" hidden="1" x14ac:dyDescent="0.3">
      <c r="A154" s="4">
        <v>44196</v>
      </c>
      <c r="B154" s="5">
        <f t="shared" si="24"/>
        <v>12</v>
      </c>
      <c r="C154" s="5">
        <f t="shared" si="25"/>
        <v>2020</v>
      </c>
      <c r="D154" s="5" t="s">
        <v>218</v>
      </c>
      <c r="E154" s="5" t="str">
        <f>VLOOKUP(F154,'Set up'!$A$2:$C$48,2,FALSE)</f>
        <v>C00000010</v>
      </c>
      <c r="F154" s="1" t="s">
        <v>62</v>
      </c>
      <c r="G154" s="11" t="s">
        <v>46</v>
      </c>
      <c r="H154" s="5">
        <v>2</v>
      </c>
      <c r="I154" s="5">
        <f>VLOOKUP(F154,'Set up'!$A$2:$C$48,3,FALSE)</f>
        <v>120</v>
      </c>
      <c r="J154" s="5">
        <f>VLOOKUP(F154,'Set up'!$A$2:$D$48,4,FALSE)</f>
        <v>120</v>
      </c>
      <c r="K154" s="4">
        <f t="shared" si="26"/>
        <v>44316</v>
      </c>
      <c r="L154" s="5">
        <f t="shared" si="27"/>
        <v>4</v>
      </c>
      <c r="M154" s="5">
        <f t="shared" si="28"/>
        <v>2021</v>
      </c>
      <c r="N154" s="24">
        <v>190</v>
      </c>
      <c r="O154" s="6">
        <f t="shared" si="23"/>
        <v>-190</v>
      </c>
      <c r="P154" s="6">
        <f t="shared" si="31"/>
        <v>0</v>
      </c>
      <c r="Q154" s="7">
        <f t="shared" si="30"/>
        <v>204135.49999999997</v>
      </c>
      <c r="R154" s="44" t="str">
        <f>VLOOKUP(F154,'Set up'!$A$2:$E$48,5,FALSE)</f>
        <v>Trsf</v>
      </c>
      <c r="S154" s="1" t="s">
        <v>313</v>
      </c>
    </row>
    <row r="155" spans="1:19" hidden="1" x14ac:dyDescent="0.3">
      <c r="A155" s="4">
        <v>44200</v>
      </c>
      <c r="B155" s="5">
        <f t="shared" si="24"/>
        <v>1</v>
      </c>
      <c r="C155" s="5">
        <f t="shared" si="25"/>
        <v>2021</v>
      </c>
      <c r="D155" s="5" t="s">
        <v>227</v>
      </c>
      <c r="E155" s="5" t="str">
        <f>VLOOKUP(F155,'Set up'!$A$2:$C$48,2,FALSE)</f>
        <v>C00000013</v>
      </c>
      <c r="F155" s="1" t="s">
        <v>1454</v>
      </c>
      <c r="G155" s="11" t="s">
        <v>230</v>
      </c>
      <c r="H155" s="5">
        <v>2</v>
      </c>
      <c r="I155" s="5" t="str">
        <f>VLOOKUP(F155,'Set up'!$A$2:$C$48,3,FALSE)</f>
        <v>Cash</v>
      </c>
      <c r="J155" s="5">
        <f>VLOOKUP(F155,'Set up'!$A$2:$D$48,4,FALSE)</f>
        <v>0</v>
      </c>
      <c r="K155" s="4">
        <f t="shared" si="26"/>
        <v>44200</v>
      </c>
      <c r="L155" s="5">
        <f t="shared" si="27"/>
        <v>1</v>
      </c>
      <c r="M155" s="5">
        <f t="shared" si="28"/>
        <v>2021</v>
      </c>
      <c r="N155" s="24">
        <v>1540</v>
      </c>
      <c r="O155" s="6">
        <f t="shared" ref="O155:O186" si="32">-N155</f>
        <v>-1540</v>
      </c>
      <c r="P155" s="6">
        <f t="shared" si="31"/>
        <v>0</v>
      </c>
      <c r="Q155" s="7">
        <f t="shared" si="30"/>
        <v>205675.49999999997</v>
      </c>
      <c r="R155" s="44" t="str">
        <f>VLOOKUP(F155,'Set up'!$A$2:$E$48,5,FALSE)</f>
        <v>Chq</v>
      </c>
      <c r="S155" s="1" t="s">
        <v>231</v>
      </c>
    </row>
    <row r="156" spans="1:19" hidden="1" x14ac:dyDescent="0.3">
      <c r="A156" s="4">
        <v>44200</v>
      </c>
      <c r="B156" s="5">
        <f t="shared" si="24"/>
        <v>1</v>
      </c>
      <c r="C156" s="5">
        <f t="shared" si="25"/>
        <v>2021</v>
      </c>
      <c r="D156" s="5" t="s">
        <v>227</v>
      </c>
      <c r="E156" s="5" t="str">
        <f>VLOOKUP(F156,'Set up'!$A$2:$C$48,2,FALSE)</f>
        <v>C00000013</v>
      </c>
      <c r="F156" s="1" t="s">
        <v>1454</v>
      </c>
      <c r="G156" s="11" t="s">
        <v>232</v>
      </c>
      <c r="H156" s="5">
        <v>2</v>
      </c>
      <c r="I156" s="5" t="str">
        <f>VLOOKUP(F156,'Set up'!$A$2:$C$48,3,FALSE)</f>
        <v>Cash</v>
      </c>
      <c r="J156" s="5">
        <f>VLOOKUP(F156,'Set up'!$A$2:$D$48,4,FALSE)</f>
        <v>0</v>
      </c>
      <c r="K156" s="4">
        <f t="shared" si="26"/>
        <v>44200</v>
      </c>
      <c r="L156" s="5">
        <f t="shared" si="27"/>
        <v>1</v>
      </c>
      <c r="M156" s="5">
        <f t="shared" si="28"/>
        <v>2021</v>
      </c>
      <c r="N156" s="24">
        <v>810</v>
      </c>
      <c r="O156" s="6">
        <f t="shared" si="32"/>
        <v>-810</v>
      </c>
      <c r="P156" s="6">
        <f t="shared" si="31"/>
        <v>0</v>
      </c>
      <c r="Q156" s="7">
        <f t="shared" si="30"/>
        <v>206485.49999999997</v>
      </c>
      <c r="R156" s="44" t="str">
        <f>VLOOKUP(F156,'Set up'!$A$2:$E$48,5,FALSE)</f>
        <v>Chq</v>
      </c>
      <c r="S156" s="1" t="s">
        <v>231</v>
      </c>
    </row>
    <row r="157" spans="1:19" hidden="1" x14ac:dyDescent="0.3">
      <c r="A157" s="4">
        <v>44200</v>
      </c>
      <c r="B157" s="5">
        <f t="shared" si="24"/>
        <v>1</v>
      </c>
      <c r="C157" s="5">
        <f t="shared" si="25"/>
        <v>2021</v>
      </c>
      <c r="D157" s="5" t="s">
        <v>227</v>
      </c>
      <c r="E157" s="5" t="str">
        <f>VLOOKUP(F157,'Set up'!$A$2:$C$48,2,FALSE)</f>
        <v>C00000013</v>
      </c>
      <c r="F157" s="1" t="s">
        <v>1454</v>
      </c>
      <c r="G157" s="11" t="s">
        <v>97</v>
      </c>
      <c r="H157" s="5">
        <v>1</v>
      </c>
      <c r="I157" s="5" t="str">
        <f>VLOOKUP(F157,'Set up'!$A$2:$C$48,3,FALSE)</f>
        <v>Cash</v>
      </c>
      <c r="J157" s="5">
        <f>VLOOKUP(F157,'Set up'!$A$2:$D$48,4,FALSE)</f>
        <v>0</v>
      </c>
      <c r="K157" s="4">
        <f t="shared" si="26"/>
        <v>44200</v>
      </c>
      <c r="L157" s="5">
        <f t="shared" si="27"/>
        <v>1</v>
      </c>
      <c r="M157" s="5">
        <f t="shared" si="28"/>
        <v>2021</v>
      </c>
      <c r="N157" s="24">
        <v>405</v>
      </c>
      <c r="O157" s="6">
        <f t="shared" si="32"/>
        <v>-405</v>
      </c>
      <c r="P157" s="6">
        <f t="shared" si="31"/>
        <v>0</v>
      </c>
      <c r="Q157" s="7">
        <f t="shared" si="30"/>
        <v>206890.49999999997</v>
      </c>
      <c r="R157" s="44" t="str">
        <f>VLOOKUP(F157,'Set up'!$A$2:$E$48,5,FALSE)</f>
        <v>Chq</v>
      </c>
      <c r="S157" s="1" t="s">
        <v>231</v>
      </c>
    </row>
    <row r="158" spans="1:19" hidden="1" x14ac:dyDescent="0.3">
      <c r="A158" s="4">
        <v>44200</v>
      </c>
      <c r="B158" s="5">
        <f t="shared" si="24"/>
        <v>1</v>
      </c>
      <c r="C158" s="5">
        <f t="shared" si="25"/>
        <v>2021</v>
      </c>
      <c r="D158" s="5" t="s">
        <v>227</v>
      </c>
      <c r="E158" s="5" t="str">
        <f>VLOOKUP(F158,'Set up'!$A$2:$C$48,2,FALSE)</f>
        <v>C00000013</v>
      </c>
      <c r="F158" s="1" t="s">
        <v>1454</v>
      </c>
      <c r="G158" s="11" t="s">
        <v>233</v>
      </c>
      <c r="H158" s="5">
        <v>2</v>
      </c>
      <c r="I158" s="5" t="str">
        <f>VLOOKUP(F158,'Set up'!$A$2:$C$48,3,FALSE)</f>
        <v>Cash</v>
      </c>
      <c r="J158" s="5">
        <f>VLOOKUP(F158,'Set up'!$A$2:$D$48,4,FALSE)</f>
        <v>0</v>
      </c>
      <c r="K158" s="4">
        <f t="shared" si="26"/>
        <v>44200</v>
      </c>
      <c r="L158" s="5">
        <f t="shared" si="27"/>
        <v>1</v>
      </c>
      <c r="M158" s="5">
        <f t="shared" si="28"/>
        <v>2021</v>
      </c>
      <c r="N158" s="24">
        <v>5920</v>
      </c>
      <c r="O158" s="6">
        <f t="shared" si="32"/>
        <v>-5920</v>
      </c>
      <c r="P158" s="6">
        <f t="shared" si="31"/>
        <v>0</v>
      </c>
      <c r="Q158" s="7">
        <f t="shared" si="30"/>
        <v>212810.49999999997</v>
      </c>
      <c r="R158" s="44" t="str">
        <f>VLOOKUP(F158,'Set up'!$A$2:$E$48,5,FALSE)</f>
        <v>Chq</v>
      </c>
      <c r="S158" s="1" t="s">
        <v>231</v>
      </c>
    </row>
    <row r="159" spans="1:19" hidden="1" x14ac:dyDescent="0.3">
      <c r="A159" s="4">
        <v>44200</v>
      </c>
      <c r="B159" s="5">
        <f t="shared" si="24"/>
        <v>1</v>
      </c>
      <c r="C159" s="5">
        <f t="shared" si="25"/>
        <v>2021</v>
      </c>
      <c r="D159" s="5" t="s">
        <v>227</v>
      </c>
      <c r="E159" s="5" t="str">
        <f>VLOOKUP(F159,'Set up'!$A$2:$C$48,2,FALSE)</f>
        <v>C00000013</v>
      </c>
      <c r="F159" s="1" t="s">
        <v>1454</v>
      </c>
      <c r="G159" s="11" t="s">
        <v>234</v>
      </c>
      <c r="H159" s="5">
        <v>3</v>
      </c>
      <c r="I159" s="5" t="str">
        <f>VLOOKUP(F159,'Set up'!$A$2:$C$48,3,FALSE)</f>
        <v>Cash</v>
      </c>
      <c r="J159" s="5">
        <f>VLOOKUP(F159,'Set up'!$A$2:$D$48,4,FALSE)</f>
        <v>0</v>
      </c>
      <c r="K159" s="4">
        <f t="shared" si="26"/>
        <v>44200</v>
      </c>
      <c r="L159" s="5">
        <f t="shared" si="27"/>
        <v>1</v>
      </c>
      <c r="M159" s="5">
        <f t="shared" si="28"/>
        <v>2021</v>
      </c>
      <c r="N159" s="24">
        <v>135</v>
      </c>
      <c r="O159" s="6">
        <f t="shared" si="32"/>
        <v>-135</v>
      </c>
      <c r="P159" s="6">
        <f t="shared" si="31"/>
        <v>0</v>
      </c>
      <c r="Q159" s="7">
        <f t="shared" si="30"/>
        <v>212945.49999999997</v>
      </c>
      <c r="R159" s="44" t="str">
        <f>VLOOKUP(F159,'Set up'!$A$2:$E$48,5,FALSE)</f>
        <v>Chq</v>
      </c>
      <c r="S159" s="1" t="s">
        <v>231</v>
      </c>
    </row>
    <row r="160" spans="1:19" hidden="1" x14ac:dyDescent="0.3">
      <c r="A160" s="4">
        <v>44200</v>
      </c>
      <c r="B160" s="5">
        <f t="shared" si="24"/>
        <v>1</v>
      </c>
      <c r="C160" s="5">
        <f t="shared" si="25"/>
        <v>2021</v>
      </c>
      <c r="D160" s="5" t="s">
        <v>227</v>
      </c>
      <c r="E160" s="5" t="str">
        <f>VLOOKUP(F160,'Set up'!$A$2:$C$48,2,FALSE)</f>
        <v>C00000013</v>
      </c>
      <c r="F160" s="1" t="s">
        <v>1454</v>
      </c>
      <c r="G160" s="11" t="s">
        <v>235</v>
      </c>
      <c r="H160" s="5">
        <v>1</v>
      </c>
      <c r="I160" s="5" t="str">
        <f>VLOOKUP(F160,'Set up'!$A$2:$C$48,3,FALSE)</f>
        <v>Cash</v>
      </c>
      <c r="J160" s="5">
        <f>VLOOKUP(F160,'Set up'!$A$2:$D$48,4,FALSE)</f>
        <v>0</v>
      </c>
      <c r="K160" s="4">
        <f t="shared" si="26"/>
        <v>44200</v>
      </c>
      <c r="L160" s="5">
        <f t="shared" si="27"/>
        <v>1</v>
      </c>
      <c r="M160" s="5">
        <f t="shared" si="28"/>
        <v>2021</v>
      </c>
      <c r="N160" s="24">
        <v>130</v>
      </c>
      <c r="O160" s="6">
        <f t="shared" si="32"/>
        <v>-130</v>
      </c>
      <c r="P160" s="6">
        <f t="shared" si="31"/>
        <v>0</v>
      </c>
      <c r="Q160" s="7">
        <f t="shared" si="30"/>
        <v>213075.49999999997</v>
      </c>
      <c r="R160" s="44" t="str">
        <f>VLOOKUP(F160,'Set up'!$A$2:$E$48,5,FALSE)</f>
        <v>Chq</v>
      </c>
      <c r="S160" s="1" t="s">
        <v>231</v>
      </c>
    </row>
    <row r="161" spans="1:19" hidden="1" x14ac:dyDescent="0.3">
      <c r="A161" s="4">
        <v>44200</v>
      </c>
      <c r="B161" s="5">
        <f t="shared" si="24"/>
        <v>1</v>
      </c>
      <c r="C161" s="5">
        <f t="shared" si="25"/>
        <v>2021</v>
      </c>
      <c r="D161" s="5" t="s">
        <v>227</v>
      </c>
      <c r="E161" s="5" t="str">
        <f>VLOOKUP(F161,'Set up'!$A$2:$C$48,2,FALSE)</f>
        <v>C00000013</v>
      </c>
      <c r="F161" s="1" t="s">
        <v>1454</v>
      </c>
      <c r="G161" s="11" t="s">
        <v>236</v>
      </c>
      <c r="H161" s="5">
        <v>1</v>
      </c>
      <c r="I161" s="5" t="str">
        <f>VLOOKUP(F161,'Set up'!$A$2:$C$48,3,FALSE)</f>
        <v>Cash</v>
      </c>
      <c r="J161" s="5">
        <f>VLOOKUP(F161,'Set up'!$A$2:$D$48,4,FALSE)</f>
        <v>0</v>
      </c>
      <c r="K161" s="4">
        <f t="shared" si="26"/>
        <v>44200</v>
      </c>
      <c r="L161" s="5">
        <f t="shared" si="27"/>
        <v>1</v>
      </c>
      <c r="M161" s="5">
        <f t="shared" si="28"/>
        <v>2021</v>
      </c>
      <c r="N161" s="24">
        <v>380</v>
      </c>
      <c r="O161" s="6">
        <f t="shared" si="32"/>
        <v>-380</v>
      </c>
      <c r="P161" s="6">
        <f t="shared" si="31"/>
        <v>0</v>
      </c>
      <c r="Q161" s="7">
        <f t="shared" si="30"/>
        <v>213455.49999999997</v>
      </c>
      <c r="R161" s="44" t="str">
        <f>VLOOKUP(F161,'Set up'!$A$2:$E$48,5,FALSE)</f>
        <v>Chq</v>
      </c>
      <c r="S161" s="1" t="s">
        <v>231</v>
      </c>
    </row>
    <row r="162" spans="1:19" hidden="1" x14ac:dyDescent="0.3">
      <c r="A162" s="4">
        <v>44200</v>
      </c>
      <c r="B162" s="5">
        <f t="shared" ref="B162:B192" si="33">MONTH(A162)</f>
        <v>1</v>
      </c>
      <c r="C162" s="5">
        <f t="shared" ref="C162:C192" si="34">YEAR(A162)</f>
        <v>2021</v>
      </c>
      <c r="D162" s="5" t="s">
        <v>227</v>
      </c>
      <c r="E162" s="5" t="str">
        <f>VLOOKUP(F162,'Set up'!$A$2:$C$48,2,FALSE)</f>
        <v>C00000013</v>
      </c>
      <c r="F162" s="1" t="s">
        <v>1454</v>
      </c>
      <c r="G162" s="11" t="s">
        <v>237</v>
      </c>
      <c r="H162" s="5">
        <v>1</v>
      </c>
      <c r="I162" s="5" t="str">
        <f>VLOOKUP(F162,'Set up'!$A$2:$C$48,3,FALSE)</f>
        <v>Cash</v>
      </c>
      <c r="J162" s="5">
        <f>VLOOKUP(F162,'Set up'!$A$2:$D$48,4,FALSE)</f>
        <v>0</v>
      </c>
      <c r="K162" s="4">
        <f t="shared" si="26"/>
        <v>44200</v>
      </c>
      <c r="L162" s="5">
        <f t="shared" si="27"/>
        <v>1</v>
      </c>
      <c r="M162" s="5">
        <f t="shared" si="28"/>
        <v>2021</v>
      </c>
      <c r="N162" s="24">
        <v>180</v>
      </c>
      <c r="O162" s="6">
        <f t="shared" si="32"/>
        <v>-180</v>
      </c>
      <c r="P162" s="6">
        <f t="shared" si="31"/>
        <v>0</v>
      </c>
      <c r="Q162" s="7">
        <f t="shared" si="30"/>
        <v>213635.49999999997</v>
      </c>
      <c r="R162" s="44" t="str">
        <f>VLOOKUP(F162,'Set up'!$A$2:$E$48,5,FALSE)</f>
        <v>Chq</v>
      </c>
      <c r="S162" s="1" t="s">
        <v>231</v>
      </c>
    </row>
    <row r="163" spans="1:19" hidden="1" x14ac:dyDescent="0.3">
      <c r="A163" s="4">
        <v>44200</v>
      </c>
      <c r="B163" s="5">
        <f t="shared" si="33"/>
        <v>1</v>
      </c>
      <c r="C163" s="5">
        <f t="shared" si="34"/>
        <v>2021</v>
      </c>
      <c r="D163" s="5" t="s">
        <v>227</v>
      </c>
      <c r="E163" s="5" t="str">
        <f>VLOOKUP(F163,'Set up'!$A$2:$C$48,2,FALSE)</f>
        <v>C00000013</v>
      </c>
      <c r="F163" s="1" t="s">
        <v>1454</v>
      </c>
      <c r="G163" s="11" t="s">
        <v>238</v>
      </c>
      <c r="H163" s="5">
        <v>3</v>
      </c>
      <c r="I163" s="5" t="str">
        <f>VLOOKUP(F163,'Set up'!$A$2:$C$48,3,FALSE)</f>
        <v>Cash</v>
      </c>
      <c r="J163" s="5">
        <f>VLOOKUP(F163,'Set up'!$A$2:$D$48,4,FALSE)</f>
        <v>0</v>
      </c>
      <c r="K163" s="4">
        <f t="shared" si="26"/>
        <v>44200</v>
      </c>
      <c r="L163" s="5">
        <f t="shared" si="27"/>
        <v>1</v>
      </c>
      <c r="M163" s="5">
        <f t="shared" si="28"/>
        <v>2021</v>
      </c>
      <c r="N163" s="24">
        <v>144</v>
      </c>
      <c r="O163" s="6">
        <f t="shared" si="32"/>
        <v>-144</v>
      </c>
      <c r="P163" s="6">
        <f t="shared" si="31"/>
        <v>0</v>
      </c>
      <c r="Q163" s="7">
        <f t="shared" si="30"/>
        <v>213779.49999999997</v>
      </c>
      <c r="R163" s="44" t="str">
        <f>VLOOKUP(F163,'Set up'!$A$2:$E$48,5,FALSE)</f>
        <v>Chq</v>
      </c>
      <c r="S163" s="1" t="s">
        <v>231</v>
      </c>
    </row>
    <row r="164" spans="1:19" hidden="1" x14ac:dyDescent="0.3">
      <c r="A164" s="4">
        <v>44200</v>
      </c>
      <c r="B164" s="5">
        <f t="shared" si="33"/>
        <v>1</v>
      </c>
      <c r="C164" s="5">
        <f t="shared" si="34"/>
        <v>2021</v>
      </c>
      <c r="D164" s="5" t="s">
        <v>227</v>
      </c>
      <c r="E164" s="5" t="str">
        <f>VLOOKUP(F164,'Set up'!$A$2:$C$48,2,FALSE)</f>
        <v>C00000013</v>
      </c>
      <c r="F164" s="1" t="s">
        <v>1454</v>
      </c>
      <c r="G164" s="11" t="s">
        <v>239</v>
      </c>
      <c r="H164" s="5">
        <v>1</v>
      </c>
      <c r="I164" s="5" t="str">
        <f>VLOOKUP(F164,'Set up'!$A$2:$C$48,3,FALSE)</f>
        <v>Cash</v>
      </c>
      <c r="J164" s="5">
        <f>VLOOKUP(F164,'Set up'!$A$2:$D$48,4,FALSE)</f>
        <v>0</v>
      </c>
      <c r="K164" s="4">
        <f t="shared" si="26"/>
        <v>44200</v>
      </c>
      <c r="L164" s="5">
        <f t="shared" si="27"/>
        <v>1</v>
      </c>
      <c r="M164" s="5">
        <f t="shared" si="28"/>
        <v>2021</v>
      </c>
      <c r="N164" s="24">
        <v>360</v>
      </c>
      <c r="O164" s="6">
        <f t="shared" si="32"/>
        <v>-360</v>
      </c>
      <c r="P164" s="6">
        <f t="shared" si="31"/>
        <v>0</v>
      </c>
      <c r="Q164" s="7">
        <f t="shared" si="30"/>
        <v>214139.49999999997</v>
      </c>
      <c r="R164" s="44" t="str">
        <f>VLOOKUP(F164,'Set up'!$A$2:$E$48,5,FALSE)</f>
        <v>Chq</v>
      </c>
      <c r="S164" s="1" t="s">
        <v>231</v>
      </c>
    </row>
    <row r="165" spans="1:19" hidden="1" x14ac:dyDescent="0.3">
      <c r="A165" s="4">
        <v>44200</v>
      </c>
      <c r="B165" s="5">
        <f t="shared" si="33"/>
        <v>1</v>
      </c>
      <c r="C165" s="5">
        <f t="shared" si="34"/>
        <v>2021</v>
      </c>
      <c r="D165" s="5" t="s">
        <v>227</v>
      </c>
      <c r="E165" s="5" t="str">
        <f>VLOOKUP(F165,'Set up'!$A$2:$C$48,2,FALSE)</f>
        <v>C00000013</v>
      </c>
      <c r="F165" s="1" t="s">
        <v>1454</v>
      </c>
      <c r="G165" s="11" t="s">
        <v>17</v>
      </c>
      <c r="H165" s="5">
        <v>1</v>
      </c>
      <c r="I165" s="5" t="str">
        <f>VLOOKUP(F165,'Set up'!$A$2:$C$48,3,FALSE)</f>
        <v>Cash</v>
      </c>
      <c r="J165" s="5">
        <f>VLOOKUP(F165,'Set up'!$A$2:$D$48,4,FALSE)</f>
        <v>0</v>
      </c>
      <c r="K165" s="4">
        <f t="shared" si="26"/>
        <v>44200</v>
      </c>
      <c r="L165" s="5">
        <f t="shared" si="27"/>
        <v>1</v>
      </c>
      <c r="M165" s="5">
        <f t="shared" si="28"/>
        <v>2021</v>
      </c>
      <c r="N165" s="24">
        <v>95</v>
      </c>
      <c r="O165" s="6">
        <f t="shared" si="32"/>
        <v>-95</v>
      </c>
      <c r="P165" s="6">
        <f t="shared" si="31"/>
        <v>0</v>
      </c>
      <c r="Q165" s="7">
        <f t="shared" si="30"/>
        <v>214234.49999999997</v>
      </c>
      <c r="R165" s="44" t="str">
        <f>VLOOKUP(F165,'Set up'!$A$2:$E$48,5,FALSE)</f>
        <v>Chq</v>
      </c>
      <c r="S165" s="1" t="s">
        <v>231</v>
      </c>
    </row>
    <row r="166" spans="1:19" hidden="1" x14ac:dyDescent="0.3">
      <c r="A166" s="4">
        <v>44200</v>
      </c>
      <c r="B166" s="5">
        <f t="shared" si="33"/>
        <v>1</v>
      </c>
      <c r="C166" s="5">
        <f t="shared" si="34"/>
        <v>2021</v>
      </c>
      <c r="D166" s="5" t="s">
        <v>227</v>
      </c>
      <c r="E166" s="5" t="str">
        <f>VLOOKUP(F166,'Set up'!$A$2:$C$48,2,FALSE)</f>
        <v>C00000013</v>
      </c>
      <c r="F166" s="1" t="s">
        <v>1454</v>
      </c>
      <c r="G166" s="11" t="s">
        <v>278</v>
      </c>
      <c r="H166" s="5">
        <v>1</v>
      </c>
      <c r="I166" s="5" t="str">
        <f>VLOOKUP(F166,'Set up'!$A$2:$C$48,3,FALSE)</f>
        <v>Cash</v>
      </c>
      <c r="J166" s="5">
        <f>VLOOKUP(F166,'Set up'!$A$2:$D$48,4,FALSE)</f>
        <v>0</v>
      </c>
      <c r="K166" s="4">
        <f t="shared" si="26"/>
        <v>44200</v>
      </c>
      <c r="L166" s="5">
        <f t="shared" si="27"/>
        <v>1</v>
      </c>
      <c r="M166" s="5">
        <f t="shared" si="28"/>
        <v>2021</v>
      </c>
      <c r="N166" s="24">
        <v>300</v>
      </c>
      <c r="O166" s="6">
        <f t="shared" si="32"/>
        <v>-300</v>
      </c>
      <c r="P166" s="6">
        <f t="shared" si="31"/>
        <v>0</v>
      </c>
      <c r="Q166" s="7">
        <f t="shared" si="30"/>
        <v>214534.49999999997</v>
      </c>
      <c r="R166" s="44" t="str">
        <f>VLOOKUP(F166,'Set up'!$A$2:$E$48,5,FALSE)</f>
        <v>Chq</v>
      </c>
      <c r="S166" s="1" t="s">
        <v>231</v>
      </c>
    </row>
    <row r="167" spans="1:19" hidden="1" x14ac:dyDescent="0.3">
      <c r="A167" s="4">
        <v>44207</v>
      </c>
      <c r="B167" s="5">
        <f t="shared" si="33"/>
        <v>1</v>
      </c>
      <c r="C167" s="5">
        <f t="shared" si="34"/>
        <v>2021</v>
      </c>
      <c r="D167" s="5" t="s">
        <v>240</v>
      </c>
      <c r="E167" s="5" t="str">
        <f>VLOOKUP(F167,'Set up'!$A$2:$C$48,2,FALSE)</f>
        <v>C00000010</v>
      </c>
      <c r="F167" s="1" t="s">
        <v>62</v>
      </c>
      <c r="G167" s="11" t="s">
        <v>241</v>
      </c>
      <c r="H167" s="5">
        <v>1</v>
      </c>
      <c r="I167" s="5">
        <f>VLOOKUP(F167,'Set up'!$A$2:$C$48,3,FALSE)</f>
        <v>120</v>
      </c>
      <c r="J167" s="5">
        <f>VLOOKUP(F167,'Set up'!$A$2:$D$48,4,FALSE)</f>
        <v>120</v>
      </c>
      <c r="K167" s="4">
        <f t="shared" si="26"/>
        <v>44327</v>
      </c>
      <c r="L167" s="5">
        <f t="shared" si="27"/>
        <v>5</v>
      </c>
      <c r="M167" s="5">
        <f t="shared" si="28"/>
        <v>2021</v>
      </c>
      <c r="N167" s="41">
        <v>0</v>
      </c>
      <c r="O167" s="42">
        <f t="shared" si="32"/>
        <v>0</v>
      </c>
      <c r="P167" s="42">
        <f t="shared" si="31"/>
        <v>0</v>
      </c>
      <c r="Q167" s="7">
        <f t="shared" si="30"/>
        <v>214534.49999999997</v>
      </c>
      <c r="R167" s="44" t="str">
        <f>VLOOKUP(F167,'Set up'!$A$2:$E$48,5,FALSE)</f>
        <v>Trsf</v>
      </c>
      <c r="S167" s="43" t="s">
        <v>242</v>
      </c>
    </row>
    <row r="168" spans="1:19" hidden="1" x14ac:dyDescent="0.3">
      <c r="A168" s="4">
        <v>44204</v>
      </c>
      <c r="B168" s="5">
        <f t="shared" si="33"/>
        <v>1</v>
      </c>
      <c r="C168" s="5">
        <f t="shared" si="34"/>
        <v>2021</v>
      </c>
      <c r="D168" s="5" t="s">
        <v>243</v>
      </c>
      <c r="E168" s="5" t="str">
        <f>VLOOKUP(F168,'Set up'!$A$2:$C$48,2,FALSE)</f>
        <v>C00000013</v>
      </c>
      <c r="F168" s="1" t="s">
        <v>1454</v>
      </c>
      <c r="G168" s="11" t="s">
        <v>244</v>
      </c>
      <c r="H168" s="5">
        <v>3</v>
      </c>
      <c r="I168" s="5" t="str">
        <f>VLOOKUP(F168,'Set up'!$A$2:$C$48,3,FALSE)</f>
        <v>Cash</v>
      </c>
      <c r="J168" s="5">
        <f>VLOOKUP(F168,'Set up'!$A$2:$D$48,4,FALSE)</f>
        <v>0</v>
      </c>
      <c r="K168" s="4">
        <f t="shared" si="26"/>
        <v>44204</v>
      </c>
      <c r="L168" s="5">
        <f t="shared" si="27"/>
        <v>1</v>
      </c>
      <c r="M168" s="5">
        <f t="shared" si="28"/>
        <v>2021</v>
      </c>
      <c r="N168" s="24">
        <v>49</v>
      </c>
      <c r="O168" s="6">
        <f t="shared" si="32"/>
        <v>-49</v>
      </c>
      <c r="P168" s="6">
        <f t="shared" si="31"/>
        <v>0</v>
      </c>
      <c r="Q168" s="7">
        <f t="shared" si="30"/>
        <v>214583.49999999997</v>
      </c>
      <c r="R168" s="44" t="str">
        <f>VLOOKUP(F168,'Set up'!$A$2:$E$48,5,FALSE)</f>
        <v>Chq</v>
      </c>
      <c r="S168" s="1" t="s">
        <v>250</v>
      </c>
    </row>
    <row r="169" spans="1:19" hidden="1" x14ac:dyDescent="0.3">
      <c r="A169" s="4">
        <v>44205</v>
      </c>
      <c r="B169" s="5">
        <f t="shared" si="33"/>
        <v>1</v>
      </c>
      <c r="C169" s="5">
        <f t="shared" si="34"/>
        <v>2021</v>
      </c>
      <c r="D169" s="5" t="s">
        <v>245</v>
      </c>
      <c r="E169" s="5" t="str">
        <f>VLOOKUP(F169,'Set up'!$A$2:$C$48,2,FALSE)</f>
        <v>C00000003</v>
      </c>
      <c r="F169" s="1" t="s">
        <v>20</v>
      </c>
      <c r="G169" s="11" t="s">
        <v>54</v>
      </c>
      <c r="H169" s="5">
        <v>5</v>
      </c>
      <c r="I169" s="5">
        <f>VLOOKUP(F169,'Set up'!$A$2:$C$48,3,FALSE)</f>
        <v>45</v>
      </c>
      <c r="J169" s="5">
        <f>VLOOKUP(F169,'Set up'!$A$2:$D$48,4,FALSE)</f>
        <v>45</v>
      </c>
      <c r="K169" s="4">
        <f t="shared" si="26"/>
        <v>44250</v>
      </c>
      <c r="L169" s="5">
        <f t="shared" si="27"/>
        <v>2</v>
      </c>
      <c r="M169" s="5">
        <f t="shared" si="28"/>
        <v>2021</v>
      </c>
      <c r="N169" s="24">
        <v>250</v>
      </c>
      <c r="O169" s="6">
        <f t="shared" si="32"/>
        <v>-250</v>
      </c>
      <c r="P169" s="6">
        <f t="shared" si="31"/>
        <v>0</v>
      </c>
      <c r="Q169" s="7">
        <f t="shared" si="30"/>
        <v>214833.49999999997</v>
      </c>
      <c r="R169" s="44" t="str">
        <f>VLOOKUP(F169,'Set up'!$A$2:$E$48,5,FALSE)</f>
        <v>PD Chq</v>
      </c>
      <c r="S169" s="1" t="s">
        <v>246</v>
      </c>
    </row>
    <row r="170" spans="1:19" hidden="1" x14ac:dyDescent="0.3">
      <c r="A170" s="4">
        <v>44205</v>
      </c>
      <c r="B170" s="5">
        <f t="shared" si="33"/>
        <v>1</v>
      </c>
      <c r="C170" s="5">
        <f t="shared" si="34"/>
        <v>2021</v>
      </c>
      <c r="D170" s="5" t="s">
        <v>245</v>
      </c>
      <c r="E170" s="5" t="str">
        <f>VLOOKUP(F170,'Set up'!$A$2:$C$48,2,FALSE)</f>
        <v>C00000003</v>
      </c>
      <c r="F170" s="1" t="s">
        <v>20</v>
      </c>
      <c r="G170" s="11" t="s">
        <v>179</v>
      </c>
      <c r="H170" s="5">
        <v>2</v>
      </c>
      <c r="I170" s="5">
        <f>VLOOKUP(F170,'Set up'!$A$2:$C$48,3,FALSE)</f>
        <v>45</v>
      </c>
      <c r="J170" s="5">
        <f>VLOOKUP(F170,'Set up'!$A$2:$D$48,4,FALSE)</f>
        <v>45</v>
      </c>
      <c r="K170" s="4">
        <f t="shared" si="26"/>
        <v>44250</v>
      </c>
      <c r="L170" s="5">
        <f t="shared" si="27"/>
        <v>2</v>
      </c>
      <c r="M170" s="5">
        <f t="shared" si="28"/>
        <v>2021</v>
      </c>
      <c r="N170" s="24">
        <v>90</v>
      </c>
      <c r="O170" s="6">
        <f t="shared" si="32"/>
        <v>-90</v>
      </c>
      <c r="P170" s="6">
        <f t="shared" si="31"/>
        <v>0</v>
      </c>
      <c r="Q170" s="7">
        <f t="shared" si="30"/>
        <v>214923.49999999997</v>
      </c>
      <c r="R170" s="44" t="str">
        <f>VLOOKUP(F170,'Set up'!$A$2:$E$48,5,FALSE)</f>
        <v>PD Chq</v>
      </c>
      <c r="S170" s="1" t="s">
        <v>246</v>
      </c>
    </row>
    <row r="171" spans="1:19" hidden="1" x14ac:dyDescent="0.3">
      <c r="A171" s="4">
        <v>44214</v>
      </c>
      <c r="B171" s="5">
        <f t="shared" si="33"/>
        <v>1</v>
      </c>
      <c r="C171" s="5">
        <f t="shared" si="34"/>
        <v>2021</v>
      </c>
      <c r="D171" s="5" t="s">
        <v>247</v>
      </c>
      <c r="E171" s="5" t="str">
        <f>VLOOKUP(F171,'Set up'!$A$2:$C$48,2,FALSE)</f>
        <v>C00000013</v>
      </c>
      <c r="F171" s="1" t="s">
        <v>1454</v>
      </c>
      <c r="G171" s="11" t="s">
        <v>24</v>
      </c>
      <c r="H171" s="5">
        <v>2</v>
      </c>
      <c r="I171" s="5" t="str">
        <f>VLOOKUP(F171,'Set up'!$A$2:$C$48,3,FALSE)</f>
        <v>Cash</v>
      </c>
      <c r="J171" s="5">
        <f>VLOOKUP(F171,'Set up'!$A$2:$D$48,4,FALSE)</f>
        <v>0</v>
      </c>
      <c r="K171" s="4">
        <f t="shared" si="26"/>
        <v>44214</v>
      </c>
      <c r="L171" s="5">
        <f t="shared" si="27"/>
        <v>1</v>
      </c>
      <c r="M171" s="5">
        <f t="shared" si="28"/>
        <v>2021</v>
      </c>
      <c r="N171" s="24">
        <v>472</v>
      </c>
      <c r="O171" s="6">
        <f t="shared" si="32"/>
        <v>-472</v>
      </c>
      <c r="P171" s="6">
        <f t="shared" si="31"/>
        <v>0</v>
      </c>
      <c r="Q171" s="7">
        <f t="shared" si="30"/>
        <v>215395.49999999997</v>
      </c>
      <c r="R171" s="44" t="str">
        <f>VLOOKUP(F171,'Set up'!$A$2:$E$48,5,FALSE)</f>
        <v>Chq</v>
      </c>
      <c r="S171" s="1" t="s">
        <v>250</v>
      </c>
    </row>
    <row r="172" spans="1:19" hidden="1" x14ac:dyDescent="0.3">
      <c r="A172" s="4">
        <v>44214</v>
      </c>
      <c r="B172" s="5">
        <f t="shared" si="33"/>
        <v>1</v>
      </c>
      <c r="C172" s="5">
        <f t="shared" si="34"/>
        <v>2021</v>
      </c>
      <c r="D172" s="5" t="s">
        <v>247</v>
      </c>
      <c r="E172" s="5" t="str">
        <f>VLOOKUP(F172,'Set up'!$A$2:$C$48,2,FALSE)</f>
        <v>C00000013</v>
      </c>
      <c r="F172" s="1" t="s">
        <v>1454</v>
      </c>
      <c r="G172" s="11" t="s">
        <v>232</v>
      </c>
      <c r="H172" s="5">
        <v>1</v>
      </c>
      <c r="I172" s="5" t="str">
        <f>VLOOKUP(F172,'Set up'!$A$2:$C$48,3,FALSE)</f>
        <v>Cash</v>
      </c>
      <c r="J172" s="5">
        <f>VLOOKUP(F172,'Set up'!$A$2:$D$48,4,FALSE)</f>
        <v>0</v>
      </c>
      <c r="K172" s="4">
        <f t="shared" si="26"/>
        <v>44214</v>
      </c>
      <c r="L172" s="5">
        <f t="shared" si="27"/>
        <v>1</v>
      </c>
      <c r="M172" s="5">
        <f t="shared" si="28"/>
        <v>2021</v>
      </c>
      <c r="N172" s="24">
        <v>405</v>
      </c>
      <c r="O172" s="6">
        <f t="shared" si="32"/>
        <v>-405</v>
      </c>
      <c r="P172" s="6">
        <f t="shared" si="31"/>
        <v>0</v>
      </c>
      <c r="Q172" s="7">
        <f t="shared" si="30"/>
        <v>215800.49999999997</v>
      </c>
      <c r="R172" s="44" t="str">
        <f>VLOOKUP(F172,'Set up'!$A$2:$E$48,5,FALSE)</f>
        <v>Chq</v>
      </c>
      <c r="S172" s="1" t="s">
        <v>250</v>
      </c>
    </row>
    <row r="173" spans="1:19" hidden="1" x14ac:dyDescent="0.3">
      <c r="A173" s="4">
        <v>44214</v>
      </c>
      <c r="B173" s="5">
        <f t="shared" si="33"/>
        <v>1</v>
      </c>
      <c r="C173" s="5">
        <f t="shared" si="34"/>
        <v>2021</v>
      </c>
      <c r="D173" s="5" t="s">
        <v>247</v>
      </c>
      <c r="E173" s="5" t="str">
        <f>VLOOKUP(F173,'Set up'!$A$2:$C$48,2,FALSE)</f>
        <v>C00000013</v>
      </c>
      <c r="F173" s="1" t="s">
        <v>1454</v>
      </c>
      <c r="G173" s="11" t="s">
        <v>97</v>
      </c>
      <c r="H173" s="5">
        <v>1</v>
      </c>
      <c r="I173" s="5" t="str">
        <f>VLOOKUP(F173,'Set up'!$A$2:$C$48,3,FALSE)</f>
        <v>Cash</v>
      </c>
      <c r="J173" s="5">
        <f>VLOOKUP(F173,'Set up'!$A$2:$D$48,4,FALSE)</f>
        <v>0</v>
      </c>
      <c r="K173" s="4">
        <f t="shared" si="26"/>
        <v>44214</v>
      </c>
      <c r="L173" s="5">
        <f t="shared" si="27"/>
        <v>1</v>
      </c>
      <c r="M173" s="5">
        <f t="shared" si="28"/>
        <v>2021</v>
      </c>
      <c r="N173" s="24">
        <v>405</v>
      </c>
      <c r="O173" s="6">
        <f t="shared" si="32"/>
        <v>-405</v>
      </c>
      <c r="P173" s="6">
        <f t="shared" si="31"/>
        <v>0</v>
      </c>
      <c r="Q173" s="7">
        <f t="shared" si="30"/>
        <v>216205.49999999997</v>
      </c>
      <c r="R173" s="44" t="str">
        <f>VLOOKUP(F173,'Set up'!$A$2:$E$48,5,FALSE)</f>
        <v>Chq</v>
      </c>
      <c r="S173" s="1" t="s">
        <v>250</v>
      </c>
    </row>
    <row r="174" spans="1:19" hidden="1" x14ac:dyDescent="0.3">
      <c r="A174" s="4">
        <v>44214</v>
      </c>
      <c r="B174" s="5">
        <f t="shared" si="33"/>
        <v>1</v>
      </c>
      <c r="C174" s="5">
        <f t="shared" si="34"/>
        <v>2021</v>
      </c>
      <c r="D174" s="5" t="s">
        <v>247</v>
      </c>
      <c r="E174" s="5" t="str">
        <f>VLOOKUP(F174,'Set up'!$A$2:$C$48,2,FALSE)</f>
        <v>C00000013</v>
      </c>
      <c r="F174" s="1" t="s">
        <v>1454</v>
      </c>
      <c r="G174" s="11" t="s">
        <v>235</v>
      </c>
      <c r="H174" s="5">
        <v>1</v>
      </c>
      <c r="I174" s="5" t="str">
        <f>VLOOKUP(F174,'Set up'!$A$2:$C$48,3,FALSE)</f>
        <v>Cash</v>
      </c>
      <c r="J174" s="5">
        <f>VLOOKUP(F174,'Set up'!$A$2:$D$48,4,FALSE)</f>
        <v>0</v>
      </c>
      <c r="K174" s="4">
        <f t="shared" si="26"/>
        <v>44214</v>
      </c>
      <c r="L174" s="5">
        <f t="shared" si="27"/>
        <v>1</v>
      </c>
      <c r="M174" s="5">
        <f t="shared" si="28"/>
        <v>2021</v>
      </c>
      <c r="N174" s="24">
        <v>130</v>
      </c>
      <c r="O174" s="6">
        <f t="shared" si="32"/>
        <v>-130</v>
      </c>
      <c r="P174" s="6">
        <f t="shared" si="31"/>
        <v>0</v>
      </c>
      <c r="Q174" s="7">
        <f t="shared" si="30"/>
        <v>216335.49999999997</v>
      </c>
      <c r="R174" s="44" t="str">
        <f>VLOOKUP(F174,'Set up'!$A$2:$E$48,5,FALSE)</f>
        <v>Chq</v>
      </c>
      <c r="S174" s="1" t="s">
        <v>250</v>
      </c>
    </row>
    <row r="175" spans="1:19" hidden="1" x14ac:dyDescent="0.3">
      <c r="A175" s="4">
        <v>44214</v>
      </c>
      <c r="B175" s="5">
        <f t="shared" si="33"/>
        <v>1</v>
      </c>
      <c r="C175" s="5">
        <f t="shared" si="34"/>
        <v>2021</v>
      </c>
      <c r="D175" s="5" t="s">
        <v>247</v>
      </c>
      <c r="E175" s="5" t="str">
        <f>VLOOKUP(F175,'Set up'!$A$2:$C$48,2,FALSE)</f>
        <v>C00000013</v>
      </c>
      <c r="F175" s="1" t="s">
        <v>1454</v>
      </c>
      <c r="G175" s="11" t="s">
        <v>179</v>
      </c>
      <c r="H175" s="5">
        <v>2</v>
      </c>
      <c r="I175" s="5" t="str">
        <f>VLOOKUP(F175,'Set up'!$A$2:$C$48,3,FALSE)</f>
        <v>Cash</v>
      </c>
      <c r="J175" s="5">
        <f>VLOOKUP(F175,'Set up'!$A$2:$D$48,4,FALSE)</f>
        <v>0</v>
      </c>
      <c r="K175" s="4">
        <f t="shared" si="26"/>
        <v>44214</v>
      </c>
      <c r="L175" s="5">
        <f t="shared" si="27"/>
        <v>1</v>
      </c>
      <c r="M175" s="5">
        <f t="shared" si="28"/>
        <v>2021</v>
      </c>
      <c r="N175" s="24">
        <v>90</v>
      </c>
      <c r="O175" s="6">
        <f t="shared" si="32"/>
        <v>-90</v>
      </c>
      <c r="P175" s="6">
        <f t="shared" si="31"/>
        <v>0</v>
      </c>
      <c r="Q175" s="7">
        <f t="shared" si="30"/>
        <v>216425.49999999997</v>
      </c>
      <c r="R175" s="44" t="str">
        <f>VLOOKUP(F175,'Set up'!$A$2:$E$48,5,FALSE)</f>
        <v>Chq</v>
      </c>
      <c r="S175" s="1" t="s">
        <v>250</v>
      </c>
    </row>
    <row r="176" spans="1:19" hidden="1" x14ac:dyDescent="0.3">
      <c r="A176" s="4">
        <v>44214</v>
      </c>
      <c r="B176" s="5">
        <f t="shared" si="33"/>
        <v>1</v>
      </c>
      <c r="C176" s="5">
        <f t="shared" si="34"/>
        <v>2021</v>
      </c>
      <c r="D176" s="5" t="s">
        <v>247</v>
      </c>
      <c r="E176" s="5" t="str">
        <f>VLOOKUP(F176,'Set up'!$A$2:$C$48,2,FALSE)</f>
        <v>C00000013</v>
      </c>
      <c r="F176" s="1" t="s">
        <v>1454</v>
      </c>
      <c r="G176" s="11" t="s">
        <v>17</v>
      </c>
      <c r="H176" s="5">
        <v>2</v>
      </c>
      <c r="I176" s="5" t="str">
        <f>VLOOKUP(F176,'Set up'!$A$2:$C$48,3,FALSE)</f>
        <v>Cash</v>
      </c>
      <c r="J176" s="5">
        <f>VLOOKUP(F176,'Set up'!$A$2:$D$48,4,FALSE)</f>
        <v>0</v>
      </c>
      <c r="K176" s="4">
        <f t="shared" si="26"/>
        <v>44214</v>
      </c>
      <c r="L176" s="5">
        <f t="shared" si="27"/>
        <v>1</v>
      </c>
      <c r="M176" s="5">
        <f t="shared" si="28"/>
        <v>2021</v>
      </c>
      <c r="N176" s="24">
        <v>190</v>
      </c>
      <c r="O176" s="6">
        <f t="shared" si="32"/>
        <v>-190</v>
      </c>
      <c r="P176" s="6">
        <f t="shared" si="31"/>
        <v>0</v>
      </c>
      <c r="Q176" s="7">
        <f t="shared" si="30"/>
        <v>216615.49999999997</v>
      </c>
      <c r="R176" s="44" t="str">
        <f>VLOOKUP(F176,'Set up'!$A$2:$E$48,5,FALSE)</f>
        <v>Chq</v>
      </c>
      <c r="S176" s="1" t="s">
        <v>250</v>
      </c>
    </row>
    <row r="177" spans="1:19" hidden="1" x14ac:dyDescent="0.3">
      <c r="A177" s="4">
        <v>44214</v>
      </c>
      <c r="B177" s="5">
        <f t="shared" si="33"/>
        <v>1</v>
      </c>
      <c r="C177" s="5">
        <f t="shared" si="34"/>
        <v>2021</v>
      </c>
      <c r="D177" s="5" t="s">
        <v>247</v>
      </c>
      <c r="E177" s="5" t="str">
        <f>VLOOKUP(F177,'Set up'!$A$2:$C$48,2,FALSE)</f>
        <v>C00000013</v>
      </c>
      <c r="F177" s="1" t="s">
        <v>1454</v>
      </c>
      <c r="G177" s="11" t="s">
        <v>219</v>
      </c>
      <c r="H177" s="5">
        <v>1</v>
      </c>
      <c r="I177" s="5" t="str">
        <f>VLOOKUP(F177,'Set up'!$A$2:$C$48,3,FALSE)</f>
        <v>Cash</v>
      </c>
      <c r="J177" s="5">
        <f>VLOOKUP(F177,'Set up'!$A$2:$D$48,4,FALSE)</f>
        <v>0</v>
      </c>
      <c r="K177" s="4">
        <f t="shared" si="26"/>
        <v>44214</v>
      </c>
      <c r="L177" s="5">
        <f t="shared" si="27"/>
        <v>1</v>
      </c>
      <c r="M177" s="5">
        <f t="shared" si="28"/>
        <v>2021</v>
      </c>
      <c r="N177" s="24">
        <v>1716</v>
      </c>
      <c r="O177" s="6">
        <f t="shared" si="32"/>
        <v>-1716</v>
      </c>
      <c r="P177" s="6">
        <f t="shared" si="31"/>
        <v>0</v>
      </c>
      <c r="Q177" s="7">
        <f t="shared" si="30"/>
        <v>218331.49999999997</v>
      </c>
      <c r="R177" s="44" t="str">
        <f>VLOOKUP(F177,'Set up'!$A$2:$E$48,5,FALSE)</f>
        <v>Chq</v>
      </c>
      <c r="S177" s="1" t="s">
        <v>250</v>
      </c>
    </row>
    <row r="178" spans="1:19" ht="46.8" hidden="1" x14ac:dyDescent="0.3">
      <c r="A178" s="4">
        <v>44223</v>
      </c>
      <c r="B178" s="5">
        <f t="shared" si="33"/>
        <v>1</v>
      </c>
      <c r="C178" s="5">
        <f t="shared" si="34"/>
        <v>2021</v>
      </c>
      <c r="D178" s="5" t="s">
        <v>251</v>
      </c>
      <c r="E178" s="5" t="str">
        <f>VLOOKUP(F178,'Set up'!$A$2:$C$48,2,FALSE)</f>
        <v>C00000003</v>
      </c>
      <c r="F178" s="1" t="s">
        <v>20</v>
      </c>
      <c r="G178" s="11" t="s">
        <v>67</v>
      </c>
      <c r="H178" s="5">
        <v>3</v>
      </c>
      <c r="I178" s="5">
        <f>VLOOKUP(F178,'Set up'!$A$2:$C$48,3,FALSE)</f>
        <v>45</v>
      </c>
      <c r="J178" s="5">
        <f>VLOOKUP(F178,'Set up'!$A$2:$D$48,4,FALSE)</f>
        <v>45</v>
      </c>
      <c r="K178" s="4">
        <f t="shared" si="26"/>
        <v>44268</v>
      </c>
      <c r="L178" s="5">
        <f t="shared" si="27"/>
        <v>3</v>
      </c>
      <c r="M178" s="5">
        <f t="shared" si="28"/>
        <v>2021</v>
      </c>
      <c r="N178" s="24">
        <v>5082</v>
      </c>
      <c r="O178" s="6">
        <f t="shared" si="32"/>
        <v>-5082</v>
      </c>
      <c r="P178" s="6">
        <f t="shared" si="31"/>
        <v>0</v>
      </c>
      <c r="Q178" s="7">
        <f t="shared" si="30"/>
        <v>223413.49999999997</v>
      </c>
      <c r="R178" s="44" t="str">
        <f>VLOOKUP(F178,'Set up'!$A$2:$E$48,5,FALSE)</f>
        <v>PD Chq</v>
      </c>
      <c r="S178" s="40" t="s">
        <v>252</v>
      </c>
    </row>
    <row r="179" spans="1:19" ht="46.8" hidden="1" x14ac:dyDescent="0.3">
      <c r="A179" s="4">
        <v>44223</v>
      </c>
      <c r="B179" s="5">
        <f t="shared" si="33"/>
        <v>1</v>
      </c>
      <c r="C179" s="5">
        <f t="shared" si="34"/>
        <v>2021</v>
      </c>
      <c r="D179" s="5" t="s">
        <v>251</v>
      </c>
      <c r="E179" s="5" t="str">
        <f>VLOOKUP(F179,'Set up'!$A$2:$C$48,2,FALSE)</f>
        <v>C00000003</v>
      </c>
      <c r="F179" s="1" t="s">
        <v>20</v>
      </c>
      <c r="G179" s="11" t="s">
        <v>54</v>
      </c>
      <c r="H179" s="5">
        <v>5</v>
      </c>
      <c r="I179" s="5">
        <f>VLOOKUP(F179,'Set up'!$A$2:$C$48,3,FALSE)</f>
        <v>45</v>
      </c>
      <c r="J179" s="5">
        <f>VLOOKUP(F179,'Set up'!$A$2:$D$48,4,FALSE)</f>
        <v>45</v>
      </c>
      <c r="K179" s="4">
        <f t="shared" si="26"/>
        <v>44268</v>
      </c>
      <c r="L179" s="5">
        <f t="shared" si="27"/>
        <v>3</v>
      </c>
      <c r="M179" s="5">
        <f t="shared" si="28"/>
        <v>2021</v>
      </c>
      <c r="N179" s="24">
        <v>250</v>
      </c>
      <c r="O179" s="6">
        <f t="shared" si="32"/>
        <v>-250</v>
      </c>
      <c r="P179" s="6">
        <f t="shared" si="31"/>
        <v>0</v>
      </c>
      <c r="Q179" s="7">
        <f t="shared" si="30"/>
        <v>223663.49999999997</v>
      </c>
      <c r="R179" s="44" t="str">
        <f>VLOOKUP(F179,'Set up'!$A$2:$E$48,5,FALSE)</f>
        <v>PD Chq</v>
      </c>
      <c r="S179" s="40" t="s">
        <v>252</v>
      </c>
    </row>
    <row r="180" spans="1:19" ht="46.8" hidden="1" x14ac:dyDescent="0.3">
      <c r="A180" s="4">
        <v>44223</v>
      </c>
      <c r="B180" s="5">
        <f t="shared" si="33"/>
        <v>1</v>
      </c>
      <c r="C180" s="5">
        <f t="shared" si="34"/>
        <v>2021</v>
      </c>
      <c r="D180" s="5" t="s">
        <v>251</v>
      </c>
      <c r="E180" s="5" t="str">
        <f>VLOOKUP(F180,'Set up'!$A$2:$C$48,2,FALSE)</f>
        <v>C00000003</v>
      </c>
      <c r="F180" s="1" t="s">
        <v>20</v>
      </c>
      <c r="G180" s="11" t="s">
        <v>46</v>
      </c>
      <c r="H180" s="5">
        <v>6</v>
      </c>
      <c r="I180" s="5">
        <f>VLOOKUP(F180,'Set up'!$A$2:$C$48,3,FALSE)</f>
        <v>45</v>
      </c>
      <c r="J180" s="5">
        <f>VLOOKUP(F180,'Set up'!$A$2:$D$48,4,FALSE)</f>
        <v>45</v>
      </c>
      <c r="K180" s="4">
        <f t="shared" si="26"/>
        <v>44268</v>
      </c>
      <c r="L180" s="5">
        <f t="shared" si="27"/>
        <v>3</v>
      </c>
      <c r="M180" s="5">
        <f t="shared" si="28"/>
        <v>2021</v>
      </c>
      <c r="N180" s="24">
        <v>555</v>
      </c>
      <c r="O180" s="6">
        <f t="shared" si="32"/>
        <v>-555</v>
      </c>
      <c r="P180" s="6">
        <f t="shared" si="31"/>
        <v>0</v>
      </c>
      <c r="Q180" s="7">
        <f t="shared" si="30"/>
        <v>224218.49999999997</v>
      </c>
      <c r="R180" s="44" t="str">
        <f>VLOOKUP(F180,'Set up'!$A$2:$E$48,5,FALSE)</f>
        <v>PD Chq</v>
      </c>
      <c r="S180" s="40" t="s">
        <v>252</v>
      </c>
    </row>
    <row r="181" spans="1:19" hidden="1" x14ac:dyDescent="0.3">
      <c r="A181" s="4">
        <v>44225</v>
      </c>
      <c r="B181" s="5">
        <f t="shared" si="33"/>
        <v>1</v>
      </c>
      <c r="C181" s="5">
        <f t="shared" si="34"/>
        <v>2021</v>
      </c>
      <c r="D181" s="5" t="s">
        <v>253</v>
      </c>
      <c r="E181" s="5" t="str">
        <f>VLOOKUP(F181,'Set up'!$A$2:$C$48,2,FALSE)</f>
        <v>C00000001</v>
      </c>
      <c r="F181" s="1" t="s">
        <v>7</v>
      </c>
      <c r="G181" s="2" t="s">
        <v>95</v>
      </c>
      <c r="H181" s="5">
        <v>1</v>
      </c>
      <c r="I181" s="5" t="str">
        <f>VLOOKUP(F181,'Set up'!$A$2:$C$48,3,FALSE)</f>
        <v>Cash</v>
      </c>
      <c r="J181" s="5">
        <f>VLOOKUP(F181,'Set up'!$A$2:$D$48,4,FALSE)</f>
        <v>0</v>
      </c>
      <c r="K181" s="4">
        <f t="shared" si="26"/>
        <v>44225</v>
      </c>
      <c r="L181" s="5">
        <f t="shared" si="27"/>
        <v>1</v>
      </c>
      <c r="M181" s="5">
        <f t="shared" si="28"/>
        <v>2021</v>
      </c>
      <c r="N181" s="24">
        <v>1694</v>
      </c>
      <c r="O181" s="6">
        <f t="shared" si="32"/>
        <v>-1694</v>
      </c>
      <c r="P181" s="6">
        <f t="shared" si="31"/>
        <v>0</v>
      </c>
      <c r="Q181" s="7">
        <f t="shared" si="30"/>
        <v>225912.49999999997</v>
      </c>
      <c r="R181" s="44" t="str">
        <f>VLOOKUP(F181,'Set up'!$A$2:$E$48,5,FALSE)</f>
        <v>Trsf</v>
      </c>
      <c r="S181" s="1" t="s">
        <v>268</v>
      </c>
    </row>
    <row r="182" spans="1:19" hidden="1" x14ac:dyDescent="0.3">
      <c r="A182" s="4">
        <v>44225</v>
      </c>
      <c r="B182" s="5">
        <f t="shared" si="33"/>
        <v>1</v>
      </c>
      <c r="C182" s="5">
        <f t="shared" si="34"/>
        <v>2021</v>
      </c>
      <c r="D182" s="5" t="s">
        <v>253</v>
      </c>
      <c r="E182" s="5" t="str">
        <f>VLOOKUP(F182,'Set up'!$A$2:$C$48,2,FALSE)</f>
        <v>C00000001</v>
      </c>
      <c r="F182" s="1" t="s">
        <v>7</v>
      </c>
      <c r="G182" s="11" t="s">
        <v>181</v>
      </c>
      <c r="H182" s="5">
        <v>4</v>
      </c>
      <c r="I182" s="5" t="str">
        <f>VLOOKUP(F182,'Set up'!$A$2:$C$48,3,FALSE)</f>
        <v>Cash</v>
      </c>
      <c r="J182" s="5">
        <f>VLOOKUP(F182,'Set up'!$A$2:$D$48,4,FALSE)</f>
        <v>0</v>
      </c>
      <c r="K182" s="4">
        <f t="shared" si="26"/>
        <v>44225</v>
      </c>
      <c r="L182" s="5">
        <f t="shared" si="27"/>
        <v>1</v>
      </c>
      <c r="M182" s="5">
        <f t="shared" si="28"/>
        <v>2021</v>
      </c>
      <c r="N182" s="24">
        <v>900</v>
      </c>
      <c r="O182" s="6">
        <f t="shared" si="32"/>
        <v>-900</v>
      </c>
      <c r="P182" s="6">
        <f t="shared" si="31"/>
        <v>0</v>
      </c>
      <c r="Q182" s="7">
        <f t="shared" si="30"/>
        <v>226812.49999999997</v>
      </c>
      <c r="R182" s="44" t="str">
        <f>VLOOKUP(F182,'Set up'!$A$2:$E$48,5,FALSE)</f>
        <v>Trsf</v>
      </c>
      <c r="S182" s="1" t="s">
        <v>268</v>
      </c>
    </row>
    <row r="183" spans="1:19" hidden="1" x14ac:dyDescent="0.3">
      <c r="A183" s="4">
        <v>44225</v>
      </c>
      <c r="B183" s="5">
        <f t="shared" si="33"/>
        <v>1</v>
      </c>
      <c r="C183" s="5">
        <f t="shared" si="34"/>
        <v>2021</v>
      </c>
      <c r="D183" s="5" t="s">
        <v>253</v>
      </c>
      <c r="E183" s="5" t="str">
        <f>VLOOKUP(F183,'Set up'!$A$2:$C$48,2,FALSE)</f>
        <v>C00000001</v>
      </c>
      <c r="F183" s="1" t="s">
        <v>7</v>
      </c>
      <c r="G183" s="11" t="s">
        <v>202</v>
      </c>
      <c r="H183" s="5">
        <v>1</v>
      </c>
      <c r="I183" s="5" t="str">
        <f>VLOOKUP(F183,'Set up'!$A$2:$C$48,3,FALSE)</f>
        <v>Cash</v>
      </c>
      <c r="J183" s="5">
        <f>VLOOKUP(F183,'Set up'!$A$2:$D$48,4,FALSE)</f>
        <v>0</v>
      </c>
      <c r="K183" s="4">
        <f t="shared" si="26"/>
        <v>44225</v>
      </c>
      <c r="L183" s="5">
        <f t="shared" si="27"/>
        <v>1</v>
      </c>
      <c r="M183" s="5">
        <f t="shared" si="28"/>
        <v>2021</v>
      </c>
      <c r="N183" s="24">
        <v>272</v>
      </c>
      <c r="O183" s="6">
        <f t="shared" si="32"/>
        <v>-272</v>
      </c>
      <c r="P183" s="6">
        <f t="shared" si="31"/>
        <v>0</v>
      </c>
      <c r="Q183" s="7">
        <f t="shared" si="30"/>
        <v>227084.49999999997</v>
      </c>
      <c r="R183" s="44" t="str">
        <f>VLOOKUP(F183,'Set up'!$A$2:$E$48,5,FALSE)</f>
        <v>Trsf</v>
      </c>
      <c r="S183" s="1" t="s">
        <v>268</v>
      </c>
    </row>
    <row r="184" spans="1:19" hidden="1" x14ac:dyDescent="0.3">
      <c r="A184" s="4">
        <v>44225</v>
      </c>
      <c r="B184" s="5">
        <f t="shared" si="33"/>
        <v>1</v>
      </c>
      <c r="C184" s="5">
        <f t="shared" si="34"/>
        <v>2021</v>
      </c>
      <c r="D184" s="5" t="s">
        <v>254</v>
      </c>
      <c r="E184" s="5" t="str">
        <f>VLOOKUP(F184,'Set up'!$A$2:$C$48,2,FALSE)</f>
        <v>C00000010</v>
      </c>
      <c r="F184" s="1" t="s">
        <v>62</v>
      </c>
      <c r="G184" s="11" t="s">
        <v>219</v>
      </c>
      <c r="H184" s="5">
        <v>5</v>
      </c>
      <c r="I184" s="5">
        <f>VLOOKUP(F184,'Set up'!$A$2:$C$48,3,FALSE)</f>
        <v>120</v>
      </c>
      <c r="J184" s="5">
        <f>VLOOKUP(F184,'Set up'!$A$2:$D$48,4,FALSE)</f>
        <v>120</v>
      </c>
      <c r="K184" s="4">
        <f t="shared" si="26"/>
        <v>44345</v>
      </c>
      <c r="L184" s="5">
        <f t="shared" si="27"/>
        <v>5</v>
      </c>
      <c r="M184" s="5">
        <f t="shared" si="28"/>
        <v>2021</v>
      </c>
      <c r="N184" s="24">
        <v>7700</v>
      </c>
      <c r="O184" s="6">
        <f t="shared" si="32"/>
        <v>-7700</v>
      </c>
      <c r="P184" s="6">
        <f t="shared" si="31"/>
        <v>0</v>
      </c>
      <c r="Q184" s="7">
        <f t="shared" si="30"/>
        <v>234784.49999999997</v>
      </c>
      <c r="R184" s="44" t="str">
        <f>VLOOKUP(F184,'Set up'!$A$2:$E$48,5,FALSE)</f>
        <v>Trsf</v>
      </c>
      <c r="S184" s="1" t="s">
        <v>344</v>
      </c>
    </row>
    <row r="185" spans="1:19" hidden="1" x14ac:dyDescent="0.3">
      <c r="A185" s="4">
        <v>44225</v>
      </c>
      <c r="B185" s="5">
        <f t="shared" si="33"/>
        <v>1</v>
      </c>
      <c r="C185" s="5">
        <f t="shared" si="34"/>
        <v>2021</v>
      </c>
      <c r="D185" s="5" t="s">
        <v>254</v>
      </c>
      <c r="E185" s="5" t="str">
        <f>VLOOKUP(F185,'Set up'!$A$2:$C$48,2,FALSE)</f>
        <v>C00000010</v>
      </c>
      <c r="F185" s="1" t="s">
        <v>62</v>
      </c>
      <c r="G185" s="11" t="s">
        <v>220</v>
      </c>
      <c r="H185" s="5">
        <v>8</v>
      </c>
      <c r="I185" s="5">
        <f>VLOOKUP(F185,'Set up'!$A$2:$C$48,3,FALSE)</f>
        <v>120</v>
      </c>
      <c r="J185" s="5">
        <f>VLOOKUP(F185,'Set up'!$A$2:$D$48,4,FALSE)</f>
        <v>120</v>
      </c>
      <c r="K185" s="4">
        <f t="shared" si="26"/>
        <v>44345</v>
      </c>
      <c r="L185" s="5">
        <f t="shared" si="27"/>
        <v>5</v>
      </c>
      <c r="M185" s="5">
        <f t="shared" si="28"/>
        <v>2021</v>
      </c>
      <c r="N185" s="24">
        <v>1680</v>
      </c>
      <c r="O185" s="6">
        <f t="shared" si="32"/>
        <v>-1680</v>
      </c>
      <c r="P185" s="6">
        <f t="shared" si="31"/>
        <v>0</v>
      </c>
      <c r="Q185" s="7">
        <f t="shared" si="30"/>
        <v>236464.49999999997</v>
      </c>
      <c r="R185" s="44" t="str">
        <f>VLOOKUP(F185,'Set up'!$A$2:$E$48,5,FALSE)</f>
        <v>Trsf</v>
      </c>
      <c r="S185" s="1" t="s">
        <v>344</v>
      </c>
    </row>
    <row r="186" spans="1:19" hidden="1" x14ac:dyDescent="0.3">
      <c r="A186" s="4">
        <v>44225</v>
      </c>
      <c r="B186" s="5">
        <f t="shared" si="33"/>
        <v>1</v>
      </c>
      <c r="C186" s="5">
        <f t="shared" si="34"/>
        <v>2021</v>
      </c>
      <c r="D186" s="5" t="s">
        <v>254</v>
      </c>
      <c r="E186" s="5" t="str">
        <f>VLOOKUP(F186,'Set up'!$A$2:$C$48,2,FALSE)</f>
        <v>C00000010</v>
      </c>
      <c r="F186" s="1" t="s">
        <v>62</v>
      </c>
      <c r="G186" s="11" t="s">
        <v>64</v>
      </c>
      <c r="H186" s="5">
        <v>10</v>
      </c>
      <c r="I186" s="5">
        <f>VLOOKUP(F186,'Set up'!$A$2:$C$48,3,FALSE)</f>
        <v>120</v>
      </c>
      <c r="J186" s="5">
        <f>VLOOKUP(F186,'Set up'!$A$2:$D$48,4,FALSE)</f>
        <v>120</v>
      </c>
      <c r="K186" s="4">
        <f t="shared" si="26"/>
        <v>44345</v>
      </c>
      <c r="L186" s="5">
        <f t="shared" si="27"/>
        <v>5</v>
      </c>
      <c r="M186" s="5">
        <f t="shared" si="28"/>
        <v>2021</v>
      </c>
      <c r="N186" s="24">
        <v>550</v>
      </c>
      <c r="O186" s="6">
        <f t="shared" si="32"/>
        <v>-550</v>
      </c>
      <c r="P186" s="6">
        <f t="shared" si="31"/>
        <v>0</v>
      </c>
      <c r="Q186" s="7">
        <f t="shared" si="30"/>
        <v>237014.49999999997</v>
      </c>
      <c r="R186" s="44" t="str">
        <f>VLOOKUP(F186,'Set up'!$A$2:$E$48,5,FALSE)</f>
        <v>Trsf</v>
      </c>
      <c r="S186" s="1" t="s">
        <v>344</v>
      </c>
    </row>
    <row r="187" spans="1:19" hidden="1" x14ac:dyDescent="0.3">
      <c r="A187" s="4">
        <v>44225</v>
      </c>
      <c r="B187" s="5">
        <f t="shared" si="33"/>
        <v>1</v>
      </c>
      <c r="C187" s="5">
        <f t="shared" si="34"/>
        <v>2021</v>
      </c>
      <c r="D187" s="5" t="s">
        <v>254</v>
      </c>
      <c r="E187" s="5" t="str">
        <f>VLOOKUP(F187,'Set up'!$A$2:$C$48,2,FALSE)</f>
        <v>C00000010</v>
      </c>
      <c r="F187" s="1" t="s">
        <v>62</v>
      </c>
      <c r="G187" s="11" t="s">
        <v>46</v>
      </c>
      <c r="H187" s="5">
        <v>4</v>
      </c>
      <c r="I187" s="5">
        <f>VLOOKUP(F187,'Set up'!$A$2:$C$48,3,FALSE)</f>
        <v>120</v>
      </c>
      <c r="J187" s="5">
        <f>VLOOKUP(F187,'Set up'!$A$2:$D$48,4,FALSE)</f>
        <v>120</v>
      </c>
      <c r="K187" s="4">
        <f t="shared" si="26"/>
        <v>44345</v>
      </c>
      <c r="L187" s="5">
        <f t="shared" si="27"/>
        <v>5</v>
      </c>
      <c r="M187" s="5">
        <f t="shared" si="28"/>
        <v>2021</v>
      </c>
      <c r="N187" s="24">
        <v>380</v>
      </c>
      <c r="O187" s="6">
        <f t="shared" ref="O187:O218" si="35">-N187</f>
        <v>-380</v>
      </c>
      <c r="P187" s="6">
        <f t="shared" si="31"/>
        <v>0</v>
      </c>
      <c r="Q187" s="7">
        <f t="shared" si="30"/>
        <v>237394.49999999997</v>
      </c>
      <c r="R187" s="44" t="str">
        <f>VLOOKUP(F187,'Set up'!$A$2:$E$48,5,FALSE)</f>
        <v>Trsf</v>
      </c>
      <c r="S187" s="1" t="s">
        <v>344</v>
      </c>
    </row>
    <row r="188" spans="1:19" hidden="1" x14ac:dyDescent="0.3">
      <c r="A188" s="4">
        <v>44230</v>
      </c>
      <c r="B188" s="5">
        <f t="shared" si="33"/>
        <v>2</v>
      </c>
      <c r="C188" s="5">
        <f t="shared" si="34"/>
        <v>2021</v>
      </c>
      <c r="D188" s="5" t="s">
        <v>257</v>
      </c>
      <c r="E188" s="5" t="str">
        <f>VLOOKUP(F188,'Set up'!$A$2:$C$48,2,FALSE)</f>
        <v>C00000014</v>
      </c>
      <c r="F188" s="1" t="s">
        <v>263</v>
      </c>
      <c r="G188" s="11" t="s">
        <v>67</v>
      </c>
      <c r="H188" s="5">
        <v>2</v>
      </c>
      <c r="I188" s="5" t="str">
        <f>VLOOKUP(F188,'Set up'!$A$2:$C$48,3,FALSE)</f>
        <v>Cash</v>
      </c>
      <c r="J188" s="5">
        <f>VLOOKUP(F188,'Set up'!$A$2:$D$48,4,FALSE)</f>
        <v>0</v>
      </c>
      <c r="K188" s="4">
        <f t="shared" si="26"/>
        <v>44230</v>
      </c>
      <c r="L188" s="5">
        <f t="shared" si="27"/>
        <v>2</v>
      </c>
      <c r="M188" s="5">
        <f t="shared" si="28"/>
        <v>2021</v>
      </c>
      <c r="N188" s="24">
        <v>3344</v>
      </c>
      <c r="O188" s="6">
        <f t="shared" si="35"/>
        <v>-3344</v>
      </c>
      <c r="P188" s="6">
        <f t="shared" si="31"/>
        <v>0</v>
      </c>
      <c r="Q188" s="7">
        <f t="shared" si="30"/>
        <v>240738.49999999997</v>
      </c>
      <c r="R188" s="44" t="str">
        <f>VLOOKUP(F188,'Set up'!$A$2:$E$48,5,FALSE)</f>
        <v>Cash</v>
      </c>
      <c r="S188" s="1" t="s">
        <v>269</v>
      </c>
    </row>
    <row r="189" spans="1:19" hidden="1" x14ac:dyDescent="0.3">
      <c r="A189" s="4">
        <v>44230</v>
      </c>
      <c r="B189" s="5">
        <f t="shared" si="33"/>
        <v>2</v>
      </c>
      <c r="C189" s="5">
        <f t="shared" si="34"/>
        <v>2021</v>
      </c>
      <c r="D189" s="5" t="s">
        <v>257</v>
      </c>
      <c r="E189" s="5" t="str">
        <f>VLOOKUP(F189,'Set up'!$A$2:$C$48,2,FALSE)</f>
        <v>C00000014</v>
      </c>
      <c r="F189" s="1" t="s">
        <v>263</v>
      </c>
      <c r="G189" s="11" t="s">
        <v>181</v>
      </c>
      <c r="H189" s="5">
        <v>5</v>
      </c>
      <c r="I189" s="5" t="str">
        <f>VLOOKUP(F189,'Set up'!$A$2:$C$48,3,FALSE)</f>
        <v>Cash</v>
      </c>
      <c r="J189" s="5">
        <f>VLOOKUP(F189,'Set up'!$A$2:$D$48,4,FALSE)</f>
        <v>0</v>
      </c>
      <c r="K189" s="4">
        <f t="shared" si="26"/>
        <v>44230</v>
      </c>
      <c r="L189" s="5">
        <f t="shared" si="27"/>
        <v>2</v>
      </c>
      <c r="M189" s="5">
        <f t="shared" si="28"/>
        <v>2021</v>
      </c>
      <c r="N189" s="24">
        <v>1125</v>
      </c>
      <c r="O189" s="6">
        <f t="shared" si="35"/>
        <v>-1125</v>
      </c>
      <c r="P189" s="6">
        <f t="shared" si="31"/>
        <v>0</v>
      </c>
      <c r="Q189" s="7">
        <f t="shared" si="30"/>
        <v>241863.49999999997</v>
      </c>
      <c r="R189" s="44" t="str">
        <f>VLOOKUP(F189,'Set up'!$A$2:$E$48,5,FALSE)</f>
        <v>Cash</v>
      </c>
      <c r="S189" s="1" t="s">
        <v>269</v>
      </c>
    </row>
    <row r="190" spans="1:19" hidden="1" x14ac:dyDescent="0.3">
      <c r="A190" s="4">
        <v>44230</v>
      </c>
      <c r="B190" s="5">
        <f t="shared" si="33"/>
        <v>2</v>
      </c>
      <c r="C190" s="5">
        <f t="shared" si="34"/>
        <v>2021</v>
      </c>
      <c r="D190" s="5" t="s">
        <v>257</v>
      </c>
      <c r="E190" s="5" t="str">
        <f>VLOOKUP(F190,'Set up'!$A$2:$C$48,2,FALSE)</f>
        <v>C00000014</v>
      </c>
      <c r="F190" s="1" t="s">
        <v>263</v>
      </c>
      <c r="G190" s="11" t="s">
        <v>259</v>
      </c>
      <c r="H190" s="5">
        <v>1</v>
      </c>
      <c r="I190" s="5" t="str">
        <f>VLOOKUP(F190,'Set up'!$A$2:$C$48,3,FALSE)</f>
        <v>Cash</v>
      </c>
      <c r="J190" s="5">
        <f>VLOOKUP(F190,'Set up'!$A$2:$D$48,4,FALSE)</f>
        <v>0</v>
      </c>
      <c r="K190" s="4">
        <f t="shared" si="26"/>
        <v>44230</v>
      </c>
      <c r="L190" s="5">
        <f t="shared" si="27"/>
        <v>2</v>
      </c>
      <c r="M190" s="5">
        <f t="shared" si="28"/>
        <v>2021</v>
      </c>
      <c r="N190" s="24">
        <v>280</v>
      </c>
      <c r="O190" s="6">
        <f t="shared" si="35"/>
        <v>-280</v>
      </c>
      <c r="P190" s="6">
        <f t="shared" si="31"/>
        <v>0</v>
      </c>
      <c r="Q190" s="7">
        <f t="shared" si="30"/>
        <v>242143.49999999997</v>
      </c>
      <c r="R190" s="44" t="str">
        <f>VLOOKUP(F190,'Set up'!$A$2:$E$48,5,FALSE)</f>
        <v>Cash</v>
      </c>
      <c r="S190" s="1" t="s">
        <v>269</v>
      </c>
    </row>
    <row r="191" spans="1:19" hidden="1" x14ac:dyDescent="0.3">
      <c r="A191" s="4">
        <v>44230</v>
      </c>
      <c r="B191" s="5">
        <f t="shared" si="33"/>
        <v>2</v>
      </c>
      <c r="C191" s="5">
        <f t="shared" si="34"/>
        <v>2021</v>
      </c>
      <c r="D191" s="5" t="s">
        <v>257</v>
      </c>
      <c r="E191" s="5" t="str">
        <f>VLOOKUP(F191,'Set up'!$A$2:$C$48,2,FALSE)</f>
        <v>C00000014</v>
      </c>
      <c r="F191" s="1" t="s">
        <v>263</v>
      </c>
      <c r="G191" s="11" t="s">
        <v>46</v>
      </c>
      <c r="H191" s="5">
        <v>2</v>
      </c>
      <c r="I191" s="5" t="str">
        <f>VLOOKUP(F191,'Set up'!$A$2:$C$48,3,FALSE)</f>
        <v>Cash</v>
      </c>
      <c r="J191" s="5">
        <f>VLOOKUP(F191,'Set up'!$A$2:$D$48,4,FALSE)</f>
        <v>0</v>
      </c>
      <c r="K191" s="4">
        <f t="shared" si="26"/>
        <v>44230</v>
      </c>
      <c r="L191" s="5">
        <f t="shared" si="27"/>
        <v>2</v>
      </c>
      <c r="M191" s="5">
        <f t="shared" si="28"/>
        <v>2021</v>
      </c>
      <c r="N191" s="24">
        <v>195</v>
      </c>
      <c r="O191" s="6">
        <f t="shared" si="35"/>
        <v>-195</v>
      </c>
      <c r="P191" s="6">
        <f t="shared" si="31"/>
        <v>0</v>
      </c>
      <c r="Q191" s="7">
        <f t="shared" si="30"/>
        <v>242338.49999999997</v>
      </c>
      <c r="R191" s="44" t="str">
        <f>VLOOKUP(F191,'Set up'!$A$2:$E$48,5,FALSE)</f>
        <v>Cash</v>
      </c>
      <c r="S191" s="1" t="s">
        <v>269</v>
      </c>
    </row>
    <row r="192" spans="1:19" hidden="1" x14ac:dyDescent="0.3">
      <c r="A192" s="4">
        <v>44230</v>
      </c>
      <c r="B192" s="5">
        <f t="shared" si="33"/>
        <v>2</v>
      </c>
      <c r="C192" s="5">
        <f t="shared" si="34"/>
        <v>2021</v>
      </c>
      <c r="D192" s="5" t="s">
        <v>257</v>
      </c>
      <c r="E192" s="5" t="str">
        <f>VLOOKUP(F192,'Set up'!$A$2:$C$48,2,FALSE)</f>
        <v>C00000014</v>
      </c>
      <c r="F192" s="1" t="s">
        <v>263</v>
      </c>
      <c r="G192" s="11" t="s">
        <v>179</v>
      </c>
      <c r="H192" s="5">
        <v>4</v>
      </c>
      <c r="I192" s="5" t="str">
        <f>VLOOKUP(F192,'Set up'!$A$2:$C$48,3,FALSE)</f>
        <v>Cash</v>
      </c>
      <c r="J192" s="5">
        <f>VLOOKUP(F192,'Set up'!$A$2:$D$48,4,FALSE)</f>
        <v>0</v>
      </c>
      <c r="K192" s="4">
        <f t="shared" si="26"/>
        <v>44230</v>
      </c>
      <c r="L192" s="5">
        <f t="shared" si="27"/>
        <v>2</v>
      </c>
      <c r="M192" s="5">
        <f t="shared" si="28"/>
        <v>2021</v>
      </c>
      <c r="N192" s="24">
        <v>180</v>
      </c>
      <c r="O192" s="6">
        <f t="shared" si="35"/>
        <v>-180</v>
      </c>
      <c r="P192" s="6">
        <f t="shared" si="31"/>
        <v>0</v>
      </c>
      <c r="Q192" s="7">
        <f t="shared" si="30"/>
        <v>242518.49999999997</v>
      </c>
      <c r="R192" s="44" t="str">
        <f>VLOOKUP(F192,'Set up'!$A$2:$E$48,5,FALSE)</f>
        <v>Cash</v>
      </c>
      <c r="S192" s="1" t="s">
        <v>269</v>
      </c>
    </row>
    <row r="193" spans="1:19" hidden="1" x14ac:dyDescent="0.3">
      <c r="A193" s="4">
        <v>44230</v>
      </c>
      <c r="B193" s="5">
        <v>2</v>
      </c>
      <c r="C193" s="5">
        <v>2021</v>
      </c>
      <c r="D193" s="5" t="s">
        <v>257</v>
      </c>
      <c r="E193" s="5" t="str">
        <f>VLOOKUP(F193,'Set up'!$A$2:$C$48,2,FALSE)</f>
        <v>C00000014</v>
      </c>
      <c r="F193" s="1" t="s">
        <v>263</v>
      </c>
      <c r="G193" s="11" t="s">
        <v>44</v>
      </c>
      <c r="H193" s="5">
        <v>1</v>
      </c>
      <c r="I193" s="5" t="str">
        <f>VLOOKUP(F193,'Set up'!$A$2:$C$48,3,FALSE)</f>
        <v>Cash</v>
      </c>
      <c r="J193" s="5">
        <f>VLOOKUP(F193,'Set up'!$A$2:$D$48,4,FALSE)</f>
        <v>0</v>
      </c>
      <c r="K193" s="4">
        <f t="shared" si="26"/>
        <v>44230</v>
      </c>
      <c r="L193" s="5">
        <f t="shared" si="27"/>
        <v>2</v>
      </c>
      <c r="M193" s="5">
        <f t="shared" si="28"/>
        <v>2021</v>
      </c>
      <c r="N193" s="24">
        <v>232</v>
      </c>
      <c r="O193" s="6">
        <f t="shared" si="35"/>
        <v>-232</v>
      </c>
      <c r="P193" s="6">
        <f t="shared" si="31"/>
        <v>0</v>
      </c>
      <c r="Q193" s="7">
        <f t="shared" si="30"/>
        <v>242750.49999999997</v>
      </c>
      <c r="R193" s="44" t="str">
        <f>VLOOKUP(F193,'Set up'!$A$2:$E$48,5,FALSE)</f>
        <v>Cash</v>
      </c>
      <c r="S193" s="1" t="s">
        <v>269</v>
      </c>
    </row>
    <row r="194" spans="1:19" hidden="1" x14ac:dyDescent="0.3">
      <c r="A194" s="4">
        <v>44229</v>
      </c>
      <c r="B194" s="5">
        <f t="shared" ref="B194:B225" si="36">MONTH(A194)</f>
        <v>2</v>
      </c>
      <c r="C194" s="5">
        <f t="shared" ref="C194:C225" si="37">YEAR(A194)</f>
        <v>2021</v>
      </c>
      <c r="D194" s="5" t="s">
        <v>261</v>
      </c>
      <c r="E194" s="5" t="str">
        <f>VLOOKUP(F194,'Set up'!$A$2:$C$48,2,FALSE)</f>
        <v>C00000005</v>
      </c>
      <c r="F194" s="1" t="s">
        <v>35</v>
      </c>
      <c r="G194" s="11" t="s">
        <v>67</v>
      </c>
      <c r="H194" s="5">
        <v>1</v>
      </c>
      <c r="I194" s="5" t="str">
        <f>VLOOKUP(F194,'Set up'!$A$2:$C$48,3,FALSE)</f>
        <v>Cash</v>
      </c>
      <c r="J194" s="5">
        <f>VLOOKUP(F194,'Set up'!$A$2:$D$48,4,FALSE)</f>
        <v>0</v>
      </c>
      <c r="K194" s="4">
        <f t="shared" ref="K194:K252" si="38">A194+J194</f>
        <v>44229</v>
      </c>
      <c r="L194" s="5">
        <f t="shared" ref="L194:L257" si="39">MONTH(K194)</f>
        <v>2</v>
      </c>
      <c r="M194" s="5">
        <f t="shared" ref="M194:M257" si="40">YEAR(K194)</f>
        <v>2021</v>
      </c>
      <c r="N194" s="24">
        <v>1650</v>
      </c>
      <c r="O194" s="6">
        <f t="shared" si="35"/>
        <v>-1650</v>
      </c>
      <c r="P194" s="6">
        <f t="shared" si="31"/>
        <v>0</v>
      </c>
      <c r="Q194" s="7">
        <f t="shared" si="30"/>
        <v>244400.49999999997</v>
      </c>
      <c r="R194" s="44" t="str">
        <f>VLOOKUP(F194,'Set up'!$A$2:$E$48,5,FALSE)</f>
        <v>Chq</v>
      </c>
      <c r="S194" s="1" t="s">
        <v>270</v>
      </c>
    </row>
    <row r="195" spans="1:19" hidden="1" x14ac:dyDescent="0.3">
      <c r="A195" s="4">
        <v>44229</v>
      </c>
      <c r="B195" s="5">
        <f t="shared" si="36"/>
        <v>2</v>
      </c>
      <c r="C195" s="5">
        <f t="shared" si="37"/>
        <v>2021</v>
      </c>
      <c r="D195" s="5" t="s">
        <v>261</v>
      </c>
      <c r="E195" s="5" t="str">
        <f>VLOOKUP(F195,'Set up'!$A$2:$C$48,2,FALSE)</f>
        <v>C00000005</v>
      </c>
      <c r="F195" s="1" t="s">
        <v>35</v>
      </c>
      <c r="G195" s="11" t="s">
        <v>46</v>
      </c>
      <c r="H195" s="5">
        <v>1</v>
      </c>
      <c r="I195" s="5" t="str">
        <f>VLOOKUP(F195,'Set up'!$A$2:$C$48,3,FALSE)</f>
        <v>Cash</v>
      </c>
      <c r="J195" s="5">
        <f>VLOOKUP(F195,'Set up'!$A$2:$D$48,4,FALSE)</f>
        <v>0</v>
      </c>
      <c r="K195" s="4">
        <f t="shared" si="38"/>
        <v>44229</v>
      </c>
      <c r="L195" s="5">
        <f t="shared" si="39"/>
        <v>2</v>
      </c>
      <c r="M195" s="5">
        <f t="shared" si="40"/>
        <v>2021</v>
      </c>
      <c r="N195" s="24">
        <v>100</v>
      </c>
      <c r="O195" s="6">
        <f t="shared" si="35"/>
        <v>-100</v>
      </c>
      <c r="P195" s="6">
        <f t="shared" si="31"/>
        <v>0</v>
      </c>
      <c r="Q195" s="7">
        <f t="shared" ref="Q195:Q258" si="41">SUM(Q194+N195)</f>
        <v>244500.49999999997</v>
      </c>
      <c r="R195" s="44" t="str">
        <f>VLOOKUP(F195,'Set up'!$A$2:$E$48,5,FALSE)</f>
        <v>Chq</v>
      </c>
      <c r="S195" s="1" t="s">
        <v>270</v>
      </c>
    </row>
    <row r="196" spans="1:19" hidden="1" x14ac:dyDescent="0.3">
      <c r="A196" s="4">
        <v>44233</v>
      </c>
      <c r="B196" s="5">
        <f t="shared" si="36"/>
        <v>2</v>
      </c>
      <c r="C196" s="5">
        <f t="shared" si="37"/>
        <v>2021</v>
      </c>
      <c r="D196" s="5" t="s">
        <v>262</v>
      </c>
      <c r="E196" s="5" t="str">
        <f>VLOOKUP(F196,'Set up'!$A$2:$C$48,2,FALSE)</f>
        <v>C00000014</v>
      </c>
      <c r="F196" s="1" t="s">
        <v>263</v>
      </c>
      <c r="G196" s="11" t="s">
        <v>260</v>
      </c>
      <c r="H196" s="5">
        <v>1</v>
      </c>
      <c r="I196" s="5" t="str">
        <f>VLOOKUP(F196,'Set up'!$A$2:$C$48,3,FALSE)</f>
        <v>Cash</v>
      </c>
      <c r="J196" s="5">
        <f>VLOOKUP(F196,'Set up'!$A$2:$D$48,4,FALSE)</f>
        <v>0</v>
      </c>
      <c r="K196" s="4">
        <f t="shared" si="38"/>
        <v>44233</v>
      </c>
      <c r="L196" s="5">
        <f t="shared" si="39"/>
        <v>2</v>
      </c>
      <c r="M196" s="5">
        <f t="shared" si="40"/>
        <v>2021</v>
      </c>
      <c r="N196" s="24">
        <v>130</v>
      </c>
      <c r="O196" s="6">
        <f t="shared" si="35"/>
        <v>-130</v>
      </c>
      <c r="P196" s="6">
        <f t="shared" si="31"/>
        <v>0</v>
      </c>
      <c r="Q196" s="7">
        <f t="shared" si="41"/>
        <v>244630.49999999997</v>
      </c>
      <c r="R196" s="44" t="str">
        <f>VLOOKUP(F196,'Set up'!$A$2:$E$48,5,FALSE)</f>
        <v>Cash</v>
      </c>
      <c r="S196" s="1" t="s">
        <v>269</v>
      </c>
    </row>
    <row r="197" spans="1:19" hidden="1" x14ac:dyDescent="0.3">
      <c r="A197" s="4">
        <v>44236</v>
      </c>
      <c r="B197" s="5">
        <f t="shared" si="36"/>
        <v>2</v>
      </c>
      <c r="C197" s="5">
        <f t="shared" si="37"/>
        <v>2021</v>
      </c>
      <c r="D197" s="5" t="s">
        <v>266</v>
      </c>
      <c r="E197" s="5" t="str">
        <f>VLOOKUP(F197,'Set up'!$A$2:$C$48,2,FALSE)</f>
        <v>C00000013</v>
      </c>
      <c r="F197" s="1" t="s">
        <v>1454</v>
      </c>
      <c r="G197" s="11" t="s">
        <v>236</v>
      </c>
      <c r="H197" s="5">
        <v>1</v>
      </c>
      <c r="I197" s="5" t="str">
        <f>VLOOKUP(F197,'Set up'!$A$2:$C$48,3,FALSE)</f>
        <v>Cash</v>
      </c>
      <c r="J197" s="5">
        <f>VLOOKUP(F197,'Set up'!$A$2:$D$48,4,FALSE)</f>
        <v>0</v>
      </c>
      <c r="K197" s="4">
        <f t="shared" si="38"/>
        <v>44236</v>
      </c>
      <c r="L197" s="5">
        <f t="shared" si="39"/>
        <v>2</v>
      </c>
      <c r="M197" s="5">
        <f t="shared" si="40"/>
        <v>2021</v>
      </c>
      <c r="N197" s="24">
        <v>380</v>
      </c>
      <c r="O197" s="6">
        <f t="shared" si="35"/>
        <v>-380</v>
      </c>
      <c r="P197" s="6">
        <f t="shared" si="31"/>
        <v>0</v>
      </c>
      <c r="Q197" s="7">
        <f t="shared" si="41"/>
        <v>245010.49999999997</v>
      </c>
      <c r="R197" s="44" t="str">
        <f>VLOOKUP(F197,'Set up'!$A$2:$E$48,5,FALSE)</f>
        <v>Chq</v>
      </c>
      <c r="S197" s="1" t="s">
        <v>271</v>
      </c>
    </row>
    <row r="198" spans="1:19" hidden="1" x14ac:dyDescent="0.3">
      <c r="A198" s="4">
        <v>44236</v>
      </c>
      <c r="B198" s="5">
        <f t="shared" si="36"/>
        <v>2</v>
      </c>
      <c r="C198" s="5">
        <f t="shared" si="37"/>
        <v>2021</v>
      </c>
      <c r="D198" s="5" t="s">
        <v>266</v>
      </c>
      <c r="E198" s="5" t="str">
        <f>VLOOKUP(F198,'Set up'!$A$2:$C$48,2,FALSE)</f>
        <v>C00000013</v>
      </c>
      <c r="F198" s="1" t="s">
        <v>1454</v>
      </c>
      <c r="G198" s="11" t="s">
        <v>24</v>
      </c>
      <c r="H198" s="5">
        <v>2</v>
      </c>
      <c r="I198" s="5" t="str">
        <f>VLOOKUP(F198,'Set up'!$A$2:$C$48,3,FALSE)</f>
        <v>Cash</v>
      </c>
      <c r="J198" s="5">
        <f>VLOOKUP(F198,'Set up'!$A$2:$D$48,4,FALSE)</f>
        <v>0</v>
      </c>
      <c r="K198" s="4">
        <f t="shared" si="38"/>
        <v>44236</v>
      </c>
      <c r="L198" s="5">
        <f t="shared" si="39"/>
        <v>2</v>
      </c>
      <c r="M198" s="5">
        <f t="shared" si="40"/>
        <v>2021</v>
      </c>
      <c r="N198" s="24">
        <v>472</v>
      </c>
      <c r="O198" s="6">
        <f t="shared" si="35"/>
        <v>-472</v>
      </c>
      <c r="P198" s="6">
        <f t="shared" si="31"/>
        <v>0</v>
      </c>
      <c r="Q198" s="7">
        <f t="shared" si="41"/>
        <v>245482.49999999997</v>
      </c>
      <c r="R198" s="44" t="str">
        <f>VLOOKUP(F198,'Set up'!$A$2:$E$48,5,FALSE)</f>
        <v>Chq</v>
      </c>
      <c r="S198" s="1" t="s">
        <v>271</v>
      </c>
    </row>
    <row r="199" spans="1:19" hidden="1" x14ac:dyDescent="0.3">
      <c r="A199" s="4">
        <v>44236</v>
      </c>
      <c r="B199" s="5">
        <f t="shared" si="36"/>
        <v>2</v>
      </c>
      <c r="C199" s="5">
        <f t="shared" si="37"/>
        <v>2021</v>
      </c>
      <c r="D199" s="5" t="s">
        <v>266</v>
      </c>
      <c r="E199" s="5" t="str">
        <f>VLOOKUP(F199,'Set up'!$A$2:$C$48,2,FALSE)</f>
        <v>C00000013</v>
      </c>
      <c r="F199" s="1" t="s">
        <v>1454</v>
      </c>
      <c r="G199" s="11" t="s">
        <v>67</v>
      </c>
      <c r="H199" s="5">
        <v>1</v>
      </c>
      <c r="I199" s="5" t="str">
        <f>VLOOKUP(F199,'Set up'!$A$2:$C$48,3,FALSE)</f>
        <v>Cash</v>
      </c>
      <c r="J199" s="5">
        <f>VLOOKUP(F199,'Set up'!$A$2:$D$48,4,FALSE)</f>
        <v>0</v>
      </c>
      <c r="K199" s="4">
        <f t="shared" si="38"/>
        <v>44236</v>
      </c>
      <c r="L199" s="5">
        <f t="shared" si="39"/>
        <v>2</v>
      </c>
      <c r="M199" s="5">
        <f t="shared" si="40"/>
        <v>2021</v>
      </c>
      <c r="N199" s="24">
        <v>1716</v>
      </c>
      <c r="O199" s="6">
        <f t="shared" si="35"/>
        <v>-1716</v>
      </c>
      <c r="P199" s="6">
        <f t="shared" si="31"/>
        <v>0</v>
      </c>
      <c r="Q199" s="7">
        <f t="shared" si="41"/>
        <v>247198.49999999997</v>
      </c>
      <c r="R199" s="44" t="str">
        <f>VLOOKUP(F199,'Set up'!$A$2:$E$48,5,FALSE)</f>
        <v>Chq</v>
      </c>
      <c r="S199" s="1" t="s">
        <v>271</v>
      </c>
    </row>
    <row r="200" spans="1:19" hidden="1" x14ac:dyDescent="0.3">
      <c r="A200" s="4">
        <v>44236</v>
      </c>
      <c r="B200" s="5">
        <f t="shared" si="36"/>
        <v>2</v>
      </c>
      <c r="C200" s="5">
        <f t="shared" si="37"/>
        <v>2021</v>
      </c>
      <c r="D200" s="5" t="s">
        <v>266</v>
      </c>
      <c r="E200" s="5" t="str">
        <f>VLOOKUP(F200,'Set up'!$A$2:$C$48,2,FALSE)</f>
        <v>C00000013</v>
      </c>
      <c r="F200" s="1" t="s">
        <v>1454</v>
      </c>
      <c r="G200" s="11" t="s">
        <v>232</v>
      </c>
      <c r="H200" s="5">
        <v>1</v>
      </c>
      <c r="I200" s="5" t="str">
        <f>VLOOKUP(F200,'Set up'!$A$2:$C$48,3,FALSE)</f>
        <v>Cash</v>
      </c>
      <c r="J200" s="5">
        <f>VLOOKUP(F200,'Set up'!$A$2:$D$48,4,FALSE)</f>
        <v>0</v>
      </c>
      <c r="K200" s="4">
        <f t="shared" si="38"/>
        <v>44236</v>
      </c>
      <c r="L200" s="5">
        <f t="shared" si="39"/>
        <v>2</v>
      </c>
      <c r="M200" s="5">
        <f t="shared" si="40"/>
        <v>2021</v>
      </c>
      <c r="N200" s="24">
        <v>405</v>
      </c>
      <c r="O200" s="6">
        <f t="shared" si="35"/>
        <v>-405</v>
      </c>
      <c r="P200" s="6">
        <f t="shared" si="31"/>
        <v>0</v>
      </c>
      <c r="Q200" s="7">
        <f t="shared" si="41"/>
        <v>247603.49999999997</v>
      </c>
      <c r="R200" s="44" t="str">
        <f>VLOOKUP(F200,'Set up'!$A$2:$E$48,5,FALSE)</f>
        <v>Chq</v>
      </c>
      <c r="S200" s="1" t="s">
        <v>271</v>
      </c>
    </row>
    <row r="201" spans="1:19" hidden="1" x14ac:dyDescent="0.3">
      <c r="A201" s="4">
        <v>44236</v>
      </c>
      <c r="B201" s="5">
        <f t="shared" si="36"/>
        <v>2</v>
      </c>
      <c r="C201" s="5">
        <f t="shared" si="37"/>
        <v>2021</v>
      </c>
      <c r="D201" s="5" t="s">
        <v>266</v>
      </c>
      <c r="E201" s="5" t="str">
        <f>VLOOKUP(F201,'Set up'!$A$2:$C$48,2,FALSE)</f>
        <v>C00000013</v>
      </c>
      <c r="F201" s="1" t="s">
        <v>1454</v>
      </c>
      <c r="G201" s="11" t="s">
        <v>17</v>
      </c>
      <c r="H201" s="5">
        <v>1</v>
      </c>
      <c r="I201" s="5" t="str">
        <f>VLOOKUP(F201,'Set up'!$A$2:$C$48,3,FALSE)</f>
        <v>Cash</v>
      </c>
      <c r="J201" s="5">
        <f>VLOOKUP(F201,'Set up'!$A$2:$D$48,4,FALSE)</f>
        <v>0</v>
      </c>
      <c r="K201" s="4">
        <f t="shared" si="38"/>
        <v>44236</v>
      </c>
      <c r="L201" s="5">
        <f t="shared" si="39"/>
        <v>2</v>
      </c>
      <c r="M201" s="5">
        <f t="shared" si="40"/>
        <v>2021</v>
      </c>
      <c r="N201" s="24">
        <v>95</v>
      </c>
      <c r="O201" s="6">
        <f t="shared" si="35"/>
        <v>-95</v>
      </c>
      <c r="P201" s="6">
        <f t="shared" si="31"/>
        <v>0</v>
      </c>
      <c r="Q201" s="7">
        <f t="shared" si="41"/>
        <v>247698.49999999997</v>
      </c>
      <c r="R201" s="44" t="str">
        <f>VLOOKUP(F201,'Set up'!$A$2:$E$48,5,FALSE)</f>
        <v>Chq</v>
      </c>
      <c r="S201" s="1" t="s">
        <v>272</v>
      </c>
    </row>
    <row r="202" spans="1:19" hidden="1" x14ac:dyDescent="0.3">
      <c r="A202" s="4">
        <v>44236</v>
      </c>
      <c r="B202" s="5">
        <f t="shared" si="36"/>
        <v>2</v>
      </c>
      <c r="C202" s="5">
        <f t="shared" si="37"/>
        <v>2021</v>
      </c>
      <c r="D202" s="5" t="s">
        <v>266</v>
      </c>
      <c r="E202" s="5" t="str">
        <f>VLOOKUP(F202,'Set up'!$A$2:$C$48,2,FALSE)</f>
        <v>C00000013</v>
      </c>
      <c r="F202" s="1" t="s">
        <v>1454</v>
      </c>
      <c r="G202" s="11" t="s">
        <v>235</v>
      </c>
      <c r="H202" s="5">
        <v>1</v>
      </c>
      <c r="I202" s="5" t="str">
        <f>VLOOKUP(F202,'Set up'!$A$2:$C$48,3,FALSE)</f>
        <v>Cash</v>
      </c>
      <c r="J202" s="5">
        <f>VLOOKUP(F202,'Set up'!$A$2:$D$48,4,FALSE)</f>
        <v>0</v>
      </c>
      <c r="K202" s="4">
        <f t="shared" si="38"/>
        <v>44236</v>
      </c>
      <c r="L202" s="5">
        <f t="shared" si="39"/>
        <v>2</v>
      </c>
      <c r="M202" s="5">
        <f t="shared" si="40"/>
        <v>2021</v>
      </c>
      <c r="N202" s="24">
        <v>130</v>
      </c>
      <c r="O202" s="6">
        <f t="shared" si="35"/>
        <v>-130</v>
      </c>
      <c r="P202" s="6">
        <f t="shared" si="31"/>
        <v>0</v>
      </c>
      <c r="Q202" s="7">
        <f t="shared" si="41"/>
        <v>247828.49999999997</v>
      </c>
      <c r="R202" s="44" t="str">
        <f>VLOOKUP(F202,'Set up'!$A$2:$E$48,5,FALSE)</f>
        <v>Chq</v>
      </c>
      <c r="S202" s="1" t="s">
        <v>272</v>
      </c>
    </row>
    <row r="203" spans="1:19" hidden="1" x14ac:dyDescent="0.3">
      <c r="A203" s="4">
        <v>44244</v>
      </c>
      <c r="B203" s="5">
        <f t="shared" si="36"/>
        <v>2</v>
      </c>
      <c r="C203" s="5">
        <f t="shared" si="37"/>
        <v>2021</v>
      </c>
      <c r="D203" s="5" t="s">
        <v>267</v>
      </c>
      <c r="E203" s="5" t="str">
        <f>VLOOKUP(F203,'Set up'!$A$2:$C$48,2,FALSE)</f>
        <v>C00000005</v>
      </c>
      <c r="F203" s="1" t="s">
        <v>35</v>
      </c>
      <c r="G203" s="11" t="s">
        <v>181</v>
      </c>
      <c r="H203" s="5">
        <v>1</v>
      </c>
      <c r="I203" s="5" t="str">
        <f>VLOOKUP(F203,'Set up'!$A$2:$C$48,3,FALSE)</f>
        <v>Cash</v>
      </c>
      <c r="J203" s="5">
        <f>VLOOKUP(F203,'Set up'!$A$2:$D$48,4,FALSE)</f>
        <v>0</v>
      </c>
      <c r="K203" s="4">
        <f t="shared" si="38"/>
        <v>44244</v>
      </c>
      <c r="L203" s="5">
        <f t="shared" si="39"/>
        <v>2</v>
      </c>
      <c r="M203" s="5">
        <f t="shared" si="40"/>
        <v>2021</v>
      </c>
      <c r="N203" s="24">
        <v>225</v>
      </c>
      <c r="O203" s="6">
        <f t="shared" si="35"/>
        <v>-225</v>
      </c>
      <c r="P203" s="6">
        <f t="shared" si="31"/>
        <v>0</v>
      </c>
      <c r="Q203" s="7">
        <f t="shared" si="41"/>
        <v>248053.49999999997</v>
      </c>
      <c r="R203" s="44" t="str">
        <f>VLOOKUP(F203,'Set up'!$A$2:$E$48,5,FALSE)</f>
        <v>Chq</v>
      </c>
    </row>
    <row r="204" spans="1:19" hidden="1" x14ac:dyDescent="0.3">
      <c r="A204" s="4">
        <v>44246</v>
      </c>
      <c r="B204" s="5">
        <f t="shared" si="36"/>
        <v>2</v>
      </c>
      <c r="C204" s="5">
        <f t="shared" si="37"/>
        <v>2021</v>
      </c>
      <c r="D204" s="5" t="s">
        <v>274</v>
      </c>
      <c r="E204" s="5" t="str">
        <f>VLOOKUP(F204,'Set up'!$A$2:$C$48,2,FALSE)</f>
        <v>C00000001</v>
      </c>
      <c r="F204" s="1" t="s">
        <v>7</v>
      </c>
      <c r="G204" s="11" t="s">
        <v>67</v>
      </c>
      <c r="H204" s="5">
        <v>1</v>
      </c>
      <c r="I204" s="5" t="str">
        <f>VLOOKUP(F204,'Set up'!$A$2:$C$48,3,FALSE)</f>
        <v>Cash</v>
      </c>
      <c r="J204" s="5">
        <f>VLOOKUP(F204,'Set up'!$A$2:$D$48,4,FALSE)</f>
        <v>0</v>
      </c>
      <c r="K204" s="4">
        <f t="shared" si="38"/>
        <v>44246</v>
      </c>
      <c r="L204" s="5">
        <f t="shared" si="39"/>
        <v>2</v>
      </c>
      <c r="M204" s="5">
        <f t="shared" si="40"/>
        <v>2021</v>
      </c>
      <c r="N204" s="24">
        <v>1694</v>
      </c>
      <c r="O204" s="6">
        <f t="shared" si="35"/>
        <v>-1694</v>
      </c>
      <c r="P204" s="6">
        <f t="shared" si="31"/>
        <v>0</v>
      </c>
      <c r="Q204" s="7">
        <f t="shared" si="41"/>
        <v>249747.49999999997</v>
      </c>
      <c r="R204" s="44" t="str">
        <f>VLOOKUP(F204,'Set up'!$A$2:$E$48,5,FALSE)</f>
        <v>Trsf</v>
      </c>
      <c r="S204" s="1" t="s">
        <v>284</v>
      </c>
    </row>
    <row r="205" spans="1:19" hidden="1" x14ac:dyDescent="0.3">
      <c r="A205" s="4">
        <v>44251</v>
      </c>
      <c r="B205" s="5">
        <f t="shared" si="36"/>
        <v>2</v>
      </c>
      <c r="C205" s="5">
        <f t="shared" si="37"/>
        <v>2021</v>
      </c>
      <c r="D205" s="5" t="s">
        <v>275</v>
      </c>
      <c r="E205" s="5" t="str">
        <f>VLOOKUP(F205,'Set up'!$A$2:$C$48,2,FALSE)</f>
        <v>C00000004</v>
      </c>
      <c r="F205" s="1" t="s">
        <v>23</v>
      </c>
      <c r="G205" s="2" t="s">
        <v>95</v>
      </c>
      <c r="H205" s="5">
        <v>5</v>
      </c>
      <c r="I205" s="5">
        <f>VLOOKUP(F205,'Set up'!$A$2:$C$48,3,FALSE)</f>
        <v>120</v>
      </c>
      <c r="J205" s="5">
        <f>VLOOKUP(F205,'Set up'!$A$2:$D$48,4,FALSE)</f>
        <v>120</v>
      </c>
      <c r="K205" s="4">
        <f t="shared" si="38"/>
        <v>44371</v>
      </c>
      <c r="L205" s="5">
        <f t="shared" si="39"/>
        <v>6</v>
      </c>
      <c r="M205" s="5">
        <f t="shared" si="40"/>
        <v>2021</v>
      </c>
      <c r="N205" s="24">
        <v>7370</v>
      </c>
      <c r="O205" s="6">
        <f t="shared" si="35"/>
        <v>-7370</v>
      </c>
      <c r="P205" s="6">
        <f t="shared" si="31"/>
        <v>0</v>
      </c>
      <c r="Q205" s="7">
        <f t="shared" si="41"/>
        <v>257117.49999999997</v>
      </c>
      <c r="R205" s="44" t="str">
        <f>VLOOKUP(F205,'Set up'!$A$2:$E$48,5,FALSE)</f>
        <v>Chq</v>
      </c>
      <c r="S205" s="1" t="s">
        <v>386</v>
      </c>
    </row>
    <row r="206" spans="1:19" hidden="1" x14ac:dyDescent="0.3">
      <c r="A206" s="4">
        <v>44251</v>
      </c>
      <c r="B206" s="5">
        <f t="shared" si="36"/>
        <v>2</v>
      </c>
      <c r="C206" s="5">
        <f t="shared" si="37"/>
        <v>2021</v>
      </c>
      <c r="D206" s="5" t="s">
        <v>275</v>
      </c>
      <c r="E206" s="5" t="str">
        <f>VLOOKUP(F206,'Set up'!$A$2:$C$48,2,FALSE)</f>
        <v>C00000004</v>
      </c>
      <c r="F206" s="1" t="s">
        <v>23</v>
      </c>
      <c r="G206" s="11" t="s">
        <v>232</v>
      </c>
      <c r="H206" s="5">
        <v>3</v>
      </c>
      <c r="I206" s="5">
        <f>VLOOKUP(F206,'Set up'!$A$2:$C$48,3,FALSE)</f>
        <v>120</v>
      </c>
      <c r="J206" s="5">
        <f>VLOOKUP(F206,'Set up'!$A$2:$D$48,4,FALSE)</f>
        <v>120</v>
      </c>
      <c r="K206" s="4">
        <f t="shared" si="38"/>
        <v>44371</v>
      </c>
      <c r="L206" s="5">
        <f t="shared" si="39"/>
        <v>6</v>
      </c>
      <c r="M206" s="5">
        <f t="shared" si="40"/>
        <v>2021</v>
      </c>
      <c r="N206" s="24">
        <v>1069.2</v>
      </c>
      <c r="O206" s="6">
        <f t="shared" si="35"/>
        <v>-1069.2</v>
      </c>
      <c r="P206" s="6">
        <f t="shared" si="31"/>
        <v>0</v>
      </c>
      <c r="Q206" s="7">
        <f t="shared" si="41"/>
        <v>258186.69999999998</v>
      </c>
      <c r="R206" s="44" t="str">
        <f>VLOOKUP(F206,'Set up'!$A$2:$E$48,5,FALSE)</f>
        <v>Chq</v>
      </c>
      <c r="S206" s="1" t="s">
        <v>386</v>
      </c>
    </row>
    <row r="207" spans="1:19" hidden="1" x14ac:dyDescent="0.3">
      <c r="A207" s="4">
        <v>44251</v>
      </c>
      <c r="B207" s="5">
        <f t="shared" si="36"/>
        <v>2</v>
      </c>
      <c r="C207" s="5">
        <f t="shared" si="37"/>
        <v>2021</v>
      </c>
      <c r="D207" s="5" t="s">
        <v>275</v>
      </c>
      <c r="E207" s="5" t="str">
        <f>VLOOKUP(F207,'Set up'!$A$2:$C$48,2,FALSE)</f>
        <v>C00000004</v>
      </c>
      <c r="F207" s="1" t="s">
        <v>23</v>
      </c>
      <c r="G207" s="11" t="s">
        <v>17</v>
      </c>
      <c r="H207" s="5">
        <v>1</v>
      </c>
      <c r="I207" s="5">
        <f>VLOOKUP(F207,'Set up'!$A$2:$C$48,3,FALSE)</f>
        <v>120</v>
      </c>
      <c r="J207" s="5">
        <f>VLOOKUP(F207,'Set up'!$A$2:$D$48,4,FALSE)</f>
        <v>120</v>
      </c>
      <c r="K207" s="4">
        <f t="shared" si="38"/>
        <v>44371</v>
      </c>
      <c r="L207" s="5">
        <f t="shared" si="39"/>
        <v>6</v>
      </c>
      <c r="M207" s="5">
        <f t="shared" si="40"/>
        <v>2021</v>
      </c>
      <c r="N207" s="24">
        <v>360</v>
      </c>
      <c r="O207" s="6">
        <f t="shared" si="35"/>
        <v>-360</v>
      </c>
      <c r="P207" s="6">
        <f t="shared" si="31"/>
        <v>0</v>
      </c>
      <c r="Q207" s="7">
        <f t="shared" si="41"/>
        <v>258546.69999999998</v>
      </c>
      <c r="R207" s="44" t="str">
        <f>VLOOKUP(F207,'Set up'!$A$2:$E$48,5,FALSE)</f>
        <v>Chq</v>
      </c>
      <c r="S207" s="1" t="s">
        <v>386</v>
      </c>
    </row>
    <row r="208" spans="1:19" hidden="1" x14ac:dyDescent="0.3">
      <c r="A208" s="4">
        <v>44251</v>
      </c>
      <c r="B208" s="5">
        <f t="shared" si="36"/>
        <v>2</v>
      </c>
      <c r="C208" s="5">
        <f t="shared" si="37"/>
        <v>2021</v>
      </c>
      <c r="D208" s="5" t="s">
        <v>275</v>
      </c>
      <c r="E208" s="5" t="str">
        <f>VLOOKUP(F208,'Set up'!$A$2:$C$48,2,FALSE)</f>
        <v>C00000004</v>
      </c>
      <c r="F208" s="1" t="s">
        <v>23</v>
      </c>
      <c r="G208" s="11" t="s">
        <v>278</v>
      </c>
      <c r="H208" s="5">
        <v>1</v>
      </c>
      <c r="I208" s="5">
        <f>VLOOKUP(F208,'Set up'!$A$2:$C$48,3,FALSE)</f>
        <v>120</v>
      </c>
      <c r="J208" s="5">
        <f>VLOOKUP(F208,'Set up'!$A$2:$D$48,4,FALSE)</f>
        <v>120</v>
      </c>
      <c r="K208" s="4">
        <f t="shared" si="38"/>
        <v>44371</v>
      </c>
      <c r="L208" s="5">
        <f t="shared" si="39"/>
        <v>6</v>
      </c>
      <c r="M208" s="5">
        <f t="shared" si="40"/>
        <v>2021</v>
      </c>
      <c r="N208" s="24">
        <v>312</v>
      </c>
      <c r="O208" s="6">
        <f t="shared" si="35"/>
        <v>-312</v>
      </c>
      <c r="P208" s="6">
        <f t="shared" si="31"/>
        <v>0</v>
      </c>
      <c r="Q208" s="7">
        <f t="shared" si="41"/>
        <v>258858.69999999998</v>
      </c>
      <c r="R208" s="44" t="str">
        <f>VLOOKUP(F208,'Set up'!$A$2:$E$48,5,FALSE)</f>
        <v>Chq</v>
      </c>
      <c r="S208" s="1" t="s">
        <v>386</v>
      </c>
    </row>
    <row r="209" spans="1:19" hidden="1" x14ac:dyDescent="0.3">
      <c r="A209" s="4">
        <v>44250</v>
      </c>
      <c r="B209" s="5">
        <f t="shared" si="36"/>
        <v>2</v>
      </c>
      <c r="C209" s="5">
        <f t="shared" si="37"/>
        <v>2021</v>
      </c>
      <c r="D209" s="5" t="s">
        <v>276</v>
      </c>
      <c r="E209" s="5" t="str">
        <f>VLOOKUP(F209,'Set up'!$A$2:$C$48,2,FALSE)</f>
        <v>C00000008</v>
      </c>
      <c r="F209" s="1" t="s">
        <v>52</v>
      </c>
      <c r="G209" s="11" t="s">
        <v>24</v>
      </c>
      <c r="H209" s="5">
        <v>4</v>
      </c>
      <c r="I209" s="5" t="str">
        <f>VLOOKUP(F209,'Set up'!$A$2:$C$48,3,FALSE)</f>
        <v>Cash</v>
      </c>
      <c r="J209" s="5">
        <f>VLOOKUP(F209,'Set up'!$A$2:$D$48,4,FALSE)</f>
        <v>0</v>
      </c>
      <c r="K209" s="4">
        <f t="shared" si="38"/>
        <v>44250</v>
      </c>
      <c r="L209" s="5">
        <f t="shared" si="39"/>
        <v>2</v>
      </c>
      <c r="M209" s="5">
        <f t="shared" si="40"/>
        <v>2021</v>
      </c>
      <c r="N209" s="24">
        <v>920</v>
      </c>
      <c r="O209" s="6">
        <f t="shared" si="35"/>
        <v>-920</v>
      </c>
      <c r="P209" s="6">
        <f t="shared" si="31"/>
        <v>0</v>
      </c>
      <c r="Q209" s="7">
        <f t="shared" si="41"/>
        <v>259778.69999999998</v>
      </c>
      <c r="R209" s="44" t="str">
        <f>VLOOKUP(F209,'Set up'!$A$2:$E$48,5,FALSE)</f>
        <v>Trsf</v>
      </c>
      <c r="S209" s="1" t="s">
        <v>299</v>
      </c>
    </row>
    <row r="210" spans="1:19" hidden="1" x14ac:dyDescent="0.3">
      <c r="A210" s="4">
        <v>44250</v>
      </c>
      <c r="B210" s="5">
        <f t="shared" si="36"/>
        <v>2</v>
      </c>
      <c r="C210" s="5">
        <f t="shared" si="37"/>
        <v>2021</v>
      </c>
      <c r="D210" s="5" t="s">
        <v>276</v>
      </c>
      <c r="E210" s="5" t="str">
        <f>VLOOKUP(F210,'Set up'!$A$2:$C$48,2,FALSE)</f>
        <v>C00000008</v>
      </c>
      <c r="F210" s="1" t="s">
        <v>52</v>
      </c>
      <c r="G210" s="11" t="s">
        <v>17</v>
      </c>
      <c r="H210" s="5">
        <v>1</v>
      </c>
      <c r="I210" s="5" t="str">
        <f>VLOOKUP(F210,'Set up'!$A$2:$C$48,3,FALSE)</f>
        <v>Cash</v>
      </c>
      <c r="J210" s="5">
        <f>VLOOKUP(F210,'Set up'!$A$2:$D$48,4,FALSE)</f>
        <v>0</v>
      </c>
      <c r="K210" s="4">
        <f t="shared" si="38"/>
        <v>44250</v>
      </c>
      <c r="L210" s="5">
        <f t="shared" si="39"/>
        <v>2</v>
      </c>
      <c r="M210" s="5">
        <f t="shared" si="40"/>
        <v>2021</v>
      </c>
      <c r="N210" s="24">
        <v>100</v>
      </c>
      <c r="O210" s="6">
        <f t="shared" si="35"/>
        <v>-100</v>
      </c>
      <c r="P210" s="6">
        <f t="shared" si="31"/>
        <v>0</v>
      </c>
      <c r="Q210" s="7">
        <f t="shared" si="41"/>
        <v>259878.69999999998</v>
      </c>
      <c r="R210" s="44" t="str">
        <f>VLOOKUP(F210,'Set up'!$A$2:$E$48,5,FALSE)</f>
        <v>Trsf</v>
      </c>
      <c r="S210" s="1" t="s">
        <v>299</v>
      </c>
    </row>
    <row r="211" spans="1:19" hidden="1" x14ac:dyDescent="0.3">
      <c r="A211" s="4">
        <v>44250</v>
      </c>
      <c r="B211" s="5">
        <f t="shared" si="36"/>
        <v>2</v>
      </c>
      <c r="C211" s="5">
        <f t="shared" si="37"/>
        <v>2021</v>
      </c>
      <c r="D211" s="5" t="s">
        <v>276</v>
      </c>
      <c r="E211" s="5" t="str">
        <f>VLOOKUP(F211,'Set up'!$A$2:$C$48,2,FALSE)</f>
        <v>C00000008</v>
      </c>
      <c r="F211" s="1" t="s">
        <v>52</v>
      </c>
      <c r="G211" s="11" t="s">
        <v>125</v>
      </c>
      <c r="H211" s="5">
        <v>3</v>
      </c>
      <c r="I211" s="5" t="str">
        <f>VLOOKUP(F211,'Set up'!$A$2:$C$48,3,FALSE)</f>
        <v>Cash</v>
      </c>
      <c r="J211" s="5">
        <f>VLOOKUP(F211,'Set up'!$A$2:$D$48,4,FALSE)</f>
        <v>0</v>
      </c>
      <c r="K211" s="4">
        <f t="shared" si="38"/>
        <v>44250</v>
      </c>
      <c r="L211" s="5">
        <f t="shared" si="39"/>
        <v>2</v>
      </c>
      <c r="M211" s="5">
        <f t="shared" si="40"/>
        <v>2021</v>
      </c>
      <c r="N211" s="24">
        <v>180</v>
      </c>
      <c r="O211" s="6">
        <f t="shared" si="35"/>
        <v>-180</v>
      </c>
      <c r="P211" s="6">
        <f t="shared" si="31"/>
        <v>0</v>
      </c>
      <c r="Q211" s="7">
        <f t="shared" si="41"/>
        <v>260058.69999999998</v>
      </c>
      <c r="R211" s="44" t="str">
        <f>VLOOKUP(F211,'Set up'!$A$2:$E$48,5,FALSE)</f>
        <v>Trsf</v>
      </c>
      <c r="S211" s="1" t="s">
        <v>299</v>
      </c>
    </row>
    <row r="212" spans="1:19" hidden="1" x14ac:dyDescent="0.3">
      <c r="A212" s="4">
        <v>44253</v>
      </c>
      <c r="B212" s="5">
        <f t="shared" si="36"/>
        <v>2</v>
      </c>
      <c r="C212" s="5">
        <f t="shared" si="37"/>
        <v>2021</v>
      </c>
      <c r="D212" s="5" t="s">
        <v>279</v>
      </c>
      <c r="E212" s="5" t="str">
        <f>VLOOKUP(F212,'Set up'!$A$2:$C$48,2,FALSE)</f>
        <v>C00000015</v>
      </c>
      <c r="F212" s="1" t="s">
        <v>281</v>
      </c>
      <c r="G212" s="11" t="s">
        <v>95</v>
      </c>
      <c r="H212" s="5">
        <v>1</v>
      </c>
      <c r="I212" s="5" t="str">
        <f>VLOOKUP(F212,'Set up'!$A$2:$C$48,3,FALSE)</f>
        <v>Cash</v>
      </c>
      <c r="J212" s="5">
        <f>VLOOKUP(F212,'Set up'!$A$2:$D$48,4,FALSE)</f>
        <v>0</v>
      </c>
      <c r="K212" s="4">
        <f t="shared" si="38"/>
        <v>44253</v>
      </c>
      <c r="L212" s="5">
        <f t="shared" si="39"/>
        <v>2</v>
      </c>
      <c r="M212" s="5">
        <f t="shared" si="40"/>
        <v>2021</v>
      </c>
      <c r="N212" s="24">
        <v>1694</v>
      </c>
      <c r="O212" s="6">
        <f t="shared" si="35"/>
        <v>-1694</v>
      </c>
      <c r="P212" s="6">
        <f t="shared" si="31"/>
        <v>0</v>
      </c>
      <c r="Q212" s="7">
        <f t="shared" si="41"/>
        <v>261752.69999999998</v>
      </c>
      <c r="R212" s="44" t="str">
        <f>VLOOKUP(F212,'Set up'!$A$2:$E$48,5,FALSE)</f>
        <v>Trsf</v>
      </c>
      <c r="S212" s="1" t="s">
        <v>283</v>
      </c>
    </row>
    <row r="213" spans="1:19" hidden="1" x14ac:dyDescent="0.3">
      <c r="A213" s="4">
        <v>44253</v>
      </c>
      <c r="B213" s="5">
        <f t="shared" si="36"/>
        <v>2</v>
      </c>
      <c r="C213" s="5">
        <f t="shared" si="37"/>
        <v>2021</v>
      </c>
      <c r="D213" s="5" t="s">
        <v>279</v>
      </c>
      <c r="E213" s="5" t="str">
        <f>VLOOKUP(F213,'Set up'!$A$2:$C$48,2,FALSE)</f>
        <v>C00000015</v>
      </c>
      <c r="F213" s="1" t="s">
        <v>281</v>
      </c>
      <c r="G213" s="11" t="s">
        <v>181</v>
      </c>
      <c r="H213" s="5">
        <v>1</v>
      </c>
      <c r="I213" s="5" t="str">
        <f>VLOOKUP(F213,'Set up'!$A$2:$C$48,3,FALSE)</f>
        <v>Cash</v>
      </c>
      <c r="J213" s="5">
        <f>VLOOKUP(F213,'Set up'!$A$2:$D$48,4,FALSE)</f>
        <v>0</v>
      </c>
      <c r="K213" s="4">
        <f t="shared" si="38"/>
        <v>44253</v>
      </c>
      <c r="L213" s="5">
        <f t="shared" si="39"/>
        <v>2</v>
      </c>
      <c r="M213" s="5">
        <f t="shared" si="40"/>
        <v>2021</v>
      </c>
      <c r="N213" s="24">
        <v>228</v>
      </c>
      <c r="O213" s="6">
        <f t="shared" si="35"/>
        <v>-228</v>
      </c>
      <c r="P213" s="6">
        <f t="shared" ref="P213:P276" si="42">SUM(N213+O213)</f>
        <v>0</v>
      </c>
      <c r="Q213" s="7">
        <f t="shared" si="41"/>
        <v>261980.69999999998</v>
      </c>
      <c r="R213" s="44" t="str">
        <f>VLOOKUP(F213,'Set up'!$A$2:$E$48,5,FALSE)</f>
        <v>Trsf</v>
      </c>
      <c r="S213" s="1" t="s">
        <v>283</v>
      </c>
    </row>
    <row r="214" spans="1:19" hidden="1" x14ac:dyDescent="0.3">
      <c r="A214" s="4">
        <v>44253</v>
      </c>
      <c r="B214" s="5">
        <f t="shared" si="36"/>
        <v>2</v>
      </c>
      <c r="C214" s="5">
        <f t="shared" si="37"/>
        <v>2021</v>
      </c>
      <c r="D214" s="5" t="s">
        <v>279</v>
      </c>
      <c r="E214" s="5" t="str">
        <f>VLOOKUP(F214,'Set up'!$A$2:$C$48,2,FALSE)</f>
        <v>C00000015</v>
      </c>
      <c r="F214" s="1" t="s">
        <v>281</v>
      </c>
      <c r="G214" s="11" t="s">
        <v>46</v>
      </c>
      <c r="H214" s="5">
        <v>1</v>
      </c>
      <c r="I214" s="5" t="str">
        <f>VLOOKUP(F214,'Set up'!$A$2:$C$48,3,FALSE)</f>
        <v>Cash</v>
      </c>
      <c r="J214" s="5">
        <f>VLOOKUP(F214,'Set up'!$A$2:$D$48,4,FALSE)</f>
        <v>0</v>
      </c>
      <c r="K214" s="4">
        <f t="shared" si="38"/>
        <v>44253</v>
      </c>
      <c r="L214" s="5">
        <f t="shared" si="39"/>
        <v>2</v>
      </c>
      <c r="M214" s="5">
        <f t="shared" si="40"/>
        <v>2021</v>
      </c>
      <c r="N214" s="24">
        <v>100</v>
      </c>
      <c r="O214" s="6">
        <f t="shared" si="35"/>
        <v>-100</v>
      </c>
      <c r="P214" s="6">
        <f t="shared" si="42"/>
        <v>0</v>
      </c>
      <c r="Q214" s="7">
        <f t="shared" si="41"/>
        <v>262080.69999999998</v>
      </c>
      <c r="R214" s="44" t="str">
        <f>VLOOKUP(F214,'Set up'!$A$2:$E$48,5,FALSE)</f>
        <v>Trsf</v>
      </c>
      <c r="S214" s="1" t="s">
        <v>283</v>
      </c>
    </row>
    <row r="215" spans="1:19" hidden="1" x14ac:dyDescent="0.3">
      <c r="A215" s="4">
        <v>44263</v>
      </c>
      <c r="B215" s="5">
        <f t="shared" si="36"/>
        <v>3</v>
      </c>
      <c r="C215" s="5">
        <f t="shared" si="37"/>
        <v>2021</v>
      </c>
      <c r="D215" s="5" t="s">
        <v>286</v>
      </c>
      <c r="E215" s="5" t="str">
        <f>VLOOKUP(F215,'Set up'!$A$2:$C$48,2,FALSE)</f>
        <v>C00000004</v>
      </c>
      <c r="F215" s="1" t="s">
        <v>23</v>
      </c>
      <c r="G215" s="11" t="s">
        <v>95</v>
      </c>
      <c r="H215" s="5">
        <v>6</v>
      </c>
      <c r="I215" s="5">
        <f>VLOOKUP(F215,'Set up'!$A$2:$C$48,3,FALSE)</f>
        <v>120</v>
      </c>
      <c r="J215" s="5">
        <f>VLOOKUP(F215,'Set up'!$A$2:$D$48,4,FALSE)</f>
        <v>120</v>
      </c>
      <c r="K215" s="4">
        <f t="shared" si="38"/>
        <v>44383</v>
      </c>
      <c r="L215" s="5">
        <f t="shared" si="39"/>
        <v>7</v>
      </c>
      <c r="M215" s="5">
        <f t="shared" si="40"/>
        <v>2021</v>
      </c>
      <c r="N215" s="24">
        <v>8976</v>
      </c>
      <c r="O215" s="6">
        <f t="shared" si="35"/>
        <v>-8976</v>
      </c>
      <c r="P215" s="12">
        <f t="shared" si="42"/>
        <v>0</v>
      </c>
      <c r="Q215" s="7">
        <f t="shared" si="41"/>
        <v>271056.69999999995</v>
      </c>
      <c r="R215" s="44" t="str">
        <f>VLOOKUP(F215,'Set up'!$A$2:$E$48,5,FALSE)</f>
        <v>Chq</v>
      </c>
      <c r="S215" s="1" t="s">
        <v>390</v>
      </c>
    </row>
    <row r="216" spans="1:19" hidden="1" x14ac:dyDescent="0.3">
      <c r="A216" s="4">
        <v>44263</v>
      </c>
      <c r="B216" s="5">
        <f t="shared" si="36"/>
        <v>3</v>
      </c>
      <c r="C216" s="5">
        <f t="shared" si="37"/>
        <v>2021</v>
      </c>
      <c r="D216" s="5" t="s">
        <v>286</v>
      </c>
      <c r="E216" s="5" t="str">
        <f>VLOOKUP(F216,'Set up'!$A$2:$C$48,2,FALSE)</f>
        <v>C00000004</v>
      </c>
      <c r="F216" s="1" t="s">
        <v>23</v>
      </c>
      <c r="G216" s="11" t="s">
        <v>287</v>
      </c>
      <c r="H216" s="5">
        <v>1</v>
      </c>
      <c r="I216" s="5">
        <f>VLOOKUP(F216,'Set up'!$A$2:$C$48,3,FALSE)</f>
        <v>120</v>
      </c>
      <c r="J216" s="5">
        <f>VLOOKUP(F216,'Set up'!$A$2:$D$48,4,FALSE)</f>
        <v>120</v>
      </c>
      <c r="K216" s="4">
        <f t="shared" si="38"/>
        <v>44383</v>
      </c>
      <c r="L216" s="5">
        <f t="shared" si="39"/>
        <v>7</v>
      </c>
      <c r="M216" s="5">
        <f t="shared" si="40"/>
        <v>2021</v>
      </c>
      <c r="N216" s="24">
        <v>1496</v>
      </c>
      <c r="O216" s="6">
        <f t="shared" si="35"/>
        <v>-1496</v>
      </c>
      <c r="P216" s="12">
        <f t="shared" si="42"/>
        <v>0</v>
      </c>
      <c r="Q216" s="7">
        <f t="shared" si="41"/>
        <v>272552.69999999995</v>
      </c>
      <c r="R216" s="44" t="str">
        <f>VLOOKUP(F216,'Set up'!$A$2:$E$48,5,FALSE)</f>
        <v>Chq</v>
      </c>
      <c r="S216" s="1" t="s">
        <v>390</v>
      </c>
    </row>
    <row r="217" spans="1:19" hidden="1" x14ac:dyDescent="0.3">
      <c r="A217" s="4">
        <v>44263</v>
      </c>
      <c r="B217" s="5">
        <f t="shared" si="36"/>
        <v>3</v>
      </c>
      <c r="C217" s="5">
        <f t="shared" si="37"/>
        <v>2021</v>
      </c>
      <c r="D217" s="5" t="s">
        <v>286</v>
      </c>
      <c r="E217" s="5" t="str">
        <f>VLOOKUP(F217,'Set up'!$A$2:$C$48,2,FALSE)</f>
        <v>C00000004</v>
      </c>
      <c r="F217" s="1" t="s">
        <v>23</v>
      </c>
      <c r="G217" s="11" t="s">
        <v>96</v>
      </c>
      <c r="H217" s="5">
        <v>7</v>
      </c>
      <c r="I217" s="5">
        <f>VLOOKUP(F217,'Set up'!$A$2:$C$48,3,FALSE)</f>
        <v>120</v>
      </c>
      <c r="J217" s="5">
        <f>VLOOKUP(F217,'Set up'!$A$2:$D$48,4,FALSE)</f>
        <v>120</v>
      </c>
      <c r="K217" s="4">
        <f t="shared" si="38"/>
        <v>44383</v>
      </c>
      <c r="L217" s="5">
        <f t="shared" si="39"/>
        <v>7</v>
      </c>
      <c r="M217" s="5">
        <f t="shared" si="40"/>
        <v>2021</v>
      </c>
      <c r="N217" s="24">
        <v>2532.6</v>
      </c>
      <c r="O217" s="6">
        <f t="shared" si="35"/>
        <v>-2532.6</v>
      </c>
      <c r="P217" s="12">
        <f t="shared" si="42"/>
        <v>0</v>
      </c>
      <c r="Q217" s="7">
        <f t="shared" si="41"/>
        <v>275085.29999999993</v>
      </c>
      <c r="R217" s="44" t="str">
        <f>VLOOKUP(F217,'Set up'!$A$2:$E$48,5,FALSE)</f>
        <v>Chq</v>
      </c>
      <c r="S217" s="1" t="s">
        <v>390</v>
      </c>
    </row>
    <row r="218" spans="1:19" hidden="1" x14ac:dyDescent="0.3">
      <c r="A218" s="4">
        <v>44263</v>
      </c>
      <c r="B218" s="5">
        <f t="shared" si="36"/>
        <v>3</v>
      </c>
      <c r="C218" s="5">
        <f t="shared" si="37"/>
        <v>2021</v>
      </c>
      <c r="D218" s="5" t="s">
        <v>286</v>
      </c>
      <c r="E218" s="5" t="str">
        <f>VLOOKUP(F218,'Set up'!$A$2:$C$48,2,FALSE)</f>
        <v>C00000004</v>
      </c>
      <c r="F218" s="1" t="s">
        <v>23</v>
      </c>
      <c r="G218" s="11" t="s">
        <v>97</v>
      </c>
      <c r="H218" s="5">
        <v>5</v>
      </c>
      <c r="I218" s="5">
        <f>VLOOKUP(F218,'Set up'!$A$2:$C$48,3,FALSE)</f>
        <v>120</v>
      </c>
      <c r="J218" s="5">
        <f>VLOOKUP(F218,'Set up'!$A$2:$D$48,4,FALSE)</f>
        <v>120</v>
      </c>
      <c r="K218" s="4">
        <f t="shared" si="38"/>
        <v>44383</v>
      </c>
      <c r="L218" s="5">
        <f t="shared" si="39"/>
        <v>7</v>
      </c>
      <c r="M218" s="5">
        <f t="shared" si="40"/>
        <v>2021</v>
      </c>
      <c r="N218" s="24">
        <v>1809</v>
      </c>
      <c r="O218" s="6">
        <f t="shared" si="35"/>
        <v>-1809</v>
      </c>
      <c r="P218" s="12">
        <f t="shared" si="42"/>
        <v>0</v>
      </c>
      <c r="Q218" s="7">
        <f t="shared" si="41"/>
        <v>276894.29999999993</v>
      </c>
      <c r="R218" s="44" t="str">
        <f>VLOOKUP(F218,'Set up'!$A$2:$E$48,5,FALSE)</f>
        <v>Chq</v>
      </c>
      <c r="S218" s="1" t="s">
        <v>390</v>
      </c>
    </row>
    <row r="219" spans="1:19" hidden="1" x14ac:dyDescent="0.3">
      <c r="A219" s="4">
        <v>44265</v>
      </c>
      <c r="B219" s="5">
        <f t="shared" si="36"/>
        <v>3</v>
      </c>
      <c r="C219" s="5">
        <f t="shared" si="37"/>
        <v>2021</v>
      </c>
      <c r="D219" s="5" t="s">
        <v>316</v>
      </c>
      <c r="E219" s="5" t="str">
        <f>VLOOKUP(F219,'Set up'!$A$2:$C$48,2,FALSE)</f>
        <v>C00000016</v>
      </c>
      <c r="F219" s="1" t="s">
        <v>290</v>
      </c>
      <c r="G219" s="11" t="s">
        <v>95</v>
      </c>
      <c r="H219" s="5">
        <v>2</v>
      </c>
      <c r="I219" s="5" t="str">
        <f>VLOOKUP(F219,'Set up'!$A$2:$C$48,3,FALSE)</f>
        <v>Cash</v>
      </c>
      <c r="J219" s="5">
        <f>VLOOKUP(F219,'Set up'!$A$2:$D$48,4,FALSE)</f>
        <v>0</v>
      </c>
      <c r="K219" s="4">
        <f t="shared" si="38"/>
        <v>44265</v>
      </c>
      <c r="L219" s="5">
        <f t="shared" si="39"/>
        <v>3</v>
      </c>
      <c r="M219" s="5">
        <f t="shared" si="40"/>
        <v>2021</v>
      </c>
      <c r="N219" s="44">
        <v>3058</v>
      </c>
      <c r="O219" s="6">
        <f t="shared" ref="O219:O250" si="43">-N219</f>
        <v>-3058</v>
      </c>
      <c r="P219" s="6">
        <f t="shared" si="42"/>
        <v>0</v>
      </c>
      <c r="Q219" s="7">
        <f t="shared" si="41"/>
        <v>279952.29999999993</v>
      </c>
      <c r="R219" s="44" t="str">
        <f>VLOOKUP(F219,'Set up'!$A$2:$E$48,5,FALSE)</f>
        <v>Trsf</v>
      </c>
      <c r="S219" s="1" t="s">
        <v>301</v>
      </c>
    </row>
    <row r="220" spans="1:19" hidden="1" x14ac:dyDescent="0.3">
      <c r="A220" s="4">
        <v>44265</v>
      </c>
      <c r="B220" s="5">
        <f t="shared" si="36"/>
        <v>3</v>
      </c>
      <c r="C220" s="5">
        <f t="shared" si="37"/>
        <v>2021</v>
      </c>
      <c r="D220" s="5" t="s">
        <v>316</v>
      </c>
      <c r="E220" s="5" t="str">
        <f>VLOOKUP(F220,'Set up'!$A$2:$C$48,2,FALSE)</f>
        <v>C00000016</v>
      </c>
      <c r="F220" s="1" t="s">
        <v>290</v>
      </c>
      <c r="G220" s="11" t="s">
        <v>67</v>
      </c>
      <c r="H220" s="5">
        <v>2</v>
      </c>
      <c r="I220" s="5" t="str">
        <f>VLOOKUP(F220,'Set up'!$A$2:$C$48,3,FALSE)</f>
        <v>Cash</v>
      </c>
      <c r="J220" s="5">
        <f>VLOOKUP(F220,'Set up'!$A$2:$D$48,4,FALSE)</f>
        <v>0</v>
      </c>
      <c r="K220" s="4">
        <f t="shared" si="38"/>
        <v>44265</v>
      </c>
      <c r="L220" s="5">
        <f t="shared" si="39"/>
        <v>3</v>
      </c>
      <c r="M220" s="5">
        <f t="shared" si="40"/>
        <v>2021</v>
      </c>
      <c r="N220" s="44">
        <v>3058</v>
      </c>
      <c r="O220" s="6">
        <f t="shared" si="43"/>
        <v>-3058</v>
      </c>
      <c r="P220" s="6">
        <f t="shared" si="42"/>
        <v>0</v>
      </c>
      <c r="Q220" s="7">
        <f t="shared" si="41"/>
        <v>283010.29999999993</v>
      </c>
      <c r="R220" s="44" t="str">
        <f>VLOOKUP(F220,'Set up'!$A$2:$E$48,5,FALSE)</f>
        <v>Trsf</v>
      </c>
      <c r="S220" s="1" t="s">
        <v>301</v>
      </c>
    </row>
    <row r="221" spans="1:19" hidden="1" x14ac:dyDescent="0.3">
      <c r="A221" s="4">
        <v>44265</v>
      </c>
      <c r="B221" s="5">
        <f t="shared" si="36"/>
        <v>3</v>
      </c>
      <c r="C221" s="5">
        <f t="shared" si="37"/>
        <v>2021</v>
      </c>
      <c r="D221" s="5" t="s">
        <v>316</v>
      </c>
      <c r="E221" s="5" t="str">
        <f>VLOOKUP(F221,'Set up'!$A$2:$C$48,2,FALSE)</f>
        <v>C00000016</v>
      </c>
      <c r="F221" s="1" t="s">
        <v>290</v>
      </c>
      <c r="G221" s="11" t="s">
        <v>291</v>
      </c>
      <c r="H221" s="5">
        <v>3</v>
      </c>
      <c r="I221" s="5" t="str">
        <f>VLOOKUP(F221,'Set up'!$A$2:$C$48,3,FALSE)</f>
        <v>Cash</v>
      </c>
      <c r="J221" s="5">
        <f>VLOOKUP(F221,'Set up'!$A$2:$D$48,4,FALSE)</f>
        <v>0</v>
      </c>
      <c r="K221" s="4">
        <f t="shared" si="38"/>
        <v>44265</v>
      </c>
      <c r="L221" s="5">
        <f t="shared" si="39"/>
        <v>3</v>
      </c>
      <c r="M221" s="5">
        <f t="shared" si="40"/>
        <v>2021</v>
      </c>
      <c r="N221" s="44">
        <v>4691.25</v>
      </c>
      <c r="O221" s="6">
        <f t="shared" si="43"/>
        <v>-4691.25</v>
      </c>
      <c r="P221" s="6">
        <f t="shared" si="42"/>
        <v>0</v>
      </c>
      <c r="Q221" s="7">
        <f t="shared" si="41"/>
        <v>287701.54999999993</v>
      </c>
      <c r="R221" s="44" t="str">
        <f>VLOOKUP(F221,'Set up'!$A$2:$E$48,5,FALSE)</f>
        <v>Trsf</v>
      </c>
      <c r="S221" s="1" t="s">
        <v>301</v>
      </c>
    </row>
    <row r="222" spans="1:19" hidden="1" x14ac:dyDescent="0.3">
      <c r="A222" s="4">
        <v>44266</v>
      </c>
      <c r="B222" s="5">
        <f t="shared" si="36"/>
        <v>3</v>
      </c>
      <c r="C222" s="5">
        <f t="shared" si="37"/>
        <v>2021</v>
      </c>
      <c r="D222" s="5" t="s">
        <v>317</v>
      </c>
      <c r="E222" s="5" t="str">
        <f>VLOOKUP(F222,'Set up'!$A$2:$C$48,2,FALSE)</f>
        <v>C00000009</v>
      </c>
      <c r="F222" s="1" t="s">
        <v>58</v>
      </c>
      <c r="G222" s="11" t="s">
        <v>287</v>
      </c>
      <c r="H222" s="5">
        <v>2</v>
      </c>
      <c r="I222" s="5">
        <f>VLOOKUP(F222,'Set up'!$A$2:$C$48,3,FALSE)</f>
        <v>60</v>
      </c>
      <c r="J222" s="5">
        <f>VLOOKUP(F222,'Set up'!$A$2:$D$48,4,FALSE)</f>
        <v>60</v>
      </c>
      <c r="K222" s="4">
        <f t="shared" si="38"/>
        <v>44326</v>
      </c>
      <c r="L222" s="5">
        <f t="shared" si="39"/>
        <v>5</v>
      </c>
      <c r="M222" s="5">
        <f t="shared" si="40"/>
        <v>2021</v>
      </c>
      <c r="N222" s="44">
        <v>3212</v>
      </c>
      <c r="O222" s="6">
        <f t="shared" si="43"/>
        <v>-3212</v>
      </c>
      <c r="P222" s="6">
        <f t="shared" si="42"/>
        <v>0</v>
      </c>
      <c r="Q222" s="7">
        <f t="shared" si="41"/>
        <v>290913.54999999993</v>
      </c>
      <c r="R222" s="44" t="str">
        <f>VLOOKUP(F222,'Set up'!$A$2:$E$48,5,FALSE)</f>
        <v>Chq</v>
      </c>
      <c r="S222" s="1" t="s">
        <v>462</v>
      </c>
    </row>
    <row r="223" spans="1:19" hidden="1" x14ac:dyDescent="0.3">
      <c r="A223" s="4">
        <v>44266</v>
      </c>
      <c r="B223" s="5">
        <f t="shared" si="36"/>
        <v>3</v>
      </c>
      <c r="C223" s="5">
        <f t="shared" si="37"/>
        <v>2021</v>
      </c>
      <c r="D223" s="5" t="s">
        <v>317</v>
      </c>
      <c r="E223" s="5" t="str">
        <f>VLOOKUP(F223,'Set up'!$A$2:$C$48,2,FALSE)</f>
        <v>C00000009</v>
      </c>
      <c r="F223" s="1" t="s">
        <v>58</v>
      </c>
      <c r="G223" s="11" t="s">
        <v>287</v>
      </c>
      <c r="H223" s="5">
        <v>1</v>
      </c>
      <c r="I223" s="5">
        <f>VLOOKUP(F223,'Set up'!$A$2:$C$48,3,FALSE)</f>
        <v>60</v>
      </c>
      <c r="J223" s="5">
        <f>VLOOKUP(F223,'Set up'!$A$2:$D$48,4,FALSE)</f>
        <v>60</v>
      </c>
      <c r="K223" s="4">
        <f t="shared" si="38"/>
        <v>44326</v>
      </c>
      <c r="L223" s="5">
        <f t="shared" si="39"/>
        <v>5</v>
      </c>
      <c r="M223" s="5">
        <f t="shared" si="40"/>
        <v>2021</v>
      </c>
      <c r="N223" s="44">
        <v>1606</v>
      </c>
      <c r="O223" s="6">
        <f t="shared" si="43"/>
        <v>-1606</v>
      </c>
      <c r="P223" s="6">
        <f t="shared" si="42"/>
        <v>0</v>
      </c>
      <c r="Q223" s="7">
        <f t="shared" si="41"/>
        <v>292519.54999999993</v>
      </c>
      <c r="R223" s="44" t="str">
        <f>VLOOKUP(F223,'Set up'!$A$2:$E$48,5,FALSE)</f>
        <v>Chq</v>
      </c>
      <c r="S223" s="1" t="s">
        <v>462</v>
      </c>
    </row>
    <row r="224" spans="1:19" hidden="1" x14ac:dyDescent="0.3">
      <c r="A224" s="4">
        <v>44266</v>
      </c>
      <c r="B224" s="5">
        <f t="shared" si="36"/>
        <v>3</v>
      </c>
      <c r="C224" s="5">
        <f t="shared" si="37"/>
        <v>2021</v>
      </c>
      <c r="D224" s="5" t="s">
        <v>317</v>
      </c>
      <c r="E224" s="5" t="str">
        <f>VLOOKUP(F224,'Set up'!$A$2:$C$48,2,FALSE)</f>
        <v>C00000009</v>
      </c>
      <c r="F224" s="1" t="s">
        <v>58</v>
      </c>
      <c r="G224" s="11" t="s">
        <v>96</v>
      </c>
      <c r="H224" s="5">
        <v>2</v>
      </c>
      <c r="I224" s="5">
        <f>VLOOKUP(F224,'Set up'!$A$2:$C$48,3,FALSE)</f>
        <v>60</v>
      </c>
      <c r="J224" s="5">
        <f>VLOOKUP(F224,'Set up'!$A$2:$D$48,4,FALSE)</f>
        <v>60</v>
      </c>
      <c r="K224" s="4">
        <f t="shared" si="38"/>
        <v>44326</v>
      </c>
      <c r="L224" s="5">
        <f t="shared" si="39"/>
        <v>5</v>
      </c>
      <c r="M224" s="5">
        <f t="shared" si="40"/>
        <v>2021</v>
      </c>
      <c r="N224" s="44">
        <v>820.8</v>
      </c>
      <c r="O224" s="6">
        <f t="shared" si="43"/>
        <v>-820.8</v>
      </c>
      <c r="P224" s="6">
        <f t="shared" si="42"/>
        <v>0</v>
      </c>
      <c r="Q224" s="7">
        <f t="shared" si="41"/>
        <v>293340.34999999992</v>
      </c>
      <c r="R224" s="44" t="str">
        <f>VLOOKUP(F224,'Set up'!$A$2:$E$48,5,FALSE)</f>
        <v>Chq</v>
      </c>
      <c r="S224" s="1" t="s">
        <v>462</v>
      </c>
    </row>
    <row r="225" spans="1:19" ht="15" hidden="1" customHeight="1" x14ac:dyDescent="0.3">
      <c r="A225" s="4">
        <v>44266</v>
      </c>
      <c r="B225" s="5">
        <f t="shared" si="36"/>
        <v>3</v>
      </c>
      <c r="C225" s="5">
        <f t="shared" si="37"/>
        <v>2021</v>
      </c>
      <c r="D225" s="5" t="s">
        <v>317</v>
      </c>
      <c r="E225" s="5" t="str">
        <f>VLOOKUP(F225,'Set up'!$A$2:$C$48,2,FALSE)</f>
        <v>C00000009</v>
      </c>
      <c r="F225" s="1" t="s">
        <v>58</v>
      </c>
      <c r="G225" s="11" t="s">
        <v>97</v>
      </c>
      <c r="H225" s="5">
        <v>2</v>
      </c>
      <c r="I225" s="5">
        <f>VLOOKUP(F225,'Set up'!$A$2:$C$48,3,FALSE)</f>
        <v>60</v>
      </c>
      <c r="J225" s="5">
        <f>VLOOKUP(F225,'Set up'!$A$2:$D$48,4,FALSE)</f>
        <v>60</v>
      </c>
      <c r="K225" s="4">
        <f t="shared" si="38"/>
        <v>44326</v>
      </c>
      <c r="L225" s="5">
        <f t="shared" si="39"/>
        <v>5</v>
      </c>
      <c r="M225" s="5">
        <f t="shared" si="40"/>
        <v>2021</v>
      </c>
      <c r="N225" s="44">
        <v>820.8</v>
      </c>
      <c r="O225" s="6">
        <f t="shared" si="43"/>
        <v>-820.8</v>
      </c>
      <c r="P225" s="6">
        <f t="shared" si="42"/>
        <v>0</v>
      </c>
      <c r="Q225" s="7">
        <f t="shared" si="41"/>
        <v>294161.14999999991</v>
      </c>
      <c r="R225" s="44" t="str">
        <f>VLOOKUP(F225,'Set up'!$A$2:$E$48,5,FALSE)</f>
        <v>Chq</v>
      </c>
      <c r="S225" s="1" t="s">
        <v>462</v>
      </c>
    </row>
    <row r="226" spans="1:19" ht="15" hidden="1" customHeight="1" x14ac:dyDescent="0.3">
      <c r="A226" s="4">
        <v>44278</v>
      </c>
      <c r="B226" s="5">
        <f t="shared" ref="B226:B257" si="44">MONTH(A226)</f>
        <v>3</v>
      </c>
      <c r="C226" s="5">
        <f t="shared" ref="C226:C260" si="45">YEAR(A226)</f>
        <v>2021</v>
      </c>
      <c r="D226" s="5" t="s">
        <v>319</v>
      </c>
      <c r="E226" s="5" t="str">
        <f>VLOOKUP(F226,'Set up'!$A$2:$C$48,2,FALSE)</f>
        <v>C00000004</v>
      </c>
      <c r="F226" s="1" t="s">
        <v>23</v>
      </c>
      <c r="G226" s="11" t="s">
        <v>95</v>
      </c>
      <c r="H226" s="5">
        <v>5</v>
      </c>
      <c r="I226" s="5">
        <f>VLOOKUP(F226,'Set up'!$A$2:$C$48,3,FALSE)</f>
        <v>120</v>
      </c>
      <c r="J226" s="5">
        <f>VLOOKUP(F226,'Set up'!$A$2:$D$48,4,FALSE)</f>
        <v>120</v>
      </c>
      <c r="K226" s="4">
        <f t="shared" si="38"/>
        <v>44398</v>
      </c>
      <c r="L226" s="5">
        <f t="shared" si="39"/>
        <v>7</v>
      </c>
      <c r="M226" s="5">
        <f t="shared" si="40"/>
        <v>2021</v>
      </c>
      <c r="N226" s="44">
        <v>8140</v>
      </c>
      <c r="O226" s="6">
        <f t="shared" si="43"/>
        <v>-8140</v>
      </c>
      <c r="P226" s="12">
        <f t="shared" si="42"/>
        <v>0</v>
      </c>
      <c r="Q226" s="7">
        <f t="shared" si="41"/>
        <v>302301.14999999991</v>
      </c>
      <c r="R226" s="44" t="str">
        <f>VLOOKUP(F226,'Set up'!$A$2:$E$48,5,FALSE)</f>
        <v>Chq</v>
      </c>
      <c r="S226" s="1" t="s">
        <v>390</v>
      </c>
    </row>
    <row r="227" spans="1:19" ht="15" hidden="1" customHeight="1" x14ac:dyDescent="0.3">
      <c r="A227" s="4">
        <v>44278</v>
      </c>
      <c r="B227" s="5">
        <f t="shared" si="44"/>
        <v>3</v>
      </c>
      <c r="C227" s="5">
        <f t="shared" si="45"/>
        <v>2021</v>
      </c>
      <c r="D227" s="5" t="s">
        <v>319</v>
      </c>
      <c r="E227" s="5" t="str">
        <f>VLOOKUP(F227,'Set up'!$A$2:$C$48,2,FALSE)</f>
        <v>C00000004</v>
      </c>
      <c r="F227" s="1" t="s">
        <v>23</v>
      </c>
      <c r="G227" s="11" t="s">
        <v>96</v>
      </c>
      <c r="H227" s="5">
        <v>4</v>
      </c>
      <c r="I227" s="5">
        <f>VLOOKUP(F227,'Set up'!$A$2:$C$48,3,FALSE)</f>
        <v>120</v>
      </c>
      <c r="J227" s="5">
        <f>VLOOKUP(F227,'Set up'!$A$2:$D$48,4,FALSE)</f>
        <v>120</v>
      </c>
      <c r="K227" s="4">
        <f t="shared" si="38"/>
        <v>44398</v>
      </c>
      <c r="L227" s="5">
        <f t="shared" si="39"/>
        <v>7</v>
      </c>
      <c r="M227" s="5">
        <f t="shared" si="40"/>
        <v>2021</v>
      </c>
      <c r="N227" s="44">
        <v>1641.6</v>
      </c>
      <c r="O227" s="6">
        <f t="shared" si="43"/>
        <v>-1641.6</v>
      </c>
      <c r="P227" s="12">
        <f t="shared" si="42"/>
        <v>0</v>
      </c>
      <c r="Q227" s="7">
        <f t="shared" si="41"/>
        <v>303942.74999999988</v>
      </c>
      <c r="R227" s="44" t="str">
        <f>VLOOKUP(F227,'Set up'!$A$2:$E$48,5,FALSE)</f>
        <v>Chq</v>
      </c>
      <c r="S227" s="1" t="s">
        <v>390</v>
      </c>
    </row>
    <row r="228" spans="1:19" ht="15" hidden="1" customHeight="1" x14ac:dyDescent="0.3">
      <c r="A228" s="4">
        <v>44278</v>
      </c>
      <c r="B228" s="5">
        <f t="shared" si="44"/>
        <v>3</v>
      </c>
      <c r="C228" s="5">
        <f t="shared" si="45"/>
        <v>2021</v>
      </c>
      <c r="D228" s="5" t="s">
        <v>319</v>
      </c>
      <c r="E228" s="5" t="str">
        <f>VLOOKUP(F228,'Set up'!$A$2:$C$48,2,FALSE)</f>
        <v>C00000004</v>
      </c>
      <c r="F228" s="1" t="s">
        <v>23</v>
      </c>
      <c r="G228" s="11" t="s">
        <v>97</v>
      </c>
      <c r="H228" s="5">
        <v>4</v>
      </c>
      <c r="I228" s="5">
        <f>VLOOKUP(F228,'Set up'!$A$2:$C$48,3,FALSE)</f>
        <v>120</v>
      </c>
      <c r="J228" s="5">
        <f>VLOOKUP(F228,'Set up'!$A$2:$D$48,4,FALSE)</f>
        <v>120</v>
      </c>
      <c r="K228" s="4">
        <f t="shared" si="38"/>
        <v>44398</v>
      </c>
      <c r="L228" s="5">
        <f t="shared" si="39"/>
        <v>7</v>
      </c>
      <c r="M228" s="5">
        <f t="shared" si="40"/>
        <v>2021</v>
      </c>
      <c r="N228" s="44">
        <v>1641.6</v>
      </c>
      <c r="O228" s="6">
        <f t="shared" si="43"/>
        <v>-1641.6</v>
      </c>
      <c r="P228" s="12">
        <f t="shared" si="42"/>
        <v>0</v>
      </c>
      <c r="Q228" s="7">
        <f t="shared" si="41"/>
        <v>305584.34999999986</v>
      </c>
      <c r="R228" s="44" t="str">
        <f>VLOOKUP(F228,'Set up'!$A$2:$E$48,5,FALSE)</f>
        <v>Chq</v>
      </c>
      <c r="S228" s="1" t="s">
        <v>390</v>
      </c>
    </row>
    <row r="229" spans="1:19" ht="15" hidden="1" customHeight="1" x14ac:dyDescent="0.3">
      <c r="A229" s="4">
        <v>44278</v>
      </c>
      <c r="B229" s="5">
        <f t="shared" si="44"/>
        <v>3</v>
      </c>
      <c r="C229" s="5">
        <f t="shared" si="45"/>
        <v>2021</v>
      </c>
      <c r="D229" s="5" t="s">
        <v>319</v>
      </c>
      <c r="E229" s="5" t="str">
        <f>VLOOKUP(F229,'Set up'!$A$2:$C$48,2,FALSE)</f>
        <v>C00000004</v>
      </c>
      <c r="F229" s="1" t="s">
        <v>23</v>
      </c>
      <c r="G229" s="11" t="s">
        <v>46</v>
      </c>
      <c r="H229" s="5">
        <v>4</v>
      </c>
      <c r="I229" s="5">
        <f>VLOOKUP(F229,'Set up'!$A$2:$C$48,3,FALSE)</f>
        <v>120</v>
      </c>
      <c r="J229" s="5">
        <f>VLOOKUP(F229,'Set up'!$A$2:$D$48,4,FALSE)</f>
        <v>120</v>
      </c>
      <c r="K229" s="4">
        <f t="shared" si="38"/>
        <v>44398</v>
      </c>
      <c r="L229" s="5">
        <f t="shared" si="39"/>
        <v>7</v>
      </c>
      <c r="M229" s="5">
        <f t="shared" si="40"/>
        <v>2021</v>
      </c>
      <c r="N229" s="44">
        <v>380</v>
      </c>
      <c r="O229" s="6">
        <f t="shared" si="43"/>
        <v>-380</v>
      </c>
      <c r="P229" s="12">
        <f t="shared" si="42"/>
        <v>0</v>
      </c>
      <c r="Q229" s="7">
        <f t="shared" si="41"/>
        <v>305964.34999999986</v>
      </c>
      <c r="R229" s="44" t="str">
        <f>VLOOKUP(F229,'Set up'!$A$2:$E$48,5,FALSE)</f>
        <v>Chq</v>
      </c>
      <c r="S229" s="1" t="s">
        <v>390</v>
      </c>
    </row>
    <row r="230" spans="1:19" ht="15" hidden="1" customHeight="1" x14ac:dyDescent="0.3">
      <c r="A230" s="4">
        <v>44279</v>
      </c>
      <c r="B230" s="5">
        <f t="shared" si="44"/>
        <v>3</v>
      </c>
      <c r="C230" s="5">
        <f t="shared" si="45"/>
        <v>2021</v>
      </c>
      <c r="D230" s="5" t="s">
        <v>320</v>
      </c>
      <c r="E230" s="5" t="str">
        <f>VLOOKUP(F230,'Set up'!$A$2:$C$48,2,FALSE)</f>
        <v>C00000009</v>
      </c>
      <c r="F230" s="1" t="s">
        <v>58</v>
      </c>
      <c r="G230" s="11" t="s">
        <v>179</v>
      </c>
      <c r="H230" s="5">
        <v>2</v>
      </c>
      <c r="I230" s="5">
        <f>VLOOKUP(F230,'Set up'!$A$2:$C$48,3,FALSE)</f>
        <v>60</v>
      </c>
      <c r="J230" s="5">
        <f>VLOOKUP(F230,'Set up'!$A$2:$D$48,4,FALSE)</f>
        <v>60</v>
      </c>
      <c r="K230" s="4">
        <f t="shared" si="38"/>
        <v>44339</v>
      </c>
      <c r="L230" s="5">
        <f t="shared" si="39"/>
        <v>5</v>
      </c>
      <c r="M230" s="5">
        <f t="shared" si="40"/>
        <v>2021</v>
      </c>
      <c r="N230" s="44">
        <v>90</v>
      </c>
      <c r="O230" s="6">
        <f t="shared" si="43"/>
        <v>-90</v>
      </c>
      <c r="P230" s="6">
        <f t="shared" si="42"/>
        <v>0</v>
      </c>
      <c r="Q230" s="7">
        <f t="shared" si="41"/>
        <v>306054.34999999986</v>
      </c>
      <c r="R230" s="44" t="str">
        <f>VLOOKUP(F230,'Set up'!$A$2:$E$48,5,FALSE)</f>
        <v>Chq</v>
      </c>
      <c r="S230" s="1" t="s">
        <v>462</v>
      </c>
    </row>
    <row r="231" spans="1:19" ht="15" hidden="1" customHeight="1" x14ac:dyDescent="0.3">
      <c r="A231" s="4">
        <v>44279</v>
      </c>
      <c r="B231" s="5">
        <f t="shared" si="44"/>
        <v>3</v>
      </c>
      <c r="C231" s="5">
        <f t="shared" si="45"/>
        <v>2021</v>
      </c>
      <c r="D231" s="5" t="s">
        <v>321</v>
      </c>
      <c r="E231" s="5" t="str">
        <f>VLOOKUP(F231,'Set up'!$A$2:$C$48,2,FALSE)</f>
        <v>C00000010</v>
      </c>
      <c r="F231" s="1" t="s">
        <v>62</v>
      </c>
      <c r="G231" s="11" t="s">
        <v>298</v>
      </c>
      <c r="H231" s="5">
        <v>5</v>
      </c>
      <c r="I231" s="5">
        <f>VLOOKUP(F231,'Set up'!$A$2:$C$48,3,FALSE)</f>
        <v>120</v>
      </c>
      <c r="J231" s="5">
        <f>VLOOKUP(F231,'Set up'!$A$2:$D$48,4,FALSE)</f>
        <v>120</v>
      </c>
      <c r="K231" s="4">
        <f t="shared" si="38"/>
        <v>44399</v>
      </c>
      <c r="L231" s="5">
        <f t="shared" si="39"/>
        <v>7</v>
      </c>
      <c r="M231" s="5">
        <f t="shared" si="40"/>
        <v>2021</v>
      </c>
      <c r="N231" s="44">
        <v>8250</v>
      </c>
      <c r="O231" s="6">
        <f t="shared" si="43"/>
        <v>-8250</v>
      </c>
      <c r="P231" s="6">
        <f t="shared" si="42"/>
        <v>0</v>
      </c>
      <c r="Q231" s="7">
        <f t="shared" si="41"/>
        <v>314304.34999999986</v>
      </c>
      <c r="R231" s="44" t="str">
        <f>VLOOKUP(F231,'Set up'!$A$2:$E$48,5,FALSE)</f>
        <v>Trsf</v>
      </c>
      <c r="S231" s="1" t="s">
        <v>384</v>
      </c>
    </row>
    <row r="232" spans="1:19" ht="15" hidden="1" customHeight="1" x14ac:dyDescent="0.3">
      <c r="A232" s="4">
        <v>44279</v>
      </c>
      <c r="B232" s="5">
        <f t="shared" si="44"/>
        <v>3</v>
      </c>
      <c r="C232" s="5">
        <f t="shared" si="45"/>
        <v>2021</v>
      </c>
      <c r="D232" s="5" t="s">
        <v>321</v>
      </c>
      <c r="E232" s="5" t="str">
        <f>VLOOKUP(F232,'Set up'!$A$2:$C$48,2,FALSE)</f>
        <v>C00000010</v>
      </c>
      <c r="F232" s="1" t="s">
        <v>62</v>
      </c>
      <c r="G232" s="11" t="s">
        <v>220</v>
      </c>
      <c r="H232" s="5">
        <v>5</v>
      </c>
      <c r="I232" s="5">
        <f>VLOOKUP(F232,'Set up'!$A$2:$C$48,3,FALSE)</f>
        <v>120</v>
      </c>
      <c r="J232" s="5">
        <f>VLOOKUP(F232,'Set up'!$A$2:$D$48,4,FALSE)</f>
        <v>120</v>
      </c>
      <c r="K232" s="4">
        <f t="shared" si="38"/>
        <v>44399</v>
      </c>
      <c r="L232" s="5">
        <f t="shared" si="39"/>
        <v>7</v>
      </c>
      <c r="M232" s="5">
        <f t="shared" si="40"/>
        <v>2021</v>
      </c>
      <c r="N232" s="44">
        <v>1170</v>
      </c>
      <c r="O232" s="6">
        <f t="shared" si="43"/>
        <v>-1170</v>
      </c>
      <c r="P232" s="6">
        <f t="shared" si="42"/>
        <v>0</v>
      </c>
      <c r="Q232" s="7">
        <f t="shared" si="41"/>
        <v>315474.34999999986</v>
      </c>
      <c r="R232" s="44" t="str">
        <f>VLOOKUP(F232,'Set up'!$A$2:$E$48,5,FALSE)</f>
        <v>Trsf</v>
      </c>
      <c r="S232" s="1" t="s">
        <v>384</v>
      </c>
    </row>
    <row r="233" spans="1:19" ht="15" hidden="1" customHeight="1" x14ac:dyDescent="0.3">
      <c r="A233" s="4">
        <v>44279</v>
      </c>
      <c r="B233" s="5">
        <f t="shared" si="44"/>
        <v>3</v>
      </c>
      <c r="C233" s="5">
        <f t="shared" si="45"/>
        <v>2021</v>
      </c>
      <c r="D233" s="5" t="s">
        <v>321</v>
      </c>
      <c r="E233" s="5" t="str">
        <f>VLOOKUP(F233,'Set up'!$A$2:$C$48,2,FALSE)</f>
        <v>C00000010</v>
      </c>
      <c r="F233" s="1" t="s">
        <v>62</v>
      </c>
      <c r="G233" s="11" t="s">
        <v>64</v>
      </c>
      <c r="H233" s="5">
        <v>5</v>
      </c>
      <c r="I233" s="5">
        <f>VLOOKUP(F233,'Set up'!$A$2:$C$48,3,FALSE)</f>
        <v>120</v>
      </c>
      <c r="J233" s="5">
        <f>VLOOKUP(F233,'Set up'!$A$2:$D$48,4,FALSE)</f>
        <v>120</v>
      </c>
      <c r="K233" s="4">
        <f t="shared" si="38"/>
        <v>44399</v>
      </c>
      <c r="L233" s="5">
        <f t="shared" si="39"/>
        <v>7</v>
      </c>
      <c r="M233" s="5">
        <f t="shared" si="40"/>
        <v>2021</v>
      </c>
      <c r="N233" s="44">
        <v>275</v>
      </c>
      <c r="O233" s="6">
        <f t="shared" si="43"/>
        <v>-275</v>
      </c>
      <c r="P233" s="6">
        <f t="shared" si="42"/>
        <v>0</v>
      </c>
      <c r="Q233" s="7">
        <f t="shared" si="41"/>
        <v>315749.34999999986</v>
      </c>
      <c r="R233" s="44" t="str">
        <f>VLOOKUP(F233,'Set up'!$A$2:$E$48,5,FALSE)</f>
        <v>Trsf</v>
      </c>
      <c r="S233" s="1" t="s">
        <v>384</v>
      </c>
    </row>
    <row r="234" spans="1:19" ht="15" hidden="1" customHeight="1" x14ac:dyDescent="0.3">
      <c r="A234" s="4">
        <v>44279</v>
      </c>
      <c r="B234" s="5">
        <f t="shared" si="44"/>
        <v>3</v>
      </c>
      <c r="C234" s="5">
        <f t="shared" si="45"/>
        <v>2021</v>
      </c>
      <c r="D234" s="5" t="s">
        <v>321</v>
      </c>
      <c r="E234" s="5" t="str">
        <f>VLOOKUP(F234,'Set up'!$A$2:$C$48,2,FALSE)</f>
        <v>C00000010</v>
      </c>
      <c r="F234" s="1" t="s">
        <v>62</v>
      </c>
      <c r="G234" s="11" t="s">
        <v>46</v>
      </c>
      <c r="H234" s="5">
        <v>4</v>
      </c>
      <c r="I234" s="5">
        <f>VLOOKUP(F234,'Set up'!$A$2:$C$48,3,FALSE)</f>
        <v>120</v>
      </c>
      <c r="J234" s="5">
        <f>VLOOKUP(F234,'Set up'!$A$2:$D$48,4,FALSE)</f>
        <v>120</v>
      </c>
      <c r="K234" s="4">
        <f t="shared" si="38"/>
        <v>44399</v>
      </c>
      <c r="L234" s="5">
        <f t="shared" si="39"/>
        <v>7</v>
      </c>
      <c r="M234" s="5">
        <f t="shared" si="40"/>
        <v>2021</v>
      </c>
      <c r="N234" s="44">
        <v>380</v>
      </c>
      <c r="O234" s="6">
        <f t="shared" si="43"/>
        <v>-380</v>
      </c>
      <c r="P234" s="6">
        <f t="shared" si="42"/>
        <v>0</v>
      </c>
      <c r="Q234" s="7">
        <f t="shared" si="41"/>
        <v>316129.34999999986</v>
      </c>
      <c r="R234" s="44" t="str">
        <f>VLOOKUP(F234,'Set up'!$A$2:$E$48,5,FALSE)</f>
        <v>Trsf</v>
      </c>
      <c r="S234" s="1" t="s">
        <v>384</v>
      </c>
    </row>
    <row r="235" spans="1:19" ht="15" hidden="1" customHeight="1" x14ac:dyDescent="0.3">
      <c r="A235" s="4">
        <v>44280</v>
      </c>
      <c r="B235" s="5">
        <f t="shared" si="44"/>
        <v>3</v>
      </c>
      <c r="C235" s="5">
        <f t="shared" si="45"/>
        <v>2021</v>
      </c>
      <c r="D235" s="5" t="s">
        <v>322</v>
      </c>
      <c r="E235" s="5" t="str">
        <f>VLOOKUP(F235,'Set up'!$A$2:$C$48,2,FALSE)</f>
        <v>C00000014</v>
      </c>
      <c r="F235" s="1" t="s">
        <v>263</v>
      </c>
      <c r="G235" s="11" t="s">
        <v>24</v>
      </c>
      <c r="H235" s="5">
        <v>1</v>
      </c>
      <c r="I235" s="5" t="str">
        <f>VLOOKUP(F235,'Set up'!$A$2:$C$48,3,FALSE)</f>
        <v>Cash</v>
      </c>
      <c r="J235" s="5">
        <f>VLOOKUP(F235,'Set up'!$A$2:$D$48,4,FALSE)</f>
        <v>0</v>
      </c>
      <c r="K235" s="4">
        <f t="shared" si="38"/>
        <v>44280</v>
      </c>
      <c r="L235" s="5">
        <f t="shared" si="39"/>
        <v>3</v>
      </c>
      <c r="M235" s="5">
        <f t="shared" si="40"/>
        <v>2021</v>
      </c>
      <c r="N235" s="44">
        <v>240</v>
      </c>
      <c r="O235" s="6">
        <f t="shared" si="43"/>
        <v>-240</v>
      </c>
      <c r="P235" s="6">
        <f t="shared" si="42"/>
        <v>0</v>
      </c>
      <c r="Q235" s="7">
        <f t="shared" si="41"/>
        <v>316369.34999999986</v>
      </c>
      <c r="R235" s="44" t="str">
        <f>VLOOKUP(F235,'Set up'!$A$2:$E$48,5,FALSE)</f>
        <v>Cash</v>
      </c>
      <c r="S235" s="1" t="s">
        <v>314</v>
      </c>
    </row>
    <row r="236" spans="1:19" ht="15" hidden="1" customHeight="1" x14ac:dyDescent="0.3">
      <c r="A236" s="4">
        <v>44285</v>
      </c>
      <c r="B236" s="5">
        <f t="shared" si="44"/>
        <v>3</v>
      </c>
      <c r="C236" s="5">
        <f t="shared" si="45"/>
        <v>2021</v>
      </c>
      <c r="D236" s="5" t="s">
        <v>323</v>
      </c>
      <c r="E236" s="5" t="str">
        <f>VLOOKUP(F236,'Set up'!$A$2:$C$48,2,FALSE)</f>
        <v>C00000004</v>
      </c>
      <c r="F236" s="1" t="s">
        <v>23</v>
      </c>
      <c r="G236" s="11" t="s">
        <v>302</v>
      </c>
      <c r="H236" s="5">
        <v>2</v>
      </c>
      <c r="I236" s="5">
        <f>VLOOKUP(F236,'Set up'!$A$2:$C$48,3,FALSE)</f>
        <v>120</v>
      </c>
      <c r="J236" s="5">
        <f>VLOOKUP(F236,'Set up'!$A$2:$D$48,4,FALSE)</f>
        <v>120</v>
      </c>
      <c r="K236" s="4">
        <f t="shared" si="38"/>
        <v>44405</v>
      </c>
      <c r="L236" s="5">
        <f t="shared" si="39"/>
        <v>7</v>
      </c>
      <c r="M236" s="5">
        <f t="shared" si="40"/>
        <v>2021</v>
      </c>
      <c r="N236" s="44">
        <v>3510</v>
      </c>
      <c r="O236" s="6">
        <f t="shared" si="43"/>
        <v>-3510</v>
      </c>
      <c r="P236" s="12">
        <f t="shared" si="42"/>
        <v>0</v>
      </c>
      <c r="Q236" s="7">
        <f t="shared" si="41"/>
        <v>319879.34999999986</v>
      </c>
      <c r="R236" s="44" t="str">
        <f>VLOOKUP(F236,'Set up'!$A$2:$E$48,5,FALSE)</f>
        <v>Chq</v>
      </c>
      <c r="S236" s="1" t="s">
        <v>390</v>
      </c>
    </row>
    <row r="237" spans="1:19" hidden="1" x14ac:dyDescent="0.3">
      <c r="A237" s="4">
        <v>44287</v>
      </c>
      <c r="B237" s="5">
        <f t="shared" si="44"/>
        <v>4</v>
      </c>
      <c r="C237" s="5">
        <f t="shared" si="45"/>
        <v>2021</v>
      </c>
      <c r="D237" s="5" t="s">
        <v>324</v>
      </c>
      <c r="E237" s="5" t="str">
        <f>VLOOKUP(F237,'Set up'!$A$2:$C$48,2,FALSE)</f>
        <v>C00000003</v>
      </c>
      <c r="F237" s="1" t="s">
        <v>20</v>
      </c>
      <c r="G237" s="2" t="s">
        <v>67</v>
      </c>
      <c r="H237" s="5">
        <v>3</v>
      </c>
      <c r="I237" s="5">
        <f>VLOOKUP(F237,'Set up'!$A$2:$C$48,3,FALSE)</f>
        <v>45</v>
      </c>
      <c r="J237" s="5">
        <f>VLOOKUP(F237,'Set up'!$A$2:$D$48,4,FALSE)</f>
        <v>45</v>
      </c>
      <c r="K237" s="4">
        <f t="shared" si="38"/>
        <v>44332</v>
      </c>
      <c r="L237" s="5">
        <f t="shared" si="39"/>
        <v>5</v>
      </c>
      <c r="M237" s="5">
        <f t="shared" si="40"/>
        <v>2021</v>
      </c>
      <c r="N237" s="44">
        <v>5412</v>
      </c>
      <c r="O237" s="6">
        <f t="shared" si="43"/>
        <v>-5412</v>
      </c>
      <c r="P237" s="6">
        <f t="shared" si="42"/>
        <v>0</v>
      </c>
      <c r="Q237" s="7">
        <f t="shared" si="41"/>
        <v>325291.34999999986</v>
      </c>
      <c r="R237" s="44" t="str">
        <f>VLOOKUP(F237,'Set up'!$A$2:$E$48,5,FALSE)</f>
        <v>PD Chq</v>
      </c>
      <c r="S237" s="70" t="s">
        <v>392</v>
      </c>
    </row>
    <row r="238" spans="1:19" ht="15" hidden="1" customHeight="1" x14ac:dyDescent="0.3">
      <c r="A238" s="4">
        <v>44287</v>
      </c>
      <c r="B238" s="5">
        <f t="shared" si="44"/>
        <v>4</v>
      </c>
      <c r="C238" s="5">
        <f t="shared" si="45"/>
        <v>2021</v>
      </c>
      <c r="D238" s="5" t="s">
        <v>324</v>
      </c>
      <c r="E238" s="5" t="str">
        <f>VLOOKUP(F238,'Set up'!$A$2:$C$48,2,FALSE)</f>
        <v>C00000003</v>
      </c>
      <c r="F238" s="1" t="s">
        <v>20</v>
      </c>
      <c r="G238" s="55" t="s">
        <v>97</v>
      </c>
      <c r="H238" s="5">
        <v>1</v>
      </c>
      <c r="I238" s="5">
        <f>VLOOKUP(F238,'Set up'!$A$2:$C$48,3,FALSE)</f>
        <v>45</v>
      </c>
      <c r="J238" s="5">
        <f>VLOOKUP(F238,'Set up'!$A$2:$D$48,4,FALSE)</f>
        <v>45</v>
      </c>
      <c r="K238" s="4">
        <f t="shared" si="38"/>
        <v>44332</v>
      </c>
      <c r="L238" s="5">
        <f t="shared" si="39"/>
        <v>5</v>
      </c>
      <c r="M238" s="5">
        <f t="shared" si="40"/>
        <v>2021</v>
      </c>
      <c r="N238" s="44">
        <v>459</v>
      </c>
      <c r="O238" s="6">
        <f t="shared" si="43"/>
        <v>-459</v>
      </c>
      <c r="P238" s="6">
        <f t="shared" si="42"/>
        <v>0</v>
      </c>
      <c r="Q238" s="7">
        <f t="shared" si="41"/>
        <v>325750.34999999986</v>
      </c>
      <c r="R238" s="44" t="str">
        <f>VLOOKUP(F238,'Set up'!$A$2:$E$48,5,FALSE)</f>
        <v>PD Chq</v>
      </c>
      <c r="S238" s="69" t="s">
        <v>391</v>
      </c>
    </row>
    <row r="239" spans="1:19" ht="15" hidden="1" customHeight="1" x14ac:dyDescent="0.3">
      <c r="A239" s="4">
        <v>44287</v>
      </c>
      <c r="B239" s="5">
        <f t="shared" si="44"/>
        <v>4</v>
      </c>
      <c r="C239" s="5">
        <f t="shared" si="45"/>
        <v>2021</v>
      </c>
      <c r="D239" s="5" t="s">
        <v>324</v>
      </c>
      <c r="E239" s="5" t="str">
        <f>VLOOKUP(F239,'Set up'!$A$2:$C$48,2,FALSE)</f>
        <v>C00000003</v>
      </c>
      <c r="F239" s="1" t="s">
        <v>20</v>
      </c>
      <c r="G239" s="76" t="s">
        <v>54</v>
      </c>
      <c r="H239" s="5">
        <v>5</v>
      </c>
      <c r="I239" s="5">
        <f>VLOOKUP(F239,'Set up'!$A$2:$C$48,3,FALSE)</f>
        <v>45</v>
      </c>
      <c r="J239" s="5">
        <f>VLOOKUP(F239,'Set up'!$A$2:$D$48,4,FALSE)</f>
        <v>45</v>
      </c>
      <c r="K239" s="4">
        <f t="shared" si="38"/>
        <v>44332</v>
      </c>
      <c r="L239" s="5">
        <f t="shared" si="39"/>
        <v>5</v>
      </c>
      <c r="M239" s="5">
        <f t="shared" si="40"/>
        <v>2021</v>
      </c>
      <c r="N239" s="44">
        <v>250</v>
      </c>
      <c r="O239" s="6">
        <f t="shared" si="43"/>
        <v>-250</v>
      </c>
      <c r="P239" s="6">
        <f t="shared" si="42"/>
        <v>0</v>
      </c>
      <c r="Q239" s="7">
        <f t="shared" si="41"/>
        <v>326000.34999999986</v>
      </c>
      <c r="R239" s="44" t="str">
        <f>VLOOKUP(F239,'Set up'!$A$2:$E$48,5,FALSE)</f>
        <v>PD Chq</v>
      </c>
      <c r="S239" s="69" t="s">
        <v>391</v>
      </c>
    </row>
    <row r="240" spans="1:19" ht="15" hidden="1" customHeight="1" x14ac:dyDescent="0.3">
      <c r="A240" s="4">
        <v>44287</v>
      </c>
      <c r="B240" s="5">
        <f t="shared" si="44"/>
        <v>4</v>
      </c>
      <c r="C240" s="5">
        <f t="shared" si="45"/>
        <v>2021</v>
      </c>
      <c r="D240" s="5" t="s">
        <v>324</v>
      </c>
      <c r="E240" s="5" t="str">
        <f>VLOOKUP(F240,'Set up'!$A$2:$C$48,2,FALSE)</f>
        <v>C00000003</v>
      </c>
      <c r="F240" s="1" t="s">
        <v>20</v>
      </c>
      <c r="G240" s="55" t="s">
        <v>46</v>
      </c>
      <c r="H240" s="5">
        <v>5</v>
      </c>
      <c r="I240" s="5">
        <f>VLOOKUP(F240,'Set up'!$A$2:$C$48,3,FALSE)</f>
        <v>45</v>
      </c>
      <c r="J240" s="5">
        <f>VLOOKUP(F240,'Set up'!$A$2:$D$48,4,FALSE)</f>
        <v>45</v>
      </c>
      <c r="K240" s="4">
        <f t="shared" si="38"/>
        <v>44332</v>
      </c>
      <c r="L240" s="5">
        <f t="shared" si="39"/>
        <v>5</v>
      </c>
      <c r="M240" s="5">
        <f t="shared" si="40"/>
        <v>2021</v>
      </c>
      <c r="N240" s="44">
        <v>500</v>
      </c>
      <c r="O240" s="6">
        <f t="shared" si="43"/>
        <v>-500</v>
      </c>
      <c r="P240" s="6">
        <f t="shared" si="42"/>
        <v>0</v>
      </c>
      <c r="Q240" s="7">
        <f t="shared" si="41"/>
        <v>326500.34999999986</v>
      </c>
      <c r="R240" s="44" t="str">
        <f>VLOOKUP(F240,'Set up'!$A$2:$E$48,5,FALSE)</f>
        <v>PD Chq</v>
      </c>
      <c r="S240" s="69" t="s">
        <v>391</v>
      </c>
    </row>
    <row r="241" spans="1:19" ht="15" hidden="1" customHeight="1" x14ac:dyDescent="0.3">
      <c r="A241" s="4">
        <v>44287</v>
      </c>
      <c r="B241" s="5">
        <f t="shared" si="44"/>
        <v>4</v>
      </c>
      <c r="C241" s="5">
        <f t="shared" si="45"/>
        <v>2021</v>
      </c>
      <c r="D241" s="5" t="s">
        <v>325</v>
      </c>
      <c r="E241" s="5" t="str">
        <f>VLOOKUP(F241,'Set up'!$A$2:$C$48,2,FALSE)</f>
        <v>C00000003</v>
      </c>
      <c r="F241" s="1" t="s">
        <v>20</v>
      </c>
      <c r="G241" s="11" t="s">
        <v>179</v>
      </c>
      <c r="H241" s="5">
        <v>2</v>
      </c>
      <c r="I241" s="5">
        <f>VLOOKUP(F241,'Set up'!$A$2:$C$48,3,FALSE)</f>
        <v>45</v>
      </c>
      <c r="J241" s="5">
        <f>VLOOKUP(F241,'Set up'!$A$2:$D$48,4,FALSE)</f>
        <v>45</v>
      </c>
      <c r="K241" s="4">
        <f t="shared" si="38"/>
        <v>44332</v>
      </c>
      <c r="L241" s="5">
        <f t="shared" si="39"/>
        <v>5</v>
      </c>
      <c r="M241" s="5">
        <f t="shared" si="40"/>
        <v>2021</v>
      </c>
      <c r="N241" s="44">
        <v>90</v>
      </c>
      <c r="O241" s="6">
        <f t="shared" si="43"/>
        <v>-90</v>
      </c>
      <c r="P241" s="6">
        <f t="shared" si="42"/>
        <v>0</v>
      </c>
      <c r="Q241" s="7">
        <f t="shared" si="41"/>
        <v>326590.34999999986</v>
      </c>
      <c r="R241" s="44" t="str">
        <f>VLOOKUP(F241,'Set up'!$A$2:$E$48,5,FALSE)</f>
        <v>PD Chq</v>
      </c>
      <c r="S241" s="1" t="s">
        <v>314</v>
      </c>
    </row>
    <row r="242" spans="1:19" ht="15" hidden="1" customHeight="1" x14ac:dyDescent="0.3">
      <c r="A242" s="4">
        <v>44294</v>
      </c>
      <c r="B242" s="5">
        <f t="shared" si="44"/>
        <v>4</v>
      </c>
      <c r="C242" s="5">
        <f t="shared" si="45"/>
        <v>2021</v>
      </c>
      <c r="D242" s="5" t="s">
        <v>326</v>
      </c>
      <c r="E242" s="5" t="str">
        <f>VLOOKUP(F242,'Set up'!$A$2:$C$48,2,FALSE)</f>
        <v>C00000015</v>
      </c>
      <c r="F242" s="1" t="s">
        <v>281</v>
      </c>
      <c r="G242" s="11" t="s">
        <v>95</v>
      </c>
      <c r="H242" s="5">
        <v>1</v>
      </c>
      <c r="I242" s="5" t="str">
        <f>VLOOKUP(F242,'Set up'!$A$2:$C$48,3,FALSE)</f>
        <v>Cash</v>
      </c>
      <c r="J242" s="5">
        <f>VLOOKUP(F242,'Set up'!$A$2:$D$48,4,FALSE)</f>
        <v>0</v>
      </c>
      <c r="K242" s="4">
        <f t="shared" si="38"/>
        <v>44294</v>
      </c>
      <c r="L242" s="5">
        <f t="shared" si="39"/>
        <v>4</v>
      </c>
      <c r="M242" s="5">
        <f t="shared" si="40"/>
        <v>2021</v>
      </c>
      <c r="N242" s="44">
        <v>1870</v>
      </c>
      <c r="O242" s="6">
        <f t="shared" si="43"/>
        <v>-1870</v>
      </c>
      <c r="P242" s="6">
        <f t="shared" si="42"/>
        <v>0</v>
      </c>
      <c r="Q242" s="7">
        <f t="shared" si="41"/>
        <v>328460.34999999986</v>
      </c>
      <c r="R242" s="44" t="str">
        <f>VLOOKUP(F242,'Set up'!$A$2:$E$48,5,FALSE)</f>
        <v>Trsf</v>
      </c>
      <c r="S242" s="1" t="s">
        <v>311</v>
      </c>
    </row>
    <row r="243" spans="1:19" ht="15" hidden="1" customHeight="1" x14ac:dyDescent="0.3">
      <c r="A243" s="4">
        <v>44294</v>
      </c>
      <c r="B243" s="5">
        <f t="shared" si="44"/>
        <v>4</v>
      </c>
      <c r="C243" s="5">
        <f t="shared" si="45"/>
        <v>2021</v>
      </c>
      <c r="D243" s="5" t="s">
        <v>326</v>
      </c>
      <c r="E243" s="5" t="str">
        <f>VLOOKUP(F243,'Set up'!$A$2:$C$48,2,FALSE)</f>
        <v>C00000015</v>
      </c>
      <c r="F243" s="1" t="s">
        <v>281</v>
      </c>
      <c r="G243" s="11" t="s">
        <v>181</v>
      </c>
      <c r="H243" s="5">
        <v>1</v>
      </c>
      <c r="I243" s="5" t="str">
        <f>VLOOKUP(F243,'Set up'!$A$2:$C$48,3,FALSE)</f>
        <v>Cash</v>
      </c>
      <c r="J243" s="5">
        <f>VLOOKUP(F243,'Set up'!$A$2:$D$48,4,FALSE)</f>
        <v>0</v>
      </c>
      <c r="K243" s="4">
        <f t="shared" si="38"/>
        <v>44294</v>
      </c>
      <c r="L243" s="5">
        <f t="shared" si="39"/>
        <v>4</v>
      </c>
      <c r="M243" s="5">
        <f t="shared" si="40"/>
        <v>2021</v>
      </c>
      <c r="N243" s="44">
        <v>255</v>
      </c>
      <c r="O243" s="6">
        <f t="shared" si="43"/>
        <v>-255</v>
      </c>
      <c r="P243" s="6">
        <f t="shared" si="42"/>
        <v>0</v>
      </c>
      <c r="Q243" s="7">
        <f t="shared" si="41"/>
        <v>328715.34999999986</v>
      </c>
      <c r="R243" s="44" t="str">
        <f>VLOOKUP(F243,'Set up'!$A$2:$E$48,5,FALSE)</f>
        <v>Trsf</v>
      </c>
      <c r="S243" s="1" t="s">
        <v>311</v>
      </c>
    </row>
    <row r="244" spans="1:19" ht="15" hidden="1" customHeight="1" x14ac:dyDescent="0.3">
      <c r="A244" s="4">
        <v>44294</v>
      </c>
      <c r="B244" s="5">
        <f t="shared" si="44"/>
        <v>4</v>
      </c>
      <c r="C244" s="5">
        <f t="shared" si="45"/>
        <v>2021</v>
      </c>
      <c r="D244" s="5" t="s">
        <v>326</v>
      </c>
      <c r="E244" s="5" t="str">
        <f>VLOOKUP(F244,'Set up'!$A$2:$C$48,2,FALSE)</f>
        <v>C00000015</v>
      </c>
      <c r="F244" s="1" t="s">
        <v>281</v>
      </c>
      <c r="G244" s="11" t="s">
        <v>46</v>
      </c>
      <c r="H244" s="5">
        <v>1</v>
      </c>
      <c r="I244" s="5" t="str">
        <f>VLOOKUP(F244,'Set up'!$A$2:$C$48,3,FALSE)</f>
        <v>Cash</v>
      </c>
      <c r="J244" s="5">
        <f>VLOOKUP(F244,'Set up'!$A$2:$D$48,4,FALSE)</f>
        <v>0</v>
      </c>
      <c r="K244" s="4">
        <f t="shared" si="38"/>
        <v>44294</v>
      </c>
      <c r="L244" s="5">
        <f t="shared" si="39"/>
        <v>4</v>
      </c>
      <c r="M244" s="5">
        <f t="shared" si="40"/>
        <v>2021</v>
      </c>
      <c r="N244" s="44">
        <v>100</v>
      </c>
      <c r="O244" s="6">
        <f t="shared" si="43"/>
        <v>-100</v>
      </c>
      <c r="P244" s="6">
        <f t="shared" si="42"/>
        <v>0</v>
      </c>
      <c r="Q244" s="7">
        <f t="shared" si="41"/>
        <v>328815.34999999986</v>
      </c>
      <c r="R244" s="44" t="str">
        <f>VLOOKUP(F244,'Set up'!$A$2:$E$48,5,FALSE)</f>
        <v>Trsf</v>
      </c>
      <c r="S244" s="1" t="s">
        <v>311</v>
      </c>
    </row>
    <row r="245" spans="1:19" ht="15" hidden="1" customHeight="1" x14ac:dyDescent="0.3">
      <c r="A245" s="4">
        <v>44294</v>
      </c>
      <c r="B245" s="5">
        <f t="shared" si="44"/>
        <v>4</v>
      </c>
      <c r="C245" s="5">
        <f t="shared" si="45"/>
        <v>2021</v>
      </c>
      <c r="D245" s="5" t="s">
        <v>327</v>
      </c>
      <c r="E245" s="5" t="str">
        <f>VLOOKUP(F245,'Set up'!$A$2:$C$48,2,FALSE)</f>
        <v>C00000010</v>
      </c>
      <c r="F245" s="1" t="s">
        <v>62</v>
      </c>
      <c r="G245" s="56" t="s">
        <v>304</v>
      </c>
      <c r="H245" s="5">
        <v>5</v>
      </c>
      <c r="I245" s="5">
        <f>VLOOKUP(F245,'Set up'!$A$2:$C$48,3,FALSE)</f>
        <v>120</v>
      </c>
      <c r="J245" s="5">
        <f>VLOOKUP(F245,'Set up'!$A$2:$D$48,4,FALSE)</f>
        <v>120</v>
      </c>
      <c r="K245" s="4">
        <f t="shared" si="38"/>
        <v>44414</v>
      </c>
      <c r="L245" s="5">
        <f t="shared" si="39"/>
        <v>8</v>
      </c>
      <c r="M245" s="5">
        <f t="shared" si="40"/>
        <v>2021</v>
      </c>
      <c r="N245" s="44">
        <v>8690</v>
      </c>
      <c r="O245" s="6">
        <f t="shared" si="43"/>
        <v>-8690</v>
      </c>
      <c r="P245" s="6">
        <f t="shared" si="42"/>
        <v>0</v>
      </c>
      <c r="Q245" s="7">
        <f t="shared" si="41"/>
        <v>337505.34999999986</v>
      </c>
      <c r="R245" s="44" t="str">
        <f>VLOOKUP(F245,'Set up'!$A$2:$E$48,5,FALSE)</f>
        <v>Trsf</v>
      </c>
      <c r="S245" s="1" t="s">
        <v>385</v>
      </c>
    </row>
    <row r="246" spans="1:19" ht="15" hidden="1" customHeight="1" x14ac:dyDescent="0.3">
      <c r="A246" s="4">
        <v>44294</v>
      </c>
      <c r="B246" s="5">
        <f t="shared" si="44"/>
        <v>4</v>
      </c>
      <c r="C246" s="5">
        <f t="shared" si="45"/>
        <v>2021</v>
      </c>
      <c r="D246" s="5" t="s">
        <v>327</v>
      </c>
      <c r="E246" s="5" t="str">
        <f>VLOOKUP(F246,'Set up'!$A$2:$C$48,2,FALSE)</f>
        <v>C00000010</v>
      </c>
      <c r="F246" s="1" t="s">
        <v>62</v>
      </c>
      <c r="G246" s="56" t="s">
        <v>63</v>
      </c>
      <c r="H246" s="5">
        <v>6</v>
      </c>
      <c r="I246" s="5">
        <f>VLOOKUP(F246,'Set up'!$A$2:$C$48,3,FALSE)</f>
        <v>120</v>
      </c>
      <c r="J246" s="5">
        <f>VLOOKUP(F246,'Set up'!$A$2:$D$48,4,FALSE)</f>
        <v>120</v>
      </c>
      <c r="K246" s="4">
        <f t="shared" si="38"/>
        <v>44414</v>
      </c>
      <c r="L246" s="5">
        <f t="shared" si="39"/>
        <v>8</v>
      </c>
      <c r="M246" s="5">
        <f t="shared" si="40"/>
        <v>2021</v>
      </c>
      <c r="N246" s="44">
        <v>1731.6000000000001</v>
      </c>
      <c r="O246" s="6">
        <f t="shared" si="43"/>
        <v>-1731.6000000000001</v>
      </c>
      <c r="P246" s="6">
        <f t="shared" si="42"/>
        <v>0</v>
      </c>
      <c r="Q246" s="7">
        <f t="shared" si="41"/>
        <v>339236.94999999984</v>
      </c>
      <c r="R246" s="44" t="str">
        <f>VLOOKUP(F246,'Set up'!$A$2:$E$48,5,FALSE)</f>
        <v>Trsf</v>
      </c>
      <c r="S246" s="1" t="s">
        <v>385</v>
      </c>
    </row>
    <row r="247" spans="1:19" ht="15" hidden="1" customHeight="1" x14ac:dyDescent="0.3">
      <c r="A247" s="4">
        <v>44294</v>
      </c>
      <c r="B247" s="5">
        <f t="shared" si="44"/>
        <v>4</v>
      </c>
      <c r="C247" s="5">
        <f t="shared" si="45"/>
        <v>2021</v>
      </c>
      <c r="D247" s="5" t="s">
        <v>327</v>
      </c>
      <c r="E247" s="5" t="str">
        <f>VLOOKUP(F247,'Set up'!$A$2:$C$48,2,FALSE)</f>
        <v>C00000010</v>
      </c>
      <c r="F247" s="1" t="s">
        <v>62</v>
      </c>
      <c r="G247" s="56" t="s">
        <v>64</v>
      </c>
      <c r="H247" s="5">
        <v>10</v>
      </c>
      <c r="I247" s="5">
        <f>VLOOKUP(F247,'Set up'!$A$2:$C$48,3,FALSE)</f>
        <v>120</v>
      </c>
      <c r="J247" s="5">
        <f>VLOOKUP(F247,'Set up'!$A$2:$D$48,4,FALSE)</f>
        <v>120</v>
      </c>
      <c r="K247" s="4">
        <f t="shared" si="38"/>
        <v>44414</v>
      </c>
      <c r="L247" s="5">
        <f t="shared" si="39"/>
        <v>8</v>
      </c>
      <c r="M247" s="5">
        <f t="shared" si="40"/>
        <v>2021</v>
      </c>
      <c r="N247" s="44">
        <v>550</v>
      </c>
      <c r="O247" s="6">
        <f t="shared" si="43"/>
        <v>-550</v>
      </c>
      <c r="P247" s="6">
        <f t="shared" si="42"/>
        <v>0</v>
      </c>
      <c r="Q247" s="7">
        <f t="shared" si="41"/>
        <v>339786.94999999984</v>
      </c>
      <c r="R247" s="44" t="str">
        <f>VLOOKUP(F247,'Set up'!$A$2:$E$48,5,FALSE)</f>
        <v>Trsf</v>
      </c>
      <c r="S247" s="1" t="s">
        <v>385</v>
      </c>
    </row>
    <row r="248" spans="1:19" ht="15" hidden="1" customHeight="1" x14ac:dyDescent="0.3">
      <c r="A248" s="4">
        <v>44294</v>
      </c>
      <c r="B248" s="5">
        <f t="shared" si="44"/>
        <v>4</v>
      </c>
      <c r="C248" s="5">
        <f t="shared" si="45"/>
        <v>2021</v>
      </c>
      <c r="D248" s="5" t="s">
        <v>327</v>
      </c>
      <c r="E248" s="5" t="str">
        <f>VLOOKUP(F248,'Set up'!$A$2:$C$48,2,FALSE)</f>
        <v>C00000010</v>
      </c>
      <c r="F248" s="1" t="s">
        <v>62</v>
      </c>
      <c r="G248" s="77" t="s">
        <v>46</v>
      </c>
      <c r="H248" s="5">
        <v>2</v>
      </c>
      <c r="I248" s="5">
        <f>VLOOKUP(F248,'Set up'!$A$2:$C$48,3,FALSE)</f>
        <v>120</v>
      </c>
      <c r="J248" s="5">
        <f>VLOOKUP(F248,'Set up'!$A$2:$D$48,4,FALSE)</f>
        <v>120</v>
      </c>
      <c r="K248" s="4">
        <f t="shared" si="38"/>
        <v>44414</v>
      </c>
      <c r="L248" s="5">
        <f t="shared" si="39"/>
        <v>8</v>
      </c>
      <c r="M248" s="5">
        <f t="shared" si="40"/>
        <v>2021</v>
      </c>
      <c r="N248" s="44">
        <v>190</v>
      </c>
      <c r="O248" s="6">
        <f t="shared" si="43"/>
        <v>-190</v>
      </c>
      <c r="P248" s="6">
        <f t="shared" si="42"/>
        <v>0</v>
      </c>
      <c r="Q248" s="7">
        <f t="shared" si="41"/>
        <v>339976.94999999984</v>
      </c>
      <c r="R248" s="44" t="str">
        <f>VLOOKUP(F248,'Set up'!$A$2:$E$48,5,FALSE)</f>
        <v>Trsf</v>
      </c>
      <c r="S248" s="1" t="s">
        <v>385</v>
      </c>
    </row>
    <row r="249" spans="1:19" ht="15" hidden="1" customHeight="1" x14ac:dyDescent="0.3">
      <c r="A249" s="4">
        <v>44294</v>
      </c>
      <c r="B249" s="5">
        <f t="shared" si="44"/>
        <v>4</v>
      </c>
      <c r="C249" s="5">
        <f t="shared" si="45"/>
        <v>2021</v>
      </c>
      <c r="D249" s="5" t="s">
        <v>327</v>
      </c>
      <c r="E249" s="5" t="str">
        <f>VLOOKUP(F249,'Set up'!$A$2:$C$48,2,FALSE)</f>
        <v>C00000010</v>
      </c>
      <c r="F249" s="1" t="s">
        <v>62</v>
      </c>
      <c r="G249" s="11" t="s">
        <v>239</v>
      </c>
      <c r="H249" s="5">
        <v>2</v>
      </c>
      <c r="I249" s="5">
        <f>VLOOKUP(F249,'Set up'!$A$2:$C$48,3,FALSE)</f>
        <v>120</v>
      </c>
      <c r="J249" s="5">
        <f>VLOOKUP(F249,'Set up'!$A$2:$D$48,4,FALSE)</f>
        <v>120</v>
      </c>
      <c r="K249" s="4">
        <f t="shared" si="38"/>
        <v>44414</v>
      </c>
      <c r="L249" s="5">
        <f t="shared" si="39"/>
        <v>8</v>
      </c>
      <c r="M249" s="5">
        <f t="shared" si="40"/>
        <v>2021</v>
      </c>
      <c r="N249" s="44">
        <v>720</v>
      </c>
      <c r="O249" s="6">
        <f t="shared" si="43"/>
        <v>-720</v>
      </c>
      <c r="P249" s="6">
        <f t="shared" si="42"/>
        <v>0</v>
      </c>
      <c r="Q249" s="7">
        <f t="shared" si="41"/>
        <v>340696.94999999984</v>
      </c>
      <c r="R249" s="44" t="str">
        <f>VLOOKUP(F249,'Set up'!$A$2:$E$48,5,FALSE)</f>
        <v>Trsf</v>
      </c>
      <c r="S249" s="1" t="s">
        <v>385</v>
      </c>
    </row>
    <row r="250" spans="1:19" ht="15" hidden="1" customHeight="1" x14ac:dyDescent="0.3">
      <c r="A250" s="4">
        <v>44294</v>
      </c>
      <c r="B250" s="5">
        <f t="shared" si="44"/>
        <v>4</v>
      </c>
      <c r="C250" s="5">
        <f t="shared" si="45"/>
        <v>2021</v>
      </c>
      <c r="D250" s="5" t="s">
        <v>327</v>
      </c>
      <c r="E250" s="5" t="str">
        <f>VLOOKUP(F250,'Set up'!$A$2:$C$48,2,FALSE)</f>
        <v>C00000010</v>
      </c>
      <c r="F250" s="1" t="s">
        <v>62</v>
      </c>
      <c r="G250" s="11" t="s">
        <v>305</v>
      </c>
      <c r="H250" s="5">
        <v>4</v>
      </c>
      <c r="I250" s="5">
        <f>VLOOKUP(F250,'Set up'!$A$2:$C$48,3,FALSE)</f>
        <v>120</v>
      </c>
      <c r="J250" s="5">
        <f>VLOOKUP(F250,'Set up'!$A$2:$D$48,4,FALSE)</f>
        <v>120</v>
      </c>
      <c r="K250" s="4">
        <f t="shared" si="38"/>
        <v>44414</v>
      </c>
      <c r="L250" s="5">
        <f t="shared" si="39"/>
        <v>8</v>
      </c>
      <c r="M250" s="5">
        <f t="shared" si="40"/>
        <v>2021</v>
      </c>
      <c r="N250" s="24">
        <v>220</v>
      </c>
      <c r="O250" s="6">
        <f t="shared" si="43"/>
        <v>-220</v>
      </c>
      <c r="P250" s="6">
        <f t="shared" si="42"/>
        <v>0</v>
      </c>
      <c r="Q250" s="7">
        <f t="shared" si="41"/>
        <v>340916.94999999984</v>
      </c>
      <c r="R250" s="44" t="str">
        <f>VLOOKUP(F250,'Set up'!$A$2:$E$48,5,FALSE)</f>
        <v>Trsf</v>
      </c>
      <c r="S250" s="1" t="s">
        <v>385</v>
      </c>
    </row>
    <row r="251" spans="1:19" ht="15" hidden="1" customHeight="1" x14ac:dyDescent="0.3">
      <c r="A251" s="4">
        <v>44295</v>
      </c>
      <c r="B251" s="5">
        <f t="shared" si="44"/>
        <v>4</v>
      </c>
      <c r="C251" s="5">
        <f t="shared" si="45"/>
        <v>2021</v>
      </c>
      <c r="D251" s="5" t="s">
        <v>328</v>
      </c>
      <c r="E251" s="5" t="str">
        <f>VLOOKUP(F251,'Set up'!$A$2:$C$48,2,FALSE)</f>
        <v>C00000001</v>
      </c>
      <c r="F251" s="1" t="s">
        <v>7</v>
      </c>
      <c r="G251" s="2" t="s">
        <v>306</v>
      </c>
      <c r="H251" s="5">
        <v>2</v>
      </c>
      <c r="I251" s="5" t="str">
        <f>VLOOKUP(F251,'Set up'!$A$2:$C$48,3,FALSE)</f>
        <v>Cash</v>
      </c>
      <c r="J251" s="5">
        <f>VLOOKUP(F251,'Set up'!$A$2:$D$48,4,FALSE)</f>
        <v>0</v>
      </c>
      <c r="K251" s="4">
        <f t="shared" si="38"/>
        <v>44295</v>
      </c>
      <c r="L251" s="5">
        <f t="shared" si="39"/>
        <v>4</v>
      </c>
      <c r="M251" s="5">
        <f t="shared" si="40"/>
        <v>2021</v>
      </c>
      <c r="N251" s="24">
        <v>520</v>
      </c>
      <c r="O251" s="6">
        <f t="shared" ref="O251:O269" si="46">-N251</f>
        <v>-520</v>
      </c>
      <c r="P251" s="6">
        <f t="shared" si="42"/>
        <v>0</v>
      </c>
      <c r="Q251" s="7">
        <f t="shared" si="41"/>
        <v>341436.94999999984</v>
      </c>
      <c r="R251" s="44" t="str">
        <f>VLOOKUP(F251,'Set up'!$A$2:$E$48,5,FALSE)</f>
        <v>Trsf</v>
      </c>
      <c r="S251" s="1" t="s">
        <v>315</v>
      </c>
    </row>
    <row r="252" spans="1:19" ht="15" hidden="1" customHeight="1" x14ac:dyDescent="0.3">
      <c r="A252" s="4">
        <v>44313</v>
      </c>
      <c r="B252" s="5">
        <f t="shared" si="44"/>
        <v>4</v>
      </c>
      <c r="C252" s="5">
        <f t="shared" si="45"/>
        <v>2021</v>
      </c>
      <c r="D252" s="5" t="s">
        <v>329</v>
      </c>
      <c r="E252" s="5" t="str">
        <f>VLOOKUP(F252,'Set up'!$A$2:$C$48,2,FALSE)</f>
        <v>C00000009</v>
      </c>
      <c r="F252" s="1" t="s">
        <v>58</v>
      </c>
      <c r="G252" s="2" t="s">
        <v>95</v>
      </c>
      <c r="H252" s="5">
        <v>2</v>
      </c>
      <c r="I252" s="5">
        <f>VLOOKUP(F252,'Set up'!$A$2:$C$48,3,FALSE)</f>
        <v>60</v>
      </c>
      <c r="J252" s="5">
        <f>VLOOKUP(F252,'Set up'!$A$2:$D$48,4,FALSE)</f>
        <v>60</v>
      </c>
      <c r="K252" s="4">
        <f t="shared" si="38"/>
        <v>44373</v>
      </c>
      <c r="L252" s="5">
        <f t="shared" si="39"/>
        <v>6</v>
      </c>
      <c r="M252" s="5">
        <f t="shared" si="40"/>
        <v>2021</v>
      </c>
      <c r="N252" s="44">
        <v>3476</v>
      </c>
      <c r="O252" s="6">
        <f t="shared" si="46"/>
        <v>-3476</v>
      </c>
      <c r="P252" s="6">
        <f t="shared" si="42"/>
        <v>0</v>
      </c>
      <c r="Q252" s="7">
        <f t="shared" si="41"/>
        <v>344912.94999999984</v>
      </c>
      <c r="R252" s="44" t="str">
        <f>VLOOKUP(F252,'Set up'!$A$2:$E$48,5,FALSE)</f>
        <v>Chq</v>
      </c>
      <c r="S252" s="1" t="s">
        <v>469</v>
      </c>
    </row>
    <row r="253" spans="1:19" ht="15" hidden="1" customHeight="1" x14ac:dyDescent="0.3">
      <c r="A253" s="4">
        <v>44313</v>
      </c>
      <c r="B253" s="5">
        <f t="shared" si="44"/>
        <v>4</v>
      </c>
      <c r="C253" s="5">
        <f t="shared" si="45"/>
        <v>2021</v>
      </c>
      <c r="D253" s="5" t="s">
        <v>329</v>
      </c>
      <c r="E253" s="5" t="str">
        <f>VLOOKUP(F253,'Set up'!$A$2:$C$48,2,FALSE)</f>
        <v>C00000009</v>
      </c>
      <c r="F253" s="1" t="s">
        <v>58</v>
      </c>
      <c r="G253" s="2" t="s">
        <v>287</v>
      </c>
      <c r="H253" s="5">
        <v>1</v>
      </c>
      <c r="I253" s="5">
        <f>VLOOKUP(F253,'Set up'!$A$2:$C$48,3,FALSE)</f>
        <v>60</v>
      </c>
      <c r="J253" s="5">
        <f>VLOOKUP(F253,'Set up'!$A$2:$D$48,4,FALSE)</f>
        <v>60</v>
      </c>
      <c r="K253" s="4">
        <v>44373</v>
      </c>
      <c r="L253" s="5">
        <f t="shared" si="39"/>
        <v>6</v>
      </c>
      <c r="M253" s="5">
        <f t="shared" si="40"/>
        <v>2021</v>
      </c>
      <c r="N253" s="44">
        <v>1738</v>
      </c>
      <c r="O253" s="6">
        <f t="shared" si="46"/>
        <v>-1738</v>
      </c>
      <c r="P253" s="6">
        <f t="shared" si="42"/>
        <v>0</v>
      </c>
      <c r="Q253" s="7">
        <f t="shared" si="41"/>
        <v>346650.94999999984</v>
      </c>
      <c r="R253" s="44" t="str">
        <f>VLOOKUP(F253,'Set up'!$A$2:$E$48,5,FALSE)</f>
        <v>Chq</v>
      </c>
      <c r="S253" s="1" t="s">
        <v>469</v>
      </c>
    </row>
    <row r="254" spans="1:19" ht="15" hidden="1" customHeight="1" x14ac:dyDescent="0.3">
      <c r="A254" s="4">
        <v>44313</v>
      </c>
      <c r="B254" s="5">
        <f t="shared" si="44"/>
        <v>4</v>
      </c>
      <c r="C254" s="5">
        <f t="shared" si="45"/>
        <v>2021</v>
      </c>
      <c r="D254" s="5" t="s">
        <v>329</v>
      </c>
      <c r="E254" s="5" t="str">
        <f>VLOOKUP(F254,'Set up'!$A$2:$C$48,2,FALSE)</f>
        <v>C00000009</v>
      </c>
      <c r="F254" s="1" t="s">
        <v>58</v>
      </c>
      <c r="G254" s="2" t="s">
        <v>96</v>
      </c>
      <c r="H254" s="5">
        <v>5</v>
      </c>
      <c r="I254" s="5">
        <f>VLOOKUP(F254,'Set up'!$A$2:$C$48,3,FALSE)</f>
        <v>60</v>
      </c>
      <c r="J254" s="5">
        <f>VLOOKUP(F254,'Set up'!$A$2:$D$48,4,FALSE)</f>
        <v>60</v>
      </c>
      <c r="K254" s="4">
        <v>44373</v>
      </c>
      <c r="L254" s="5">
        <f t="shared" si="39"/>
        <v>6</v>
      </c>
      <c r="M254" s="5">
        <f t="shared" si="40"/>
        <v>2021</v>
      </c>
      <c r="N254" s="44">
        <v>2268</v>
      </c>
      <c r="O254" s="6">
        <f t="shared" si="46"/>
        <v>-2268</v>
      </c>
      <c r="P254" s="6">
        <f t="shared" si="42"/>
        <v>0</v>
      </c>
      <c r="Q254" s="7">
        <f t="shared" si="41"/>
        <v>348918.94999999984</v>
      </c>
      <c r="R254" s="44" t="str">
        <f>VLOOKUP(F254,'Set up'!$A$2:$E$48,5,FALSE)</f>
        <v>Chq</v>
      </c>
      <c r="S254" s="1" t="s">
        <v>469</v>
      </c>
    </row>
    <row r="255" spans="1:19" ht="15" hidden="1" customHeight="1" x14ac:dyDescent="0.3">
      <c r="A255" s="4">
        <v>44315</v>
      </c>
      <c r="B255" s="5">
        <f t="shared" si="44"/>
        <v>4</v>
      </c>
      <c r="C255" s="5">
        <f t="shared" si="45"/>
        <v>2021</v>
      </c>
      <c r="D255" s="5" t="s">
        <v>332</v>
      </c>
      <c r="E255" s="5" t="str">
        <f>VLOOKUP(F255,'Set up'!$A$2:$C$48,2,FALSE)</f>
        <v>C00000010</v>
      </c>
      <c r="F255" s="1" t="s">
        <v>62</v>
      </c>
      <c r="G255" s="56" t="s">
        <v>304</v>
      </c>
      <c r="H255" s="5">
        <v>5</v>
      </c>
      <c r="I255" s="5">
        <f>VLOOKUP(F255,'Set up'!$A$2:$C$48,3,FALSE)</f>
        <v>120</v>
      </c>
      <c r="J255" s="5">
        <f>VLOOKUP(F255,'Set up'!$A$2:$D$48,4,FALSE)</f>
        <v>120</v>
      </c>
      <c r="K255" s="4">
        <f t="shared" ref="K255:K285" si="47">A255+J255</f>
        <v>44435</v>
      </c>
      <c r="L255" s="5">
        <f t="shared" si="39"/>
        <v>8</v>
      </c>
      <c r="M255" s="5">
        <f t="shared" si="40"/>
        <v>2021</v>
      </c>
      <c r="N255" s="44">
        <v>8690</v>
      </c>
      <c r="O255" s="6">
        <f t="shared" si="46"/>
        <v>-8690</v>
      </c>
      <c r="P255" s="6">
        <f t="shared" si="42"/>
        <v>0</v>
      </c>
      <c r="Q255" s="7">
        <f t="shared" si="41"/>
        <v>357608.94999999984</v>
      </c>
      <c r="R255" s="44" t="str">
        <f>VLOOKUP(F255,'Set up'!$A$2:$E$48,5,FALSE)</f>
        <v>Trsf</v>
      </c>
      <c r="S255" s="1" t="s">
        <v>385</v>
      </c>
    </row>
    <row r="256" spans="1:19" ht="15" hidden="1" customHeight="1" x14ac:dyDescent="0.3">
      <c r="A256" s="4">
        <v>44315</v>
      </c>
      <c r="B256" s="5">
        <f t="shared" si="44"/>
        <v>4</v>
      </c>
      <c r="C256" s="5">
        <f t="shared" si="45"/>
        <v>2021</v>
      </c>
      <c r="D256" s="5" t="s">
        <v>332</v>
      </c>
      <c r="E256" s="5" t="str">
        <f>VLOOKUP(F256,'Set up'!$A$2:$C$48,2,FALSE)</f>
        <v>C00000010</v>
      </c>
      <c r="F256" s="1" t="s">
        <v>62</v>
      </c>
      <c r="G256" s="56" t="s">
        <v>220</v>
      </c>
      <c r="H256" s="5">
        <v>5</v>
      </c>
      <c r="I256" s="5">
        <f>VLOOKUP(F256,'Set up'!$A$2:$C$48,3,FALSE)</f>
        <v>120</v>
      </c>
      <c r="J256" s="5">
        <f>VLOOKUP(F256,'Set up'!$A$2:$D$48,4,FALSE)</f>
        <v>120</v>
      </c>
      <c r="K256" s="4">
        <f t="shared" si="47"/>
        <v>44435</v>
      </c>
      <c r="L256" s="5">
        <f t="shared" si="39"/>
        <v>8</v>
      </c>
      <c r="M256" s="5">
        <f t="shared" si="40"/>
        <v>2021</v>
      </c>
      <c r="N256" s="44">
        <v>1230</v>
      </c>
      <c r="O256" s="6">
        <f t="shared" si="46"/>
        <v>-1230</v>
      </c>
      <c r="P256" s="6">
        <f t="shared" si="42"/>
        <v>0</v>
      </c>
      <c r="Q256" s="7">
        <f t="shared" si="41"/>
        <v>358838.94999999984</v>
      </c>
      <c r="R256" s="44" t="str">
        <f>VLOOKUP(F256,'Set up'!$A$2:$E$48,5,FALSE)</f>
        <v>Trsf</v>
      </c>
      <c r="S256" s="1" t="s">
        <v>385</v>
      </c>
    </row>
    <row r="257" spans="1:24" ht="15" hidden="1" customHeight="1" x14ac:dyDescent="0.3">
      <c r="A257" s="4">
        <v>44315</v>
      </c>
      <c r="B257" s="5">
        <f t="shared" si="44"/>
        <v>4</v>
      </c>
      <c r="C257" s="5">
        <f t="shared" si="45"/>
        <v>2021</v>
      </c>
      <c r="D257" s="5" t="s">
        <v>332</v>
      </c>
      <c r="E257" s="5" t="str">
        <f>VLOOKUP(F257,'Set up'!$A$2:$C$48,2,FALSE)</f>
        <v>C00000010</v>
      </c>
      <c r="F257" s="1" t="s">
        <v>62</v>
      </c>
      <c r="G257" s="56" t="s">
        <v>64</v>
      </c>
      <c r="H257" s="5">
        <v>10</v>
      </c>
      <c r="I257" s="5">
        <f>VLOOKUP(F257,'Set up'!$A$2:$C$48,3,FALSE)</f>
        <v>120</v>
      </c>
      <c r="J257" s="5">
        <f>VLOOKUP(F257,'Set up'!$A$2:$D$48,4,FALSE)</f>
        <v>120</v>
      </c>
      <c r="K257" s="4">
        <f t="shared" si="47"/>
        <v>44435</v>
      </c>
      <c r="L257" s="5">
        <f t="shared" si="39"/>
        <v>8</v>
      </c>
      <c r="M257" s="5">
        <f t="shared" si="40"/>
        <v>2021</v>
      </c>
      <c r="N257" s="44">
        <v>550</v>
      </c>
      <c r="O257" s="6">
        <f t="shared" si="46"/>
        <v>-550</v>
      </c>
      <c r="P257" s="6">
        <f t="shared" si="42"/>
        <v>0</v>
      </c>
      <c r="Q257" s="7">
        <f t="shared" si="41"/>
        <v>359388.94999999984</v>
      </c>
      <c r="R257" s="44" t="str">
        <f>VLOOKUP(F257,'Set up'!$A$2:$E$48,5,FALSE)</f>
        <v>Trsf</v>
      </c>
      <c r="S257" s="1" t="s">
        <v>385</v>
      </c>
    </row>
    <row r="258" spans="1:24" ht="15" hidden="1" customHeight="1" x14ac:dyDescent="0.3">
      <c r="A258" s="4">
        <v>44315</v>
      </c>
      <c r="B258" s="5">
        <f t="shared" ref="B258:B260" si="48">MONTH(A258)</f>
        <v>4</v>
      </c>
      <c r="C258" s="5">
        <f t="shared" si="45"/>
        <v>2021</v>
      </c>
      <c r="D258" s="5" t="s">
        <v>332</v>
      </c>
      <c r="E258" s="5" t="str">
        <f>VLOOKUP(F258,'Set up'!$A$2:$C$48,2,FALSE)</f>
        <v>C00000010</v>
      </c>
      <c r="F258" s="1" t="s">
        <v>62</v>
      </c>
      <c r="G258" s="77" t="s">
        <v>46</v>
      </c>
      <c r="H258" s="5">
        <v>4</v>
      </c>
      <c r="I258" s="5">
        <f>VLOOKUP(F258,'Set up'!$A$2:$C$48,3,FALSE)</f>
        <v>120</v>
      </c>
      <c r="J258" s="5">
        <f>VLOOKUP(F258,'Set up'!$A$2:$D$48,4,FALSE)</f>
        <v>120</v>
      </c>
      <c r="K258" s="4">
        <f t="shared" si="47"/>
        <v>44435</v>
      </c>
      <c r="L258" s="5">
        <f t="shared" ref="L258:L269" si="49">MONTH(K258)</f>
        <v>8</v>
      </c>
      <c r="M258" s="5">
        <f t="shared" ref="M258:M269" si="50">YEAR(K258)</f>
        <v>2021</v>
      </c>
      <c r="N258" s="44">
        <v>380</v>
      </c>
      <c r="O258" s="6">
        <f t="shared" si="46"/>
        <v>-380</v>
      </c>
      <c r="P258" s="6">
        <f t="shared" si="42"/>
        <v>0</v>
      </c>
      <c r="Q258" s="7">
        <f t="shared" si="41"/>
        <v>359768.94999999984</v>
      </c>
      <c r="R258" s="44" t="str">
        <f>VLOOKUP(F258,'Set up'!$A$2:$E$48,5,FALSE)</f>
        <v>Trsf</v>
      </c>
      <c r="S258" s="1" t="s">
        <v>385</v>
      </c>
    </row>
    <row r="259" spans="1:24" ht="15" hidden="1" customHeight="1" x14ac:dyDescent="0.3">
      <c r="A259" s="4">
        <v>44315</v>
      </c>
      <c r="B259" s="5">
        <f t="shared" si="48"/>
        <v>4</v>
      </c>
      <c r="C259" s="5">
        <f t="shared" si="45"/>
        <v>2021</v>
      </c>
      <c r="D259" s="5" t="s">
        <v>332</v>
      </c>
      <c r="E259" s="5" t="str">
        <f>VLOOKUP(F259,'Set up'!$A$2:$C$48,2,FALSE)</f>
        <v>C00000010</v>
      </c>
      <c r="F259" s="1" t="s">
        <v>62</v>
      </c>
      <c r="G259" s="11" t="s">
        <v>239</v>
      </c>
      <c r="H259" s="5">
        <v>1</v>
      </c>
      <c r="I259" s="5">
        <f>VLOOKUP(F259,'Set up'!$A$2:$C$48,3,FALSE)</f>
        <v>120</v>
      </c>
      <c r="J259" s="5">
        <f>VLOOKUP(F259,'Set up'!$A$2:$D$48,4,FALSE)</f>
        <v>120</v>
      </c>
      <c r="K259" s="4">
        <f t="shared" si="47"/>
        <v>44435</v>
      </c>
      <c r="L259" s="5">
        <f t="shared" si="49"/>
        <v>8</v>
      </c>
      <c r="M259" s="5">
        <f t="shared" si="50"/>
        <v>2021</v>
      </c>
      <c r="N259" s="44">
        <v>360</v>
      </c>
      <c r="O259" s="6">
        <f t="shared" si="46"/>
        <v>-360</v>
      </c>
      <c r="P259" s="6">
        <f t="shared" si="42"/>
        <v>0</v>
      </c>
      <c r="Q259" s="7">
        <f t="shared" ref="Q259:Q322" si="51">SUM(Q258+N259)</f>
        <v>360128.94999999984</v>
      </c>
      <c r="R259" s="44" t="str">
        <f>VLOOKUP(F259,'Set up'!$A$2:$E$48,5,FALSE)</f>
        <v>Trsf</v>
      </c>
      <c r="S259" s="1" t="s">
        <v>385</v>
      </c>
    </row>
    <row r="260" spans="1:24" ht="15" hidden="1" customHeight="1" x14ac:dyDescent="0.35">
      <c r="A260" s="4">
        <v>44315</v>
      </c>
      <c r="B260" s="5">
        <f t="shared" si="48"/>
        <v>4</v>
      </c>
      <c r="C260" s="5">
        <f t="shared" si="45"/>
        <v>2021</v>
      </c>
      <c r="D260" s="5" t="s">
        <v>332</v>
      </c>
      <c r="E260" s="5" t="str">
        <f>VLOOKUP(F260,'Set up'!$A$2:$C$48,2,FALSE)</f>
        <v>C00000010</v>
      </c>
      <c r="F260" s="1" t="s">
        <v>62</v>
      </c>
      <c r="G260" s="11" t="s">
        <v>333</v>
      </c>
      <c r="H260" s="5">
        <v>1</v>
      </c>
      <c r="I260" s="5">
        <f>VLOOKUP(F260,'Set up'!$A$2:$C$48,3,FALSE)</f>
        <v>120</v>
      </c>
      <c r="J260" s="5">
        <f>VLOOKUP(F260,'Set up'!$A$2:$D$48,4,FALSE)</f>
        <v>120</v>
      </c>
      <c r="K260" s="4">
        <f t="shared" si="47"/>
        <v>44435</v>
      </c>
      <c r="L260" s="5">
        <f t="shared" si="49"/>
        <v>8</v>
      </c>
      <c r="M260" s="5">
        <f t="shared" si="50"/>
        <v>2021</v>
      </c>
      <c r="N260" s="44">
        <v>375</v>
      </c>
      <c r="O260" s="6">
        <f>-N260-179.4</f>
        <v>-554.4</v>
      </c>
      <c r="P260" s="48">
        <f t="shared" si="42"/>
        <v>-179.39999999999998</v>
      </c>
      <c r="Q260" s="7">
        <f t="shared" si="51"/>
        <v>360503.94999999984</v>
      </c>
      <c r="R260" s="44" t="str">
        <f>VLOOKUP(F260,'Set up'!$A$2:$E$48,5,FALSE)</f>
        <v>Trsf</v>
      </c>
      <c r="S260" s="1" t="s">
        <v>397</v>
      </c>
    </row>
    <row r="261" spans="1:24" ht="15" hidden="1" customHeight="1" x14ac:dyDescent="0.3">
      <c r="A261" s="4">
        <v>44319</v>
      </c>
      <c r="B261" s="5">
        <v>5</v>
      </c>
      <c r="C261" s="5">
        <v>2021</v>
      </c>
      <c r="D261" s="5" t="s">
        <v>330</v>
      </c>
      <c r="E261" s="5" t="str">
        <f>VLOOKUP(F261,'Set up'!$A$2:$C$48,2,FALSE)</f>
        <v>C00000004</v>
      </c>
      <c r="F261" s="1" t="s">
        <v>23</v>
      </c>
      <c r="G261" s="2" t="s">
        <v>95</v>
      </c>
      <c r="H261" s="5">
        <v>5</v>
      </c>
      <c r="I261" s="5">
        <f>VLOOKUP(F261,'Set up'!$A$2:$C$48,3,FALSE)</f>
        <v>120</v>
      </c>
      <c r="J261" s="5">
        <f>VLOOKUP(F261,'Set up'!$A$2:$D$48,4,FALSE)</f>
        <v>120</v>
      </c>
      <c r="K261" s="4">
        <f t="shared" si="47"/>
        <v>44439</v>
      </c>
      <c r="L261" s="5">
        <f t="shared" si="49"/>
        <v>8</v>
      </c>
      <c r="M261" s="5">
        <f t="shared" si="50"/>
        <v>2021</v>
      </c>
      <c r="N261" s="44">
        <v>8690</v>
      </c>
      <c r="O261" s="6">
        <f t="shared" si="46"/>
        <v>-8690</v>
      </c>
      <c r="P261" s="6">
        <f t="shared" si="42"/>
        <v>0</v>
      </c>
      <c r="Q261" s="7">
        <f t="shared" si="51"/>
        <v>369193.94999999984</v>
      </c>
      <c r="R261" s="44" t="str">
        <f>VLOOKUP(F261,'Set up'!$A$2:$E$48,5,FALSE)</f>
        <v>Chq</v>
      </c>
      <c r="S261" s="1" t="s">
        <v>494</v>
      </c>
    </row>
    <row r="262" spans="1:24" ht="15" hidden="1" customHeight="1" x14ac:dyDescent="0.3">
      <c r="A262" s="4">
        <v>44319</v>
      </c>
      <c r="B262" s="5">
        <v>5</v>
      </c>
      <c r="C262" s="5">
        <v>2021</v>
      </c>
      <c r="D262" s="5" t="s">
        <v>330</v>
      </c>
      <c r="E262" s="5" t="str">
        <f>VLOOKUP(F262,'Set up'!$A$2:$C$48,2,FALSE)</f>
        <v>C00000004</v>
      </c>
      <c r="F262" s="1" t="s">
        <v>23</v>
      </c>
      <c r="G262" s="2" t="s">
        <v>336</v>
      </c>
      <c r="H262" s="5">
        <v>1</v>
      </c>
      <c r="I262" s="5">
        <f>VLOOKUP(F262,'Set up'!$A$2:$C$48,3,FALSE)</f>
        <v>120</v>
      </c>
      <c r="J262" s="5">
        <f>VLOOKUP(F262,'Set up'!$A$2:$D$48,4,FALSE)</f>
        <v>120</v>
      </c>
      <c r="K262" s="4">
        <f t="shared" si="47"/>
        <v>44439</v>
      </c>
      <c r="L262" s="5">
        <f t="shared" si="49"/>
        <v>8</v>
      </c>
      <c r="M262" s="5">
        <f t="shared" si="50"/>
        <v>2021</v>
      </c>
      <c r="N262" s="44">
        <v>1716</v>
      </c>
      <c r="O262" s="6">
        <f t="shared" si="46"/>
        <v>-1716</v>
      </c>
      <c r="P262" s="6">
        <f t="shared" si="42"/>
        <v>0</v>
      </c>
      <c r="Q262" s="7">
        <f t="shared" si="51"/>
        <v>370909.94999999984</v>
      </c>
      <c r="R262" s="44" t="str">
        <f>VLOOKUP(F262,'Set up'!$A$2:$E$48,5,FALSE)</f>
        <v>Chq</v>
      </c>
      <c r="S262" s="1" t="s">
        <v>494</v>
      </c>
    </row>
    <row r="263" spans="1:24" ht="15" hidden="1" customHeight="1" x14ac:dyDescent="0.3">
      <c r="A263" s="4">
        <v>44319</v>
      </c>
      <c r="B263" s="5">
        <v>5</v>
      </c>
      <c r="C263" s="5">
        <v>2021</v>
      </c>
      <c r="D263" s="5" t="s">
        <v>330</v>
      </c>
      <c r="E263" s="5" t="str">
        <f>VLOOKUP(F263,'Set up'!$A$2:$C$48,2,FALSE)</f>
        <v>C00000004</v>
      </c>
      <c r="F263" s="1" t="s">
        <v>23</v>
      </c>
      <c r="G263" s="2" t="s">
        <v>337</v>
      </c>
      <c r="H263" s="5">
        <v>4</v>
      </c>
      <c r="I263" s="5">
        <f>VLOOKUP(F263,'Set up'!$A$2:$C$48,3,FALSE)</f>
        <v>120</v>
      </c>
      <c r="J263" s="5">
        <f>VLOOKUP(F263,'Set up'!$A$2:$D$48,4,FALSE)</f>
        <v>120</v>
      </c>
      <c r="K263" s="4">
        <f t="shared" si="47"/>
        <v>44439</v>
      </c>
      <c r="L263" s="5">
        <f t="shared" si="49"/>
        <v>8</v>
      </c>
      <c r="M263" s="5">
        <f t="shared" si="50"/>
        <v>2021</v>
      </c>
      <c r="N263" s="44">
        <v>1814.4</v>
      </c>
      <c r="O263" s="6">
        <f t="shared" si="46"/>
        <v>-1814.4</v>
      </c>
      <c r="P263" s="6">
        <f t="shared" si="42"/>
        <v>0</v>
      </c>
      <c r="Q263" s="7">
        <f t="shared" si="51"/>
        <v>372724.34999999986</v>
      </c>
      <c r="R263" s="44" t="str">
        <f>VLOOKUP(F263,'Set up'!$A$2:$E$48,5,FALSE)</f>
        <v>Chq</v>
      </c>
      <c r="S263" s="1" t="s">
        <v>494</v>
      </c>
    </row>
    <row r="264" spans="1:24" ht="15" hidden="1" customHeight="1" x14ac:dyDescent="0.3">
      <c r="A264" s="4">
        <v>44319</v>
      </c>
      <c r="B264" s="5">
        <v>5</v>
      </c>
      <c r="C264" s="5">
        <v>2021</v>
      </c>
      <c r="D264" s="5" t="s">
        <v>330</v>
      </c>
      <c r="E264" s="5" t="str">
        <f>VLOOKUP(F264,'Set up'!$A$2:$C$48,2,FALSE)</f>
        <v>C00000004</v>
      </c>
      <c r="F264" s="1" t="s">
        <v>23</v>
      </c>
      <c r="G264" s="2" t="s">
        <v>97</v>
      </c>
      <c r="H264" s="5">
        <v>4</v>
      </c>
      <c r="I264" s="5">
        <f>VLOOKUP(F264,'Set up'!$A$2:$C$48,3,FALSE)</f>
        <v>120</v>
      </c>
      <c r="J264" s="5">
        <f>VLOOKUP(F264,'Set up'!$A$2:$D$48,4,FALSE)</f>
        <v>120</v>
      </c>
      <c r="K264" s="4">
        <f t="shared" si="47"/>
        <v>44439</v>
      </c>
      <c r="L264" s="5">
        <f t="shared" si="49"/>
        <v>8</v>
      </c>
      <c r="M264" s="5">
        <f t="shared" si="50"/>
        <v>2021</v>
      </c>
      <c r="N264" s="44">
        <v>1814.4</v>
      </c>
      <c r="O264" s="6">
        <f t="shared" si="46"/>
        <v>-1814.4</v>
      </c>
      <c r="P264" s="6">
        <f t="shared" si="42"/>
        <v>0</v>
      </c>
      <c r="Q264" s="7">
        <f t="shared" si="51"/>
        <v>374538.74999999988</v>
      </c>
      <c r="R264" s="44" t="str">
        <f>VLOOKUP(F264,'Set up'!$A$2:$E$48,5,FALSE)</f>
        <v>Chq</v>
      </c>
      <c r="S264" s="1" t="s">
        <v>494</v>
      </c>
    </row>
    <row r="265" spans="1:24" ht="15" hidden="1" customHeight="1" x14ac:dyDescent="0.3">
      <c r="A265" s="4">
        <v>44322</v>
      </c>
      <c r="B265" s="5">
        <v>5</v>
      </c>
      <c r="C265" s="5">
        <v>2021</v>
      </c>
      <c r="D265" s="5" t="s">
        <v>338</v>
      </c>
      <c r="E265" s="5" t="str">
        <f>VLOOKUP(F265,'Set up'!$A$2:$C$48,2,FALSE)</f>
        <v>C00000005</v>
      </c>
      <c r="F265" s="1" t="s">
        <v>35</v>
      </c>
      <c r="G265" s="11" t="s">
        <v>67</v>
      </c>
      <c r="H265" s="5">
        <v>1</v>
      </c>
      <c r="I265" s="5" t="str">
        <f>VLOOKUP(F265,'Set up'!$A$2:$C$48,3,FALSE)</f>
        <v>Cash</v>
      </c>
      <c r="J265" s="5">
        <f>VLOOKUP(F265,'Set up'!$A$2:$D$48,4,FALSE)</f>
        <v>0</v>
      </c>
      <c r="K265" s="4">
        <f t="shared" si="47"/>
        <v>44322</v>
      </c>
      <c r="L265" s="5">
        <f t="shared" si="49"/>
        <v>5</v>
      </c>
      <c r="M265" s="5">
        <f t="shared" si="50"/>
        <v>2021</v>
      </c>
      <c r="N265" s="67">
        <v>1826</v>
      </c>
      <c r="O265" s="6">
        <f t="shared" si="46"/>
        <v>-1826</v>
      </c>
      <c r="P265" s="6">
        <f t="shared" si="42"/>
        <v>0</v>
      </c>
      <c r="Q265" s="7">
        <f t="shared" si="51"/>
        <v>376364.74999999988</v>
      </c>
      <c r="R265" s="44" t="str">
        <f>VLOOKUP(F265,'Set up'!$A$2:$E$48,5,FALSE)</f>
        <v>Chq</v>
      </c>
      <c r="S265" s="1" t="s">
        <v>346</v>
      </c>
    </row>
    <row r="266" spans="1:24" ht="15" hidden="1" customHeight="1" x14ac:dyDescent="0.3">
      <c r="A266" s="4">
        <v>44322</v>
      </c>
      <c r="B266" s="5">
        <v>5</v>
      </c>
      <c r="C266" s="5">
        <v>2021</v>
      </c>
      <c r="D266" s="5" t="s">
        <v>338</v>
      </c>
      <c r="E266" s="5" t="str">
        <f>VLOOKUP(F266,'Set up'!$A$2:$C$48,2,FALSE)</f>
        <v>C00000005</v>
      </c>
      <c r="F266" s="1" t="s">
        <v>35</v>
      </c>
      <c r="G266" s="2" t="s">
        <v>340</v>
      </c>
      <c r="H266" s="5">
        <v>1</v>
      </c>
      <c r="I266" s="5" t="str">
        <f>VLOOKUP(F266,'Set up'!$A$2:$C$48,3,FALSE)</f>
        <v>Cash</v>
      </c>
      <c r="J266" s="5">
        <f>VLOOKUP(F266,'Set up'!$A$2:$D$48,4,FALSE)</f>
        <v>0</v>
      </c>
      <c r="K266" s="4">
        <f t="shared" si="47"/>
        <v>44322</v>
      </c>
      <c r="L266" s="5">
        <f t="shared" si="49"/>
        <v>5</v>
      </c>
      <c r="M266" s="5">
        <f t="shared" si="50"/>
        <v>2021</v>
      </c>
      <c r="N266" s="67">
        <v>50</v>
      </c>
      <c r="O266" s="6">
        <f t="shared" si="46"/>
        <v>-50</v>
      </c>
      <c r="P266" s="6">
        <f t="shared" si="42"/>
        <v>0</v>
      </c>
      <c r="Q266" s="7">
        <f t="shared" si="51"/>
        <v>376414.74999999988</v>
      </c>
      <c r="R266" s="44" t="str">
        <f>VLOOKUP(F266,'Set up'!$A$2:$E$48,5,FALSE)</f>
        <v>Chq</v>
      </c>
      <c r="S266" s="1" t="s">
        <v>346</v>
      </c>
    </row>
    <row r="267" spans="1:24" ht="15" hidden="1" customHeight="1" x14ac:dyDescent="0.3">
      <c r="A267" s="4">
        <v>44323</v>
      </c>
      <c r="B267" s="5">
        <v>5</v>
      </c>
      <c r="C267" s="5">
        <v>2021</v>
      </c>
      <c r="D267" s="5" t="s">
        <v>339</v>
      </c>
      <c r="E267" s="5" t="str">
        <f>VLOOKUP(F267,'Set up'!$A$2:$C$48,2,FALSE)</f>
        <v>C00000001</v>
      </c>
      <c r="F267" s="1" t="s">
        <v>7</v>
      </c>
      <c r="G267" s="11" t="s">
        <v>67</v>
      </c>
      <c r="H267" s="5">
        <v>1</v>
      </c>
      <c r="I267" s="5" t="str">
        <f>VLOOKUP(F267,'Set up'!$A$2:$C$48,3,FALSE)</f>
        <v>Cash</v>
      </c>
      <c r="J267" s="5">
        <f>VLOOKUP(F267,'Set up'!$A$2:$D$48,4,FALSE)</f>
        <v>0</v>
      </c>
      <c r="K267" s="4">
        <f t="shared" si="47"/>
        <v>44323</v>
      </c>
      <c r="L267" s="5">
        <f t="shared" si="49"/>
        <v>5</v>
      </c>
      <c r="M267" s="5">
        <f t="shared" si="50"/>
        <v>2021</v>
      </c>
      <c r="N267" s="24">
        <v>1826</v>
      </c>
      <c r="O267" s="6">
        <f t="shared" si="46"/>
        <v>-1826</v>
      </c>
      <c r="P267" s="6">
        <f t="shared" si="42"/>
        <v>0</v>
      </c>
      <c r="Q267" s="7">
        <f t="shared" si="51"/>
        <v>378240.74999999988</v>
      </c>
      <c r="R267" s="44" t="str">
        <f>VLOOKUP(F267,'Set up'!$A$2:$E$48,5,FALSE)</f>
        <v>Trsf</v>
      </c>
      <c r="S267" s="1" t="s">
        <v>345</v>
      </c>
    </row>
    <row r="268" spans="1:24" ht="15" hidden="1" customHeight="1" x14ac:dyDescent="0.3">
      <c r="A268" s="4">
        <v>44323</v>
      </c>
      <c r="B268" s="5">
        <v>5</v>
      </c>
      <c r="C268" s="5">
        <v>2021</v>
      </c>
      <c r="D268" s="5" t="s">
        <v>339</v>
      </c>
      <c r="E268" s="5" t="str">
        <f>VLOOKUP(F268,'Set up'!$A$2:$C$48,2,FALSE)</f>
        <v>C00000001</v>
      </c>
      <c r="F268" s="1" t="s">
        <v>7</v>
      </c>
      <c r="G268" s="11" t="s">
        <v>181</v>
      </c>
      <c r="H268" s="5">
        <v>4</v>
      </c>
      <c r="I268" s="5" t="str">
        <f>VLOOKUP(F268,'Set up'!$A$2:$C$48,3,FALSE)</f>
        <v>Cash</v>
      </c>
      <c r="J268" s="5">
        <f>VLOOKUP(F268,'Set up'!$A$2:$D$48,4,FALSE)</f>
        <v>0</v>
      </c>
      <c r="K268" s="4">
        <f t="shared" si="47"/>
        <v>44323</v>
      </c>
      <c r="L268" s="5">
        <f t="shared" si="49"/>
        <v>5</v>
      </c>
      <c r="M268" s="5">
        <f t="shared" si="50"/>
        <v>2021</v>
      </c>
      <c r="N268" s="24">
        <v>1020</v>
      </c>
      <c r="O268" s="6">
        <f t="shared" si="46"/>
        <v>-1020</v>
      </c>
      <c r="P268" s="6">
        <f t="shared" si="42"/>
        <v>0</v>
      </c>
      <c r="Q268" s="7">
        <f t="shared" si="51"/>
        <v>379260.74999999988</v>
      </c>
      <c r="R268" s="44" t="str">
        <f>VLOOKUP(F268,'Set up'!$A$2:$E$48,5,FALSE)</f>
        <v>Trsf</v>
      </c>
      <c r="S268" s="1" t="s">
        <v>345</v>
      </c>
    </row>
    <row r="269" spans="1:24" ht="15" hidden="1" customHeight="1" x14ac:dyDescent="0.3">
      <c r="A269" s="4">
        <v>44335</v>
      </c>
      <c r="B269" s="5">
        <v>5</v>
      </c>
      <c r="C269" s="5">
        <v>2021</v>
      </c>
      <c r="D269" s="5" t="s">
        <v>341</v>
      </c>
      <c r="E269" s="5" t="str">
        <f>VLOOKUP(F269,'Set up'!$A$2:$C$48,2,FALSE)</f>
        <v>C00000005</v>
      </c>
      <c r="F269" s="1" t="s">
        <v>35</v>
      </c>
      <c r="G269" s="11" t="s">
        <v>67</v>
      </c>
      <c r="H269" s="5">
        <v>1</v>
      </c>
      <c r="I269" s="5" t="str">
        <f>VLOOKUP(F269,'Set up'!$A$2:$C$48,3,FALSE)</f>
        <v>Cash</v>
      </c>
      <c r="J269" s="5">
        <f>VLOOKUP(F269,'Set up'!$A$2:$D$48,4,FALSE)</f>
        <v>0</v>
      </c>
      <c r="K269" s="4">
        <f t="shared" si="47"/>
        <v>44335</v>
      </c>
      <c r="L269" s="5">
        <f t="shared" si="49"/>
        <v>5</v>
      </c>
      <c r="M269" s="5">
        <f t="shared" si="50"/>
        <v>2021</v>
      </c>
      <c r="N269" s="24">
        <v>1826</v>
      </c>
      <c r="O269" s="6">
        <f t="shared" si="46"/>
        <v>-1826</v>
      </c>
      <c r="P269" s="6">
        <f t="shared" si="42"/>
        <v>0</v>
      </c>
      <c r="Q269" s="7">
        <f t="shared" si="51"/>
        <v>381086.74999999988</v>
      </c>
      <c r="R269" s="44" t="str">
        <f>VLOOKUP(F269,'Set up'!$A$2:$E$48,5,FALSE)</f>
        <v>Chq</v>
      </c>
      <c r="S269" s="1" t="s">
        <v>347</v>
      </c>
    </row>
    <row r="270" spans="1:24" ht="15" hidden="1" customHeight="1" x14ac:dyDescent="0.3">
      <c r="A270" s="4">
        <v>44337</v>
      </c>
      <c r="B270" s="5">
        <v>5</v>
      </c>
      <c r="C270" s="5">
        <v>2021</v>
      </c>
      <c r="D270" s="5" t="s">
        <v>342</v>
      </c>
      <c r="E270" s="5" t="str">
        <f>VLOOKUP(F270,'Set up'!$A$2:$C$48,2,FALSE)</f>
        <v>C00000003</v>
      </c>
      <c r="F270" s="1" t="s">
        <v>20</v>
      </c>
      <c r="G270" s="2" t="s">
        <v>67</v>
      </c>
      <c r="H270" s="5">
        <v>3</v>
      </c>
      <c r="I270" s="5">
        <f>VLOOKUP(F270,'Set up'!$A$2:$C$48,3,FALSE)</f>
        <v>45</v>
      </c>
      <c r="J270" s="5">
        <f>VLOOKUP(F270,'Set up'!$A$2:$D$48,4,FALSE)</f>
        <v>45</v>
      </c>
      <c r="K270" s="4">
        <f t="shared" si="47"/>
        <v>44382</v>
      </c>
      <c r="L270" s="5">
        <v>5</v>
      </c>
      <c r="M270" s="5">
        <v>2021</v>
      </c>
      <c r="N270" s="24">
        <v>5610</v>
      </c>
      <c r="O270" s="6">
        <f>-3050-1700-860</f>
        <v>-5610</v>
      </c>
      <c r="P270" s="6">
        <f t="shared" si="42"/>
        <v>0</v>
      </c>
      <c r="Q270" s="7">
        <f t="shared" si="51"/>
        <v>386696.74999999988</v>
      </c>
      <c r="R270" s="44" t="str">
        <f>VLOOKUP(F270,'Set up'!$A$2:$E$48,5,FALSE)</f>
        <v>PD Chq</v>
      </c>
      <c r="S270" s="69" t="s">
        <v>349</v>
      </c>
      <c r="V270" s="1" t="s">
        <v>394</v>
      </c>
      <c r="W270" s="72">
        <v>44468</v>
      </c>
      <c r="X270" s="73" t="s">
        <v>395</v>
      </c>
    </row>
    <row r="271" spans="1:24" ht="15" hidden="1" customHeight="1" x14ac:dyDescent="0.3">
      <c r="A271" s="4">
        <v>44337</v>
      </c>
      <c r="B271" s="5">
        <v>5</v>
      </c>
      <c r="C271" s="5">
        <v>2021</v>
      </c>
      <c r="D271" s="5" t="s">
        <v>342</v>
      </c>
      <c r="E271" s="5" t="str">
        <f>VLOOKUP(F271,'Set up'!$A$2:$C$48,2,FALSE)</f>
        <v>C00000003</v>
      </c>
      <c r="F271" s="1" t="s">
        <v>20</v>
      </c>
      <c r="G271" s="76" t="s">
        <v>54</v>
      </c>
      <c r="H271" s="5">
        <v>5</v>
      </c>
      <c r="I271" s="5">
        <f>VLOOKUP(F271,'Set up'!$A$2:$C$48,3,FALSE)</f>
        <v>45</v>
      </c>
      <c r="J271" s="5">
        <f>VLOOKUP(F271,'Set up'!$A$2:$D$48,4,FALSE)</f>
        <v>45</v>
      </c>
      <c r="K271" s="4">
        <f t="shared" si="47"/>
        <v>44382</v>
      </c>
      <c r="L271" s="5">
        <v>5</v>
      </c>
      <c r="M271" s="5">
        <v>2021</v>
      </c>
      <c r="N271" s="24">
        <v>250</v>
      </c>
      <c r="O271" s="6">
        <f t="shared" ref="O271:O300" si="52">-N271</f>
        <v>-250</v>
      </c>
      <c r="P271" s="6">
        <f t="shared" si="42"/>
        <v>0</v>
      </c>
      <c r="Q271" s="7">
        <f t="shared" si="51"/>
        <v>386946.74999999988</v>
      </c>
      <c r="R271" s="44" t="str">
        <f>VLOOKUP(F271,'Set up'!$A$2:$E$48,5,FALSE)</f>
        <v>PD Chq</v>
      </c>
      <c r="S271" s="69" t="s">
        <v>349</v>
      </c>
      <c r="V271" s="1" t="s">
        <v>394</v>
      </c>
      <c r="W271" s="57">
        <v>44464</v>
      </c>
      <c r="X271" s="73" t="s">
        <v>396</v>
      </c>
    </row>
    <row r="272" spans="1:24" ht="15" hidden="1" customHeight="1" x14ac:dyDescent="0.3">
      <c r="A272" s="4">
        <v>44337</v>
      </c>
      <c r="B272" s="5">
        <v>5</v>
      </c>
      <c r="C272" s="5">
        <v>2021</v>
      </c>
      <c r="D272" s="5" t="s">
        <v>342</v>
      </c>
      <c r="E272" s="5" t="str">
        <f>VLOOKUP(F272,'Set up'!$A$2:$C$48,2,FALSE)</f>
        <v>C00000003</v>
      </c>
      <c r="F272" s="1" t="s">
        <v>20</v>
      </c>
      <c r="G272" s="55" t="s">
        <v>46</v>
      </c>
      <c r="H272" s="5">
        <v>5</v>
      </c>
      <c r="I272" s="5">
        <f>VLOOKUP(F272,'Set up'!$A$2:$C$48,3,FALSE)</f>
        <v>45</v>
      </c>
      <c r="J272" s="5">
        <f>VLOOKUP(F272,'Set up'!$A$2:$D$48,4,FALSE)</f>
        <v>45</v>
      </c>
      <c r="K272" s="4">
        <f t="shared" si="47"/>
        <v>44382</v>
      </c>
      <c r="L272" s="5">
        <v>5</v>
      </c>
      <c r="M272" s="5">
        <v>2021</v>
      </c>
      <c r="N272" s="24">
        <v>500</v>
      </c>
      <c r="O272" s="6">
        <f t="shared" si="52"/>
        <v>-500</v>
      </c>
      <c r="P272" s="6">
        <f t="shared" si="42"/>
        <v>0</v>
      </c>
      <c r="Q272" s="7">
        <f t="shared" si="51"/>
        <v>387446.74999999988</v>
      </c>
      <c r="R272" s="44" t="str">
        <f>VLOOKUP(F272,'Set up'!$A$2:$E$48,5,FALSE)</f>
        <v>PD Chq</v>
      </c>
      <c r="S272" s="69" t="s">
        <v>349</v>
      </c>
      <c r="V272" s="1" t="s">
        <v>394</v>
      </c>
      <c r="W272" s="57">
        <v>44485</v>
      </c>
      <c r="X272" s="73" t="s">
        <v>439</v>
      </c>
    </row>
    <row r="273" spans="1:24" ht="15" hidden="1" customHeight="1" x14ac:dyDescent="0.3">
      <c r="A273" s="4">
        <v>44337</v>
      </c>
      <c r="B273" s="5">
        <v>5</v>
      </c>
      <c r="C273" s="5">
        <v>2021</v>
      </c>
      <c r="D273" s="5" t="s">
        <v>342</v>
      </c>
      <c r="E273" s="5" t="str">
        <f>VLOOKUP(F273,'Set up'!$A$2:$C$48,2,FALSE)</f>
        <v>C00000003</v>
      </c>
      <c r="F273" s="1" t="s">
        <v>20</v>
      </c>
      <c r="G273" s="11" t="s">
        <v>179</v>
      </c>
      <c r="H273" s="5">
        <v>2</v>
      </c>
      <c r="I273" s="5">
        <f>VLOOKUP(F273,'Set up'!$A$2:$C$48,3,FALSE)</f>
        <v>45</v>
      </c>
      <c r="J273" s="5">
        <f>VLOOKUP(F273,'Set up'!$A$2:$D$48,4,FALSE)</f>
        <v>45</v>
      </c>
      <c r="K273" s="4">
        <f t="shared" si="47"/>
        <v>44382</v>
      </c>
      <c r="L273" s="5">
        <v>5</v>
      </c>
      <c r="M273" s="5">
        <v>2021</v>
      </c>
      <c r="N273" s="24">
        <v>90</v>
      </c>
      <c r="O273" s="6">
        <f t="shared" si="52"/>
        <v>-90</v>
      </c>
      <c r="P273" s="6">
        <f t="shared" si="42"/>
        <v>0</v>
      </c>
      <c r="Q273" s="7">
        <f t="shared" si="51"/>
        <v>387536.74999999988</v>
      </c>
      <c r="R273" s="44" t="str">
        <f>VLOOKUP(F273,'Set up'!$A$2:$E$48,5,FALSE)</f>
        <v>PD Chq</v>
      </c>
      <c r="S273" s="69" t="s">
        <v>349</v>
      </c>
      <c r="V273" s="1" t="s">
        <v>394</v>
      </c>
      <c r="W273" s="57">
        <v>44492</v>
      </c>
      <c r="X273" s="73" t="s">
        <v>454</v>
      </c>
    </row>
    <row r="274" spans="1:24" ht="15" hidden="1" customHeight="1" x14ac:dyDescent="0.3">
      <c r="A274" s="4">
        <v>44341</v>
      </c>
      <c r="B274" s="5">
        <f t="shared" ref="B274:B337" si="53">MONTH(A274)</f>
        <v>5</v>
      </c>
      <c r="C274" s="5">
        <f t="shared" ref="C274:C337" si="54">YEAR(A274)</f>
        <v>2021</v>
      </c>
      <c r="D274" s="5" t="s">
        <v>318</v>
      </c>
      <c r="E274" s="5" t="str">
        <f>VLOOKUP(F274,'Set up'!$A$2:$C$48,2,FALSE)</f>
        <v>C00000013</v>
      </c>
      <c r="F274" s="1" t="s">
        <v>1454</v>
      </c>
      <c r="G274" s="55" t="s">
        <v>96</v>
      </c>
      <c r="H274" s="5">
        <v>1</v>
      </c>
      <c r="I274" s="5" t="str">
        <f>VLOOKUP(F274,'Set up'!$A$2:$C$48,3,FALSE)</f>
        <v>Cash</v>
      </c>
      <c r="J274" s="5">
        <f>VLOOKUP(F274,'Set up'!$A$2:$D$48,4,FALSE)</f>
        <v>0</v>
      </c>
      <c r="K274" s="4">
        <f t="shared" si="47"/>
        <v>44341</v>
      </c>
      <c r="L274" s="5">
        <v>5</v>
      </c>
      <c r="M274" s="5">
        <v>2021</v>
      </c>
      <c r="N274" s="24">
        <v>459</v>
      </c>
      <c r="O274" s="6">
        <f t="shared" si="52"/>
        <v>-459</v>
      </c>
      <c r="P274" s="6">
        <f t="shared" si="42"/>
        <v>0</v>
      </c>
      <c r="Q274" s="7">
        <f t="shared" si="51"/>
        <v>387995.74999999988</v>
      </c>
      <c r="R274" s="44" t="str">
        <f>VLOOKUP(F274,'Set up'!$A$2:$E$48,5,FALSE)</f>
        <v>Chq</v>
      </c>
      <c r="S274" s="1" t="s">
        <v>348</v>
      </c>
    </row>
    <row r="275" spans="1:24" ht="15" hidden="1" customHeight="1" x14ac:dyDescent="0.3">
      <c r="A275" s="4">
        <v>44341</v>
      </c>
      <c r="B275" s="5">
        <f t="shared" si="53"/>
        <v>5</v>
      </c>
      <c r="C275" s="5">
        <f t="shared" si="54"/>
        <v>2021</v>
      </c>
      <c r="D275" s="5" t="s">
        <v>318</v>
      </c>
      <c r="E275" s="5" t="str">
        <f>VLOOKUP(F275,'Set up'!$A$2:$C$48,2,FALSE)</f>
        <v>C00000013</v>
      </c>
      <c r="F275" s="1" t="s">
        <v>1454</v>
      </c>
      <c r="G275" s="55" t="s">
        <v>97</v>
      </c>
      <c r="H275" s="5">
        <v>1</v>
      </c>
      <c r="I275" s="5" t="str">
        <f>VLOOKUP(F275,'Set up'!$A$2:$C$48,3,FALSE)</f>
        <v>Cash</v>
      </c>
      <c r="J275" s="5">
        <f>VLOOKUP(F275,'Set up'!$A$2:$D$48,4,FALSE)</f>
        <v>0</v>
      </c>
      <c r="K275" s="4">
        <f t="shared" si="47"/>
        <v>44341</v>
      </c>
      <c r="L275" s="5">
        <v>5</v>
      </c>
      <c r="M275" s="5">
        <v>2021</v>
      </c>
      <c r="N275" s="24">
        <v>459</v>
      </c>
      <c r="O275" s="6">
        <f t="shared" si="52"/>
        <v>-459</v>
      </c>
      <c r="P275" s="6">
        <f t="shared" si="42"/>
        <v>0</v>
      </c>
      <c r="Q275" s="7">
        <f t="shared" si="51"/>
        <v>388454.74999999988</v>
      </c>
      <c r="R275" s="44" t="str">
        <f>VLOOKUP(F275,'Set up'!$A$2:$E$48,5,FALSE)</f>
        <v>Chq</v>
      </c>
      <c r="S275" s="1" t="s">
        <v>348</v>
      </c>
    </row>
    <row r="276" spans="1:24" ht="15" hidden="1" customHeight="1" x14ac:dyDescent="0.3">
      <c r="A276" s="4">
        <v>44341</v>
      </c>
      <c r="B276" s="5">
        <f t="shared" si="53"/>
        <v>5</v>
      </c>
      <c r="C276" s="5">
        <f t="shared" si="54"/>
        <v>2021</v>
      </c>
      <c r="D276" s="5" t="s">
        <v>318</v>
      </c>
      <c r="E276" s="5" t="str">
        <f>VLOOKUP(F276,'Set up'!$A$2:$C$48,2,FALSE)</f>
        <v>C00000013</v>
      </c>
      <c r="F276" s="1" t="s">
        <v>1454</v>
      </c>
      <c r="G276" s="68" t="s">
        <v>17</v>
      </c>
      <c r="H276" s="5">
        <v>1</v>
      </c>
      <c r="I276" s="5" t="str">
        <f>VLOOKUP(F276,'Set up'!$A$2:$C$48,3,FALSE)</f>
        <v>Cash</v>
      </c>
      <c r="J276" s="5">
        <f>VLOOKUP(F276,'Set up'!$A$2:$D$48,4,FALSE)</f>
        <v>0</v>
      </c>
      <c r="K276" s="4">
        <f t="shared" si="47"/>
        <v>44341</v>
      </c>
      <c r="L276" s="5">
        <v>5</v>
      </c>
      <c r="M276" s="5">
        <v>2021</v>
      </c>
      <c r="N276" s="24">
        <v>100</v>
      </c>
      <c r="O276" s="6">
        <f t="shared" si="52"/>
        <v>-100</v>
      </c>
      <c r="P276" s="6">
        <f t="shared" si="42"/>
        <v>0</v>
      </c>
      <c r="Q276" s="7">
        <f t="shared" si="51"/>
        <v>388554.74999999988</v>
      </c>
      <c r="R276" s="44" t="str">
        <f>VLOOKUP(F276,'Set up'!$A$2:$E$48,5,FALSE)</f>
        <v>Chq</v>
      </c>
      <c r="S276" s="1" t="s">
        <v>348</v>
      </c>
    </row>
    <row r="277" spans="1:24" ht="15" hidden="1" customHeight="1" x14ac:dyDescent="0.3">
      <c r="A277" s="4">
        <v>44341</v>
      </c>
      <c r="B277" s="5">
        <f t="shared" si="53"/>
        <v>5</v>
      </c>
      <c r="C277" s="5">
        <f t="shared" si="54"/>
        <v>2021</v>
      </c>
      <c r="D277" s="5" t="s">
        <v>318</v>
      </c>
      <c r="E277" s="5" t="str">
        <f>VLOOKUP(F277,'Set up'!$A$2:$C$48,2,FALSE)</f>
        <v>C00000013</v>
      </c>
      <c r="F277" s="1" t="s">
        <v>1454</v>
      </c>
      <c r="G277" s="55" t="s">
        <v>293</v>
      </c>
      <c r="H277" s="5">
        <v>1</v>
      </c>
      <c r="I277" s="5" t="str">
        <f>VLOOKUP(F277,'Set up'!$A$2:$C$48,3,FALSE)</f>
        <v>Cash</v>
      </c>
      <c r="J277" s="5">
        <f>VLOOKUP(F277,'Set up'!$A$2:$D$48,4,FALSE)</f>
        <v>0</v>
      </c>
      <c r="K277" s="4">
        <f t="shared" si="47"/>
        <v>44341</v>
      </c>
      <c r="L277" s="5">
        <v>5</v>
      </c>
      <c r="M277" s="5">
        <v>2021</v>
      </c>
      <c r="N277" s="24">
        <v>380</v>
      </c>
      <c r="O277" s="6">
        <f t="shared" si="52"/>
        <v>-380</v>
      </c>
      <c r="P277" s="6">
        <f t="shared" ref="P277:P340" si="55">SUM(N277+O277)</f>
        <v>0</v>
      </c>
      <c r="Q277" s="7">
        <f t="shared" si="51"/>
        <v>388934.74999999988</v>
      </c>
      <c r="R277" s="44" t="str">
        <f>VLOOKUP(F277,'Set up'!$A$2:$E$48,5,FALSE)</f>
        <v>Chq</v>
      </c>
      <c r="S277" s="1" t="s">
        <v>348</v>
      </c>
    </row>
    <row r="278" spans="1:24" ht="15" hidden="1" customHeight="1" x14ac:dyDescent="0.3">
      <c r="A278" s="4">
        <v>44341</v>
      </c>
      <c r="B278" s="5">
        <f t="shared" si="53"/>
        <v>5</v>
      </c>
      <c r="C278" s="5">
        <f t="shared" si="54"/>
        <v>2021</v>
      </c>
      <c r="D278" s="5" t="s">
        <v>318</v>
      </c>
      <c r="E278" s="5" t="str">
        <f>VLOOKUP(F278,'Set up'!$A$2:$C$48,2,FALSE)</f>
        <v>C00000013</v>
      </c>
      <c r="F278" s="1" t="s">
        <v>1454</v>
      </c>
      <c r="G278" s="78" t="s">
        <v>24</v>
      </c>
      <c r="H278" s="5">
        <v>1</v>
      </c>
      <c r="I278" s="5" t="str">
        <f>VLOOKUP(F278,'Set up'!$A$2:$C$48,3,FALSE)</f>
        <v>Cash</v>
      </c>
      <c r="J278" s="5">
        <f>VLOOKUP(F278,'Set up'!$A$2:$D$48,4,FALSE)</f>
        <v>0</v>
      </c>
      <c r="K278" s="4">
        <f t="shared" si="47"/>
        <v>44341</v>
      </c>
      <c r="L278" s="5">
        <v>5</v>
      </c>
      <c r="M278" s="5">
        <v>2021</v>
      </c>
      <c r="N278" s="24">
        <v>246</v>
      </c>
      <c r="O278" s="6">
        <f t="shared" si="52"/>
        <v>-246</v>
      </c>
      <c r="P278" s="6">
        <f t="shared" si="55"/>
        <v>0</v>
      </c>
      <c r="Q278" s="7">
        <f t="shared" si="51"/>
        <v>389180.74999999988</v>
      </c>
      <c r="R278" s="44" t="str">
        <f>VLOOKUP(F278,'Set up'!$A$2:$E$48,5,FALSE)</f>
        <v>Chq</v>
      </c>
      <c r="S278" s="1" t="s">
        <v>348</v>
      </c>
    </row>
    <row r="279" spans="1:24" ht="15" hidden="1" customHeight="1" x14ac:dyDescent="0.3">
      <c r="A279" s="4">
        <v>44341</v>
      </c>
      <c r="B279" s="5">
        <f t="shared" si="53"/>
        <v>5</v>
      </c>
      <c r="C279" s="5">
        <f t="shared" si="54"/>
        <v>2021</v>
      </c>
      <c r="D279" s="5" t="s">
        <v>318</v>
      </c>
      <c r="E279" s="5" t="str">
        <f>VLOOKUP(F279,'Set up'!$A$2:$C$48,2,FALSE)</f>
        <v>C00000013</v>
      </c>
      <c r="F279" s="1" t="s">
        <v>1454</v>
      </c>
      <c r="G279" s="78" t="s">
        <v>179</v>
      </c>
      <c r="H279" s="5">
        <v>2</v>
      </c>
      <c r="I279" s="5" t="str">
        <f>VLOOKUP(F279,'Set up'!$A$2:$C$48,3,FALSE)</f>
        <v>Cash</v>
      </c>
      <c r="J279" s="5">
        <f>VLOOKUP(F279,'Set up'!$A$2:$D$48,4,FALSE)</f>
        <v>0</v>
      </c>
      <c r="K279" s="4">
        <f t="shared" si="47"/>
        <v>44341</v>
      </c>
      <c r="L279" s="5">
        <v>5</v>
      </c>
      <c r="M279" s="5">
        <v>2021</v>
      </c>
      <c r="N279" s="24">
        <v>90</v>
      </c>
      <c r="O279" s="6">
        <f t="shared" si="52"/>
        <v>-90</v>
      </c>
      <c r="P279" s="6">
        <f t="shared" si="55"/>
        <v>0</v>
      </c>
      <c r="Q279" s="7">
        <f t="shared" si="51"/>
        <v>389270.74999999988</v>
      </c>
      <c r="R279" s="44" t="str">
        <f>VLOOKUP(F279,'Set up'!$A$2:$E$48,5,FALSE)</f>
        <v>Chq</v>
      </c>
      <c r="S279" s="1" t="s">
        <v>348</v>
      </c>
    </row>
    <row r="280" spans="1:24" ht="15" hidden="1" customHeight="1" x14ac:dyDescent="0.3">
      <c r="A280" s="4">
        <v>44341</v>
      </c>
      <c r="B280" s="5">
        <f t="shared" si="53"/>
        <v>5</v>
      </c>
      <c r="C280" s="5">
        <f t="shared" si="54"/>
        <v>2021</v>
      </c>
      <c r="D280" s="5" t="s">
        <v>318</v>
      </c>
      <c r="E280" s="5" t="str">
        <f>VLOOKUP(F280,'Set up'!$A$2:$C$48,2,FALSE)</f>
        <v>C00000013</v>
      </c>
      <c r="F280" s="1" t="s">
        <v>1454</v>
      </c>
      <c r="G280" s="78" t="s">
        <v>294</v>
      </c>
      <c r="H280" s="5">
        <v>1</v>
      </c>
      <c r="I280" s="5" t="str">
        <f>VLOOKUP(F280,'Set up'!$A$2:$C$48,3,FALSE)</f>
        <v>Cash</v>
      </c>
      <c r="J280" s="5">
        <f>VLOOKUP(F280,'Set up'!$A$2:$D$48,4,FALSE)</f>
        <v>0</v>
      </c>
      <c r="K280" s="4">
        <f t="shared" si="47"/>
        <v>44341</v>
      </c>
      <c r="L280" s="5">
        <v>5</v>
      </c>
      <c r="M280" s="5">
        <v>2021</v>
      </c>
      <c r="N280" s="24">
        <v>68</v>
      </c>
      <c r="O280" s="6">
        <f t="shared" si="52"/>
        <v>-68</v>
      </c>
      <c r="P280" s="6">
        <f t="shared" si="55"/>
        <v>0</v>
      </c>
      <c r="Q280" s="7">
        <f t="shared" si="51"/>
        <v>389338.74999999988</v>
      </c>
      <c r="R280" s="44" t="str">
        <f>VLOOKUP(F280,'Set up'!$A$2:$E$48,5,FALSE)</f>
        <v>Chq</v>
      </c>
      <c r="S280" s="1" t="s">
        <v>348</v>
      </c>
    </row>
    <row r="281" spans="1:24" ht="15" hidden="1" customHeight="1" x14ac:dyDescent="0.3">
      <c r="A281" s="4">
        <v>44341</v>
      </c>
      <c r="B281" s="5">
        <f t="shared" si="53"/>
        <v>5</v>
      </c>
      <c r="C281" s="5">
        <f t="shared" si="54"/>
        <v>2021</v>
      </c>
      <c r="D281" s="5" t="s">
        <v>318</v>
      </c>
      <c r="E281" s="5" t="str">
        <f>VLOOKUP(F281,'Set up'!$A$2:$C$48,2,FALSE)</f>
        <v>C00000013</v>
      </c>
      <c r="F281" s="1" t="s">
        <v>1454</v>
      </c>
      <c r="G281" s="78" t="s">
        <v>295</v>
      </c>
      <c r="H281" s="5">
        <v>2</v>
      </c>
      <c r="I281" s="5" t="str">
        <f>VLOOKUP(F281,'Set up'!$A$2:$C$48,3,FALSE)</f>
        <v>Cash</v>
      </c>
      <c r="J281" s="5">
        <f>VLOOKUP(F281,'Set up'!$A$2:$D$48,4,FALSE)</f>
        <v>0</v>
      </c>
      <c r="K281" s="4">
        <f t="shared" si="47"/>
        <v>44341</v>
      </c>
      <c r="L281" s="5">
        <v>5</v>
      </c>
      <c r="M281" s="5">
        <v>2021</v>
      </c>
      <c r="N281" s="24">
        <v>130</v>
      </c>
      <c r="O281" s="6">
        <f t="shared" si="52"/>
        <v>-130</v>
      </c>
      <c r="P281" s="6">
        <f t="shared" si="55"/>
        <v>0</v>
      </c>
      <c r="Q281" s="7">
        <f t="shared" si="51"/>
        <v>389468.74999999988</v>
      </c>
      <c r="R281" s="44" t="str">
        <f>VLOOKUP(F281,'Set up'!$A$2:$E$48,5,FALSE)</f>
        <v>Chq</v>
      </c>
      <c r="S281" s="1" t="s">
        <v>348</v>
      </c>
    </row>
    <row r="282" spans="1:24" ht="15" hidden="1" customHeight="1" x14ac:dyDescent="0.3">
      <c r="A282" s="4">
        <v>44341</v>
      </c>
      <c r="B282" s="5">
        <f t="shared" si="53"/>
        <v>5</v>
      </c>
      <c r="C282" s="5">
        <f t="shared" si="54"/>
        <v>2021</v>
      </c>
      <c r="D282" s="5" t="s">
        <v>318</v>
      </c>
      <c r="E282" s="5" t="str">
        <f>VLOOKUP(F282,'Set up'!$A$2:$C$48,2,FALSE)</f>
        <v>C00000013</v>
      </c>
      <c r="F282" s="1" t="s">
        <v>1454</v>
      </c>
      <c r="G282" s="11" t="s">
        <v>296</v>
      </c>
      <c r="H282" s="5">
        <v>1</v>
      </c>
      <c r="I282" s="5" t="str">
        <f>VLOOKUP(F282,'Set up'!$A$2:$C$48,3,FALSE)</f>
        <v>Cash</v>
      </c>
      <c r="J282" s="5">
        <f>VLOOKUP(F282,'Set up'!$A$2:$D$48,4,FALSE)</f>
        <v>0</v>
      </c>
      <c r="K282" s="4">
        <f t="shared" si="47"/>
        <v>44341</v>
      </c>
      <c r="L282" s="5">
        <v>5</v>
      </c>
      <c r="M282" s="5">
        <v>2021</v>
      </c>
      <c r="N282" s="24">
        <v>42</v>
      </c>
      <c r="O282" s="6">
        <f t="shared" si="52"/>
        <v>-42</v>
      </c>
      <c r="P282" s="6">
        <f t="shared" si="55"/>
        <v>0</v>
      </c>
      <c r="Q282" s="7">
        <f t="shared" si="51"/>
        <v>389510.74999999988</v>
      </c>
      <c r="R282" s="44" t="str">
        <f>VLOOKUP(F282,'Set up'!$A$2:$E$48,5,FALSE)</f>
        <v>Chq</v>
      </c>
      <c r="S282" s="1" t="s">
        <v>348</v>
      </c>
    </row>
    <row r="283" spans="1:24" ht="15" hidden="1" customHeight="1" x14ac:dyDescent="0.3">
      <c r="A283" s="4">
        <v>44341</v>
      </c>
      <c r="B283" s="5">
        <f t="shared" si="53"/>
        <v>5</v>
      </c>
      <c r="C283" s="5">
        <f t="shared" si="54"/>
        <v>2021</v>
      </c>
      <c r="D283" s="5" t="s">
        <v>318</v>
      </c>
      <c r="E283" s="5" t="str">
        <f>VLOOKUP(F283,'Set up'!$A$2:$C$48,2,FALSE)</f>
        <v>C00000013</v>
      </c>
      <c r="F283" s="1" t="s">
        <v>1454</v>
      </c>
      <c r="G283" s="11" t="s">
        <v>297</v>
      </c>
      <c r="H283" s="5">
        <v>1</v>
      </c>
      <c r="I283" s="5" t="str">
        <f>VLOOKUP(F283,'Set up'!$A$2:$C$48,3,FALSE)</f>
        <v>Cash</v>
      </c>
      <c r="J283" s="5">
        <f>VLOOKUP(F283,'Set up'!$A$2:$D$48,4,FALSE)</f>
        <v>0</v>
      </c>
      <c r="K283" s="4">
        <f t="shared" si="47"/>
        <v>44341</v>
      </c>
      <c r="L283" s="5">
        <v>5</v>
      </c>
      <c r="M283" s="5">
        <v>2021</v>
      </c>
      <c r="N283" s="24">
        <v>60</v>
      </c>
      <c r="O283" s="6">
        <f t="shared" si="52"/>
        <v>-60</v>
      </c>
      <c r="P283" s="6">
        <f t="shared" si="55"/>
        <v>0</v>
      </c>
      <c r="Q283" s="7">
        <f t="shared" si="51"/>
        <v>389570.74999999988</v>
      </c>
      <c r="R283" s="44" t="str">
        <f>VLOOKUP(F283,'Set up'!$A$2:$E$48,5,FALSE)</f>
        <v>Chq</v>
      </c>
      <c r="S283" s="1" t="s">
        <v>348</v>
      </c>
    </row>
    <row r="284" spans="1:24" ht="15" hidden="1" customHeight="1" x14ac:dyDescent="0.3">
      <c r="A284" s="4">
        <v>44341</v>
      </c>
      <c r="B284" s="5">
        <f t="shared" si="53"/>
        <v>5</v>
      </c>
      <c r="C284" s="5">
        <f t="shared" si="54"/>
        <v>2021</v>
      </c>
      <c r="D284" s="5" t="s">
        <v>318</v>
      </c>
      <c r="E284" s="5" t="str">
        <f>VLOOKUP(F284,'Set up'!$A$2:$C$48,2,FALSE)</f>
        <v>C00000013</v>
      </c>
      <c r="F284" s="1" t="s">
        <v>1454</v>
      </c>
      <c r="G284" s="2" t="s">
        <v>67</v>
      </c>
      <c r="H284" s="5">
        <v>1</v>
      </c>
      <c r="I284" s="5" t="str">
        <f>VLOOKUP(F284,'Set up'!$A$2:$C$48,3,FALSE)</f>
        <v>Cash</v>
      </c>
      <c r="J284" s="5">
        <f>VLOOKUP(F284,'Set up'!$A$2:$D$48,4,FALSE)</f>
        <v>0</v>
      </c>
      <c r="K284" s="4">
        <f t="shared" si="47"/>
        <v>44341</v>
      </c>
      <c r="L284" s="5">
        <v>5</v>
      </c>
      <c r="M284" s="5">
        <v>2021</v>
      </c>
      <c r="N284" s="24">
        <v>1870</v>
      </c>
      <c r="O284" s="6">
        <f t="shared" si="52"/>
        <v>-1870</v>
      </c>
      <c r="P284" s="6">
        <f t="shared" si="55"/>
        <v>0</v>
      </c>
      <c r="Q284" s="7">
        <f t="shared" si="51"/>
        <v>391440.74999999988</v>
      </c>
      <c r="R284" s="44" t="str">
        <f>VLOOKUP(F284,'Set up'!$A$2:$E$48,5,FALSE)</f>
        <v>Chq</v>
      </c>
      <c r="S284" s="1" t="s">
        <v>348</v>
      </c>
    </row>
    <row r="285" spans="1:24" ht="15" hidden="1" customHeight="1" x14ac:dyDescent="0.3">
      <c r="A285" s="4">
        <v>44341</v>
      </c>
      <c r="B285" s="5">
        <f t="shared" si="53"/>
        <v>5</v>
      </c>
      <c r="C285" s="5">
        <f t="shared" si="54"/>
        <v>2021</v>
      </c>
      <c r="D285" s="5" t="s">
        <v>318</v>
      </c>
      <c r="E285" s="5" t="str">
        <f>VLOOKUP(F285,'Set up'!$A$2:$C$48,2,FALSE)</f>
        <v>C00000013</v>
      </c>
      <c r="F285" s="1" t="s">
        <v>1454</v>
      </c>
      <c r="G285" s="56" t="s">
        <v>64</v>
      </c>
      <c r="H285" s="5">
        <v>1</v>
      </c>
      <c r="I285" s="5" t="str">
        <f>VLOOKUP(F285,'Set up'!$A$2:$C$48,3,FALSE)</f>
        <v>Cash</v>
      </c>
      <c r="J285" s="5">
        <f>VLOOKUP(F285,'Set up'!$A$2:$D$48,4,FALSE)</f>
        <v>0</v>
      </c>
      <c r="K285" s="4">
        <f t="shared" si="47"/>
        <v>44341</v>
      </c>
      <c r="L285" s="5">
        <v>5</v>
      </c>
      <c r="M285" s="5">
        <v>2021</v>
      </c>
      <c r="N285" s="24">
        <v>55</v>
      </c>
      <c r="O285" s="6">
        <f t="shared" si="52"/>
        <v>-55</v>
      </c>
      <c r="P285" s="6">
        <f t="shared" si="55"/>
        <v>0</v>
      </c>
      <c r="Q285" s="7">
        <f t="shared" si="51"/>
        <v>391495.74999999988</v>
      </c>
      <c r="R285" s="44" t="str">
        <f>VLOOKUP(F285,'Set up'!$A$2:$E$48,5,FALSE)</f>
        <v>Chq</v>
      </c>
      <c r="S285" s="1" t="s">
        <v>348</v>
      </c>
    </row>
    <row r="286" spans="1:24" ht="15" hidden="1" customHeight="1" x14ac:dyDescent="0.3">
      <c r="A286" s="4">
        <v>44341</v>
      </c>
      <c r="B286" s="5">
        <f t="shared" si="53"/>
        <v>5</v>
      </c>
      <c r="C286" s="5">
        <f t="shared" si="54"/>
        <v>2021</v>
      </c>
      <c r="D286" s="5" t="s">
        <v>343</v>
      </c>
      <c r="E286" s="5" t="str">
        <f>VLOOKUP(F286,'Set up'!$A$2:$C$48,2,FALSE)</f>
        <v>C00000005</v>
      </c>
      <c r="F286" s="1" t="s">
        <v>35</v>
      </c>
      <c r="G286" s="11" t="s">
        <v>17</v>
      </c>
      <c r="H286" s="5">
        <v>1</v>
      </c>
      <c r="I286" s="5" t="str">
        <f>VLOOKUP(F286,'Set up'!$A$2:$C$48,3,FALSE)</f>
        <v>Cash</v>
      </c>
      <c r="J286" s="5">
        <f>VLOOKUP(F286,'Set up'!$A$2:$D$48,4,FALSE)</f>
        <v>0</v>
      </c>
      <c r="K286" s="4">
        <v>44341</v>
      </c>
      <c r="L286" s="5">
        <v>5</v>
      </c>
      <c r="M286" s="5">
        <v>2021</v>
      </c>
      <c r="N286" s="24">
        <v>100</v>
      </c>
      <c r="O286" s="6">
        <f t="shared" si="52"/>
        <v>-100</v>
      </c>
      <c r="P286" s="6">
        <f t="shared" si="55"/>
        <v>0</v>
      </c>
      <c r="Q286" s="7">
        <f t="shared" si="51"/>
        <v>391595.74999999988</v>
      </c>
      <c r="R286" s="44" t="str">
        <f>VLOOKUP(F286,'Set up'!$A$2:$E$48,5,FALSE)</f>
        <v>Chq</v>
      </c>
      <c r="S286" s="1" t="s">
        <v>355</v>
      </c>
    </row>
    <row r="287" spans="1:24" ht="15" hidden="1" customHeight="1" x14ac:dyDescent="0.3">
      <c r="A287" s="4">
        <v>44348</v>
      </c>
      <c r="B287" s="5">
        <f t="shared" si="53"/>
        <v>6</v>
      </c>
      <c r="C287" s="5">
        <f t="shared" si="54"/>
        <v>2021</v>
      </c>
      <c r="D287" s="5" t="s">
        <v>356</v>
      </c>
      <c r="E287" s="5" t="str">
        <f>VLOOKUP(F287,'Set up'!$A$2:$C$48,2,FALSE)</f>
        <v>C00000010</v>
      </c>
      <c r="F287" s="1" t="s">
        <v>62</v>
      </c>
      <c r="G287" s="56" t="s">
        <v>304</v>
      </c>
      <c r="H287" s="5">
        <v>4</v>
      </c>
      <c r="I287" s="5">
        <f>VLOOKUP(F287,'Set up'!$A$2:$C$48,3,FALSE)</f>
        <v>120</v>
      </c>
      <c r="J287" s="5">
        <f>VLOOKUP(F287,'Set up'!$A$2:$D$48,4,FALSE)</f>
        <v>120</v>
      </c>
      <c r="K287" s="4">
        <f>A287+J287</f>
        <v>44468</v>
      </c>
      <c r="L287" s="5">
        <f t="shared" ref="L287:L350" si="56">MONTH(K287)</f>
        <v>9</v>
      </c>
      <c r="M287" s="5">
        <f t="shared" ref="M287:M350" si="57">YEAR(K287)</f>
        <v>2021</v>
      </c>
      <c r="N287" s="24">
        <v>6952</v>
      </c>
      <c r="O287" s="6">
        <f t="shared" si="52"/>
        <v>-6952</v>
      </c>
      <c r="P287" s="6">
        <f t="shared" si="55"/>
        <v>0</v>
      </c>
      <c r="Q287" s="7">
        <f t="shared" si="51"/>
        <v>398547.74999999988</v>
      </c>
      <c r="R287" s="44" t="str">
        <f>VLOOKUP(F287,'Set up'!$A$2:$E$48,5,FALSE)</f>
        <v>Trsf</v>
      </c>
      <c r="S287" s="1" t="s">
        <v>440</v>
      </c>
    </row>
    <row r="288" spans="1:24" ht="15" hidden="1" customHeight="1" x14ac:dyDescent="0.3">
      <c r="A288" s="4">
        <v>44348</v>
      </c>
      <c r="B288" s="5">
        <f t="shared" si="53"/>
        <v>6</v>
      </c>
      <c r="C288" s="5">
        <f t="shared" si="54"/>
        <v>2021</v>
      </c>
      <c r="D288" s="5" t="s">
        <v>357</v>
      </c>
      <c r="E288" s="5" t="str">
        <f>VLOOKUP(F288,'Set up'!$A$2:$C$48,2,FALSE)</f>
        <v>C00000009</v>
      </c>
      <c r="F288" s="1" t="s">
        <v>58</v>
      </c>
      <c r="G288" s="2" t="s">
        <v>361</v>
      </c>
      <c r="H288" s="5">
        <v>3</v>
      </c>
      <c r="I288" s="5">
        <f>VLOOKUP(F288,'Set up'!$A$2:$C$48,3,FALSE)</f>
        <v>60</v>
      </c>
      <c r="J288" s="5">
        <f>VLOOKUP(F288,'Set up'!$A$2:$D$48,4,FALSE)</f>
        <v>60</v>
      </c>
      <c r="K288" s="4">
        <v>44373</v>
      </c>
      <c r="L288" s="5">
        <f t="shared" si="56"/>
        <v>6</v>
      </c>
      <c r="M288" s="5">
        <f t="shared" si="57"/>
        <v>2021</v>
      </c>
      <c r="N288" s="24">
        <v>1530</v>
      </c>
      <c r="O288" s="6">
        <f t="shared" si="52"/>
        <v>-1530</v>
      </c>
      <c r="P288" s="6">
        <f t="shared" si="55"/>
        <v>0</v>
      </c>
      <c r="Q288" s="7">
        <f t="shared" si="51"/>
        <v>400077.74999999988</v>
      </c>
      <c r="R288" s="44" t="str">
        <f>VLOOKUP(F288,'Set up'!$A$2:$E$48,5,FALSE)</f>
        <v>Chq</v>
      </c>
      <c r="S288" s="1" t="s">
        <v>528</v>
      </c>
    </row>
    <row r="289" spans="1:21" ht="15" hidden="1" customHeight="1" x14ac:dyDescent="0.3">
      <c r="A289" s="4">
        <v>44348</v>
      </c>
      <c r="B289" s="5">
        <f t="shared" si="53"/>
        <v>6</v>
      </c>
      <c r="C289" s="5">
        <f t="shared" si="54"/>
        <v>2021</v>
      </c>
      <c r="D289" s="5" t="s">
        <v>357</v>
      </c>
      <c r="E289" s="5" t="str">
        <f>VLOOKUP(F289,'Set up'!$A$2:$C$48,2,FALSE)</f>
        <v>C00000009</v>
      </c>
      <c r="F289" s="1" t="s">
        <v>58</v>
      </c>
      <c r="G289" s="2" t="s">
        <v>360</v>
      </c>
      <c r="H289" s="5">
        <v>5</v>
      </c>
      <c r="I289" s="5">
        <f>VLOOKUP(F289,'Set up'!$A$2:$C$48,3,FALSE)</f>
        <v>60</v>
      </c>
      <c r="J289" s="5">
        <f>VLOOKUP(F289,'Set up'!$A$2:$D$48,4,FALSE)</f>
        <v>60</v>
      </c>
      <c r="K289" s="4">
        <v>44373</v>
      </c>
      <c r="L289" s="5">
        <f t="shared" si="56"/>
        <v>6</v>
      </c>
      <c r="M289" s="5">
        <f t="shared" si="57"/>
        <v>2021</v>
      </c>
      <c r="N289" s="44">
        <v>2295</v>
      </c>
      <c r="O289" s="6">
        <f t="shared" si="52"/>
        <v>-2295</v>
      </c>
      <c r="P289" s="6">
        <f t="shared" si="55"/>
        <v>0</v>
      </c>
      <c r="Q289" s="7">
        <f t="shared" si="51"/>
        <v>402372.74999999988</v>
      </c>
      <c r="R289" s="44" t="str">
        <f>VLOOKUP(F289,'Set up'!$A$2:$E$48,5,FALSE)</f>
        <v>Chq</v>
      </c>
      <c r="S289" s="1" t="s">
        <v>528</v>
      </c>
    </row>
    <row r="290" spans="1:21" ht="15" hidden="1" customHeight="1" x14ac:dyDescent="0.3">
      <c r="A290" s="4">
        <v>44348</v>
      </c>
      <c r="B290" s="5">
        <f t="shared" si="53"/>
        <v>6</v>
      </c>
      <c r="C290" s="5">
        <f t="shared" si="54"/>
        <v>2021</v>
      </c>
      <c r="D290" s="5" t="s">
        <v>358</v>
      </c>
      <c r="E290" s="5" t="str">
        <f>VLOOKUP(F290,'Set up'!$A$2:$C$48,2,FALSE)</f>
        <v>C00000009</v>
      </c>
      <c r="F290" s="1" t="s">
        <v>58</v>
      </c>
      <c r="G290" s="11" t="s">
        <v>44</v>
      </c>
      <c r="H290" s="5">
        <v>3</v>
      </c>
      <c r="I290" s="5">
        <f>VLOOKUP(F290,'Set up'!$A$2:$C$48,3,FALSE)</f>
        <v>60</v>
      </c>
      <c r="J290" s="5">
        <f>VLOOKUP(F290,'Set up'!$A$2:$D$48,4,FALSE)</f>
        <v>60</v>
      </c>
      <c r="K290" s="4">
        <v>44373</v>
      </c>
      <c r="L290" s="5">
        <f t="shared" si="56"/>
        <v>6</v>
      </c>
      <c r="M290" s="5">
        <f t="shared" si="57"/>
        <v>2021</v>
      </c>
      <c r="N290" s="44">
        <v>690</v>
      </c>
      <c r="O290" s="6">
        <f t="shared" si="52"/>
        <v>-690</v>
      </c>
      <c r="P290" s="6">
        <f t="shared" si="55"/>
        <v>0</v>
      </c>
      <c r="Q290" s="7">
        <f t="shared" si="51"/>
        <v>403062.74999999988</v>
      </c>
      <c r="R290" s="44" t="str">
        <f>VLOOKUP(F290,'Set up'!$A$2:$E$48,5,FALSE)</f>
        <v>Chq</v>
      </c>
      <c r="S290" s="1" t="s">
        <v>528</v>
      </c>
    </row>
    <row r="291" spans="1:21" hidden="1" x14ac:dyDescent="0.3">
      <c r="A291" s="4">
        <v>44348</v>
      </c>
      <c r="B291" s="5">
        <f t="shared" si="53"/>
        <v>6</v>
      </c>
      <c r="C291" s="5">
        <f t="shared" si="54"/>
        <v>2021</v>
      </c>
      <c r="D291" s="5" t="s">
        <v>359</v>
      </c>
      <c r="E291" s="5" t="str">
        <f>VLOOKUP(F291,'Set up'!$A$2:$C$48,2,FALSE)</f>
        <v>C00000010</v>
      </c>
      <c r="F291" s="1" t="s">
        <v>62</v>
      </c>
      <c r="G291" s="2" t="s">
        <v>64</v>
      </c>
      <c r="H291" s="5">
        <v>10</v>
      </c>
      <c r="I291" s="5">
        <f>VLOOKUP(F291,'Set up'!$A$2:$C$48,3,FALSE)</f>
        <v>120</v>
      </c>
      <c r="J291" s="5">
        <f>VLOOKUP(F291,'Set up'!$A$2:$D$48,4,FALSE)</f>
        <v>120</v>
      </c>
      <c r="K291" s="4">
        <f t="shared" ref="K291:K322" si="58">A291+J291</f>
        <v>44468</v>
      </c>
      <c r="L291" s="5">
        <f t="shared" si="56"/>
        <v>9</v>
      </c>
      <c r="M291" s="5">
        <f t="shared" si="57"/>
        <v>2021</v>
      </c>
      <c r="N291" s="44">
        <v>550</v>
      </c>
      <c r="O291" s="6">
        <f t="shared" si="52"/>
        <v>-550</v>
      </c>
      <c r="P291" s="6">
        <f t="shared" si="55"/>
        <v>0</v>
      </c>
      <c r="Q291" s="7">
        <f t="shared" si="51"/>
        <v>403612.74999999988</v>
      </c>
      <c r="R291" s="44" t="str">
        <f>VLOOKUP(F291,'Set up'!$A$2:$E$48,5,FALSE)</f>
        <v>Trsf</v>
      </c>
      <c r="S291" s="1" t="s">
        <v>440</v>
      </c>
      <c r="T291"/>
    </row>
    <row r="292" spans="1:21" hidden="1" x14ac:dyDescent="0.3">
      <c r="A292" s="4">
        <v>44348</v>
      </c>
      <c r="B292" s="5">
        <f t="shared" si="53"/>
        <v>6</v>
      </c>
      <c r="C292" s="5">
        <f t="shared" si="54"/>
        <v>2021</v>
      </c>
      <c r="D292" s="5" t="s">
        <v>359</v>
      </c>
      <c r="E292" s="5" t="str">
        <f>VLOOKUP(F292,'Set up'!$A$2:$C$48,2,FALSE)</f>
        <v>C00000010</v>
      </c>
      <c r="F292" s="1" t="s">
        <v>62</v>
      </c>
      <c r="G292" s="11" t="s">
        <v>46</v>
      </c>
      <c r="H292" s="5">
        <v>4</v>
      </c>
      <c r="I292" s="5">
        <f>VLOOKUP(F292,'Set up'!$A$2:$C$48,3,FALSE)</f>
        <v>120</v>
      </c>
      <c r="J292" s="5">
        <f>VLOOKUP(F292,'Set up'!$A$2:$D$48,4,FALSE)</f>
        <v>120</v>
      </c>
      <c r="K292" s="4">
        <f t="shared" si="58"/>
        <v>44468</v>
      </c>
      <c r="L292" s="5">
        <f t="shared" si="56"/>
        <v>9</v>
      </c>
      <c r="M292" s="5">
        <f t="shared" si="57"/>
        <v>2021</v>
      </c>
      <c r="N292" s="6">
        <v>380</v>
      </c>
      <c r="O292" s="6">
        <f t="shared" si="52"/>
        <v>-380</v>
      </c>
      <c r="P292" s="6">
        <f t="shared" si="55"/>
        <v>0</v>
      </c>
      <c r="Q292" s="7">
        <f t="shared" si="51"/>
        <v>403992.74999999988</v>
      </c>
      <c r="R292" s="44" t="str">
        <f>VLOOKUP(F292,'Set up'!$A$2:$E$48,5,FALSE)</f>
        <v>Trsf</v>
      </c>
      <c r="S292" s="1" t="s">
        <v>440</v>
      </c>
    </row>
    <row r="293" spans="1:21" hidden="1" x14ac:dyDescent="0.3">
      <c r="A293" s="4">
        <v>44440</v>
      </c>
      <c r="B293" s="5">
        <f t="shared" si="53"/>
        <v>9</v>
      </c>
      <c r="C293" s="5">
        <f t="shared" si="54"/>
        <v>2021</v>
      </c>
      <c r="D293" s="5" t="s">
        <v>364</v>
      </c>
      <c r="E293" s="5" t="str">
        <f>VLOOKUP(F293,'Set up'!$A$2:$C$48,2,FALSE)</f>
        <v>C00000017</v>
      </c>
      <c r="F293" s="1" t="s">
        <v>1698</v>
      </c>
      <c r="G293" s="11" t="s">
        <v>367</v>
      </c>
      <c r="H293" s="5">
        <v>2</v>
      </c>
      <c r="I293" s="5" t="str">
        <f>VLOOKUP(F293,'Set up'!$A$2:$C$48,3,FALSE)</f>
        <v>Cash</v>
      </c>
      <c r="J293" s="5">
        <f>VLOOKUP(F293,'Set up'!$A$2:$D$48,4,FALSE)</f>
        <v>0</v>
      </c>
      <c r="K293" s="4">
        <f t="shared" si="58"/>
        <v>44440</v>
      </c>
      <c r="L293" s="5">
        <f t="shared" si="56"/>
        <v>9</v>
      </c>
      <c r="M293" s="5">
        <f t="shared" si="57"/>
        <v>2021</v>
      </c>
      <c r="N293" s="6">
        <v>600</v>
      </c>
      <c r="O293" s="6">
        <f t="shared" si="52"/>
        <v>-600</v>
      </c>
      <c r="P293" s="6">
        <f t="shared" si="55"/>
        <v>0</v>
      </c>
      <c r="Q293" s="7">
        <f t="shared" si="51"/>
        <v>404592.74999999988</v>
      </c>
      <c r="R293" s="44" t="str">
        <f>VLOOKUP(F293,'Set up'!$A$2:$E$48,5,FALSE)</f>
        <v>Trsf</v>
      </c>
      <c r="S293" s="1" t="s">
        <v>388</v>
      </c>
    </row>
    <row r="294" spans="1:21" hidden="1" x14ac:dyDescent="0.3">
      <c r="A294" s="4">
        <v>44440</v>
      </c>
      <c r="B294" s="5">
        <f t="shared" si="53"/>
        <v>9</v>
      </c>
      <c r="C294" s="5">
        <f t="shared" si="54"/>
        <v>2021</v>
      </c>
      <c r="D294" s="5" t="s">
        <v>364</v>
      </c>
      <c r="E294" s="5" t="str">
        <f>VLOOKUP(F294,'Set up'!$A$2:$C$48,2,FALSE)</f>
        <v>C00000017</v>
      </c>
      <c r="F294" s="1" t="s">
        <v>1698</v>
      </c>
      <c r="G294" s="11" t="s">
        <v>181</v>
      </c>
      <c r="H294" s="5">
        <v>1</v>
      </c>
      <c r="I294" s="5" t="str">
        <f>VLOOKUP(F294,'Set up'!$A$2:$C$48,3,FALSE)</f>
        <v>Cash</v>
      </c>
      <c r="J294" s="5">
        <f>VLOOKUP(F294,'Set up'!$A$2:$D$48,4,FALSE)</f>
        <v>0</v>
      </c>
      <c r="K294" s="4">
        <f t="shared" si="58"/>
        <v>44440</v>
      </c>
      <c r="L294" s="5">
        <f t="shared" si="56"/>
        <v>9</v>
      </c>
      <c r="M294" s="5">
        <f t="shared" si="57"/>
        <v>2021</v>
      </c>
      <c r="N294" s="6">
        <v>255</v>
      </c>
      <c r="O294" s="6">
        <f t="shared" si="52"/>
        <v>-255</v>
      </c>
      <c r="P294" s="6">
        <f t="shared" si="55"/>
        <v>0</v>
      </c>
      <c r="Q294" s="7">
        <f t="shared" si="51"/>
        <v>404847.74999999988</v>
      </c>
      <c r="R294" s="44" t="str">
        <f>VLOOKUP(F294,'Set up'!$A$2:$E$48,5,FALSE)</f>
        <v>Trsf</v>
      </c>
      <c r="S294" s="1" t="s">
        <v>388</v>
      </c>
    </row>
    <row r="295" spans="1:21" hidden="1" x14ac:dyDescent="0.3">
      <c r="A295" s="4">
        <v>44440</v>
      </c>
      <c r="B295" s="5">
        <f t="shared" si="53"/>
        <v>9</v>
      </c>
      <c r="C295" s="5">
        <f t="shared" si="54"/>
        <v>2021</v>
      </c>
      <c r="D295" s="5" t="s">
        <v>368</v>
      </c>
      <c r="E295" s="5" t="str">
        <f>VLOOKUP(F295,'Set up'!$A$2:$C$48,2,FALSE)</f>
        <v>C00000005</v>
      </c>
      <c r="F295" s="1" t="s">
        <v>35</v>
      </c>
      <c r="G295" s="2" t="s">
        <v>67</v>
      </c>
      <c r="H295" s="5">
        <v>1</v>
      </c>
      <c r="I295" s="5" t="str">
        <f>VLOOKUP(F295,'Set up'!$A$2:$C$48,3,FALSE)</f>
        <v>Cash</v>
      </c>
      <c r="J295" s="5">
        <f>VLOOKUP(F295,'Set up'!$A$2:$D$48,4,FALSE)</f>
        <v>0</v>
      </c>
      <c r="K295" s="4">
        <f t="shared" si="58"/>
        <v>44440</v>
      </c>
      <c r="L295" s="5">
        <f t="shared" si="56"/>
        <v>9</v>
      </c>
      <c r="M295" s="5">
        <f t="shared" si="57"/>
        <v>2021</v>
      </c>
      <c r="N295" s="6">
        <v>1826</v>
      </c>
      <c r="O295" s="6">
        <f t="shared" si="52"/>
        <v>-1826</v>
      </c>
      <c r="P295" s="6">
        <f t="shared" si="55"/>
        <v>0</v>
      </c>
      <c r="Q295" s="7">
        <f t="shared" si="51"/>
        <v>406673.74999999988</v>
      </c>
      <c r="R295" s="44" t="str">
        <f>VLOOKUP(F295,'Set up'!$A$2:$E$48,5,FALSE)</f>
        <v>Chq</v>
      </c>
      <c r="S295" s="1" t="s">
        <v>387</v>
      </c>
    </row>
    <row r="296" spans="1:21" hidden="1" x14ac:dyDescent="0.3">
      <c r="A296" s="4">
        <v>44440</v>
      </c>
      <c r="B296" s="5">
        <f t="shared" si="53"/>
        <v>9</v>
      </c>
      <c r="C296" s="5">
        <f t="shared" si="54"/>
        <v>2021</v>
      </c>
      <c r="D296" s="5" t="s">
        <v>369</v>
      </c>
      <c r="E296" s="5" t="str">
        <f>VLOOKUP(F296,'Set up'!$A$2:$C$48,2,FALSE)</f>
        <v>C00000005</v>
      </c>
      <c r="F296" s="1" t="s">
        <v>35</v>
      </c>
      <c r="G296" s="2" t="s">
        <v>67</v>
      </c>
      <c r="H296" s="5">
        <v>1</v>
      </c>
      <c r="I296" s="5" t="str">
        <f>VLOOKUP(F296,'Set up'!$A$2:$C$48,3,FALSE)</f>
        <v>Cash</v>
      </c>
      <c r="J296" s="5">
        <f>VLOOKUP(F296,'Set up'!$A$2:$D$48,4,FALSE)</f>
        <v>0</v>
      </c>
      <c r="K296" s="4">
        <f t="shared" si="58"/>
        <v>44440</v>
      </c>
      <c r="L296" s="5">
        <f t="shared" si="56"/>
        <v>9</v>
      </c>
      <c r="M296" s="5">
        <f t="shared" si="57"/>
        <v>2021</v>
      </c>
      <c r="N296" s="6">
        <v>1826</v>
      </c>
      <c r="O296" s="6">
        <f t="shared" si="52"/>
        <v>-1826</v>
      </c>
      <c r="P296" s="6">
        <f t="shared" si="55"/>
        <v>0</v>
      </c>
      <c r="Q296" s="7">
        <f t="shared" si="51"/>
        <v>408499.74999999988</v>
      </c>
      <c r="R296" s="44" t="str">
        <f>VLOOKUP(F296,'Set up'!$A$2:$E$48,5,FALSE)</f>
        <v>Chq</v>
      </c>
      <c r="S296" s="1" t="s">
        <v>389</v>
      </c>
    </row>
    <row r="297" spans="1:21" hidden="1" x14ac:dyDescent="0.3">
      <c r="A297" s="4">
        <v>44440</v>
      </c>
      <c r="B297" s="5">
        <f t="shared" si="53"/>
        <v>9</v>
      </c>
      <c r="C297" s="5">
        <f t="shared" si="54"/>
        <v>2021</v>
      </c>
      <c r="D297" s="5" t="s">
        <v>369</v>
      </c>
      <c r="E297" s="5" t="str">
        <f>VLOOKUP(F297,'Set up'!$A$2:$C$48,2,FALSE)</f>
        <v>C00000005</v>
      </c>
      <c r="F297" s="1" t="s">
        <v>35</v>
      </c>
      <c r="G297" s="11" t="s">
        <v>46</v>
      </c>
      <c r="H297" s="5">
        <v>1</v>
      </c>
      <c r="I297" s="5" t="str">
        <f>VLOOKUP(F297,'Set up'!$A$2:$C$48,3,FALSE)</f>
        <v>Cash</v>
      </c>
      <c r="J297" s="5">
        <f>VLOOKUP(F297,'Set up'!$A$2:$D$48,4,FALSE)</f>
        <v>0</v>
      </c>
      <c r="K297" s="4">
        <f t="shared" si="58"/>
        <v>44440</v>
      </c>
      <c r="L297" s="5">
        <f t="shared" si="56"/>
        <v>9</v>
      </c>
      <c r="M297" s="5">
        <f t="shared" si="57"/>
        <v>2021</v>
      </c>
      <c r="N297" s="6">
        <v>100</v>
      </c>
      <c r="O297" s="6">
        <f t="shared" si="52"/>
        <v>-100</v>
      </c>
      <c r="P297" s="6">
        <f t="shared" si="55"/>
        <v>0</v>
      </c>
      <c r="Q297" s="7">
        <f t="shared" si="51"/>
        <v>408599.74999999988</v>
      </c>
      <c r="R297" s="44" t="str">
        <f>VLOOKUP(F297,'Set up'!$A$2:$E$48,5,FALSE)</f>
        <v>Chq</v>
      </c>
      <c r="S297" s="1" t="s">
        <v>389</v>
      </c>
    </row>
    <row r="298" spans="1:21" hidden="1" x14ac:dyDescent="0.3">
      <c r="A298" s="4">
        <v>44440</v>
      </c>
      <c r="B298" s="5">
        <f t="shared" si="53"/>
        <v>9</v>
      </c>
      <c r="C298" s="5">
        <f t="shared" si="54"/>
        <v>2021</v>
      </c>
      <c r="D298" s="5" t="s">
        <v>370</v>
      </c>
      <c r="E298" s="5" t="str">
        <f>VLOOKUP(F298,'Set up'!$A$2:$C$48,2,FALSE)</f>
        <v>C00000004</v>
      </c>
      <c r="F298" s="1" t="s">
        <v>23</v>
      </c>
      <c r="G298" s="11" t="s">
        <v>361</v>
      </c>
      <c r="H298" s="5">
        <v>4</v>
      </c>
      <c r="I298" s="5">
        <f>VLOOKUP(F298,'Set up'!$A$2:$C$48,3,FALSE)</f>
        <v>120</v>
      </c>
      <c r="J298" s="5">
        <f>VLOOKUP(F298,'Set up'!$A$2:$D$48,4,FALSE)</f>
        <v>120</v>
      </c>
      <c r="K298" s="4">
        <f t="shared" si="58"/>
        <v>44560</v>
      </c>
      <c r="L298" s="5">
        <f t="shared" si="56"/>
        <v>12</v>
      </c>
      <c r="M298" s="5">
        <f t="shared" si="57"/>
        <v>2021</v>
      </c>
      <c r="N298" s="6">
        <v>2016</v>
      </c>
      <c r="O298" s="6">
        <f t="shared" si="52"/>
        <v>-2016</v>
      </c>
      <c r="P298" s="6">
        <f t="shared" si="55"/>
        <v>0</v>
      </c>
      <c r="Q298" s="7">
        <f t="shared" si="51"/>
        <v>410615.74999999988</v>
      </c>
      <c r="R298" s="44" t="str">
        <f>VLOOKUP(F298,'Set up'!$A$2:$E$48,5,FALSE)</f>
        <v>Chq</v>
      </c>
      <c r="S298" s="1" t="s">
        <v>576</v>
      </c>
    </row>
    <row r="299" spans="1:21" hidden="1" x14ac:dyDescent="0.3">
      <c r="A299" s="4">
        <v>44440</v>
      </c>
      <c r="B299" s="5">
        <f t="shared" si="53"/>
        <v>9</v>
      </c>
      <c r="C299" s="5">
        <f t="shared" si="54"/>
        <v>2021</v>
      </c>
      <c r="D299" s="5" t="s">
        <v>370</v>
      </c>
      <c r="E299" s="5" t="str">
        <f>VLOOKUP(F299,'Set up'!$A$2:$C$48,2,FALSE)</f>
        <v>C00000004</v>
      </c>
      <c r="F299" s="1" t="s">
        <v>23</v>
      </c>
      <c r="G299" s="11" t="s">
        <v>360</v>
      </c>
      <c r="H299" s="5">
        <v>4</v>
      </c>
      <c r="I299" s="5">
        <f>VLOOKUP(F299,'Set up'!$A$2:$C$48,3,FALSE)</f>
        <v>120</v>
      </c>
      <c r="J299" s="5">
        <f>VLOOKUP(F299,'Set up'!$A$2:$D$48,4,FALSE)</f>
        <v>120</v>
      </c>
      <c r="K299" s="4">
        <f t="shared" si="58"/>
        <v>44560</v>
      </c>
      <c r="L299" s="5">
        <f t="shared" si="56"/>
        <v>12</v>
      </c>
      <c r="M299" s="5">
        <f t="shared" si="57"/>
        <v>2021</v>
      </c>
      <c r="N299" s="6">
        <v>1814.4</v>
      </c>
      <c r="O299" s="6">
        <f t="shared" si="52"/>
        <v>-1814.4</v>
      </c>
      <c r="P299" s="6">
        <f t="shared" si="55"/>
        <v>0</v>
      </c>
      <c r="Q299" s="7">
        <f t="shared" si="51"/>
        <v>412430.14999999991</v>
      </c>
      <c r="R299" s="44" t="str">
        <f>VLOOKUP(F299,'Set up'!$A$2:$E$48,5,FALSE)</f>
        <v>Chq</v>
      </c>
      <c r="S299" s="1" t="s">
        <v>576</v>
      </c>
    </row>
    <row r="300" spans="1:21" hidden="1" x14ac:dyDescent="0.3">
      <c r="A300" s="4">
        <v>44440</v>
      </c>
      <c r="B300" s="5">
        <f t="shared" si="53"/>
        <v>9</v>
      </c>
      <c r="C300" s="5">
        <f t="shared" si="54"/>
        <v>2021</v>
      </c>
      <c r="D300" s="5" t="s">
        <v>371</v>
      </c>
      <c r="E300" s="5" t="str">
        <f>VLOOKUP(F300,'Set up'!$A$2:$C$48,2,FALSE)</f>
        <v>C00000002</v>
      </c>
      <c r="F300" s="1" t="s">
        <v>14</v>
      </c>
      <c r="G300" s="11" t="s">
        <v>304</v>
      </c>
      <c r="H300" s="5">
        <v>2</v>
      </c>
      <c r="I300" s="5" t="str">
        <f>VLOOKUP(F300,'Set up'!$A$2:$C$48,3,FALSE)</f>
        <v>Cash</v>
      </c>
      <c r="J300" s="5">
        <f>VLOOKUP(F300,'Set up'!$A$2:$D$48,4,FALSE)</f>
        <v>0</v>
      </c>
      <c r="K300" s="4">
        <f t="shared" si="58"/>
        <v>44440</v>
      </c>
      <c r="L300" s="5">
        <f t="shared" si="56"/>
        <v>9</v>
      </c>
      <c r="M300" s="5">
        <f t="shared" si="57"/>
        <v>2021</v>
      </c>
      <c r="N300" s="6">
        <v>3432</v>
      </c>
      <c r="O300" s="6">
        <f t="shared" si="52"/>
        <v>-3432</v>
      </c>
      <c r="P300" s="6">
        <f t="shared" si="55"/>
        <v>0</v>
      </c>
      <c r="Q300" s="7">
        <f t="shared" si="51"/>
        <v>415862.14999999991</v>
      </c>
      <c r="R300" s="44" t="str">
        <f>VLOOKUP(F300,'Set up'!$A$2:$E$48,5,FALSE)</f>
        <v>Chq</v>
      </c>
      <c r="S300" s="1" t="s">
        <v>441</v>
      </c>
    </row>
    <row r="301" spans="1:21" hidden="1" x14ac:dyDescent="0.3">
      <c r="A301" s="4">
        <v>44453</v>
      </c>
      <c r="B301" s="5">
        <f t="shared" si="53"/>
        <v>9</v>
      </c>
      <c r="C301" s="5">
        <f t="shared" si="54"/>
        <v>2021</v>
      </c>
      <c r="D301" s="5" t="s">
        <v>372</v>
      </c>
      <c r="E301" s="5" t="str">
        <f>VLOOKUP(F301,'Set up'!$A$2:$C$48,2,FALSE)</f>
        <v>C00000003</v>
      </c>
      <c r="F301" s="1" t="s">
        <v>20</v>
      </c>
      <c r="G301" s="2" t="s">
        <v>67</v>
      </c>
      <c r="H301" s="5">
        <v>3</v>
      </c>
      <c r="I301" s="5">
        <f>VLOOKUP(F301,'Set up'!$A$2:$C$48,3,FALSE)</f>
        <v>45</v>
      </c>
      <c r="J301" s="5">
        <f>VLOOKUP(F301,'Set up'!$A$2:$D$48,4,FALSE)</f>
        <v>45</v>
      </c>
      <c r="K301" s="4">
        <f t="shared" si="58"/>
        <v>44498</v>
      </c>
      <c r="L301" s="5">
        <f t="shared" si="56"/>
        <v>10</v>
      </c>
      <c r="M301" s="5">
        <f t="shared" si="57"/>
        <v>2021</v>
      </c>
      <c r="N301" s="6">
        <v>5610</v>
      </c>
      <c r="O301" s="6">
        <f>-1400-1400-1400-1400-10</f>
        <v>-5610</v>
      </c>
      <c r="P301" s="6">
        <f t="shared" si="55"/>
        <v>0</v>
      </c>
      <c r="Q301" s="7">
        <f t="shared" si="51"/>
        <v>421472.14999999991</v>
      </c>
      <c r="R301" s="44" t="str">
        <f>VLOOKUP(F301,'Set up'!$A$2:$E$48,5,FALSE)</f>
        <v>PD Chq</v>
      </c>
      <c r="S301" s="57" t="s">
        <v>486</v>
      </c>
      <c r="T301" s="73"/>
      <c r="U301" s="16"/>
    </row>
    <row r="302" spans="1:21" hidden="1" x14ac:dyDescent="0.3">
      <c r="A302" s="4">
        <v>44453</v>
      </c>
      <c r="B302" s="5">
        <f t="shared" si="53"/>
        <v>9</v>
      </c>
      <c r="C302" s="5">
        <f t="shared" si="54"/>
        <v>2021</v>
      </c>
      <c r="D302" s="5" t="s">
        <v>372</v>
      </c>
      <c r="E302" s="5" t="str">
        <f>VLOOKUP(F302,'Set up'!$A$2:$C$48,2,FALSE)</f>
        <v>C00000003</v>
      </c>
      <c r="F302" s="1" t="s">
        <v>20</v>
      </c>
      <c r="G302" s="76" t="s">
        <v>54</v>
      </c>
      <c r="H302" s="5">
        <v>4</v>
      </c>
      <c r="I302" s="5">
        <f>VLOOKUP(F302,'Set up'!$A$2:$C$48,3,FALSE)</f>
        <v>45</v>
      </c>
      <c r="J302" s="5">
        <f>VLOOKUP(F302,'Set up'!$A$2:$D$48,4,FALSE)</f>
        <v>45</v>
      </c>
      <c r="K302" s="4">
        <f t="shared" si="58"/>
        <v>44498</v>
      </c>
      <c r="L302" s="5">
        <f t="shared" si="56"/>
        <v>10</v>
      </c>
      <c r="M302" s="5">
        <f t="shared" si="57"/>
        <v>2021</v>
      </c>
      <c r="N302" s="6">
        <v>200</v>
      </c>
      <c r="O302" s="6">
        <f t="shared" ref="O302:O320" si="59">-N302</f>
        <v>-200</v>
      </c>
      <c r="P302" s="6">
        <f t="shared" si="55"/>
        <v>0</v>
      </c>
      <c r="Q302" s="7">
        <f t="shared" si="51"/>
        <v>421672.14999999991</v>
      </c>
      <c r="R302" s="44" t="str">
        <f>VLOOKUP(F302,'Set up'!$A$2:$E$48,5,FALSE)</f>
        <v>PD Chq</v>
      </c>
      <c r="S302" s="57" t="s">
        <v>488</v>
      </c>
      <c r="T302" s="73"/>
      <c r="U302" s="16"/>
    </row>
    <row r="303" spans="1:21" hidden="1" x14ac:dyDescent="0.3">
      <c r="A303" s="4">
        <v>44453</v>
      </c>
      <c r="B303" s="5">
        <f t="shared" si="53"/>
        <v>9</v>
      </c>
      <c r="C303" s="5">
        <f t="shared" si="54"/>
        <v>2021</v>
      </c>
      <c r="D303" s="5" t="s">
        <v>372</v>
      </c>
      <c r="E303" s="5" t="str">
        <f>VLOOKUP(F303,'Set up'!$A$2:$C$48,2,FALSE)</f>
        <v>C00000003</v>
      </c>
      <c r="F303" s="1" t="s">
        <v>20</v>
      </c>
      <c r="G303" s="55" t="s">
        <v>46</v>
      </c>
      <c r="H303" s="5">
        <v>6</v>
      </c>
      <c r="I303" s="5">
        <f>VLOOKUP(F303,'Set up'!$A$2:$C$48,3,FALSE)</f>
        <v>45</v>
      </c>
      <c r="J303" s="5">
        <f>VLOOKUP(F303,'Set up'!$A$2:$D$48,4,FALSE)</f>
        <v>45</v>
      </c>
      <c r="K303" s="4">
        <f t="shared" si="58"/>
        <v>44498</v>
      </c>
      <c r="L303" s="5">
        <f t="shared" si="56"/>
        <v>10</v>
      </c>
      <c r="M303" s="5">
        <f t="shared" si="57"/>
        <v>2021</v>
      </c>
      <c r="N303" s="6">
        <v>600</v>
      </c>
      <c r="O303" s="6">
        <f t="shared" si="59"/>
        <v>-600</v>
      </c>
      <c r="P303" s="6">
        <f t="shared" si="55"/>
        <v>0</v>
      </c>
      <c r="Q303" s="7">
        <f t="shared" si="51"/>
        <v>422272.14999999991</v>
      </c>
      <c r="R303" s="44" t="str">
        <f>VLOOKUP(F303,'Set up'!$A$2:$E$48,5,FALSE)</f>
        <v>PD Chq</v>
      </c>
      <c r="S303" s="57" t="s">
        <v>487</v>
      </c>
      <c r="T303" s="73"/>
      <c r="U303" s="16"/>
    </row>
    <row r="304" spans="1:21" hidden="1" x14ac:dyDescent="0.3">
      <c r="A304" s="4">
        <v>44453</v>
      </c>
      <c r="B304" s="5">
        <f t="shared" si="53"/>
        <v>9</v>
      </c>
      <c r="C304" s="5">
        <f t="shared" si="54"/>
        <v>2021</v>
      </c>
      <c r="D304" s="5" t="s">
        <v>372</v>
      </c>
      <c r="E304" s="5" t="str">
        <f>VLOOKUP(F304,'Set up'!$A$2:$C$48,2,FALSE)</f>
        <v>C00000003</v>
      </c>
      <c r="F304" s="1" t="s">
        <v>20</v>
      </c>
      <c r="G304" s="11" t="s">
        <v>179</v>
      </c>
      <c r="H304" s="5">
        <v>1</v>
      </c>
      <c r="I304" s="5">
        <f>VLOOKUP(F304,'Set up'!$A$2:$C$48,3,FALSE)</f>
        <v>45</v>
      </c>
      <c r="J304" s="5">
        <f>VLOOKUP(F304,'Set up'!$A$2:$D$48,4,FALSE)</f>
        <v>45</v>
      </c>
      <c r="K304" s="4">
        <f t="shared" si="58"/>
        <v>44498</v>
      </c>
      <c r="L304" s="5">
        <f t="shared" si="56"/>
        <v>10</v>
      </c>
      <c r="M304" s="5">
        <f t="shared" si="57"/>
        <v>2021</v>
      </c>
      <c r="N304" s="6">
        <v>45</v>
      </c>
      <c r="O304" s="6">
        <f t="shared" si="59"/>
        <v>-45</v>
      </c>
      <c r="P304" s="6">
        <f t="shared" si="55"/>
        <v>0</v>
      </c>
      <c r="Q304" s="7">
        <f t="shared" si="51"/>
        <v>422317.14999999991</v>
      </c>
      <c r="R304" s="44" t="str">
        <f>VLOOKUP(F304,'Set up'!$A$2:$E$48,5,FALSE)</f>
        <v>PD Chq</v>
      </c>
      <c r="S304" s="57" t="s">
        <v>489</v>
      </c>
      <c r="T304" s="73"/>
      <c r="U304" s="16"/>
    </row>
    <row r="305" spans="1:21" ht="28.8" hidden="1" x14ac:dyDescent="0.3">
      <c r="A305" s="4">
        <v>44453</v>
      </c>
      <c r="B305" s="5">
        <f t="shared" si="53"/>
        <v>9</v>
      </c>
      <c r="C305" s="5">
        <f t="shared" si="54"/>
        <v>2021</v>
      </c>
      <c r="D305" s="5" t="s">
        <v>372</v>
      </c>
      <c r="E305" s="5" t="str">
        <f>VLOOKUP(F305,'Set up'!$A$2:$C$48,2,FALSE)</f>
        <v>C00000003</v>
      </c>
      <c r="F305" s="1" t="s">
        <v>20</v>
      </c>
      <c r="G305" s="55" t="s">
        <v>97</v>
      </c>
      <c r="H305" s="5">
        <v>1</v>
      </c>
      <c r="I305" s="5">
        <f>VLOOKUP(F305,'Set up'!$A$2:$C$48,3,FALSE)</f>
        <v>45</v>
      </c>
      <c r="J305" s="5">
        <f>VLOOKUP(F305,'Set up'!$A$2:$D$48,4,FALSE)</f>
        <v>45</v>
      </c>
      <c r="K305" s="4">
        <f t="shared" si="58"/>
        <v>44498</v>
      </c>
      <c r="L305" s="5">
        <f t="shared" si="56"/>
        <v>10</v>
      </c>
      <c r="M305" s="5">
        <f t="shared" si="57"/>
        <v>2021</v>
      </c>
      <c r="N305" s="6">
        <v>459</v>
      </c>
      <c r="O305" s="6">
        <f t="shared" si="59"/>
        <v>-459</v>
      </c>
      <c r="P305" s="6">
        <f t="shared" si="55"/>
        <v>0</v>
      </c>
      <c r="Q305" s="7">
        <f t="shared" si="51"/>
        <v>422776.14999999991</v>
      </c>
      <c r="R305" s="44" t="str">
        <f>VLOOKUP(F305,'Set up'!$A$2:$E$48,5,FALSE)</f>
        <v>PD Chq</v>
      </c>
      <c r="S305" s="86" t="s">
        <v>490</v>
      </c>
      <c r="T305" s="73"/>
      <c r="U305" s="16"/>
    </row>
    <row r="306" spans="1:21" hidden="1" x14ac:dyDescent="0.3">
      <c r="A306" s="4">
        <v>44453</v>
      </c>
      <c r="B306" s="5">
        <f t="shared" si="53"/>
        <v>9</v>
      </c>
      <c r="C306" s="5">
        <f t="shared" si="54"/>
        <v>2021</v>
      </c>
      <c r="D306" s="5" t="s">
        <v>373</v>
      </c>
      <c r="E306" s="5" t="str">
        <f>VLOOKUP(F306,'Set up'!$A$2:$C$48,2,FALSE)</f>
        <v>C00000010</v>
      </c>
      <c r="F306" s="1" t="s">
        <v>62</v>
      </c>
      <c r="G306" s="56" t="s">
        <v>304</v>
      </c>
      <c r="H306" s="5">
        <v>6</v>
      </c>
      <c r="I306" s="5">
        <f>VLOOKUP(F306,'Set up'!$A$2:$C$48,3,FALSE)</f>
        <v>120</v>
      </c>
      <c r="J306" s="5">
        <f>VLOOKUP(F306,'Set up'!$A$2:$D$48,4,FALSE)</f>
        <v>120</v>
      </c>
      <c r="K306" s="4">
        <f t="shared" si="58"/>
        <v>44573</v>
      </c>
      <c r="L306" s="5">
        <f t="shared" si="56"/>
        <v>1</v>
      </c>
      <c r="M306" s="5">
        <f t="shared" si="57"/>
        <v>2022</v>
      </c>
      <c r="N306" s="6">
        <v>10428</v>
      </c>
      <c r="O306" s="6">
        <f t="shared" si="59"/>
        <v>-10428</v>
      </c>
      <c r="P306" s="6">
        <f t="shared" si="55"/>
        <v>0</v>
      </c>
      <c r="Q306" s="7">
        <f t="shared" si="51"/>
        <v>433204.14999999991</v>
      </c>
      <c r="R306" s="44" t="str">
        <f>VLOOKUP(F306,'Set up'!$A$2:$E$48,5,FALSE)</f>
        <v>Trsf</v>
      </c>
      <c r="S306" s="1" t="s">
        <v>524</v>
      </c>
    </row>
    <row r="307" spans="1:21" hidden="1" x14ac:dyDescent="0.3">
      <c r="A307" s="4">
        <v>44453</v>
      </c>
      <c r="B307" s="5">
        <f t="shared" si="53"/>
        <v>9</v>
      </c>
      <c r="C307" s="5">
        <f t="shared" si="54"/>
        <v>2021</v>
      </c>
      <c r="D307" s="5" t="s">
        <v>373</v>
      </c>
      <c r="E307" s="5" t="str">
        <f>VLOOKUP(F307,'Set up'!$A$2:$C$48,2,FALSE)</f>
        <v>C00000010</v>
      </c>
      <c r="F307" s="1" t="s">
        <v>62</v>
      </c>
      <c r="G307" s="56" t="s">
        <v>220</v>
      </c>
      <c r="H307" s="5">
        <v>10</v>
      </c>
      <c r="I307" s="5">
        <f>VLOOKUP(F307,'Set up'!$A$2:$C$48,3,FALSE)</f>
        <v>120</v>
      </c>
      <c r="J307" s="5">
        <f>VLOOKUP(F307,'Set up'!$A$2:$D$48,4,FALSE)</f>
        <v>120</v>
      </c>
      <c r="K307" s="4">
        <f t="shared" si="58"/>
        <v>44573</v>
      </c>
      <c r="L307" s="5">
        <f t="shared" si="56"/>
        <v>1</v>
      </c>
      <c r="M307" s="5">
        <f t="shared" si="57"/>
        <v>2022</v>
      </c>
      <c r="N307" s="6">
        <v>2550</v>
      </c>
      <c r="O307" s="6">
        <f t="shared" si="59"/>
        <v>-2550</v>
      </c>
      <c r="P307" s="6">
        <f t="shared" si="55"/>
        <v>0</v>
      </c>
      <c r="Q307" s="7">
        <f t="shared" si="51"/>
        <v>435754.14999999991</v>
      </c>
      <c r="R307" s="44" t="str">
        <f>VLOOKUP(F307,'Set up'!$A$2:$E$48,5,FALSE)</f>
        <v>Trsf</v>
      </c>
      <c r="S307" s="1" t="s">
        <v>524</v>
      </c>
    </row>
    <row r="308" spans="1:21" hidden="1" x14ac:dyDescent="0.3">
      <c r="A308" s="4">
        <v>44453</v>
      </c>
      <c r="B308" s="5">
        <f t="shared" si="53"/>
        <v>9</v>
      </c>
      <c r="C308" s="5">
        <f t="shared" si="54"/>
        <v>2021</v>
      </c>
      <c r="D308" s="5" t="s">
        <v>373</v>
      </c>
      <c r="E308" s="5" t="str">
        <f>VLOOKUP(F308,'Set up'!$A$2:$C$48,2,FALSE)</f>
        <v>C00000010</v>
      </c>
      <c r="F308" s="1" t="s">
        <v>62</v>
      </c>
      <c r="G308" s="56" t="s">
        <v>64</v>
      </c>
      <c r="H308" s="5">
        <v>10</v>
      </c>
      <c r="I308" s="5">
        <f>VLOOKUP(F308,'Set up'!$A$2:$C$48,3,FALSE)</f>
        <v>120</v>
      </c>
      <c r="J308" s="5">
        <f>VLOOKUP(F308,'Set up'!$A$2:$D$48,4,FALSE)</f>
        <v>120</v>
      </c>
      <c r="K308" s="4">
        <f t="shared" si="58"/>
        <v>44573</v>
      </c>
      <c r="L308" s="5">
        <f t="shared" si="56"/>
        <v>1</v>
      </c>
      <c r="M308" s="5">
        <f t="shared" si="57"/>
        <v>2022</v>
      </c>
      <c r="N308" s="6">
        <v>550</v>
      </c>
      <c r="O308" s="6">
        <f t="shared" si="59"/>
        <v>-550</v>
      </c>
      <c r="P308" s="6">
        <f t="shared" si="55"/>
        <v>0</v>
      </c>
      <c r="Q308" s="7">
        <f t="shared" si="51"/>
        <v>436304.14999999991</v>
      </c>
      <c r="R308" s="44" t="str">
        <f>VLOOKUP(F308,'Set up'!$A$2:$E$48,5,FALSE)</f>
        <v>Trsf</v>
      </c>
      <c r="S308" s="1" t="s">
        <v>524</v>
      </c>
    </row>
    <row r="309" spans="1:21" ht="28.8" hidden="1" x14ac:dyDescent="0.3">
      <c r="A309" s="4">
        <v>44453</v>
      </c>
      <c r="B309" s="5">
        <f t="shared" si="53"/>
        <v>9</v>
      </c>
      <c r="C309" s="5">
        <f t="shared" si="54"/>
        <v>2021</v>
      </c>
      <c r="D309" s="5" t="s">
        <v>373</v>
      </c>
      <c r="E309" s="5" t="str">
        <f>VLOOKUP(F309,'Set up'!$A$2:$C$48,2,FALSE)</f>
        <v>C00000010</v>
      </c>
      <c r="F309" s="1" t="s">
        <v>62</v>
      </c>
      <c r="G309" s="74" t="s">
        <v>382</v>
      </c>
      <c r="H309" s="5">
        <v>4</v>
      </c>
      <c r="I309" s="5">
        <f>VLOOKUP(F309,'Set up'!$A$2:$C$48,3,FALSE)</f>
        <v>120</v>
      </c>
      <c r="J309" s="5">
        <f>VLOOKUP(F309,'Set up'!$A$2:$D$48,4,FALSE)</f>
        <v>120</v>
      </c>
      <c r="K309" s="4">
        <f t="shared" si="58"/>
        <v>44573</v>
      </c>
      <c r="L309" s="5">
        <f t="shared" si="56"/>
        <v>1</v>
      </c>
      <c r="M309" s="5">
        <f t="shared" si="57"/>
        <v>2022</v>
      </c>
      <c r="N309" s="6">
        <v>320</v>
      </c>
      <c r="O309" s="6">
        <f t="shared" si="59"/>
        <v>-320</v>
      </c>
      <c r="P309" s="6">
        <f t="shared" si="55"/>
        <v>0</v>
      </c>
      <c r="Q309" s="7">
        <f t="shared" si="51"/>
        <v>436624.14999999991</v>
      </c>
      <c r="R309" s="44" t="str">
        <f>VLOOKUP(F309,'Set up'!$A$2:$E$48,5,FALSE)</f>
        <v>Trsf</v>
      </c>
      <c r="S309" s="1" t="s">
        <v>524</v>
      </c>
    </row>
    <row r="310" spans="1:21" hidden="1" x14ac:dyDescent="0.3">
      <c r="A310" s="4">
        <v>44453</v>
      </c>
      <c r="B310" s="5">
        <f t="shared" si="53"/>
        <v>9</v>
      </c>
      <c r="C310" s="5">
        <f t="shared" si="54"/>
        <v>2021</v>
      </c>
      <c r="D310" s="5" t="s">
        <v>373</v>
      </c>
      <c r="E310" s="5" t="str">
        <f>VLOOKUP(F310,'Set up'!$A$2:$C$48,2,FALSE)</f>
        <v>C00000010</v>
      </c>
      <c r="F310" s="1" t="s">
        <v>62</v>
      </c>
      <c r="G310" s="11" t="s">
        <v>239</v>
      </c>
      <c r="H310" s="5">
        <v>1</v>
      </c>
      <c r="I310" s="5">
        <f>VLOOKUP(F310,'Set up'!$A$2:$C$48,3,FALSE)</f>
        <v>120</v>
      </c>
      <c r="J310" s="5">
        <f>VLOOKUP(F310,'Set up'!$A$2:$D$48,4,FALSE)</f>
        <v>120</v>
      </c>
      <c r="K310" s="4">
        <f t="shared" si="58"/>
        <v>44573</v>
      </c>
      <c r="L310" s="5">
        <f t="shared" si="56"/>
        <v>1</v>
      </c>
      <c r="M310" s="5">
        <f t="shared" si="57"/>
        <v>2022</v>
      </c>
      <c r="N310" s="6">
        <v>360</v>
      </c>
      <c r="O310" s="6">
        <f t="shared" si="59"/>
        <v>-360</v>
      </c>
      <c r="P310" s="6">
        <f t="shared" si="55"/>
        <v>0</v>
      </c>
      <c r="Q310" s="7">
        <f t="shared" si="51"/>
        <v>436984.14999999991</v>
      </c>
      <c r="R310" s="44" t="str">
        <f>VLOOKUP(F310,'Set up'!$A$2:$E$48,5,FALSE)</f>
        <v>Trsf</v>
      </c>
      <c r="S310" s="1" t="s">
        <v>524</v>
      </c>
    </row>
    <row r="311" spans="1:21" hidden="1" x14ac:dyDescent="0.3">
      <c r="A311" s="4">
        <v>44460</v>
      </c>
      <c r="B311" s="5">
        <f t="shared" si="53"/>
        <v>9</v>
      </c>
      <c r="C311" s="5">
        <f t="shared" si="54"/>
        <v>2021</v>
      </c>
      <c r="D311" s="5" t="s">
        <v>374</v>
      </c>
      <c r="E311" s="5" t="str">
        <f>VLOOKUP(F311,'Set up'!$A$2:$C$48,2,FALSE)</f>
        <v>C00000018</v>
      </c>
      <c r="F311" s="1" t="s">
        <v>376</v>
      </c>
      <c r="G311" s="2" t="s">
        <v>67</v>
      </c>
      <c r="H311" s="5">
        <v>4</v>
      </c>
      <c r="I311" s="5" t="str">
        <f>VLOOKUP(F311,'Set up'!$A$2:$C$48,3,FALSE)</f>
        <v>Cash</v>
      </c>
      <c r="J311" s="5">
        <f>VLOOKUP(F311,'Set up'!$A$2:$D$48,4,FALSE)</f>
        <v>0</v>
      </c>
      <c r="K311" s="4">
        <f t="shared" si="58"/>
        <v>44460</v>
      </c>
      <c r="L311" s="5">
        <f t="shared" si="56"/>
        <v>9</v>
      </c>
      <c r="M311" s="5">
        <f t="shared" si="57"/>
        <v>2021</v>
      </c>
      <c r="N311" s="6">
        <v>6952</v>
      </c>
      <c r="O311" s="6">
        <f t="shared" si="59"/>
        <v>-6952</v>
      </c>
      <c r="P311" s="6">
        <f t="shared" si="55"/>
        <v>0</v>
      </c>
      <c r="Q311" s="7">
        <f t="shared" si="51"/>
        <v>443936.14999999991</v>
      </c>
      <c r="R311" s="44" t="str">
        <f>VLOOKUP(F311,'Set up'!$A$2:$E$48,5,FALSE)</f>
        <v>Trsf</v>
      </c>
      <c r="S311" s="1" t="s">
        <v>393</v>
      </c>
    </row>
    <row r="312" spans="1:21" hidden="1" x14ac:dyDescent="0.3">
      <c r="A312" s="4">
        <v>44460</v>
      </c>
      <c r="B312" s="5">
        <f t="shared" si="53"/>
        <v>9</v>
      </c>
      <c r="C312" s="5">
        <f t="shared" si="54"/>
        <v>2021</v>
      </c>
      <c r="D312" s="5" t="s">
        <v>374</v>
      </c>
      <c r="E312" s="5" t="str">
        <f>VLOOKUP(F312,'Set up'!$A$2:$C$48,2,FALSE)</f>
        <v>C00000018</v>
      </c>
      <c r="F312" s="1" t="s">
        <v>376</v>
      </c>
      <c r="G312" s="56" t="s">
        <v>220</v>
      </c>
      <c r="H312" s="5">
        <v>10</v>
      </c>
      <c r="I312" s="5" t="str">
        <f>VLOOKUP(F312,'Set up'!$A$2:$C$48,3,FALSE)</f>
        <v>Cash</v>
      </c>
      <c r="J312" s="5">
        <f>VLOOKUP(F312,'Set up'!$A$2:$D$48,4,FALSE)</f>
        <v>0</v>
      </c>
      <c r="K312" s="4">
        <f t="shared" si="58"/>
        <v>44460</v>
      </c>
      <c r="L312" s="5">
        <f t="shared" si="56"/>
        <v>9</v>
      </c>
      <c r="M312" s="5">
        <f t="shared" si="57"/>
        <v>2021</v>
      </c>
      <c r="N312" s="6">
        <v>2400</v>
      </c>
      <c r="O312" s="6">
        <f t="shared" si="59"/>
        <v>-2400</v>
      </c>
      <c r="P312" s="6">
        <f t="shared" si="55"/>
        <v>0</v>
      </c>
      <c r="Q312" s="7">
        <f t="shared" si="51"/>
        <v>446336.14999999991</v>
      </c>
      <c r="R312" s="44" t="str">
        <f>VLOOKUP(F312,'Set up'!$A$2:$E$48,5,FALSE)</f>
        <v>Trsf</v>
      </c>
      <c r="S312" s="1" t="s">
        <v>393</v>
      </c>
    </row>
    <row r="313" spans="1:21" ht="28.8" hidden="1" x14ac:dyDescent="0.3">
      <c r="A313" s="4">
        <v>44460</v>
      </c>
      <c r="B313" s="5">
        <f t="shared" si="53"/>
        <v>9</v>
      </c>
      <c r="C313" s="5">
        <f t="shared" si="54"/>
        <v>2021</v>
      </c>
      <c r="D313" s="5" t="s">
        <v>374</v>
      </c>
      <c r="E313" s="5" t="str">
        <f>VLOOKUP(F313,'Set up'!$A$2:$C$48,2,FALSE)</f>
        <v>C00000018</v>
      </c>
      <c r="F313" s="1" t="s">
        <v>376</v>
      </c>
      <c r="G313" s="74" t="s">
        <v>382</v>
      </c>
      <c r="H313" s="5">
        <v>3</v>
      </c>
      <c r="I313" s="5" t="str">
        <f>VLOOKUP(F313,'Set up'!$A$2:$C$48,3,FALSE)</f>
        <v>Cash</v>
      </c>
      <c r="J313" s="5">
        <f>VLOOKUP(F313,'Set up'!$A$2:$D$48,4,FALSE)</f>
        <v>0</v>
      </c>
      <c r="K313" s="4">
        <f t="shared" si="58"/>
        <v>44460</v>
      </c>
      <c r="L313" s="5">
        <f t="shared" si="56"/>
        <v>9</v>
      </c>
      <c r="M313" s="5">
        <f t="shared" si="57"/>
        <v>2021</v>
      </c>
      <c r="N313" s="6">
        <v>240</v>
      </c>
      <c r="O313" s="6">
        <f t="shared" si="59"/>
        <v>-240</v>
      </c>
      <c r="P313" s="6">
        <f t="shared" si="55"/>
        <v>0</v>
      </c>
      <c r="Q313" s="7">
        <f t="shared" si="51"/>
        <v>446576.14999999991</v>
      </c>
      <c r="R313" s="44" t="str">
        <f>VLOOKUP(F313,'Set up'!$A$2:$E$48,5,FALSE)</f>
        <v>Trsf</v>
      </c>
      <c r="S313" s="1" t="s">
        <v>393</v>
      </c>
    </row>
    <row r="314" spans="1:21" hidden="1" x14ac:dyDescent="0.3">
      <c r="A314" s="4">
        <v>44464</v>
      </c>
      <c r="B314" s="5">
        <f t="shared" si="53"/>
        <v>9</v>
      </c>
      <c r="C314" s="5">
        <f t="shared" si="54"/>
        <v>2021</v>
      </c>
      <c r="D314" s="5" t="s">
        <v>377</v>
      </c>
      <c r="E314" s="5" t="str">
        <f>VLOOKUP(F314,'Set up'!$A$2:$C$48,2,FALSE)</f>
        <v>C00000001</v>
      </c>
      <c r="F314" s="1" t="s">
        <v>7</v>
      </c>
      <c r="G314" s="2" t="s">
        <v>67</v>
      </c>
      <c r="H314" s="5">
        <v>1</v>
      </c>
      <c r="I314" s="5" t="str">
        <f>VLOOKUP(F314,'Set up'!$A$2:$C$48,3,FALSE)</f>
        <v>Cash</v>
      </c>
      <c r="J314" s="5">
        <f>VLOOKUP(F314,'Set up'!$A$2:$D$48,4,FALSE)</f>
        <v>0</v>
      </c>
      <c r="K314" s="4">
        <f t="shared" si="58"/>
        <v>44464</v>
      </c>
      <c r="L314" s="5">
        <f t="shared" si="56"/>
        <v>9</v>
      </c>
      <c r="M314" s="5">
        <f t="shared" si="57"/>
        <v>2021</v>
      </c>
      <c r="N314" s="6">
        <v>1870</v>
      </c>
      <c r="O314" s="6">
        <f t="shared" si="59"/>
        <v>-1870</v>
      </c>
      <c r="P314" s="6">
        <f t="shared" si="55"/>
        <v>0</v>
      </c>
      <c r="Q314" s="7">
        <f t="shared" si="51"/>
        <v>448446.14999999991</v>
      </c>
      <c r="R314" s="44" t="str">
        <f>VLOOKUP(F314,'Set up'!$A$2:$E$48,5,FALSE)</f>
        <v>Trsf</v>
      </c>
      <c r="S314" s="1" t="s">
        <v>433</v>
      </c>
    </row>
    <row r="315" spans="1:21" hidden="1" x14ac:dyDescent="0.3">
      <c r="A315" s="4">
        <v>44466</v>
      </c>
      <c r="B315" s="5">
        <f t="shared" si="53"/>
        <v>9</v>
      </c>
      <c r="C315" s="5">
        <f t="shared" si="54"/>
        <v>2021</v>
      </c>
      <c r="D315" s="5" t="s">
        <v>378</v>
      </c>
      <c r="E315" s="5" t="str">
        <f>VLOOKUP(F315,'Set up'!$A$2:$C$48,2,FALSE)</f>
        <v>C00000004</v>
      </c>
      <c r="F315" s="1" t="s">
        <v>23</v>
      </c>
      <c r="G315" s="11" t="s">
        <v>304</v>
      </c>
      <c r="H315" s="5">
        <v>5</v>
      </c>
      <c r="I315" s="5">
        <f>VLOOKUP(F315,'Set up'!$A$2:$C$48,3,FALSE)</f>
        <v>120</v>
      </c>
      <c r="J315" s="5">
        <f>VLOOKUP(F315,'Set up'!$A$2:$D$48,4,FALSE)</f>
        <v>120</v>
      </c>
      <c r="K315" s="4">
        <f t="shared" si="58"/>
        <v>44586</v>
      </c>
      <c r="L315" s="5">
        <f t="shared" si="56"/>
        <v>1</v>
      </c>
      <c r="M315" s="5">
        <f t="shared" si="57"/>
        <v>2022</v>
      </c>
      <c r="N315" s="6">
        <v>8690</v>
      </c>
      <c r="O315" s="6">
        <f t="shared" si="59"/>
        <v>-8690</v>
      </c>
      <c r="P315" s="6">
        <f t="shared" si="55"/>
        <v>0</v>
      </c>
      <c r="Q315" s="7">
        <f t="shared" si="51"/>
        <v>457136.14999999991</v>
      </c>
      <c r="R315" s="44" t="str">
        <f>VLOOKUP(F315,'Set up'!$A$2:$E$48,5,FALSE)</f>
        <v>Chq</v>
      </c>
      <c r="S315" s="1" t="s">
        <v>576</v>
      </c>
    </row>
    <row r="316" spans="1:21" hidden="1" x14ac:dyDescent="0.3">
      <c r="A316" s="4">
        <v>44466</v>
      </c>
      <c r="B316" s="5">
        <f t="shared" si="53"/>
        <v>9</v>
      </c>
      <c r="C316" s="5">
        <f t="shared" si="54"/>
        <v>2021</v>
      </c>
      <c r="D316" s="5" t="s">
        <v>378</v>
      </c>
      <c r="E316" s="5" t="str">
        <f>VLOOKUP(F316,'Set up'!$A$2:$C$48,2,FALSE)</f>
        <v>C00000004</v>
      </c>
      <c r="F316" s="1" t="s">
        <v>23</v>
      </c>
      <c r="G316" s="11" t="s">
        <v>379</v>
      </c>
      <c r="H316" s="5">
        <v>1</v>
      </c>
      <c r="I316" s="5">
        <f>VLOOKUP(F316,'Set up'!$A$2:$C$48,3,FALSE)</f>
        <v>120</v>
      </c>
      <c r="J316" s="5">
        <f>VLOOKUP(F316,'Set up'!$A$2:$D$48,4,FALSE)</f>
        <v>120</v>
      </c>
      <c r="K316" s="4">
        <f t="shared" si="58"/>
        <v>44586</v>
      </c>
      <c r="L316" s="5">
        <f t="shared" si="56"/>
        <v>1</v>
      </c>
      <c r="M316" s="5">
        <f t="shared" si="57"/>
        <v>2022</v>
      </c>
      <c r="N316" s="6">
        <v>1738</v>
      </c>
      <c r="O316" s="6">
        <f t="shared" si="59"/>
        <v>-1738</v>
      </c>
      <c r="P316" s="6">
        <f t="shared" si="55"/>
        <v>0</v>
      </c>
      <c r="Q316" s="7">
        <f t="shared" si="51"/>
        <v>458874.14999999991</v>
      </c>
      <c r="R316" s="44" t="str">
        <f>VLOOKUP(F316,'Set up'!$A$2:$E$48,5,FALSE)</f>
        <v>Chq</v>
      </c>
      <c r="S316" s="1" t="s">
        <v>576</v>
      </c>
    </row>
    <row r="317" spans="1:21" hidden="1" x14ac:dyDescent="0.3">
      <c r="A317" s="4">
        <v>44466</v>
      </c>
      <c r="B317" s="5">
        <f t="shared" si="53"/>
        <v>9</v>
      </c>
      <c r="C317" s="5">
        <f t="shared" si="54"/>
        <v>2021</v>
      </c>
      <c r="D317" s="5" t="s">
        <v>378</v>
      </c>
      <c r="E317" s="5" t="str">
        <f>VLOOKUP(F317,'Set up'!$A$2:$C$48,2,FALSE)</f>
        <v>C00000004</v>
      </c>
      <c r="F317" s="1" t="s">
        <v>23</v>
      </c>
      <c r="G317" s="11" t="s">
        <v>361</v>
      </c>
      <c r="H317" s="5">
        <v>4</v>
      </c>
      <c r="I317" s="5">
        <f>VLOOKUP(F317,'Set up'!$A$2:$C$48,3,FALSE)</f>
        <v>120</v>
      </c>
      <c r="J317" s="5">
        <f>VLOOKUP(F317,'Set up'!$A$2:$D$48,4,FALSE)</f>
        <v>120</v>
      </c>
      <c r="K317" s="4">
        <f t="shared" si="58"/>
        <v>44586</v>
      </c>
      <c r="L317" s="5">
        <f t="shared" si="56"/>
        <v>1</v>
      </c>
      <c r="M317" s="5">
        <f t="shared" si="57"/>
        <v>2022</v>
      </c>
      <c r="N317" s="6">
        <v>2016</v>
      </c>
      <c r="O317" s="6">
        <f t="shared" si="59"/>
        <v>-2016</v>
      </c>
      <c r="P317" s="6">
        <f t="shared" si="55"/>
        <v>0</v>
      </c>
      <c r="Q317" s="7">
        <f t="shared" si="51"/>
        <v>460890.14999999991</v>
      </c>
      <c r="R317" s="44" t="str">
        <f>VLOOKUP(F317,'Set up'!$A$2:$E$48,5,FALSE)</f>
        <v>Chq</v>
      </c>
      <c r="S317" s="1" t="s">
        <v>576</v>
      </c>
    </row>
    <row r="318" spans="1:21" hidden="1" x14ac:dyDescent="0.3">
      <c r="A318" s="4">
        <v>44466</v>
      </c>
      <c r="B318" s="5">
        <f t="shared" si="53"/>
        <v>9</v>
      </c>
      <c r="C318" s="5">
        <f t="shared" si="54"/>
        <v>2021</v>
      </c>
      <c r="D318" s="5" t="s">
        <v>378</v>
      </c>
      <c r="E318" s="5" t="str">
        <f>VLOOKUP(F318,'Set up'!$A$2:$C$48,2,FALSE)</f>
        <v>C00000004</v>
      </c>
      <c r="F318" s="1" t="s">
        <v>23</v>
      </c>
      <c r="G318" s="11" t="s">
        <v>382</v>
      </c>
      <c r="H318" s="5">
        <v>1</v>
      </c>
      <c r="I318" s="5">
        <f>VLOOKUP(F318,'Set up'!$A$2:$C$48,3,FALSE)</f>
        <v>120</v>
      </c>
      <c r="J318" s="5">
        <f>VLOOKUP(F318,'Set up'!$A$2:$D$48,4,FALSE)</f>
        <v>120</v>
      </c>
      <c r="K318" s="4">
        <f t="shared" si="58"/>
        <v>44586</v>
      </c>
      <c r="L318" s="5">
        <f t="shared" si="56"/>
        <v>1</v>
      </c>
      <c r="M318" s="5">
        <f t="shared" si="57"/>
        <v>2022</v>
      </c>
      <c r="N318" s="6">
        <v>80</v>
      </c>
      <c r="O318" s="6">
        <f t="shared" si="59"/>
        <v>-80</v>
      </c>
      <c r="P318" s="6">
        <f t="shared" si="55"/>
        <v>0</v>
      </c>
      <c r="Q318" s="7">
        <f t="shared" si="51"/>
        <v>460970.14999999991</v>
      </c>
      <c r="R318" s="44" t="str">
        <f>VLOOKUP(F318,'Set up'!$A$2:$E$48,5,FALSE)</f>
        <v>Chq</v>
      </c>
      <c r="S318" s="1" t="s">
        <v>576</v>
      </c>
    </row>
    <row r="319" spans="1:21" hidden="1" x14ac:dyDescent="0.3">
      <c r="A319" s="4">
        <v>44467</v>
      </c>
      <c r="B319" s="5">
        <f t="shared" si="53"/>
        <v>9</v>
      </c>
      <c r="C319" s="5">
        <f t="shared" si="54"/>
        <v>2021</v>
      </c>
      <c r="D319" s="5" t="s">
        <v>380</v>
      </c>
      <c r="E319" s="5" t="str">
        <f>VLOOKUP(F319,'Set up'!$A$2:$C$48,2,FALSE)</f>
        <v>C00000005</v>
      </c>
      <c r="F319" s="1" t="s">
        <v>35</v>
      </c>
      <c r="G319" s="2" t="s">
        <v>67</v>
      </c>
      <c r="H319" s="5">
        <v>1</v>
      </c>
      <c r="I319" s="5" t="str">
        <f>VLOOKUP(F319,'Set up'!$A$2:$C$48,3,FALSE)</f>
        <v>Cash</v>
      </c>
      <c r="J319" s="5">
        <f>VLOOKUP(F319,'Set up'!$A$2:$D$48,4,FALSE)</f>
        <v>0</v>
      </c>
      <c r="K319" s="4">
        <f t="shared" si="58"/>
        <v>44467</v>
      </c>
      <c r="L319" s="5">
        <f t="shared" si="56"/>
        <v>9</v>
      </c>
      <c r="M319" s="5">
        <f t="shared" si="57"/>
        <v>2021</v>
      </c>
      <c r="N319" s="6">
        <v>1826</v>
      </c>
      <c r="O319" s="6">
        <f t="shared" si="59"/>
        <v>-1826</v>
      </c>
      <c r="P319" s="6">
        <f t="shared" si="55"/>
        <v>0</v>
      </c>
      <c r="Q319" s="7">
        <f t="shared" si="51"/>
        <v>462796.14999999991</v>
      </c>
      <c r="R319" s="44" t="str">
        <f>VLOOKUP(F319,'Set up'!$A$2:$E$48,5,FALSE)</f>
        <v>Chq</v>
      </c>
      <c r="S319" s="1" t="s">
        <v>434</v>
      </c>
    </row>
    <row r="320" spans="1:21" hidden="1" x14ac:dyDescent="0.3">
      <c r="A320" s="4">
        <v>44469</v>
      </c>
      <c r="B320" s="5">
        <f t="shared" si="53"/>
        <v>9</v>
      </c>
      <c r="C320" s="5">
        <f t="shared" si="54"/>
        <v>2021</v>
      </c>
      <c r="D320" s="5" t="s">
        <v>381</v>
      </c>
      <c r="E320" s="5" t="str">
        <f>VLOOKUP(F320,'Set up'!$A$2:$C$48,2,FALSE)</f>
        <v>C00000004</v>
      </c>
      <c r="F320" s="1" t="s">
        <v>23</v>
      </c>
      <c r="G320" s="11" t="s">
        <v>17</v>
      </c>
      <c r="H320" s="5">
        <v>3</v>
      </c>
      <c r="I320" s="5">
        <f>VLOOKUP(F320,'Set up'!$A$2:$C$48,3,FALSE)</f>
        <v>120</v>
      </c>
      <c r="J320" s="5">
        <f>VLOOKUP(F320,'Set up'!$A$2:$D$48,4,FALSE)</f>
        <v>120</v>
      </c>
      <c r="K320" s="4">
        <f t="shared" si="58"/>
        <v>44589</v>
      </c>
      <c r="L320" s="5">
        <f t="shared" si="56"/>
        <v>1</v>
      </c>
      <c r="M320" s="5">
        <f t="shared" si="57"/>
        <v>2022</v>
      </c>
      <c r="N320" s="6">
        <v>240</v>
      </c>
      <c r="O320" s="6">
        <f t="shared" si="59"/>
        <v>-240</v>
      </c>
      <c r="P320" s="6">
        <f t="shared" si="55"/>
        <v>0</v>
      </c>
      <c r="Q320" s="7">
        <f t="shared" si="51"/>
        <v>463036.14999999991</v>
      </c>
      <c r="R320" s="44" t="str">
        <f>VLOOKUP(F320,'Set up'!$A$2:$E$48,5,FALSE)</f>
        <v>Chq</v>
      </c>
      <c r="S320" s="1" t="s">
        <v>576</v>
      </c>
    </row>
    <row r="321" spans="1:19" hidden="1" x14ac:dyDescent="0.3">
      <c r="A321" s="4">
        <v>44470</v>
      </c>
      <c r="B321" s="5">
        <f t="shared" si="53"/>
        <v>10</v>
      </c>
      <c r="C321" s="5">
        <f t="shared" si="54"/>
        <v>2021</v>
      </c>
      <c r="D321" s="5" t="s">
        <v>398</v>
      </c>
      <c r="E321" s="5" t="str">
        <f>VLOOKUP(F321,'Set up'!$A$2:$C$48,2,FALSE)</f>
        <v>C00000006</v>
      </c>
      <c r="F321" s="1" t="s">
        <v>43</v>
      </c>
      <c r="G321" s="11" t="s">
        <v>24</v>
      </c>
      <c r="H321" s="5">
        <v>1</v>
      </c>
      <c r="I321" s="5" t="str">
        <f>VLOOKUP(F321,'Set up'!$A$2:$C$48,3,FALSE)</f>
        <v>Cash</v>
      </c>
      <c r="J321" s="5">
        <f>VLOOKUP(F321,'Set up'!$A$2:$D$48,4,FALSE)</f>
        <v>0</v>
      </c>
      <c r="K321" s="4">
        <f t="shared" si="58"/>
        <v>44470</v>
      </c>
      <c r="L321" s="5">
        <f t="shared" si="56"/>
        <v>10</v>
      </c>
      <c r="M321" s="5">
        <f t="shared" si="57"/>
        <v>2021</v>
      </c>
      <c r="N321" s="6">
        <v>240</v>
      </c>
      <c r="O321" s="6">
        <f>SUM(-N321)</f>
        <v>-240</v>
      </c>
      <c r="P321" s="6">
        <f t="shared" si="55"/>
        <v>0</v>
      </c>
      <c r="Q321" s="7">
        <f t="shared" si="51"/>
        <v>463276.14999999991</v>
      </c>
      <c r="R321" s="44" t="str">
        <f>VLOOKUP(F321,'Set up'!$A$2:$E$48,5,FALSE)</f>
        <v>Chq</v>
      </c>
      <c r="S321" s="1" t="s">
        <v>480</v>
      </c>
    </row>
    <row r="322" spans="1:19" hidden="1" x14ac:dyDescent="0.3">
      <c r="A322" s="4">
        <v>44471</v>
      </c>
      <c r="B322" s="5">
        <f t="shared" si="53"/>
        <v>10</v>
      </c>
      <c r="C322" s="5">
        <f t="shared" si="54"/>
        <v>2021</v>
      </c>
      <c r="D322" s="5" t="s">
        <v>399</v>
      </c>
      <c r="E322" s="5" t="str">
        <f>VLOOKUP(F322,'Set up'!$A$2:$C$48,2,FALSE)</f>
        <v>C00000019</v>
      </c>
      <c r="F322" s="1" t="s">
        <v>401</v>
      </c>
      <c r="G322" s="56" t="s">
        <v>304</v>
      </c>
      <c r="H322" s="5">
        <v>2</v>
      </c>
      <c r="I322" s="5" t="str">
        <f>VLOOKUP(F322,'Set up'!$A$2:$C$48,3,FALSE)</f>
        <v>Cash</v>
      </c>
      <c r="J322" s="5">
        <f>VLOOKUP(F322,'Set up'!$A$2:$D$48,4,FALSE)</f>
        <v>0</v>
      </c>
      <c r="K322" s="4">
        <f t="shared" si="58"/>
        <v>44471</v>
      </c>
      <c r="L322" s="5">
        <f t="shared" si="56"/>
        <v>10</v>
      </c>
      <c r="M322" s="5">
        <f t="shared" si="57"/>
        <v>2021</v>
      </c>
      <c r="N322" s="6">
        <v>3696</v>
      </c>
      <c r="O322" s="6">
        <f t="shared" ref="O322:O330" si="60">-N322</f>
        <v>-3696</v>
      </c>
      <c r="P322" s="6">
        <f t="shared" si="55"/>
        <v>0</v>
      </c>
      <c r="Q322" s="7">
        <f t="shared" si="51"/>
        <v>466972.14999999991</v>
      </c>
      <c r="R322" s="44" t="str">
        <f>VLOOKUP(F322,'Set up'!$A$2:$E$48,5,FALSE)</f>
        <v>Trsf</v>
      </c>
      <c r="S322" s="1" t="s">
        <v>431</v>
      </c>
    </row>
    <row r="323" spans="1:19" hidden="1" x14ac:dyDescent="0.3">
      <c r="A323" s="4">
        <v>44471</v>
      </c>
      <c r="B323" s="5">
        <f t="shared" si="53"/>
        <v>10</v>
      </c>
      <c r="C323" s="5">
        <f t="shared" si="54"/>
        <v>2021</v>
      </c>
      <c r="D323" s="5" t="s">
        <v>399</v>
      </c>
      <c r="E323" s="5" t="str">
        <f>VLOOKUP(F323,'Set up'!$A$2:$C$48,2,FALSE)</f>
        <v>C00000019</v>
      </c>
      <c r="F323" s="1" t="s">
        <v>401</v>
      </c>
      <c r="G323" s="55" t="s">
        <v>96</v>
      </c>
      <c r="H323" s="5">
        <v>1</v>
      </c>
      <c r="I323" s="5" t="str">
        <f>VLOOKUP(F323,'Set up'!$A$2:$C$48,3,FALSE)</f>
        <v>Cash</v>
      </c>
      <c r="J323" s="5">
        <f>VLOOKUP(F323,'Set up'!$A$2:$D$48,4,FALSE)</f>
        <v>0</v>
      </c>
      <c r="K323" s="4">
        <f t="shared" ref="K323:K354" si="61">A323+J323</f>
        <v>44471</v>
      </c>
      <c r="L323" s="5">
        <f t="shared" si="56"/>
        <v>10</v>
      </c>
      <c r="M323" s="5">
        <f t="shared" si="57"/>
        <v>2021</v>
      </c>
      <c r="N323" s="6">
        <v>475.2</v>
      </c>
      <c r="O323" s="6">
        <f t="shared" si="60"/>
        <v>-475.2</v>
      </c>
      <c r="P323" s="6">
        <f t="shared" si="55"/>
        <v>0</v>
      </c>
      <c r="Q323" s="7">
        <f t="shared" ref="Q323:Q386" si="62">SUM(Q322+N323)</f>
        <v>467447.34999999992</v>
      </c>
      <c r="R323" s="44" t="str">
        <f>VLOOKUP(F323,'Set up'!$A$2:$E$48,5,FALSE)</f>
        <v>Trsf</v>
      </c>
      <c r="S323" s="1" t="s">
        <v>431</v>
      </c>
    </row>
    <row r="324" spans="1:19" hidden="1" x14ac:dyDescent="0.3">
      <c r="A324" s="4">
        <v>44471</v>
      </c>
      <c r="B324" s="5">
        <f t="shared" si="53"/>
        <v>10</v>
      </c>
      <c r="C324" s="5">
        <f t="shared" si="54"/>
        <v>2021</v>
      </c>
      <c r="D324" s="5" t="s">
        <v>399</v>
      </c>
      <c r="E324" s="5" t="str">
        <f>VLOOKUP(F324,'Set up'!$A$2:$C$48,2,FALSE)</f>
        <v>C00000019</v>
      </c>
      <c r="F324" s="1" t="s">
        <v>401</v>
      </c>
      <c r="G324" s="11" t="s">
        <v>293</v>
      </c>
      <c r="H324" s="5">
        <v>2</v>
      </c>
      <c r="I324" s="5" t="str">
        <f>VLOOKUP(F324,'Set up'!$A$2:$C$48,3,FALSE)</f>
        <v>Cash</v>
      </c>
      <c r="J324" s="5">
        <f>VLOOKUP(F324,'Set up'!$A$2:$D$48,4,FALSE)</f>
        <v>0</v>
      </c>
      <c r="K324" s="4">
        <f t="shared" si="61"/>
        <v>44471</v>
      </c>
      <c r="L324" s="5">
        <f t="shared" si="56"/>
        <v>10</v>
      </c>
      <c r="M324" s="5">
        <f t="shared" si="57"/>
        <v>2021</v>
      </c>
      <c r="N324" s="6">
        <v>720</v>
      </c>
      <c r="O324" s="6">
        <f t="shared" si="60"/>
        <v>-720</v>
      </c>
      <c r="P324" s="6">
        <f t="shared" si="55"/>
        <v>0</v>
      </c>
      <c r="Q324" s="7">
        <f t="shared" si="62"/>
        <v>468167.34999999992</v>
      </c>
      <c r="R324" s="44" t="str">
        <f>VLOOKUP(F324,'Set up'!$A$2:$E$48,5,FALSE)</f>
        <v>Trsf</v>
      </c>
      <c r="S324" s="1" t="s">
        <v>431</v>
      </c>
    </row>
    <row r="325" spans="1:19" hidden="1" x14ac:dyDescent="0.3">
      <c r="A325" s="4">
        <v>44471</v>
      </c>
      <c r="B325" s="5">
        <f t="shared" si="53"/>
        <v>10</v>
      </c>
      <c r="C325" s="5">
        <f t="shared" si="54"/>
        <v>2021</v>
      </c>
      <c r="D325" s="5" t="s">
        <v>399</v>
      </c>
      <c r="E325" s="5" t="str">
        <f>VLOOKUP(F325,'Set up'!$A$2:$C$48,2,FALSE)</f>
        <v>C00000019</v>
      </c>
      <c r="F325" s="1" t="s">
        <v>401</v>
      </c>
      <c r="G325" s="11" t="s">
        <v>64</v>
      </c>
      <c r="H325" s="5">
        <v>3</v>
      </c>
      <c r="I325" s="5" t="str">
        <f>VLOOKUP(F325,'Set up'!$A$2:$C$48,3,FALSE)</f>
        <v>Cash</v>
      </c>
      <c r="J325" s="5">
        <f>VLOOKUP(F325,'Set up'!$A$2:$D$48,4,FALSE)</f>
        <v>0</v>
      </c>
      <c r="K325" s="4">
        <f t="shared" si="61"/>
        <v>44471</v>
      </c>
      <c r="L325" s="5">
        <f t="shared" si="56"/>
        <v>10</v>
      </c>
      <c r="M325" s="5">
        <f t="shared" si="57"/>
        <v>2021</v>
      </c>
      <c r="N325" s="6">
        <v>165</v>
      </c>
      <c r="O325" s="6">
        <f t="shared" si="60"/>
        <v>-165</v>
      </c>
      <c r="P325" s="6">
        <f t="shared" si="55"/>
        <v>0</v>
      </c>
      <c r="Q325" s="7">
        <f t="shared" si="62"/>
        <v>468332.34999999992</v>
      </c>
      <c r="R325" s="44" t="str">
        <f>VLOOKUP(F325,'Set up'!$A$2:$E$48,5,FALSE)</f>
        <v>Trsf</v>
      </c>
      <c r="S325" s="1" t="s">
        <v>431</v>
      </c>
    </row>
    <row r="326" spans="1:19" hidden="1" x14ac:dyDescent="0.3">
      <c r="A326" s="4">
        <v>44474</v>
      </c>
      <c r="B326" s="5">
        <f t="shared" si="53"/>
        <v>10</v>
      </c>
      <c r="C326" s="5">
        <f t="shared" si="54"/>
        <v>2021</v>
      </c>
      <c r="D326" s="5" t="s">
        <v>402</v>
      </c>
      <c r="E326" s="5" t="str">
        <f>VLOOKUP(F326,'Set up'!$A$2:$C$48,2,FALSE)</f>
        <v>C00000019</v>
      </c>
      <c r="F326" s="1" t="s">
        <v>401</v>
      </c>
      <c r="G326" s="11" t="s">
        <v>46</v>
      </c>
      <c r="H326" s="5">
        <v>1</v>
      </c>
      <c r="I326" s="5" t="str">
        <f>VLOOKUP(F326,'Set up'!$A$2:$C$48,3,FALSE)</f>
        <v>Cash</v>
      </c>
      <c r="J326" s="5">
        <f>VLOOKUP(F326,'Set up'!$A$2:$D$48,4,FALSE)</f>
        <v>0</v>
      </c>
      <c r="K326" s="4">
        <f t="shared" si="61"/>
        <v>44474</v>
      </c>
      <c r="L326" s="5">
        <f t="shared" si="56"/>
        <v>10</v>
      </c>
      <c r="M326" s="5">
        <f t="shared" si="57"/>
        <v>2021</v>
      </c>
      <c r="N326" s="6">
        <v>100</v>
      </c>
      <c r="O326" s="6">
        <f t="shared" si="60"/>
        <v>-100</v>
      </c>
      <c r="P326" s="6">
        <f t="shared" si="55"/>
        <v>0</v>
      </c>
      <c r="Q326" s="7">
        <f t="shared" si="62"/>
        <v>468432.34999999992</v>
      </c>
      <c r="R326" s="44" t="str">
        <f>VLOOKUP(F326,'Set up'!$A$2:$E$48,5,FALSE)</f>
        <v>Trsf</v>
      </c>
      <c r="S326" s="1" t="s">
        <v>432</v>
      </c>
    </row>
    <row r="327" spans="1:19" hidden="1" x14ac:dyDescent="0.3">
      <c r="A327" s="4">
        <v>44474</v>
      </c>
      <c r="B327" s="5">
        <f t="shared" si="53"/>
        <v>10</v>
      </c>
      <c r="C327" s="5">
        <f t="shared" si="54"/>
        <v>2021</v>
      </c>
      <c r="D327" s="5" t="s">
        <v>403</v>
      </c>
      <c r="E327" s="5" t="str">
        <f>VLOOKUP(F327,'Set up'!$A$2:$C$48,2,FALSE)</f>
        <v>C00000010</v>
      </c>
      <c r="F327" s="1" t="s">
        <v>62</v>
      </c>
      <c r="G327" s="56" t="s">
        <v>304</v>
      </c>
      <c r="H327" s="5">
        <v>6</v>
      </c>
      <c r="I327" s="5">
        <f>VLOOKUP(F327,'Set up'!$A$2:$C$48,3,FALSE)</f>
        <v>120</v>
      </c>
      <c r="J327" s="5">
        <f>VLOOKUP(F327,'Set up'!$A$2:$D$48,4,FALSE)</f>
        <v>120</v>
      </c>
      <c r="K327" s="4">
        <f t="shared" si="61"/>
        <v>44594</v>
      </c>
      <c r="L327" s="5">
        <f t="shared" si="56"/>
        <v>2</v>
      </c>
      <c r="M327" s="5">
        <f t="shared" si="57"/>
        <v>2022</v>
      </c>
      <c r="N327" s="71">
        <v>10428</v>
      </c>
      <c r="O327" s="6">
        <f t="shared" si="60"/>
        <v>-10428</v>
      </c>
      <c r="P327" s="6">
        <f t="shared" si="55"/>
        <v>0</v>
      </c>
      <c r="Q327" s="7">
        <f t="shared" si="62"/>
        <v>478860.34999999992</v>
      </c>
      <c r="R327" s="44" t="str">
        <f>VLOOKUP(F327,'Set up'!$A$2:$E$48,5,FALSE)</f>
        <v>Trsf</v>
      </c>
      <c r="S327" s="1" t="s">
        <v>578</v>
      </c>
    </row>
    <row r="328" spans="1:19" hidden="1" x14ac:dyDescent="0.3">
      <c r="A328" s="4">
        <v>44474</v>
      </c>
      <c r="B328" s="5">
        <f t="shared" si="53"/>
        <v>10</v>
      </c>
      <c r="C328" s="5">
        <f t="shared" si="54"/>
        <v>2021</v>
      </c>
      <c r="D328" s="5" t="s">
        <v>403</v>
      </c>
      <c r="E328" s="5" t="str">
        <f>VLOOKUP(F328,'Set up'!$A$2:$C$48,2,FALSE)</f>
        <v>C00000010</v>
      </c>
      <c r="F328" s="1" t="s">
        <v>62</v>
      </c>
      <c r="G328" s="56" t="s">
        <v>220</v>
      </c>
      <c r="H328" s="5">
        <v>4</v>
      </c>
      <c r="I328" s="5">
        <f>VLOOKUP(F328,'Set up'!$A$2:$C$48,3,FALSE)</f>
        <v>120</v>
      </c>
      <c r="J328" s="5">
        <f>VLOOKUP(F328,'Set up'!$A$2:$D$48,4,FALSE)</f>
        <v>120</v>
      </c>
      <c r="K328" s="4">
        <f t="shared" si="61"/>
        <v>44594</v>
      </c>
      <c r="L328" s="5">
        <f t="shared" si="56"/>
        <v>2</v>
      </c>
      <c r="M328" s="5">
        <f t="shared" si="57"/>
        <v>2022</v>
      </c>
      <c r="N328" s="6">
        <v>1258</v>
      </c>
      <c r="O328" s="6">
        <f t="shared" si="60"/>
        <v>-1258</v>
      </c>
      <c r="P328" s="6">
        <f t="shared" si="55"/>
        <v>0</v>
      </c>
      <c r="Q328" s="7">
        <f t="shared" si="62"/>
        <v>480118.34999999992</v>
      </c>
      <c r="R328" s="44" t="str">
        <f>VLOOKUP(F328,'Set up'!$A$2:$E$48,5,FALSE)</f>
        <v>Trsf</v>
      </c>
      <c r="S328" s="1" t="s">
        <v>578</v>
      </c>
    </row>
    <row r="329" spans="1:19" hidden="1" x14ac:dyDescent="0.3">
      <c r="A329" s="4">
        <v>44474</v>
      </c>
      <c r="B329" s="5">
        <f t="shared" si="53"/>
        <v>10</v>
      </c>
      <c r="C329" s="5">
        <f t="shared" si="54"/>
        <v>2021</v>
      </c>
      <c r="D329" s="5" t="s">
        <v>403</v>
      </c>
      <c r="E329" s="5" t="str">
        <f>VLOOKUP(F329,'Set up'!$A$2:$C$48,2,FALSE)</f>
        <v>C00000010</v>
      </c>
      <c r="F329" s="1" t="s">
        <v>62</v>
      </c>
      <c r="G329" s="56" t="s">
        <v>64</v>
      </c>
      <c r="H329" s="5">
        <v>5</v>
      </c>
      <c r="I329" s="5">
        <f>VLOOKUP(F329,'Set up'!$A$2:$C$48,3,FALSE)</f>
        <v>120</v>
      </c>
      <c r="J329" s="5">
        <f>VLOOKUP(F329,'Set up'!$A$2:$D$48,4,FALSE)</f>
        <v>120</v>
      </c>
      <c r="K329" s="4">
        <f t="shared" si="61"/>
        <v>44594</v>
      </c>
      <c r="L329" s="5">
        <f t="shared" si="56"/>
        <v>2</v>
      </c>
      <c r="M329" s="5">
        <f t="shared" si="57"/>
        <v>2022</v>
      </c>
      <c r="N329" s="6">
        <v>275</v>
      </c>
      <c r="O329" s="6">
        <f t="shared" si="60"/>
        <v>-275</v>
      </c>
      <c r="P329" s="6">
        <f t="shared" si="55"/>
        <v>0</v>
      </c>
      <c r="Q329" s="7">
        <f t="shared" si="62"/>
        <v>480393.34999999992</v>
      </c>
      <c r="R329" s="44" t="str">
        <f>VLOOKUP(F329,'Set up'!$A$2:$E$48,5,FALSE)</f>
        <v>Trsf</v>
      </c>
      <c r="S329" s="1" t="s">
        <v>578</v>
      </c>
    </row>
    <row r="330" spans="1:19" hidden="1" x14ac:dyDescent="0.3">
      <c r="A330" s="4">
        <v>44474</v>
      </c>
      <c r="B330" s="5">
        <f t="shared" si="53"/>
        <v>10</v>
      </c>
      <c r="C330" s="5">
        <f t="shared" si="54"/>
        <v>2021</v>
      </c>
      <c r="D330" s="5" t="s">
        <v>403</v>
      </c>
      <c r="E330" s="5" t="str">
        <f>VLOOKUP(F330,'Set up'!$A$2:$C$48,2,FALSE)</f>
        <v>C00000010</v>
      </c>
      <c r="F330" s="1" t="s">
        <v>62</v>
      </c>
      <c r="G330" s="77" t="s">
        <v>382</v>
      </c>
      <c r="H330" s="5">
        <v>2</v>
      </c>
      <c r="I330" s="5">
        <f>VLOOKUP(F330,'Set up'!$A$2:$C$48,3,FALSE)</f>
        <v>120</v>
      </c>
      <c r="J330" s="5">
        <f>VLOOKUP(F330,'Set up'!$A$2:$D$48,4,FALSE)</f>
        <v>120</v>
      </c>
      <c r="K330" s="4">
        <f t="shared" si="61"/>
        <v>44594</v>
      </c>
      <c r="L330" s="5">
        <f t="shared" si="56"/>
        <v>2</v>
      </c>
      <c r="M330" s="5">
        <f t="shared" si="57"/>
        <v>2022</v>
      </c>
      <c r="N330" s="6">
        <v>160</v>
      </c>
      <c r="O330" s="6">
        <f t="shared" si="60"/>
        <v>-160</v>
      </c>
      <c r="P330" s="6">
        <f t="shared" si="55"/>
        <v>0</v>
      </c>
      <c r="Q330" s="7">
        <f t="shared" si="62"/>
        <v>480553.34999999992</v>
      </c>
      <c r="R330" s="44" t="str">
        <f>VLOOKUP(F330,'Set up'!$A$2:$E$48,5,FALSE)</f>
        <v>Trsf</v>
      </c>
      <c r="S330" s="1" t="s">
        <v>578</v>
      </c>
    </row>
    <row r="331" spans="1:19" ht="62.4" hidden="1" x14ac:dyDescent="0.3">
      <c r="A331" s="4">
        <v>44476</v>
      </c>
      <c r="B331" s="5">
        <f t="shared" si="53"/>
        <v>10</v>
      </c>
      <c r="C331" s="5">
        <f t="shared" si="54"/>
        <v>2021</v>
      </c>
      <c r="D331" s="5" t="s">
        <v>404</v>
      </c>
      <c r="E331" s="5" t="str">
        <f>VLOOKUP(F331,'Set up'!$A$2:$C$48,2,FALSE)</f>
        <v>C00000003</v>
      </c>
      <c r="F331" s="1" t="s">
        <v>20</v>
      </c>
      <c r="G331" s="2" t="s">
        <v>405</v>
      </c>
      <c r="H331" s="5">
        <v>1</v>
      </c>
      <c r="I331" s="5">
        <f>VLOOKUP(F331,'Set up'!$A$2:$C$48,3,FALSE)</f>
        <v>45</v>
      </c>
      <c r="J331" s="5">
        <f>VLOOKUP(F331,'Set up'!$A$2:$D$48,4,FALSE)</f>
        <v>45</v>
      </c>
      <c r="K331" s="4">
        <f t="shared" si="61"/>
        <v>44521</v>
      </c>
      <c r="L331" s="5">
        <f t="shared" si="56"/>
        <v>11</v>
      </c>
      <c r="M331" s="5">
        <f t="shared" si="57"/>
        <v>2021</v>
      </c>
      <c r="N331" s="6">
        <v>1870</v>
      </c>
      <c r="O331" s="6">
        <f>-1314-556</f>
        <v>-1870</v>
      </c>
      <c r="P331" s="6">
        <f t="shared" si="55"/>
        <v>0</v>
      </c>
      <c r="Q331" s="7">
        <f t="shared" si="62"/>
        <v>482423.34999999992</v>
      </c>
      <c r="R331" s="44" t="str">
        <f>VLOOKUP(F331,'Set up'!$A$2:$E$48,5,FALSE)</f>
        <v>PD Chq</v>
      </c>
      <c r="S331" s="40" t="s">
        <v>539</v>
      </c>
    </row>
    <row r="332" spans="1:19" ht="31.2" hidden="1" x14ac:dyDescent="0.3">
      <c r="A332" s="4">
        <v>44476</v>
      </c>
      <c r="B332" s="5">
        <f t="shared" si="53"/>
        <v>10</v>
      </c>
      <c r="C332" s="5">
        <f t="shared" si="54"/>
        <v>2021</v>
      </c>
      <c r="D332" s="5" t="s">
        <v>404</v>
      </c>
      <c r="E332" s="5" t="str">
        <f>VLOOKUP(F332,'Set up'!$A$2:$C$48,2,FALSE)</f>
        <v>C00000003</v>
      </c>
      <c r="F332" s="1" t="s">
        <v>20</v>
      </c>
      <c r="G332" s="76" t="s">
        <v>54</v>
      </c>
      <c r="H332" s="5">
        <v>6</v>
      </c>
      <c r="I332" s="5">
        <f>VLOOKUP(F332,'Set up'!$A$2:$C$48,3,FALSE)</f>
        <v>45</v>
      </c>
      <c r="J332" s="5">
        <f>VLOOKUP(F332,'Set up'!$A$2:$D$48,4,FALSE)</f>
        <v>45</v>
      </c>
      <c r="K332" s="4">
        <f t="shared" si="61"/>
        <v>44521</v>
      </c>
      <c r="L332" s="5">
        <f t="shared" si="56"/>
        <v>11</v>
      </c>
      <c r="M332" s="5">
        <f t="shared" si="57"/>
        <v>2021</v>
      </c>
      <c r="N332" s="6">
        <v>300</v>
      </c>
      <c r="O332" s="6">
        <f>-N332</f>
        <v>-300</v>
      </c>
      <c r="P332" s="6">
        <f t="shared" si="55"/>
        <v>0</v>
      </c>
      <c r="Q332" s="7">
        <f t="shared" si="62"/>
        <v>482723.34999999992</v>
      </c>
      <c r="R332" s="44" t="str">
        <f>VLOOKUP(F332,'Set up'!$A$2:$E$48,5,FALSE)</f>
        <v>PD Chq</v>
      </c>
      <c r="S332" s="40" t="s">
        <v>538</v>
      </c>
    </row>
    <row r="333" spans="1:19" ht="31.2" hidden="1" x14ac:dyDescent="0.3">
      <c r="A333" s="4">
        <v>44476</v>
      </c>
      <c r="B333" s="5">
        <f t="shared" si="53"/>
        <v>10</v>
      </c>
      <c r="C333" s="5">
        <f t="shared" si="54"/>
        <v>2021</v>
      </c>
      <c r="D333" s="5" t="s">
        <v>404</v>
      </c>
      <c r="E333" s="5" t="str">
        <f>VLOOKUP(F333,'Set up'!$A$2:$C$48,2,FALSE)</f>
        <v>C00000003</v>
      </c>
      <c r="F333" s="1" t="s">
        <v>20</v>
      </c>
      <c r="G333" s="55" t="s">
        <v>382</v>
      </c>
      <c r="H333" s="5">
        <v>2</v>
      </c>
      <c r="I333" s="5">
        <f>VLOOKUP(F333,'Set up'!$A$2:$C$48,3,FALSE)</f>
        <v>45</v>
      </c>
      <c r="J333" s="5">
        <f>VLOOKUP(F333,'Set up'!$A$2:$D$48,4,FALSE)</f>
        <v>45</v>
      </c>
      <c r="K333" s="4">
        <f t="shared" si="61"/>
        <v>44521</v>
      </c>
      <c r="L333" s="5">
        <f t="shared" si="56"/>
        <v>11</v>
      </c>
      <c r="M333" s="5">
        <f t="shared" si="57"/>
        <v>2021</v>
      </c>
      <c r="N333" s="6">
        <v>160</v>
      </c>
      <c r="O333" s="6">
        <f>-N333</f>
        <v>-160</v>
      </c>
      <c r="P333" s="6">
        <f t="shared" si="55"/>
        <v>0</v>
      </c>
      <c r="Q333" s="7">
        <f t="shared" si="62"/>
        <v>482883.34999999992</v>
      </c>
      <c r="R333" s="44" t="str">
        <f>VLOOKUP(F333,'Set up'!$A$2:$E$48,5,FALSE)</f>
        <v>PD Chq</v>
      </c>
      <c r="S333" s="40" t="s">
        <v>525</v>
      </c>
    </row>
    <row r="334" spans="1:19" ht="62.4" hidden="1" x14ac:dyDescent="0.3">
      <c r="A334" s="4">
        <v>44477</v>
      </c>
      <c r="B334" s="5">
        <f t="shared" si="53"/>
        <v>10</v>
      </c>
      <c r="C334" s="5">
        <f t="shared" si="54"/>
        <v>2021</v>
      </c>
      <c r="D334" s="5" t="s">
        <v>406</v>
      </c>
      <c r="E334" s="5" t="str">
        <f>VLOOKUP(F334,'Set up'!$A$2:$C$48,2,FALSE)</f>
        <v>C00000003</v>
      </c>
      <c r="F334" s="1" t="s">
        <v>20</v>
      </c>
      <c r="G334" s="77" t="s">
        <v>407</v>
      </c>
      <c r="H334" s="5">
        <v>1</v>
      </c>
      <c r="I334" s="5">
        <f>VLOOKUP(F334,'Set up'!$A$2:$C$48,3,FALSE)</f>
        <v>45</v>
      </c>
      <c r="J334" s="5">
        <f>VLOOKUP(F334,'Set up'!$A$2:$D$48,4,FALSE)</f>
        <v>45</v>
      </c>
      <c r="K334" s="4">
        <f t="shared" si="61"/>
        <v>44522</v>
      </c>
      <c r="L334" s="5">
        <f t="shared" si="56"/>
        <v>11</v>
      </c>
      <c r="M334" s="5">
        <f t="shared" si="57"/>
        <v>2021</v>
      </c>
      <c r="N334" s="6">
        <v>1300</v>
      </c>
      <c r="O334" s="6">
        <f>-484-816</f>
        <v>-1300</v>
      </c>
      <c r="P334" s="6">
        <f t="shared" si="55"/>
        <v>0</v>
      </c>
      <c r="Q334" s="7">
        <f t="shared" si="62"/>
        <v>484183.34999999992</v>
      </c>
      <c r="R334" s="44" t="str">
        <f>VLOOKUP(F334,'Set up'!$A$2:$E$48,5,FALSE)</f>
        <v>PD Chq</v>
      </c>
      <c r="S334" s="40" t="s">
        <v>526</v>
      </c>
    </row>
    <row r="335" spans="1:19" x14ac:dyDescent="0.3">
      <c r="A335" s="4">
        <v>44478</v>
      </c>
      <c r="B335" s="5">
        <f t="shared" si="53"/>
        <v>10</v>
      </c>
      <c r="C335" s="5">
        <f t="shared" si="54"/>
        <v>2021</v>
      </c>
      <c r="D335" s="5" t="s">
        <v>408</v>
      </c>
      <c r="E335" s="5" t="str">
        <f>VLOOKUP(F335,'Set up'!$A$2:$C$48,2,FALSE)</f>
        <v>C00000020</v>
      </c>
      <c r="F335" s="1" t="s">
        <v>410</v>
      </c>
      <c r="G335" s="11" t="s">
        <v>287</v>
      </c>
      <c r="H335" s="5">
        <v>1</v>
      </c>
      <c r="I335" s="5" t="str">
        <f>VLOOKUP(F335,'Set up'!$A$2:$C$48,3,FALSE)</f>
        <v>Cash</v>
      </c>
      <c r="J335" s="5">
        <f>VLOOKUP(F335,'Set up'!$A$2:$D$48,4,FALSE)</f>
        <v>0</v>
      </c>
      <c r="K335" s="4">
        <f t="shared" si="61"/>
        <v>44478</v>
      </c>
      <c r="L335" s="5">
        <f t="shared" si="56"/>
        <v>10</v>
      </c>
      <c r="M335" s="5">
        <f t="shared" si="57"/>
        <v>2021</v>
      </c>
      <c r="N335" s="6">
        <v>1760</v>
      </c>
      <c r="O335" s="6">
        <f t="shared" ref="O335:O375" si="63">-N335</f>
        <v>-1760</v>
      </c>
      <c r="P335" s="6">
        <f t="shared" si="55"/>
        <v>0</v>
      </c>
      <c r="Q335" s="7">
        <f t="shared" si="62"/>
        <v>485943.34999999992</v>
      </c>
      <c r="R335" s="44" t="str">
        <f>VLOOKUP(F335,'Set up'!$A$2:$E$48,5,FALSE)</f>
        <v>Trsf</v>
      </c>
      <c r="S335" s="1" t="s">
        <v>432</v>
      </c>
    </row>
    <row r="336" spans="1:19" hidden="1" x14ac:dyDescent="0.3">
      <c r="A336" s="4">
        <v>44480</v>
      </c>
      <c r="B336" s="5">
        <f t="shared" si="53"/>
        <v>10</v>
      </c>
      <c r="C336" s="5">
        <f t="shared" si="54"/>
        <v>2021</v>
      </c>
      <c r="D336" s="5" t="s">
        <v>411</v>
      </c>
      <c r="E336" s="5" t="str">
        <f>VLOOKUP(F336,'Set up'!$A$2:$C$48,2,FALSE)</f>
        <v>C00000013</v>
      </c>
      <c r="F336" s="1" t="s">
        <v>1454</v>
      </c>
      <c r="G336" s="11" t="s">
        <v>64</v>
      </c>
      <c r="H336" s="5">
        <v>2</v>
      </c>
      <c r="I336" s="5" t="str">
        <f>VLOOKUP(F336,'Set up'!$A$2:$C$48,3,FALSE)</f>
        <v>Cash</v>
      </c>
      <c r="J336" s="5">
        <f>VLOOKUP(F336,'Set up'!$A$2:$D$48,4,FALSE)</f>
        <v>0</v>
      </c>
      <c r="K336" s="4">
        <f t="shared" si="61"/>
        <v>44480</v>
      </c>
      <c r="L336" s="5">
        <f t="shared" si="56"/>
        <v>10</v>
      </c>
      <c r="M336" s="5">
        <f t="shared" si="57"/>
        <v>2021</v>
      </c>
      <c r="N336" s="6">
        <v>125</v>
      </c>
      <c r="O336" s="6">
        <f t="shared" si="63"/>
        <v>-125</v>
      </c>
      <c r="P336" s="6">
        <f t="shared" si="55"/>
        <v>0</v>
      </c>
      <c r="Q336" s="7">
        <f t="shared" si="62"/>
        <v>486068.34999999992</v>
      </c>
      <c r="R336" s="44" t="str">
        <f>VLOOKUP(F336,'Set up'!$A$2:$E$48,5,FALSE)</f>
        <v>Chq</v>
      </c>
      <c r="S336" s="1" t="s">
        <v>432</v>
      </c>
    </row>
    <row r="337" spans="1:19" hidden="1" x14ac:dyDescent="0.3">
      <c r="A337" s="4">
        <v>44480</v>
      </c>
      <c r="B337" s="5">
        <f t="shared" si="53"/>
        <v>10</v>
      </c>
      <c r="C337" s="5">
        <f t="shared" si="54"/>
        <v>2021</v>
      </c>
      <c r="D337" s="5" t="s">
        <v>411</v>
      </c>
      <c r="E337" s="5" t="str">
        <f>VLOOKUP(F337,'Set up'!$A$2:$C$48,2,FALSE)</f>
        <v>C00000013</v>
      </c>
      <c r="F337" s="1" t="s">
        <v>1454</v>
      </c>
      <c r="G337" s="77" t="s">
        <v>382</v>
      </c>
      <c r="H337" s="5">
        <v>1</v>
      </c>
      <c r="I337" s="5" t="str">
        <f>VLOOKUP(F337,'Set up'!$A$2:$C$48,3,FALSE)</f>
        <v>Cash</v>
      </c>
      <c r="J337" s="5">
        <f>VLOOKUP(F337,'Set up'!$A$2:$D$48,4,FALSE)</f>
        <v>0</v>
      </c>
      <c r="K337" s="4">
        <f t="shared" si="61"/>
        <v>44480</v>
      </c>
      <c r="L337" s="5">
        <f t="shared" si="56"/>
        <v>10</v>
      </c>
      <c r="M337" s="5">
        <f t="shared" si="57"/>
        <v>2021</v>
      </c>
      <c r="N337" s="6">
        <v>80</v>
      </c>
      <c r="O337" s="6">
        <f t="shared" si="63"/>
        <v>-80</v>
      </c>
      <c r="P337" s="6">
        <f t="shared" si="55"/>
        <v>0</v>
      </c>
      <c r="Q337" s="7">
        <f t="shared" si="62"/>
        <v>486148.34999999992</v>
      </c>
      <c r="R337" s="44" t="str">
        <f>VLOOKUP(F337,'Set up'!$A$2:$E$48,5,FALSE)</f>
        <v>Chq</v>
      </c>
      <c r="S337" s="1" t="s">
        <v>432</v>
      </c>
    </row>
    <row r="338" spans="1:19" ht="43.2" x14ac:dyDescent="0.3">
      <c r="A338" s="4">
        <v>44481</v>
      </c>
      <c r="B338" s="5">
        <f t="shared" ref="B338:B401" si="64">MONTH(A338)</f>
        <v>10</v>
      </c>
      <c r="C338" s="5">
        <f t="shared" ref="C338:C401" si="65">YEAR(A338)</f>
        <v>2021</v>
      </c>
      <c r="D338" s="5" t="s">
        <v>412</v>
      </c>
      <c r="E338" s="5" t="str">
        <f>VLOOKUP(F338,'Set up'!$A$2:$C$48,2,FALSE)</f>
        <v>C00000020</v>
      </c>
      <c r="F338" s="1" t="s">
        <v>410</v>
      </c>
      <c r="G338" s="74" t="s">
        <v>413</v>
      </c>
      <c r="H338" s="5">
        <v>4</v>
      </c>
      <c r="I338" s="5" t="str">
        <f>VLOOKUP(F338,'Set up'!$A$2:$C$48,3,FALSE)</f>
        <v>Cash</v>
      </c>
      <c r="J338" s="5">
        <f>VLOOKUP(F338,'Set up'!$A$2:$D$48,4,FALSE)</f>
        <v>0</v>
      </c>
      <c r="K338" s="4">
        <f t="shared" si="61"/>
        <v>44481</v>
      </c>
      <c r="L338" s="5">
        <f t="shared" si="56"/>
        <v>10</v>
      </c>
      <c r="M338" s="5">
        <f t="shared" si="57"/>
        <v>2021</v>
      </c>
      <c r="N338" s="6">
        <v>7650</v>
      </c>
      <c r="O338" s="6">
        <f t="shared" si="63"/>
        <v>-7650</v>
      </c>
      <c r="P338" s="6">
        <f t="shared" si="55"/>
        <v>0</v>
      </c>
      <c r="Q338" s="7">
        <f t="shared" si="62"/>
        <v>493798.34999999992</v>
      </c>
      <c r="R338" s="44" t="str">
        <f>VLOOKUP(F338,'Set up'!$A$2:$E$48,5,FALSE)</f>
        <v>Trsf</v>
      </c>
      <c r="S338" s="1" t="s">
        <v>435</v>
      </c>
    </row>
    <row r="339" spans="1:19" ht="43.2" x14ac:dyDescent="0.3">
      <c r="A339" s="4">
        <v>44481</v>
      </c>
      <c r="B339" s="5">
        <f t="shared" si="64"/>
        <v>10</v>
      </c>
      <c r="C339" s="5">
        <f t="shared" si="65"/>
        <v>2021</v>
      </c>
      <c r="D339" s="5" t="s">
        <v>412</v>
      </c>
      <c r="E339" s="5" t="str">
        <f>VLOOKUP(F339,'Set up'!$A$2:$C$48,2,FALSE)</f>
        <v>C00000020</v>
      </c>
      <c r="F339" s="1" t="s">
        <v>410</v>
      </c>
      <c r="G339" s="74" t="s">
        <v>414</v>
      </c>
      <c r="H339" s="5">
        <v>10</v>
      </c>
      <c r="I339" s="5" t="str">
        <f>VLOOKUP(F339,'Set up'!$A$2:$C$48,3,FALSE)</f>
        <v>Cash</v>
      </c>
      <c r="J339" s="5">
        <f>VLOOKUP(F339,'Set up'!$A$2:$D$48,4,FALSE)</f>
        <v>0</v>
      </c>
      <c r="K339" s="4">
        <f t="shared" si="61"/>
        <v>44481</v>
      </c>
      <c r="L339" s="5">
        <f t="shared" si="56"/>
        <v>10</v>
      </c>
      <c r="M339" s="5">
        <f t="shared" si="57"/>
        <v>2021</v>
      </c>
      <c r="N339" s="6">
        <v>3182</v>
      </c>
      <c r="O339" s="6">
        <f t="shared" si="63"/>
        <v>-3182</v>
      </c>
      <c r="P339" s="6">
        <f t="shared" si="55"/>
        <v>0</v>
      </c>
      <c r="Q339" s="7">
        <f t="shared" si="62"/>
        <v>496980.34999999992</v>
      </c>
      <c r="R339" s="44" t="str">
        <f>VLOOKUP(F339,'Set up'!$A$2:$E$48,5,FALSE)</f>
        <v>Trsf</v>
      </c>
      <c r="S339" s="1" t="s">
        <v>435</v>
      </c>
    </row>
    <row r="340" spans="1:19" ht="28.8" x14ac:dyDescent="0.3">
      <c r="A340" s="4">
        <v>44481</v>
      </c>
      <c r="B340" s="5">
        <f t="shared" si="64"/>
        <v>10</v>
      </c>
      <c r="C340" s="5">
        <f t="shared" si="65"/>
        <v>2021</v>
      </c>
      <c r="D340" s="5" t="s">
        <v>412</v>
      </c>
      <c r="E340" s="5" t="str">
        <f>VLOOKUP(F340,'Set up'!$A$2:$C$48,2,FALSE)</f>
        <v>C00000020</v>
      </c>
      <c r="F340" s="1" t="s">
        <v>410</v>
      </c>
      <c r="G340" s="74" t="s">
        <v>64</v>
      </c>
      <c r="H340" s="5">
        <v>2</v>
      </c>
      <c r="I340" s="5" t="str">
        <f>VLOOKUP(F340,'Set up'!$A$2:$C$48,3,FALSE)</f>
        <v>Cash</v>
      </c>
      <c r="J340" s="5">
        <f>VLOOKUP(F340,'Set up'!$A$2:$D$48,4,FALSE)</f>
        <v>0</v>
      </c>
      <c r="K340" s="4">
        <f t="shared" si="61"/>
        <v>44481</v>
      </c>
      <c r="L340" s="5">
        <f t="shared" si="56"/>
        <v>10</v>
      </c>
      <c r="M340" s="5">
        <f t="shared" si="57"/>
        <v>2021</v>
      </c>
      <c r="N340" s="6">
        <v>125</v>
      </c>
      <c r="O340" s="6">
        <f t="shared" si="63"/>
        <v>-125</v>
      </c>
      <c r="P340" s="6">
        <f t="shared" si="55"/>
        <v>0</v>
      </c>
      <c r="Q340" s="7">
        <f t="shared" si="62"/>
        <v>497105.34999999992</v>
      </c>
      <c r="R340" s="44" t="str">
        <f>VLOOKUP(F340,'Set up'!$A$2:$E$48,5,FALSE)</f>
        <v>Trsf</v>
      </c>
      <c r="S340" s="1" t="s">
        <v>435</v>
      </c>
    </row>
    <row r="341" spans="1:19" ht="28.8" x14ac:dyDescent="0.3">
      <c r="A341" s="4">
        <v>44481</v>
      </c>
      <c r="B341" s="5">
        <f t="shared" si="64"/>
        <v>10</v>
      </c>
      <c r="C341" s="5">
        <f t="shared" si="65"/>
        <v>2021</v>
      </c>
      <c r="D341" s="5" t="s">
        <v>412</v>
      </c>
      <c r="E341" s="5" t="str">
        <f>VLOOKUP(F341,'Set up'!$A$2:$C$48,2,FALSE)</f>
        <v>C00000020</v>
      </c>
      <c r="F341" s="1" t="s">
        <v>410</v>
      </c>
      <c r="G341" s="74" t="s">
        <v>382</v>
      </c>
      <c r="H341" s="5">
        <v>4</v>
      </c>
      <c r="I341" s="5" t="str">
        <f>VLOOKUP(F341,'Set up'!$A$2:$C$48,3,FALSE)</f>
        <v>Cash</v>
      </c>
      <c r="J341" s="5">
        <f>VLOOKUP(F341,'Set up'!$A$2:$D$48,4,FALSE)</f>
        <v>0</v>
      </c>
      <c r="K341" s="4">
        <f t="shared" si="61"/>
        <v>44481</v>
      </c>
      <c r="L341" s="5">
        <f t="shared" si="56"/>
        <v>10</v>
      </c>
      <c r="M341" s="5">
        <f t="shared" si="57"/>
        <v>2021</v>
      </c>
      <c r="N341" s="6">
        <v>320</v>
      </c>
      <c r="O341" s="6">
        <f t="shared" si="63"/>
        <v>-320</v>
      </c>
      <c r="P341" s="6">
        <f t="shared" ref="P341:P404" si="66">SUM(N341+O341)</f>
        <v>0</v>
      </c>
      <c r="Q341" s="7">
        <f t="shared" si="62"/>
        <v>497425.34999999992</v>
      </c>
      <c r="R341" s="44" t="str">
        <f>VLOOKUP(F341,'Set up'!$A$2:$E$48,5,FALSE)</f>
        <v>Trsf</v>
      </c>
      <c r="S341" s="1" t="s">
        <v>435</v>
      </c>
    </row>
    <row r="342" spans="1:19" ht="43.2" x14ac:dyDescent="0.3">
      <c r="A342" s="4">
        <v>44481</v>
      </c>
      <c r="B342" s="5">
        <f t="shared" si="64"/>
        <v>10</v>
      </c>
      <c r="C342" s="5">
        <f t="shared" si="65"/>
        <v>2021</v>
      </c>
      <c r="D342" s="5" t="s">
        <v>412</v>
      </c>
      <c r="E342" s="5" t="str">
        <f>VLOOKUP(F342,'Set up'!$A$2:$C$48,2,FALSE)</f>
        <v>C00000020</v>
      </c>
      <c r="F342" s="1" t="s">
        <v>410</v>
      </c>
      <c r="G342" s="74" t="s">
        <v>415</v>
      </c>
      <c r="H342" s="5">
        <v>4</v>
      </c>
      <c r="I342" s="5" t="str">
        <f>VLOOKUP(F342,'Set up'!$A$2:$C$48,3,FALSE)</f>
        <v>Cash</v>
      </c>
      <c r="J342" s="5">
        <f>VLOOKUP(F342,'Set up'!$A$2:$D$48,4,FALSE)</f>
        <v>0</v>
      </c>
      <c r="K342" s="4">
        <f t="shared" si="61"/>
        <v>44481</v>
      </c>
      <c r="L342" s="5">
        <f t="shared" si="56"/>
        <v>10</v>
      </c>
      <c r="M342" s="5">
        <f t="shared" si="57"/>
        <v>2021</v>
      </c>
      <c r="N342" s="6">
        <v>1350</v>
      </c>
      <c r="O342" s="6">
        <f t="shared" si="63"/>
        <v>-1350</v>
      </c>
      <c r="P342" s="6">
        <f t="shared" si="66"/>
        <v>0</v>
      </c>
      <c r="Q342" s="7">
        <f t="shared" si="62"/>
        <v>498775.34999999992</v>
      </c>
      <c r="R342" s="44" t="str">
        <f>VLOOKUP(F342,'Set up'!$A$2:$E$48,5,FALSE)</f>
        <v>Trsf</v>
      </c>
      <c r="S342" s="1" t="s">
        <v>435</v>
      </c>
    </row>
    <row r="343" spans="1:19" hidden="1" x14ac:dyDescent="0.3">
      <c r="A343" s="4">
        <v>44482</v>
      </c>
      <c r="B343" s="5">
        <f t="shared" si="64"/>
        <v>10</v>
      </c>
      <c r="C343" s="5">
        <f t="shared" si="65"/>
        <v>2021</v>
      </c>
      <c r="D343" s="5" t="s">
        <v>416</v>
      </c>
      <c r="E343" s="5" t="str">
        <f>VLOOKUP(F343,'Set up'!$A$2:$C$48,2,FALSE)</f>
        <v>C00000019</v>
      </c>
      <c r="F343" s="1" t="s">
        <v>401</v>
      </c>
      <c r="G343" s="56" t="s">
        <v>304</v>
      </c>
      <c r="H343" s="5">
        <v>2</v>
      </c>
      <c r="I343" s="5" t="str">
        <f>VLOOKUP(F343,'Set up'!$A$2:$C$48,3,FALSE)</f>
        <v>Cash</v>
      </c>
      <c r="J343" s="5">
        <f>VLOOKUP(F343,'Set up'!$A$2:$D$48,4,FALSE)</f>
        <v>0</v>
      </c>
      <c r="K343" s="4">
        <f t="shared" si="61"/>
        <v>44482</v>
      </c>
      <c r="L343" s="5">
        <f t="shared" si="56"/>
        <v>10</v>
      </c>
      <c r="M343" s="5">
        <f t="shared" si="57"/>
        <v>2021</v>
      </c>
      <c r="N343" s="6">
        <v>3696</v>
      </c>
      <c r="O343" s="6">
        <f t="shared" si="63"/>
        <v>-3696</v>
      </c>
      <c r="P343" s="6">
        <f t="shared" si="66"/>
        <v>0</v>
      </c>
      <c r="Q343" s="7">
        <f t="shared" si="62"/>
        <v>502471.34999999992</v>
      </c>
      <c r="R343" s="44" t="str">
        <f>VLOOKUP(F343,'Set up'!$A$2:$E$48,5,FALSE)</f>
        <v>Trsf</v>
      </c>
      <c r="S343" s="1" t="s">
        <v>436</v>
      </c>
    </row>
    <row r="344" spans="1:19" hidden="1" x14ac:dyDescent="0.3">
      <c r="A344" s="4">
        <v>44482</v>
      </c>
      <c r="B344" s="5">
        <f t="shared" si="64"/>
        <v>10</v>
      </c>
      <c r="C344" s="5">
        <f t="shared" si="65"/>
        <v>2021</v>
      </c>
      <c r="D344" s="5" t="s">
        <v>416</v>
      </c>
      <c r="E344" s="5" t="str">
        <f>VLOOKUP(F344,'Set up'!$A$2:$C$48,2,FALSE)</f>
        <v>C00000019</v>
      </c>
      <c r="F344" s="1" t="s">
        <v>401</v>
      </c>
      <c r="G344" s="85" t="s">
        <v>479</v>
      </c>
      <c r="H344" s="5">
        <v>2</v>
      </c>
      <c r="I344" s="5" t="str">
        <f>VLOOKUP(F344,'Set up'!$A$2:$C$48,3,FALSE)</f>
        <v>Cash</v>
      </c>
      <c r="J344" s="5">
        <f>VLOOKUP(F344,'Set up'!$A$2:$D$48,4,FALSE)</f>
        <v>0</v>
      </c>
      <c r="K344" s="4">
        <f t="shared" si="61"/>
        <v>44482</v>
      </c>
      <c r="L344" s="5">
        <f t="shared" si="56"/>
        <v>10</v>
      </c>
      <c r="M344" s="5">
        <f t="shared" si="57"/>
        <v>2021</v>
      </c>
      <c r="N344" s="6">
        <v>950.4</v>
      </c>
      <c r="O344" s="6">
        <f t="shared" si="63"/>
        <v>-950.4</v>
      </c>
      <c r="P344" s="6">
        <f t="shared" si="66"/>
        <v>0</v>
      </c>
      <c r="Q344" s="7">
        <f t="shared" si="62"/>
        <v>503421.74999999994</v>
      </c>
      <c r="R344" s="44" t="str">
        <f>VLOOKUP(F344,'Set up'!$A$2:$E$48,5,FALSE)</f>
        <v>Trsf</v>
      </c>
      <c r="S344" s="1" t="s">
        <v>436</v>
      </c>
    </row>
    <row r="345" spans="1:19" hidden="1" x14ac:dyDescent="0.3">
      <c r="A345" s="4">
        <v>44482</v>
      </c>
      <c r="B345" s="5">
        <f t="shared" si="64"/>
        <v>10</v>
      </c>
      <c r="C345" s="5">
        <f t="shared" si="65"/>
        <v>2021</v>
      </c>
      <c r="D345" s="5" t="s">
        <v>416</v>
      </c>
      <c r="E345" s="5" t="str">
        <f>VLOOKUP(F345,'Set up'!$A$2:$C$48,2,FALSE)</f>
        <v>C00000019</v>
      </c>
      <c r="F345" s="1" t="s">
        <v>401</v>
      </c>
      <c r="G345" s="11" t="s">
        <v>239</v>
      </c>
      <c r="H345" s="5">
        <v>1</v>
      </c>
      <c r="I345" s="5" t="str">
        <f>VLOOKUP(F345,'Set up'!$A$2:$C$48,3,FALSE)</f>
        <v>Cash</v>
      </c>
      <c r="J345" s="5">
        <f>VLOOKUP(F345,'Set up'!$A$2:$D$48,4,FALSE)</f>
        <v>0</v>
      </c>
      <c r="K345" s="4">
        <f t="shared" si="61"/>
        <v>44482</v>
      </c>
      <c r="L345" s="5">
        <f t="shared" si="56"/>
        <v>10</v>
      </c>
      <c r="M345" s="5">
        <f t="shared" si="57"/>
        <v>2021</v>
      </c>
      <c r="N345" s="6">
        <v>360</v>
      </c>
      <c r="O345" s="6">
        <f t="shared" si="63"/>
        <v>-360</v>
      </c>
      <c r="P345" s="6">
        <f t="shared" si="66"/>
        <v>0</v>
      </c>
      <c r="Q345" s="7">
        <f t="shared" si="62"/>
        <v>503781.74999999994</v>
      </c>
      <c r="R345" s="44" t="str">
        <f>VLOOKUP(F345,'Set up'!$A$2:$E$48,5,FALSE)</f>
        <v>Trsf</v>
      </c>
      <c r="S345" s="1" t="s">
        <v>436</v>
      </c>
    </row>
    <row r="346" spans="1:19" ht="28.8" hidden="1" x14ac:dyDescent="0.3">
      <c r="A346" s="4">
        <v>44483</v>
      </c>
      <c r="B346" s="5">
        <f t="shared" si="64"/>
        <v>10</v>
      </c>
      <c r="C346" s="5">
        <f t="shared" si="65"/>
        <v>2021</v>
      </c>
      <c r="D346" s="5" t="s">
        <v>417</v>
      </c>
      <c r="E346" s="5" t="str">
        <f>VLOOKUP(F346,'Set up'!$A$2:$C$48,2,FALSE)</f>
        <v>C00000019</v>
      </c>
      <c r="F346" s="1" t="s">
        <v>401</v>
      </c>
      <c r="G346" s="74" t="s">
        <v>418</v>
      </c>
      <c r="H346" s="5">
        <v>6</v>
      </c>
      <c r="I346" s="5" t="str">
        <f>VLOOKUP(F346,'Set up'!$A$2:$C$48,3,FALSE)</f>
        <v>Cash</v>
      </c>
      <c r="J346" s="5">
        <f>VLOOKUP(F346,'Set up'!$A$2:$D$48,4,FALSE)</f>
        <v>0</v>
      </c>
      <c r="K346" s="4">
        <f t="shared" si="61"/>
        <v>44483</v>
      </c>
      <c r="L346" s="5">
        <f t="shared" si="56"/>
        <v>10</v>
      </c>
      <c r="M346" s="5">
        <f t="shared" si="57"/>
        <v>2021</v>
      </c>
      <c r="N346" s="6">
        <v>300</v>
      </c>
      <c r="O346" s="6">
        <f t="shared" si="63"/>
        <v>-300</v>
      </c>
      <c r="P346" s="6">
        <f t="shared" si="66"/>
        <v>0</v>
      </c>
      <c r="Q346" s="7">
        <f t="shared" si="62"/>
        <v>504081.74999999994</v>
      </c>
      <c r="R346" s="44" t="str">
        <f>VLOOKUP(F346,'Set up'!$A$2:$E$48,5,FALSE)</f>
        <v>Trsf</v>
      </c>
      <c r="S346" s="1" t="s">
        <v>436</v>
      </c>
    </row>
    <row r="347" spans="1:19" ht="28.8" hidden="1" x14ac:dyDescent="0.3">
      <c r="A347" s="4">
        <v>44483</v>
      </c>
      <c r="B347" s="5">
        <f t="shared" si="64"/>
        <v>10</v>
      </c>
      <c r="C347" s="5">
        <f t="shared" si="65"/>
        <v>2021</v>
      </c>
      <c r="D347" s="5" t="s">
        <v>417</v>
      </c>
      <c r="E347" s="5" t="str">
        <f>VLOOKUP(F347,'Set up'!$A$2:$C$48,2,FALSE)</f>
        <v>C00000019</v>
      </c>
      <c r="F347" s="1" t="s">
        <v>401</v>
      </c>
      <c r="G347" s="74" t="s">
        <v>46</v>
      </c>
      <c r="H347" s="5">
        <v>1</v>
      </c>
      <c r="I347" s="5" t="str">
        <f>VLOOKUP(F347,'Set up'!$A$2:$C$48,3,FALSE)</f>
        <v>Cash</v>
      </c>
      <c r="J347" s="5">
        <f>VLOOKUP(F347,'Set up'!$A$2:$D$48,4,FALSE)</f>
        <v>0</v>
      </c>
      <c r="K347" s="4">
        <f t="shared" si="61"/>
        <v>44483</v>
      </c>
      <c r="L347" s="5">
        <f t="shared" si="56"/>
        <v>10</v>
      </c>
      <c r="M347" s="5">
        <f t="shared" si="57"/>
        <v>2021</v>
      </c>
      <c r="N347" s="6">
        <v>100</v>
      </c>
      <c r="O347" s="6">
        <f t="shared" si="63"/>
        <v>-100</v>
      </c>
      <c r="P347" s="6">
        <f t="shared" si="66"/>
        <v>0</v>
      </c>
      <c r="Q347" s="7">
        <f t="shared" si="62"/>
        <v>504181.74999999994</v>
      </c>
      <c r="R347" s="44" t="str">
        <f>VLOOKUP(F347,'Set up'!$A$2:$E$48,5,FALSE)</f>
        <v>Trsf</v>
      </c>
      <c r="S347" s="1" t="s">
        <v>436</v>
      </c>
    </row>
    <row r="348" spans="1:19" hidden="1" x14ac:dyDescent="0.3">
      <c r="A348" s="4">
        <v>44483</v>
      </c>
      <c r="B348" s="5">
        <f t="shared" si="64"/>
        <v>10</v>
      </c>
      <c r="C348" s="5">
        <f t="shared" si="65"/>
        <v>2021</v>
      </c>
      <c r="D348" s="5" t="s">
        <v>419</v>
      </c>
      <c r="E348" s="5" t="str">
        <f>VLOOKUP(F348,'Set up'!$A$2:$C$48,2,FALSE)</f>
        <v>C00000009</v>
      </c>
      <c r="F348" s="1" t="s">
        <v>58</v>
      </c>
      <c r="G348" s="2" t="s">
        <v>361</v>
      </c>
      <c r="H348" s="5">
        <v>10</v>
      </c>
      <c r="I348" s="5">
        <f>VLOOKUP(F348,'Set up'!$A$2:$C$48,3,FALSE)</f>
        <v>60</v>
      </c>
      <c r="J348" s="5">
        <f>VLOOKUP(F348,'Set up'!$A$2:$D$48,4,FALSE)</f>
        <v>60</v>
      </c>
      <c r="K348" s="4">
        <f t="shared" si="61"/>
        <v>44543</v>
      </c>
      <c r="L348" s="5">
        <f t="shared" si="56"/>
        <v>12</v>
      </c>
      <c r="M348" s="5">
        <f t="shared" si="57"/>
        <v>2021</v>
      </c>
      <c r="N348" s="6">
        <v>5100</v>
      </c>
      <c r="O348" s="6">
        <f t="shared" si="63"/>
        <v>-5100</v>
      </c>
      <c r="P348" s="6">
        <f t="shared" si="66"/>
        <v>0</v>
      </c>
      <c r="Q348" s="7">
        <f t="shared" si="62"/>
        <v>509281.74999999994</v>
      </c>
      <c r="R348" s="44" t="str">
        <f>VLOOKUP(F348,'Set up'!$A$2:$E$48,5,FALSE)</f>
        <v>Chq</v>
      </c>
      <c r="S348" s="1" t="s">
        <v>584</v>
      </c>
    </row>
    <row r="349" spans="1:19" ht="28.8" hidden="1" x14ac:dyDescent="0.3">
      <c r="A349" s="4">
        <v>44484</v>
      </c>
      <c r="B349" s="5">
        <f t="shared" si="64"/>
        <v>10</v>
      </c>
      <c r="C349" s="5">
        <f t="shared" si="65"/>
        <v>2021</v>
      </c>
      <c r="D349" s="5" t="s">
        <v>420</v>
      </c>
      <c r="E349" s="5" t="str">
        <f>VLOOKUP(F349,'Set up'!$A$2:$C$48,2,FALSE)</f>
        <v>C00000014</v>
      </c>
      <c r="F349" s="1" t="s">
        <v>263</v>
      </c>
      <c r="G349" s="74" t="s">
        <v>421</v>
      </c>
      <c r="H349" s="5">
        <v>3</v>
      </c>
      <c r="I349" s="5" t="str">
        <f>VLOOKUP(F349,'Set up'!$A$2:$C$48,3,FALSE)</f>
        <v>Cash</v>
      </c>
      <c r="J349" s="5">
        <f>VLOOKUP(F349,'Set up'!$A$2:$D$48,4,FALSE)</f>
        <v>0</v>
      </c>
      <c r="K349" s="4">
        <f t="shared" si="61"/>
        <v>44484</v>
      </c>
      <c r="L349" s="5">
        <f t="shared" si="56"/>
        <v>10</v>
      </c>
      <c r="M349" s="5">
        <f t="shared" si="57"/>
        <v>2021</v>
      </c>
      <c r="N349" s="6">
        <v>2025</v>
      </c>
      <c r="O349" s="6">
        <f t="shared" si="63"/>
        <v>-2025</v>
      </c>
      <c r="P349" s="6">
        <f t="shared" si="66"/>
        <v>0</v>
      </c>
      <c r="Q349" s="7">
        <f t="shared" si="62"/>
        <v>511306.74999999994</v>
      </c>
      <c r="R349" s="44" t="str">
        <f>VLOOKUP(F349,'Set up'!$A$2:$E$48,5,FALSE)</f>
        <v>Cash</v>
      </c>
      <c r="S349" s="1" t="s">
        <v>438</v>
      </c>
    </row>
    <row r="350" spans="1:19" ht="43.2" hidden="1" x14ac:dyDescent="0.3">
      <c r="A350" s="4">
        <v>44484</v>
      </c>
      <c r="B350" s="5">
        <f t="shared" si="64"/>
        <v>10</v>
      </c>
      <c r="C350" s="5">
        <f t="shared" si="65"/>
        <v>2021</v>
      </c>
      <c r="D350" s="5" t="s">
        <v>420</v>
      </c>
      <c r="E350" s="5" t="str">
        <f>VLOOKUP(F350,'Set up'!$A$2:$C$48,2,FALSE)</f>
        <v>C00000014</v>
      </c>
      <c r="F350" s="1" t="s">
        <v>263</v>
      </c>
      <c r="G350" s="74" t="s">
        <v>414</v>
      </c>
      <c r="H350" s="5">
        <v>2</v>
      </c>
      <c r="I350" s="5" t="str">
        <f>VLOOKUP(F350,'Set up'!$A$2:$C$48,3,FALSE)</f>
        <v>Cash</v>
      </c>
      <c r="J350" s="5">
        <f>VLOOKUP(F350,'Set up'!$A$2:$D$48,4,FALSE)</f>
        <v>0</v>
      </c>
      <c r="K350" s="4">
        <f t="shared" si="61"/>
        <v>44484</v>
      </c>
      <c r="L350" s="5">
        <f t="shared" si="56"/>
        <v>10</v>
      </c>
      <c r="M350" s="5">
        <f t="shared" si="57"/>
        <v>2021</v>
      </c>
      <c r="N350" s="6">
        <v>516</v>
      </c>
      <c r="O350" s="6">
        <f t="shared" si="63"/>
        <v>-516</v>
      </c>
      <c r="P350" s="6">
        <f t="shared" si="66"/>
        <v>0</v>
      </c>
      <c r="Q350" s="7">
        <f t="shared" si="62"/>
        <v>511822.74999999994</v>
      </c>
      <c r="R350" s="44" t="str">
        <f>VLOOKUP(F350,'Set up'!$A$2:$E$48,5,FALSE)</f>
        <v>Cash</v>
      </c>
      <c r="S350" s="1" t="s">
        <v>438</v>
      </c>
    </row>
    <row r="351" spans="1:19" ht="28.8" hidden="1" x14ac:dyDescent="0.3">
      <c r="A351" s="4">
        <v>44484</v>
      </c>
      <c r="B351" s="5">
        <f t="shared" si="64"/>
        <v>10</v>
      </c>
      <c r="C351" s="5">
        <f t="shared" si="65"/>
        <v>2021</v>
      </c>
      <c r="D351" s="5" t="s">
        <v>420</v>
      </c>
      <c r="E351" s="5" t="str">
        <f>VLOOKUP(F351,'Set up'!$A$2:$C$48,2,FALSE)</f>
        <v>C00000014</v>
      </c>
      <c r="F351" s="1" t="s">
        <v>263</v>
      </c>
      <c r="G351" s="74" t="s">
        <v>64</v>
      </c>
      <c r="H351" s="5">
        <v>1</v>
      </c>
      <c r="I351" s="5" t="str">
        <f>VLOOKUP(F351,'Set up'!$A$2:$C$48,3,FALSE)</f>
        <v>Cash</v>
      </c>
      <c r="J351" s="5">
        <f>VLOOKUP(F351,'Set up'!$A$2:$D$48,4,FALSE)</f>
        <v>0</v>
      </c>
      <c r="K351" s="4">
        <f t="shared" si="61"/>
        <v>44484</v>
      </c>
      <c r="L351" s="5">
        <f t="shared" ref="L351:L414" si="67">MONTH(K351)</f>
        <v>10</v>
      </c>
      <c r="M351" s="5">
        <f t="shared" ref="M351:M414" si="68">YEAR(K351)</f>
        <v>2021</v>
      </c>
      <c r="N351" s="6">
        <v>55</v>
      </c>
      <c r="O351" s="6">
        <f t="shared" si="63"/>
        <v>-55</v>
      </c>
      <c r="P351" s="6">
        <f t="shared" si="66"/>
        <v>0</v>
      </c>
      <c r="Q351" s="7">
        <f t="shared" si="62"/>
        <v>511877.74999999994</v>
      </c>
      <c r="R351" s="44" t="str">
        <f>VLOOKUP(F351,'Set up'!$A$2:$E$48,5,FALSE)</f>
        <v>Cash</v>
      </c>
      <c r="S351" s="1" t="s">
        <v>438</v>
      </c>
    </row>
    <row r="352" spans="1:19" ht="28.8" hidden="1" x14ac:dyDescent="0.3">
      <c r="A352" s="4">
        <v>44484</v>
      </c>
      <c r="B352" s="5">
        <f t="shared" si="64"/>
        <v>10</v>
      </c>
      <c r="C352" s="5">
        <f t="shared" si="65"/>
        <v>2021</v>
      </c>
      <c r="D352" s="5" t="s">
        <v>420</v>
      </c>
      <c r="E352" s="5" t="str">
        <f>VLOOKUP(F352,'Set up'!$A$2:$C$48,2,FALSE)</f>
        <v>C00000014</v>
      </c>
      <c r="F352" s="1" t="s">
        <v>263</v>
      </c>
      <c r="G352" s="74" t="s">
        <v>382</v>
      </c>
      <c r="H352" s="5">
        <v>1</v>
      </c>
      <c r="I352" s="5" t="str">
        <f>VLOOKUP(F352,'Set up'!$A$2:$C$48,3,FALSE)</f>
        <v>Cash</v>
      </c>
      <c r="J352" s="5">
        <f>VLOOKUP(F352,'Set up'!$A$2:$D$48,4,FALSE)</f>
        <v>0</v>
      </c>
      <c r="K352" s="4">
        <f t="shared" si="61"/>
        <v>44484</v>
      </c>
      <c r="L352" s="5">
        <f t="shared" si="67"/>
        <v>10</v>
      </c>
      <c r="M352" s="5">
        <f t="shared" si="68"/>
        <v>2021</v>
      </c>
      <c r="N352" s="6">
        <v>80</v>
      </c>
      <c r="O352" s="6">
        <f t="shared" si="63"/>
        <v>-80</v>
      </c>
      <c r="P352" s="6">
        <f t="shared" si="66"/>
        <v>0</v>
      </c>
      <c r="Q352" s="7">
        <f t="shared" si="62"/>
        <v>511957.74999999994</v>
      </c>
      <c r="R352" s="44" t="str">
        <f>VLOOKUP(F352,'Set up'!$A$2:$E$48,5,FALSE)</f>
        <v>Cash</v>
      </c>
      <c r="S352" s="1" t="s">
        <v>438</v>
      </c>
    </row>
    <row r="353" spans="1:19" ht="28.8" hidden="1" x14ac:dyDescent="0.3">
      <c r="A353" s="4">
        <v>44484</v>
      </c>
      <c r="B353" s="5">
        <f t="shared" si="64"/>
        <v>10</v>
      </c>
      <c r="C353" s="5">
        <f t="shared" si="65"/>
        <v>2021</v>
      </c>
      <c r="D353" s="5" t="s">
        <v>424</v>
      </c>
      <c r="E353" s="5" t="str">
        <f>VLOOKUP(F353,'Set up'!$A$2:$C$48,2,FALSE)</f>
        <v>C00000005</v>
      </c>
      <c r="F353" s="1" t="s">
        <v>35</v>
      </c>
      <c r="G353" s="74" t="s">
        <v>67</v>
      </c>
      <c r="H353" s="5">
        <v>1</v>
      </c>
      <c r="I353" s="5" t="str">
        <f>VLOOKUP(F353,'Set up'!$A$2:$C$48,3,FALSE)</f>
        <v>Cash</v>
      </c>
      <c r="J353" s="5">
        <f>VLOOKUP(F353,'Set up'!$A$2:$D$48,4,FALSE)</f>
        <v>0</v>
      </c>
      <c r="K353" s="4">
        <f t="shared" si="61"/>
        <v>44484</v>
      </c>
      <c r="L353" s="5">
        <f t="shared" si="67"/>
        <v>10</v>
      </c>
      <c r="M353" s="5">
        <f t="shared" si="68"/>
        <v>2021</v>
      </c>
      <c r="N353" s="6">
        <v>1826</v>
      </c>
      <c r="O353" s="6">
        <f t="shared" si="63"/>
        <v>-1826</v>
      </c>
      <c r="P353" s="6">
        <f t="shared" si="66"/>
        <v>0</v>
      </c>
      <c r="Q353" s="7">
        <f t="shared" si="62"/>
        <v>513783.74999999994</v>
      </c>
      <c r="R353" s="44" t="str">
        <f>VLOOKUP(F353,'Set up'!$A$2:$E$48,5,FALSE)</f>
        <v>Chq</v>
      </c>
      <c r="S353" s="1" t="s">
        <v>464</v>
      </c>
    </row>
    <row r="354" spans="1:19" ht="28.8" hidden="1" x14ac:dyDescent="0.3">
      <c r="A354" s="4">
        <v>44484</v>
      </c>
      <c r="B354" s="5">
        <f t="shared" si="64"/>
        <v>10</v>
      </c>
      <c r="C354" s="5">
        <f t="shared" si="65"/>
        <v>2021</v>
      </c>
      <c r="D354" s="5" t="s">
        <v>424</v>
      </c>
      <c r="E354" s="5" t="str">
        <f>VLOOKUP(F354,'Set up'!$A$2:$C$48,2,FALSE)</f>
        <v>C00000005</v>
      </c>
      <c r="F354" s="1" t="s">
        <v>35</v>
      </c>
      <c r="G354" s="74" t="s">
        <v>46</v>
      </c>
      <c r="H354" s="5">
        <v>1</v>
      </c>
      <c r="I354" s="5" t="str">
        <f>VLOOKUP(F354,'Set up'!$A$2:$C$48,3,FALSE)</f>
        <v>Cash</v>
      </c>
      <c r="J354" s="5">
        <f>VLOOKUP(F354,'Set up'!$A$2:$D$48,4,FALSE)</f>
        <v>0</v>
      </c>
      <c r="K354" s="4">
        <f t="shared" si="61"/>
        <v>44484</v>
      </c>
      <c r="L354" s="5">
        <f t="shared" si="67"/>
        <v>10</v>
      </c>
      <c r="M354" s="5">
        <f t="shared" si="68"/>
        <v>2021</v>
      </c>
      <c r="N354" s="6">
        <v>100</v>
      </c>
      <c r="O354" s="6">
        <f t="shared" si="63"/>
        <v>-100</v>
      </c>
      <c r="P354" s="6">
        <f t="shared" si="66"/>
        <v>0</v>
      </c>
      <c r="Q354" s="7">
        <f t="shared" si="62"/>
        <v>513883.74999999994</v>
      </c>
      <c r="R354" s="44" t="str">
        <f>VLOOKUP(F354,'Set up'!$A$2:$E$48,5,FALSE)</f>
        <v>Chq</v>
      </c>
      <c r="S354" s="1" t="s">
        <v>464</v>
      </c>
    </row>
    <row r="355" spans="1:19" ht="46.8" x14ac:dyDescent="0.3">
      <c r="A355" s="4">
        <v>44484</v>
      </c>
      <c r="B355" s="5">
        <f t="shared" si="64"/>
        <v>10</v>
      </c>
      <c r="C355" s="5">
        <f t="shared" si="65"/>
        <v>2021</v>
      </c>
      <c r="D355" s="5" t="s">
        <v>425</v>
      </c>
      <c r="E355" s="5" t="str">
        <f>VLOOKUP(F355,'Set up'!$A$2:$C$48,2,FALSE)</f>
        <v>C00000020</v>
      </c>
      <c r="F355" s="1" t="s">
        <v>410</v>
      </c>
      <c r="G355" s="79" t="s">
        <v>220</v>
      </c>
      <c r="H355" s="5">
        <v>2</v>
      </c>
      <c r="I355" s="5" t="str">
        <f>VLOOKUP(F355,'Set up'!$A$2:$C$48,3,FALSE)</f>
        <v>Cash</v>
      </c>
      <c r="J355" s="5">
        <f>VLOOKUP(F355,'Set up'!$A$2:$D$48,4,FALSE)</f>
        <v>0</v>
      </c>
      <c r="K355" s="4">
        <f t="shared" ref="K355:K386" si="69">A355+J355</f>
        <v>44484</v>
      </c>
      <c r="L355" s="5">
        <f t="shared" si="67"/>
        <v>10</v>
      </c>
      <c r="M355" s="5">
        <f t="shared" si="68"/>
        <v>2021</v>
      </c>
      <c r="N355" s="6">
        <v>636.4</v>
      </c>
      <c r="O355" s="6">
        <f t="shared" si="63"/>
        <v>-636.4</v>
      </c>
      <c r="P355" s="6">
        <f t="shared" si="66"/>
        <v>0</v>
      </c>
      <c r="Q355" s="7">
        <f t="shared" si="62"/>
        <v>514520.14999999997</v>
      </c>
      <c r="R355" s="44" t="str">
        <f>VLOOKUP(F355,'Set up'!$A$2:$E$48,5,FALSE)</f>
        <v>Trsf</v>
      </c>
      <c r="S355" s="1" t="s">
        <v>437</v>
      </c>
    </row>
    <row r="356" spans="1:19" ht="43.2" x14ac:dyDescent="0.3">
      <c r="A356" s="4">
        <v>44484</v>
      </c>
      <c r="B356" s="5">
        <f t="shared" si="64"/>
        <v>10</v>
      </c>
      <c r="C356" s="5">
        <f t="shared" si="65"/>
        <v>2021</v>
      </c>
      <c r="D356" s="5" t="s">
        <v>425</v>
      </c>
      <c r="E356" s="5" t="str">
        <f>VLOOKUP(F356,'Set up'!$A$2:$C$48,2,FALSE)</f>
        <v>C00000020</v>
      </c>
      <c r="F356" s="1" t="s">
        <v>410</v>
      </c>
      <c r="G356" s="74" t="s">
        <v>415</v>
      </c>
      <c r="H356" s="5">
        <v>2</v>
      </c>
      <c r="I356" s="5" t="str">
        <f>VLOOKUP(F356,'Set up'!$A$2:$C$48,3,FALSE)</f>
        <v>Cash</v>
      </c>
      <c r="J356" s="5">
        <f>VLOOKUP(F356,'Set up'!$A$2:$D$48,4,FALSE)</f>
        <v>0</v>
      </c>
      <c r="K356" s="4">
        <f t="shared" si="69"/>
        <v>44484</v>
      </c>
      <c r="L356" s="5">
        <f t="shared" si="67"/>
        <v>10</v>
      </c>
      <c r="M356" s="5">
        <f t="shared" si="68"/>
        <v>2021</v>
      </c>
      <c r="N356" s="6">
        <v>675</v>
      </c>
      <c r="O356" s="6">
        <f t="shared" si="63"/>
        <v>-675</v>
      </c>
      <c r="P356" s="6">
        <f t="shared" si="66"/>
        <v>0</v>
      </c>
      <c r="Q356" s="7">
        <f t="shared" si="62"/>
        <v>515195.14999999997</v>
      </c>
      <c r="R356" s="44" t="str">
        <f>VLOOKUP(F356,'Set up'!$A$2:$E$48,5,FALSE)</f>
        <v>Trsf</v>
      </c>
      <c r="S356" s="1" t="s">
        <v>437</v>
      </c>
    </row>
    <row r="357" spans="1:19" ht="28.8" x14ac:dyDescent="0.3">
      <c r="A357" s="4">
        <v>44487</v>
      </c>
      <c r="B357" s="5">
        <f t="shared" si="64"/>
        <v>10</v>
      </c>
      <c r="C357" s="5">
        <f t="shared" si="65"/>
        <v>2021</v>
      </c>
      <c r="D357" s="5" t="s">
        <v>426</v>
      </c>
      <c r="E357" s="5" t="str">
        <f>VLOOKUP(F357,'Set up'!$A$2:$C$48,2,FALSE)</f>
        <v>C00000020</v>
      </c>
      <c r="F357" s="1" t="s">
        <v>410</v>
      </c>
      <c r="G357" s="74" t="s">
        <v>429</v>
      </c>
      <c r="H357" s="5">
        <v>2</v>
      </c>
      <c r="I357" s="5" t="str">
        <f>VLOOKUP(F357,'Set up'!$A$2:$C$48,3,FALSE)</f>
        <v>Cash</v>
      </c>
      <c r="J357" s="5">
        <f>VLOOKUP(F357,'Set up'!$A$2:$D$48,4,FALSE)</f>
        <v>0</v>
      </c>
      <c r="K357" s="4">
        <f t="shared" si="69"/>
        <v>44487</v>
      </c>
      <c r="L357" s="5">
        <f t="shared" si="67"/>
        <v>10</v>
      </c>
      <c r="M357" s="5">
        <f t="shared" si="68"/>
        <v>2021</v>
      </c>
      <c r="N357" s="6">
        <v>3825</v>
      </c>
      <c r="O357" s="6">
        <f t="shared" si="63"/>
        <v>-3825</v>
      </c>
      <c r="P357" s="6">
        <f t="shared" si="66"/>
        <v>0</v>
      </c>
      <c r="Q357" s="7">
        <f t="shared" si="62"/>
        <v>519020.14999999997</v>
      </c>
      <c r="R357" s="44" t="str">
        <f>VLOOKUP(F357,'Set up'!$A$2:$E$48,5,FALSE)</f>
        <v>Trsf</v>
      </c>
      <c r="S357" s="1" t="s">
        <v>455</v>
      </c>
    </row>
    <row r="358" spans="1:19" ht="28.8" x14ac:dyDescent="0.3">
      <c r="A358" s="4">
        <v>44487</v>
      </c>
      <c r="B358" s="5">
        <f t="shared" si="64"/>
        <v>10</v>
      </c>
      <c r="C358" s="5">
        <f t="shared" si="65"/>
        <v>2021</v>
      </c>
      <c r="D358" s="5" t="s">
        <v>426</v>
      </c>
      <c r="E358" s="5" t="str">
        <f>VLOOKUP(F358,'Set up'!$A$2:$C$48,2,FALSE)</f>
        <v>C00000020</v>
      </c>
      <c r="F358" s="1" t="s">
        <v>410</v>
      </c>
      <c r="G358" s="74" t="s">
        <v>95</v>
      </c>
      <c r="H358" s="5">
        <v>2</v>
      </c>
      <c r="I358" s="5" t="str">
        <f>VLOOKUP(F358,'Set up'!$A$2:$C$48,3,FALSE)</f>
        <v>Cash</v>
      </c>
      <c r="J358" s="5">
        <f>VLOOKUP(F358,'Set up'!$A$2:$D$48,4,FALSE)</f>
        <v>0</v>
      </c>
      <c r="K358" s="4">
        <f t="shared" si="69"/>
        <v>44487</v>
      </c>
      <c r="L358" s="5">
        <f t="shared" si="67"/>
        <v>10</v>
      </c>
      <c r="M358" s="5">
        <f t="shared" si="68"/>
        <v>2021</v>
      </c>
      <c r="N358" s="6">
        <v>3740</v>
      </c>
      <c r="O358" s="6">
        <f t="shared" si="63"/>
        <v>-3740</v>
      </c>
      <c r="P358" s="6">
        <f t="shared" si="66"/>
        <v>0</v>
      </c>
      <c r="Q358" s="7">
        <f t="shared" si="62"/>
        <v>522760.14999999997</v>
      </c>
      <c r="R358" s="44" t="str">
        <f>VLOOKUP(F358,'Set up'!$A$2:$E$48,5,FALSE)</f>
        <v>Trsf</v>
      </c>
      <c r="S358" s="1" t="s">
        <v>455</v>
      </c>
    </row>
    <row r="359" spans="1:19" ht="43.2" x14ac:dyDescent="0.3">
      <c r="A359" s="4">
        <v>44487</v>
      </c>
      <c r="B359" s="5">
        <f t="shared" si="64"/>
        <v>10</v>
      </c>
      <c r="C359" s="5">
        <f t="shared" si="65"/>
        <v>2021</v>
      </c>
      <c r="D359" s="5" t="s">
        <v>426</v>
      </c>
      <c r="E359" s="5" t="str">
        <f>VLOOKUP(F359,'Set up'!$A$2:$C$48,2,FALSE)</f>
        <v>C00000020</v>
      </c>
      <c r="F359" s="1" t="s">
        <v>410</v>
      </c>
      <c r="G359" s="74" t="s">
        <v>414</v>
      </c>
      <c r="H359" s="5">
        <v>6</v>
      </c>
      <c r="I359" s="5" t="str">
        <f>VLOOKUP(F359,'Set up'!$A$2:$C$48,3,FALSE)</f>
        <v>Cash</v>
      </c>
      <c r="J359" s="5">
        <f>VLOOKUP(F359,'Set up'!$A$2:$D$48,4,FALSE)</f>
        <v>0</v>
      </c>
      <c r="K359" s="4">
        <f t="shared" si="69"/>
        <v>44487</v>
      </c>
      <c r="L359" s="5">
        <f t="shared" si="67"/>
        <v>10</v>
      </c>
      <c r="M359" s="5">
        <f t="shared" si="68"/>
        <v>2021</v>
      </c>
      <c r="N359" s="6">
        <v>1909.2</v>
      </c>
      <c r="O359" s="6">
        <f t="shared" si="63"/>
        <v>-1909.2</v>
      </c>
      <c r="P359" s="6">
        <f t="shared" si="66"/>
        <v>0</v>
      </c>
      <c r="Q359" s="7">
        <f t="shared" si="62"/>
        <v>524669.35</v>
      </c>
      <c r="R359" s="44" t="str">
        <f>VLOOKUP(F359,'Set up'!$A$2:$E$48,5,FALSE)</f>
        <v>Trsf</v>
      </c>
      <c r="S359" s="1" t="s">
        <v>455</v>
      </c>
    </row>
    <row r="360" spans="1:19" ht="28.8" x14ac:dyDescent="0.3">
      <c r="A360" s="4">
        <v>44487</v>
      </c>
      <c r="B360" s="5">
        <f t="shared" si="64"/>
        <v>10</v>
      </c>
      <c r="C360" s="5">
        <f t="shared" si="65"/>
        <v>2021</v>
      </c>
      <c r="D360" s="5" t="s">
        <v>426</v>
      </c>
      <c r="E360" s="5" t="str">
        <f>VLOOKUP(F360,'Set up'!$A$2:$C$48,2,FALSE)</f>
        <v>C00000020</v>
      </c>
      <c r="F360" s="1" t="s">
        <v>410</v>
      </c>
      <c r="G360" s="74" t="s">
        <v>64</v>
      </c>
      <c r="H360" s="5">
        <v>7</v>
      </c>
      <c r="I360" s="5" t="str">
        <f>VLOOKUP(F360,'Set up'!$A$2:$C$48,3,FALSE)</f>
        <v>Cash</v>
      </c>
      <c r="J360" s="5">
        <f>VLOOKUP(F360,'Set up'!$A$2:$D$48,4,FALSE)</f>
        <v>0</v>
      </c>
      <c r="K360" s="4">
        <f t="shared" si="69"/>
        <v>44487</v>
      </c>
      <c r="L360" s="5">
        <f t="shared" si="67"/>
        <v>10</v>
      </c>
      <c r="M360" s="5">
        <f t="shared" si="68"/>
        <v>2021</v>
      </c>
      <c r="N360" s="6">
        <v>437.5</v>
      </c>
      <c r="O360" s="6">
        <f t="shared" si="63"/>
        <v>-437.5</v>
      </c>
      <c r="P360" s="6">
        <f t="shared" si="66"/>
        <v>0</v>
      </c>
      <c r="Q360" s="7">
        <f t="shared" si="62"/>
        <v>525106.85</v>
      </c>
      <c r="R360" s="44" t="str">
        <f>VLOOKUP(F360,'Set up'!$A$2:$E$48,5,FALSE)</f>
        <v>Trsf</v>
      </c>
      <c r="S360" s="1" t="s">
        <v>455</v>
      </c>
    </row>
    <row r="361" spans="1:19" ht="28.8" x14ac:dyDescent="0.3">
      <c r="A361" s="4">
        <v>44487</v>
      </c>
      <c r="B361" s="5">
        <f t="shared" si="64"/>
        <v>10</v>
      </c>
      <c r="C361" s="5">
        <f t="shared" si="65"/>
        <v>2021</v>
      </c>
      <c r="D361" s="5" t="s">
        <v>426</v>
      </c>
      <c r="E361" s="5" t="str">
        <f>VLOOKUP(F361,'Set up'!$A$2:$C$48,2,FALSE)</f>
        <v>C00000020</v>
      </c>
      <c r="F361" s="1" t="s">
        <v>410</v>
      </c>
      <c r="G361" s="74" t="s">
        <v>382</v>
      </c>
      <c r="H361" s="5">
        <v>2</v>
      </c>
      <c r="I361" s="5" t="str">
        <f>VLOOKUP(F361,'Set up'!$A$2:$C$48,3,FALSE)</f>
        <v>Cash</v>
      </c>
      <c r="J361" s="5">
        <f>VLOOKUP(F361,'Set up'!$A$2:$D$48,4,FALSE)</f>
        <v>0</v>
      </c>
      <c r="K361" s="4">
        <f t="shared" si="69"/>
        <v>44487</v>
      </c>
      <c r="L361" s="5">
        <f t="shared" si="67"/>
        <v>10</v>
      </c>
      <c r="M361" s="5">
        <f t="shared" si="68"/>
        <v>2021</v>
      </c>
      <c r="N361" s="6">
        <v>160</v>
      </c>
      <c r="O361" s="6">
        <f t="shared" si="63"/>
        <v>-160</v>
      </c>
      <c r="P361" s="6">
        <f t="shared" si="66"/>
        <v>0</v>
      </c>
      <c r="Q361" s="7">
        <f t="shared" si="62"/>
        <v>525266.85</v>
      </c>
      <c r="R361" s="44" t="str">
        <f>VLOOKUP(F361,'Set up'!$A$2:$E$48,5,FALSE)</f>
        <v>Trsf</v>
      </c>
      <c r="S361" s="1" t="s">
        <v>455</v>
      </c>
    </row>
    <row r="362" spans="1:19" ht="43.2" x14ac:dyDescent="0.3">
      <c r="A362" s="4">
        <v>44487</v>
      </c>
      <c r="B362" s="5">
        <f t="shared" si="64"/>
        <v>10</v>
      </c>
      <c r="C362" s="5">
        <f t="shared" si="65"/>
        <v>2021</v>
      </c>
      <c r="D362" s="5" t="s">
        <v>426</v>
      </c>
      <c r="E362" s="5" t="str">
        <f>VLOOKUP(F362,'Set up'!$A$2:$C$48,2,FALSE)</f>
        <v>C00000020</v>
      </c>
      <c r="F362" s="1" t="s">
        <v>410</v>
      </c>
      <c r="G362" s="74" t="s">
        <v>415</v>
      </c>
      <c r="H362" s="5">
        <v>9</v>
      </c>
      <c r="I362" s="5" t="str">
        <f>VLOOKUP(F362,'Set up'!$A$2:$C$48,3,FALSE)</f>
        <v>Cash</v>
      </c>
      <c r="J362" s="5">
        <f>VLOOKUP(F362,'Set up'!$A$2:$D$48,4,FALSE)</f>
        <v>0</v>
      </c>
      <c r="K362" s="4">
        <f t="shared" si="69"/>
        <v>44487</v>
      </c>
      <c r="L362" s="5">
        <f t="shared" si="67"/>
        <v>10</v>
      </c>
      <c r="M362" s="5">
        <f t="shared" si="68"/>
        <v>2021</v>
      </c>
      <c r="N362" s="6">
        <v>3037.5</v>
      </c>
      <c r="O362" s="6">
        <f t="shared" si="63"/>
        <v>-3037.5</v>
      </c>
      <c r="P362" s="6">
        <f t="shared" si="66"/>
        <v>0</v>
      </c>
      <c r="Q362" s="7">
        <f t="shared" si="62"/>
        <v>528304.35</v>
      </c>
      <c r="R362" s="44" t="str">
        <f>VLOOKUP(F362,'Set up'!$A$2:$E$48,5,FALSE)</f>
        <v>Trsf</v>
      </c>
      <c r="S362" s="1" t="s">
        <v>455</v>
      </c>
    </row>
    <row r="363" spans="1:19" ht="28.8" x14ac:dyDescent="0.3">
      <c r="A363" s="4">
        <v>44488</v>
      </c>
      <c r="B363" s="5">
        <f t="shared" si="64"/>
        <v>10</v>
      </c>
      <c r="C363" s="5">
        <f t="shared" si="65"/>
        <v>2021</v>
      </c>
      <c r="D363" s="5" t="s">
        <v>427</v>
      </c>
      <c r="E363" s="5" t="str">
        <f>VLOOKUP(F363,'Set up'!$A$2:$C$48,2,FALSE)</f>
        <v>C00000020</v>
      </c>
      <c r="F363" s="1" t="s">
        <v>410</v>
      </c>
      <c r="G363" s="74" t="s">
        <v>430</v>
      </c>
      <c r="H363" s="5">
        <v>1</v>
      </c>
      <c r="I363" s="5" t="str">
        <f>VLOOKUP(F363,'Set up'!$A$2:$C$48,3,FALSE)</f>
        <v>Cash</v>
      </c>
      <c r="J363" s="5">
        <f>VLOOKUP(F363,'Set up'!$A$2:$D$48,4,FALSE)</f>
        <v>0</v>
      </c>
      <c r="K363" s="4">
        <f t="shared" si="69"/>
        <v>44488</v>
      </c>
      <c r="L363" s="5">
        <f t="shared" si="67"/>
        <v>10</v>
      </c>
      <c r="M363" s="5">
        <f t="shared" si="68"/>
        <v>2021</v>
      </c>
      <c r="N363" s="6">
        <v>1000</v>
      </c>
      <c r="O363" s="6">
        <f t="shared" si="63"/>
        <v>-1000</v>
      </c>
      <c r="P363" s="6">
        <f t="shared" si="66"/>
        <v>0</v>
      </c>
      <c r="Q363" s="7">
        <f t="shared" si="62"/>
        <v>529304.35</v>
      </c>
      <c r="R363" s="44" t="str">
        <f>VLOOKUP(F363,'Set up'!$A$2:$E$48,5,FALSE)</f>
        <v>Trsf</v>
      </c>
      <c r="S363" s="1" t="s">
        <v>455</v>
      </c>
    </row>
    <row r="364" spans="1:19" ht="28.8" x14ac:dyDescent="0.3">
      <c r="A364" s="4">
        <v>44489</v>
      </c>
      <c r="B364" s="5">
        <f t="shared" si="64"/>
        <v>10</v>
      </c>
      <c r="C364" s="5">
        <f t="shared" si="65"/>
        <v>2021</v>
      </c>
      <c r="D364" s="5" t="s">
        <v>428</v>
      </c>
      <c r="E364" s="5" t="str">
        <f>VLOOKUP(F364,'Set up'!$A$2:$C$48,2,FALSE)</f>
        <v>C00000020</v>
      </c>
      <c r="F364" s="1" t="s">
        <v>410</v>
      </c>
      <c r="G364" s="74" t="s">
        <v>429</v>
      </c>
      <c r="H364" s="5">
        <v>2</v>
      </c>
      <c r="I364" s="5" t="str">
        <f>VLOOKUP(F364,'Set up'!$A$2:$C$48,3,FALSE)</f>
        <v>Cash</v>
      </c>
      <c r="J364" s="5">
        <f>VLOOKUP(F364,'Set up'!$A$2:$D$48,4,FALSE)</f>
        <v>0</v>
      </c>
      <c r="K364" s="4">
        <f t="shared" si="69"/>
        <v>44489</v>
      </c>
      <c r="L364" s="5">
        <f t="shared" si="67"/>
        <v>10</v>
      </c>
      <c r="M364" s="5">
        <f t="shared" si="68"/>
        <v>2021</v>
      </c>
      <c r="N364" s="6">
        <v>3825</v>
      </c>
      <c r="O364" s="6">
        <f t="shared" si="63"/>
        <v>-3825</v>
      </c>
      <c r="P364" s="6">
        <f t="shared" si="66"/>
        <v>0</v>
      </c>
      <c r="Q364" s="7">
        <f t="shared" si="62"/>
        <v>533129.35</v>
      </c>
      <c r="R364" s="44" t="str">
        <f>VLOOKUP(F364,'Set up'!$A$2:$E$48,5,FALSE)</f>
        <v>Trsf</v>
      </c>
      <c r="S364" s="1" t="s">
        <v>499</v>
      </c>
    </row>
    <row r="365" spans="1:19" ht="28.8" x14ac:dyDescent="0.3">
      <c r="A365" s="4">
        <v>44489</v>
      </c>
      <c r="B365" s="5">
        <f t="shared" si="64"/>
        <v>10</v>
      </c>
      <c r="C365" s="5">
        <f t="shared" si="65"/>
        <v>2021</v>
      </c>
      <c r="D365" s="5" t="s">
        <v>428</v>
      </c>
      <c r="E365" s="5" t="str">
        <f>VLOOKUP(F365,'Set up'!$A$2:$C$48,2,FALSE)</f>
        <v>C00000020</v>
      </c>
      <c r="F365" s="1" t="s">
        <v>410</v>
      </c>
      <c r="G365" s="74" t="s">
        <v>95</v>
      </c>
      <c r="H365" s="5">
        <v>1</v>
      </c>
      <c r="I365" s="5" t="str">
        <f>VLOOKUP(F365,'Set up'!$A$2:$C$48,3,FALSE)</f>
        <v>Cash</v>
      </c>
      <c r="J365" s="5">
        <f>VLOOKUP(F365,'Set up'!$A$2:$D$48,4,FALSE)</f>
        <v>0</v>
      </c>
      <c r="K365" s="4">
        <f t="shared" si="69"/>
        <v>44489</v>
      </c>
      <c r="L365" s="5">
        <f t="shared" si="67"/>
        <v>10</v>
      </c>
      <c r="M365" s="5">
        <f t="shared" si="68"/>
        <v>2021</v>
      </c>
      <c r="N365" s="6">
        <v>1870</v>
      </c>
      <c r="O365" s="6">
        <f t="shared" si="63"/>
        <v>-1870</v>
      </c>
      <c r="P365" s="6">
        <f t="shared" si="66"/>
        <v>0</v>
      </c>
      <c r="Q365" s="7">
        <f t="shared" si="62"/>
        <v>534999.35</v>
      </c>
      <c r="R365" s="44" t="str">
        <f>VLOOKUP(F365,'Set up'!$A$2:$E$48,5,FALSE)</f>
        <v>Trsf</v>
      </c>
      <c r="S365" s="1" t="s">
        <v>499</v>
      </c>
    </row>
    <row r="366" spans="1:19" ht="43.2" x14ac:dyDescent="0.3">
      <c r="A366" s="4">
        <v>44489</v>
      </c>
      <c r="B366" s="5">
        <f t="shared" si="64"/>
        <v>10</v>
      </c>
      <c r="C366" s="5">
        <f t="shared" si="65"/>
        <v>2021</v>
      </c>
      <c r="D366" s="5" t="s">
        <v>428</v>
      </c>
      <c r="E366" s="5" t="str">
        <f>VLOOKUP(F366,'Set up'!$A$2:$C$48,2,FALSE)</f>
        <v>C00000020</v>
      </c>
      <c r="F366" s="1" t="s">
        <v>410</v>
      </c>
      <c r="G366" s="74" t="s">
        <v>414</v>
      </c>
      <c r="H366" s="5">
        <v>12</v>
      </c>
      <c r="I366" s="5" t="str">
        <f>VLOOKUP(F366,'Set up'!$A$2:$C$48,3,FALSE)</f>
        <v>Cash</v>
      </c>
      <c r="J366" s="5">
        <f>VLOOKUP(F366,'Set up'!$A$2:$D$48,4,FALSE)</f>
        <v>0</v>
      </c>
      <c r="K366" s="4">
        <f t="shared" si="69"/>
        <v>44489</v>
      </c>
      <c r="L366" s="5">
        <f t="shared" si="67"/>
        <v>10</v>
      </c>
      <c r="M366" s="5">
        <f t="shared" si="68"/>
        <v>2021</v>
      </c>
      <c r="N366" s="6">
        <v>3818.4</v>
      </c>
      <c r="O366" s="6">
        <f t="shared" si="63"/>
        <v>-3818.4</v>
      </c>
      <c r="P366" s="6">
        <f t="shared" si="66"/>
        <v>0</v>
      </c>
      <c r="Q366" s="7">
        <f t="shared" si="62"/>
        <v>538817.75</v>
      </c>
      <c r="R366" s="44" t="str">
        <f>VLOOKUP(F366,'Set up'!$A$2:$E$48,5,FALSE)</f>
        <v>Trsf</v>
      </c>
      <c r="S366" s="1" t="s">
        <v>499</v>
      </c>
    </row>
    <row r="367" spans="1:19" ht="28.8" x14ac:dyDescent="0.3">
      <c r="A367" s="4">
        <v>44489</v>
      </c>
      <c r="B367" s="5">
        <f t="shared" si="64"/>
        <v>10</v>
      </c>
      <c r="C367" s="5">
        <f t="shared" si="65"/>
        <v>2021</v>
      </c>
      <c r="D367" s="5" t="s">
        <v>428</v>
      </c>
      <c r="E367" s="5" t="str">
        <f>VLOOKUP(F367,'Set up'!$A$2:$C$48,2,FALSE)</f>
        <v>C00000020</v>
      </c>
      <c r="F367" s="1" t="s">
        <v>410</v>
      </c>
      <c r="G367" s="74" t="s">
        <v>382</v>
      </c>
      <c r="H367" s="5">
        <v>2</v>
      </c>
      <c r="I367" s="5" t="str">
        <f>VLOOKUP(F367,'Set up'!$A$2:$C$48,3,FALSE)</f>
        <v>Cash</v>
      </c>
      <c r="J367" s="5">
        <f>VLOOKUP(F367,'Set up'!$A$2:$D$48,4,FALSE)</f>
        <v>0</v>
      </c>
      <c r="K367" s="4">
        <f t="shared" si="69"/>
        <v>44489</v>
      </c>
      <c r="L367" s="5">
        <f t="shared" si="67"/>
        <v>10</v>
      </c>
      <c r="M367" s="5">
        <f t="shared" si="68"/>
        <v>2021</v>
      </c>
      <c r="N367" s="6">
        <v>160</v>
      </c>
      <c r="O367" s="6">
        <f t="shared" si="63"/>
        <v>-160</v>
      </c>
      <c r="P367" s="6">
        <f t="shared" si="66"/>
        <v>0</v>
      </c>
      <c r="Q367" s="7">
        <f t="shared" si="62"/>
        <v>538977.75</v>
      </c>
      <c r="R367" s="44" t="str">
        <f>VLOOKUP(F367,'Set up'!$A$2:$E$48,5,FALSE)</f>
        <v>Trsf</v>
      </c>
      <c r="S367" s="1" t="s">
        <v>499</v>
      </c>
    </row>
    <row r="368" spans="1:19" ht="28.8" hidden="1" x14ac:dyDescent="0.3">
      <c r="A368" s="4">
        <v>44492</v>
      </c>
      <c r="B368" s="5">
        <f t="shared" si="64"/>
        <v>10</v>
      </c>
      <c r="C368" s="5">
        <f t="shared" si="65"/>
        <v>2021</v>
      </c>
      <c r="D368" s="5" t="s">
        <v>442</v>
      </c>
      <c r="E368" s="5" t="str">
        <f>VLOOKUP(F368,'Set up'!$A$2:$C$48,2,FALSE)</f>
        <v>C00000008</v>
      </c>
      <c r="F368" s="1" t="s">
        <v>52</v>
      </c>
      <c r="G368" s="74" t="s">
        <v>67</v>
      </c>
      <c r="H368" s="5">
        <v>1</v>
      </c>
      <c r="I368" s="5" t="str">
        <f>VLOOKUP(F368,'Set up'!$A$2:$C$48,3,FALSE)</f>
        <v>Cash</v>
      </c>
      <c r="J368" s="5">
        <f>VLOOKUP(F368,'Set up'!$A$2:$D$48,4,FALSE)</f>
        <v>0</v>
      </c>
      <c r="K368" s="4">
        <f t="shared" si="69"/>
        <v>44492</v>
      </c>
      <c r="L368" s="5">
        <f t="shared" si="67"/>
        <v>10</v>
      </c>
      <c r="M368" s="5">
        <f t="shared" si="68"/>
        <v>2021</v>
      </c>
      <c r="N368" s="6">
        <v>1892</v>
      </c>
      <c r="O368" s="6">
        <f t="shared" si="63"/>
        <v>-1892</v>
      </c>
      <c r="P368" s="6">
        <f t="shared" si="66"/>
        <v>0</v>
      </c>
      <c r="Q368" s="7">
        <f t="shared" si="62"/>
        <v>540869.75</v>
      </c>
      <c r="R368" s="44" t="str">
        <f>VLOOKUP(F368,'Set up'!$A$2:$E$48,5,FALSE)</f>
        <v>Trsf</v>
      </c>
      <c r="S368" s="1" t="s">
        <v>453</v>
      </c>
    </row>
    <row r="369" spans="1:19" ht="46.8" hidden="1" x14ac:dyDescent="0.3">
      <c r="A369" s="4">
        <v>44492</v>
      </c>
      <c r="B369" s="5">
        <f t="shared" si="64"/>
        <v>10</v>
      </c>
      <c r="C369" s="5">
        <f t="shared" si="65"/>
        <v>2021</v>
      </c>
      <c r="D369" s="5" t="s">
        <v>442</v>
      </c>
      <c r="E369" s="5" t="str">
        <f>VLOOKUP(F369,'Set up'!$A$2:$C$48,2,FALSE)</f>
        <v>C00000008</v>
      </c>
      <c r="F369" s="1" t="s">
        <v>52</v>
      </c>
      <c r="G369" s="79" t="s">
        <v>220</v>
      </c>
      <c r="H369" s="5">
        <v>2</v>
      </c>
      <c r="I369" s="5" t="str">
        <f>VLOOKUP(F369,'Set up'!$A$2:$C$48,3,FALSE)</f>
        <v>Cash</v>
      </c>
      <c r="J369" s="5">
        <f>VLOOKUP(F369,'Set up'!$A$2:$D$48,4,FALSE)</f>
        <v>0</v>
      </c>
      <c r="K369" s="4">
        <f t="shared" si="69"/>
        <v>44492</v>
      </c>
      <c r="L369" s="5">
        <f t="shared" si="67"/>
        <v>10</v>
      </c>
      <c r="M369" s="5">
        <f t="shared" si="68"/>
        <v>2021</v>
      </c>
      <c r="N369" s="6">
        <v>510</v>
      </c>
      <c r="O369" s="6">
        <f t="shared" si="63"/>
        <v>-510</v>
      </c>
      <c r="P369" s="6">
        <f t="shared" si="66"/>
        <v>0</v>
      </c>
      <c r="Q369" s="7">
        <f t="shared" si="62"/>
        <v>541379.75</v>
      </c>
      <c r="R369" s="44" t="str">
        <f>VLOOKUP(F369,'Set up'!$A$2:$E$48,5,FALSE)</f>
        <v>Trsf</v>
      </c>
      <c r="S369" s="1" t="s">
        <v>453</v>
      </c>
    </row>
    <row r="370" spans="1:19" hidden="1" x14ac:dyDescent="0.3">
      <c r="A370" s="4">
        <v>44492</v>
      </c>
      <c r="B370" s="5">
        <f t="shared" si="64"/>
        <v>10</v>
      </c>
      <c r="C370" s="5">
        <f t="shared" si="65"/>
        <v>2021</v>
      </c>
      <c r="D370" s="5" t="s">
        <v>442</v>
      </c>
      <c r="E370" s="5" t="str">
        <f>VLOOKUP(F370,'Set up'!$A$2:$C$48,2,FALSE)</f>
        <v>C00000008</v>
      </c>
      <c r="F370" s="1" t="s">
        <v>52</v>
      </c>
      <c r="G370" s="11" t="s">
        <v>24</v>
      </c>
      <c r="H370" s="5">
        <v>4</v>
      </c>
      <c r="I370" s="5" t="str">
        <f>VLOOKUP(F370,'Set up'!$A$2:$C$48,3,FALSE)</f>
        <v>Cash</v>
      </c>
      <c r="J370" s="5">
        <f>VLOOKUP(F370,'Set up'!$A$2:$D$48,4,FALSE)</f>
        <v>0</v>
      </c>
      <c r="K370" s="4">
        <f t="shared" si="69"/>
        <v>44492</v>
      </c>
      <c r="L370" s="5">
        <f t="shared" si="67"/>
        <v>10</v>
      </c>
      <c r="M370" s="5">
        <f t="shared" si="68"/>
        <v>2021</v>
      </c>
      <c r="N370" s="6">
        <v>960</v>
      </c>
      <c r="O370" s="6">
        <f t="shared" si="63"/>
        <v>-960</v>
      </c>
      <c r="P370" s="6">
        <f t="shared" si="66"/>
        <v>0</v>
      </c>
      <c r="Q370" s="7">
        <f t="shared" si="62"/>
        <v>542339.75</v>
      </c>
      <c r="R370" s="44" t="str">
        <f>VLOOKUP(F370,'Set up'!$A$2:$E$48,5,FALSE)</f>
        <v>Trsf</v>
      </c>
      <c r="S370" s="1" t="s">
        <v>453</v>
      </c>
    </row>
    <row r="371" spans="1:19" ht="28.8" hidden="1" x14ac:dyDescent="0.3">
      <c r="A371" s="4">
        <v>44495</v>
      </c>
      <c r="B371" s="5">
        <f t="shared" si="64"/>
        <v>10</v>
      </c>
      <c r="C371" s="5">
        <f t="shared" si="65"/>
        <v>2021</v>
      </c>
      <c r="D371" s="5" t="s">
        <v>443</v>
      </c>
      <c r="E371" s="5" t="str">
        <f>VLOOKUP(F371,'Set up'!$A$2:$C$48,2,FALSE)</f>
        <v>C00000001</v>
      </c>
      <c r="F371" s="1" t="s">
        <v>7</v>
      </c>
      <c r="G371" s="74" t="s">
        <v>67</v>
      </c>
      <c r="H371" s="5">
        <v>2</v>
      </c>
      <c r="I371" s="5" t="str">
        <f>VLOOKUP(F371,'Set up'!$A$2:$C$48,3,FALSE)</f>
        <v>Cash</v>
      </c>
      <c r="J371" s="5">
        <f>VLOOKUP(F371,'Set up'!$A$2:$D$48,4,FALSE)</f>
        <v>0</v>
      </c>
      <c r="K371" s="4">
        <f t="shared" si="69"/>
        <v>44495</v>
      </c>
      <c r="L371" s="5">
        <f t="shared" si="67"/>
        <v>10</v>
      </c>
      <c r="M371" s="5">
        <f t="shared" si="68"/>
        <v>2021</v>
      </c>
      <c r="N371" s="6">
        <v>3740</v>
      </c>
      <c r="O371" s="6">
        <f t="shared" si="63"/>
        <v>-3740</v>
      </c>
      <c r="P371" s="6">
        <f t="shared" si="66"/>
        <v>0</v>
      </c>
      <c r="Q371" s="7">
        <f t="shared" si="62"/>
        <v>546079.75</v>
      </c>
      <c r="R371" s="44" t="str">
        <f>VLOOKUP(F371,'Set up'!$A$2:$E$48,5,FALSE)</f>
        <v>Trsf</v>
      </c>
      <c r="S371" s="1" t="s">
        <v>451</v>
      </c>
    </row>
    <row r="372" spans="1:19" ht="46.8" hidden="1" x14ac:dyDescent="0.3">
      <c r="A372" s="4">
        <v>44495</v>
      </c>
      <c r="B372" s="5">
        <f t="shared" si="64"/>
        <v>10</v>
      </c>
      <c r="C372" s="5">
        <f t="shared" si="65"/>
        <v>2021</v>
      </c>
      <c r="D372" s="5" t="s">
        <v>443</v>
      </c>
      <c r="E372" s="5" t="str">
        <f>VLOOKUP(F372,'Set up'!$A$2:$C$48,2,FALSE)</f>
        <v>C00000001</v>
      </c>
      <c r="F372" s="1" t="s">
        <v>7</v>
      </c>
      <c r="G372" s="79" t="s">
        <v>220</v>
      </c>
      <c r="H372" s="5">
        <v>8</v>
      </c>
      <c r="I372" s="5" t="str">
        <f>VLOOKUP(F372,'Set up'!$A$2:$C$48,3,FALSE)</f>
        <v>Cash</v>
      </c>
      <c r="J372" s="5">
        <f>VLOOKUP(F372,'Set up'!$A$2:$D$48,4,FALSE)</f>
        <v>0</v>
      </c>
      <c r="K372" s="4">
        <f t="shared" si="69"/>
        <v>44495</v>
      </c>
      <c r="L372" s="5">
        <f t="shared" si="67"/>
        <v>10</v>
      </c>
      <c r="M372" s="5">
        <f t="shared" si="68"/>
        <v>2021</v>
      </c>
      <c r="N372" s="6">
        <v>2516</v>
      </c>
      <c r="O372" s="6">
        <f t="shared" si="63"/>
        <v>-2516</v>
      </c>
      <c r="P372" s="6">
        <f t="shared" si="66"/>
        <v>0</v>
      </c>
      <c r="Q372" s="7">
        <f t="shared" si="62"/>
        <v>548595.75</v>
      </c>
      <c r="R372" s="44" t="str">
        <f>VLOOKUP(F372,'Set up'!$A$2:$E$48,5,FALSE)</f>
        <v>Trsf</v>
      </c>
      <c r="S372" s="1" t="s">
        <v>451</v>
      </c>
    </row>
    <row r="373" spans="1:19" hidden="1" x14ac:dyDescent="0.3">
      <c r="A373" s="4">
        <v>44495</v>
      </c>
      <c r="B373" s="5">
        <f t="shared" si="64"/>
        <v>10</v>
      </c>
      <c r="C373" s="5">
        <f t="shared" si="65"/>
        <v>2021</v>
      </c>
      <c r="D373" s="5" t="s">
        <v>443</v>
      </c>
      <c r="E373" s="5" t="str">
        <f>VLOOKUP(F373,'Set up'!$A$2:$C$48,2,FALSE)</f>
        <v>C00000001</v>
      </c>
      <c r="F373" s="1" t="s">
        <v>7</v>
      </c>
      <c r="G373" s="56" t="s">
        <v>46</v>
      </c>
      <c r="H373" s="5">
        <v>4</v>
      </c>
      <c r="I373" s="5" t="str">
        <f>VLOOKUP(F373,'Set up'!$A$2:$C$48,3,FALSE)</f>
        <v>Cash</v>
      </c>
      <c r="J373" s="5">
        <f>VLOOKUP(F373,'Set up'!$A$2:$D$48,4,FALSE)</f>
        <v>0</v>
      </c>
      <c r="K373" s="4">
        <f t="shared" si="69"/>
        <v>44495</v>
      </c>
      <c r="L373" s="5">
        <f t="shared" si="67"/>
        <v>10</v>
      </c>
      <c r="M373" s="5">
        <f t="shared" si="68"/>
        <v>2021</v>
      </c>
      <c r="N373" s="6">
        <v>400</v>
      </c>
      <c r="O373" s="6">
        <f t="shared" si="63"/>
        <v>-400</v>
      </c>
      <c r="P373" s="6">
        <f t="shared" si="66"/>
        <v>0</v>
      </c>
      <c r="Q373" s="7">
        <f t="shared" si="62"/>
        <v>548995.75</v>
      </c>
      <c r="R373" s="44" t="str">
        <f>VLOOKUP(F373,'Set up'!$A$2:$E$48,5,FALSE)</f>
        <v>Trsf</v>
      </c>
      <c r="S373" s="1" t="s">
        <v>451</v>
      </c>
    </row>
    <row r="374" spans="1:19" hidden="1" x14ac:dyDescent="0.3">
      <c r="A374" s="4">
        <v>44495</v>
      </c>
      <c r="B374" s="5">
        <f t="shared" si="64"/>
        <v>10</v>
      </c>
      <c r="C374" s="5">
        <f t="shared" si="65"/>
        <v>2021</v>
      </c>
      <c r="D374" s="5" t="s">
        <v>443</v>
      </c>
      <c r="E374" s="5" t="str">
        <f>VLOOKUP(F374,'Set up'!$A$2:$C$48,2,FALSE)</f>
        <v>C00000001</v>
      </c>
      <c r="F374" s="1" t="s">
        <v>7</v>
      </c>
      <c r="G374" s="56" t="s">
        <v>241</v>
      </c>
      <c r="H374" s="5">
        <v>1</v>
      </c>
      <c r="I374" s="5" t="str">
        <f>VLOOKUP(F374,'Set up'!$A$2:$C$48,3,FALSE)</f>
        <v>Cash</v>
      </c>
      <c r="J374" s="5">
        <f>VLOOKUP(F374,'Set up'!$A$2:$D$48,4,FALSE)</f>
        <v>0</v>
      </c>
      <c r="K374" s="4">
        <f t="shared" si="69"/>
        <v>44495</v>
      </c>
      <c r="L374" s="5">
        <f t="shared" si="67"/>
        <v>10</v>
      </c>
      <c r="M374" s="5">
        <f t="shared" si="68"/>
        <v>2021</v>
      </c>
      <c r="N374" s="6">
        <v>0</v>
      </c>
      <c r="O374" s="6">
        <f t="shared" si="63"/>
        <v>0</v>
      </c>
      <c r="P374" s="6">
        <f t="shared" si="66"/>
        <v>0</v>
      </c>
      <c r="Q374" s="7">
        <f t="shared" si="62"/>
        <v>548995.75</v>
      </c>
      <c r="R374" s="44" t="str">
        <f>VLOOKUP(F374,'Set up'!$A$2:$E$48,5,FALSE)</f>
        <v>Trsf</v>
      </c>
    </row>
    <row r="375" spans="1:19" ht="28.8" x14ac:dyDescent="0.3">
      <c r="A375" s="4">
        <v>44495</v>
      </c>
      <c r="B375" s="5">
        <f t="shared" si="64"/>
        <v>10</v>
      </c>
      <c r="C375" s="5">
        <f t="shared" si="65"/>
        <v>2021</v>
      </c>
      <c r="D375" s="5" t="s">
        <v>444</v>
      </c>
      <c r="E375" s="5" t="str">
        <f>VLOOKUP(F375,'Set up'!$A$2:$C$48,2,FALSE)</f>
        <v>C00000020</v>
      </c>
      <c r="F375" s="1" t="s">
        <v>410</v>
      </c>
      <c r="G375" s="74" t="s">
        <v>67</v>
      </c>
      <c r="H375" s="5">
        <v>2</v>
      </c>
      <c r="I375" s="5" t="str">
        <f>VLOOKUP(F375,'Set up'!$A$2:$C$48,3,FALSE)</f>
        <v>Cash</v>
      </c>
      <c r="J375" s="5">
        <f>VLOOKUP(F375,'Set up'!$A$2:$D$48,4,FALSE)</f>
        <v>0</v>
      </c>
      <c r="K375" s="4">
        <f t="shared" si="69"/>
        <v>44495</v>
      </c>
      <c r="L375" s="5">
        <f t="shared" si="67"/>
        <v>10</v>
      </c>
      <c r="M375" s="5">
        <f t="shared" si="68"/>
        <v>2021</v>
      </c>
      <c r="N375" s="6">
        <v>3916</v>
      </c>
      <c r="O375" s="6">
        <f t="shared" si="63"/>
        <v>-3916</v>
      </c>
      <c r="P375" s="6">
        <f t="shared" si="66"/>
        <v>0</v>
      </c>
      <c r="Q375" s="7">
        <f t="shared" si="62"/>
        <v>552911.75</v>
      </c>
      <c r="R375" s="44" t="str">
        <f>VLOOKUP(F375,'Set up'!$A$2:$E$48,5,FALSE)</f>
        <v>Trsf</v>
      </c>
      <c r="S375" s="1" t="s">
        <v>495</v>
      </c>
    </row>
    <row r="376" spans="1:19" ht="46.8" x14ac:dyDescent="0.3">
      <c r="A376" s="4">
        <v>44495</v>
      </c>
      <c r="B376" s="5">
        <f t="shared" si="64"/>
        <v>10</v>
      </c>
      <c r="C376" s="5">
        <f t="shared" si="65"/>
        <v>2021</v>
      </c>
      <c r="D376" s="5" t="s">
        <v>444</v>
      </c>
      <c r="E376" s="5" t="str">
        <f>VLOOKUP(F376,'Set up'!$A$2:$C$48,2,FALSE)</f>
        <v>C00000020</v>
      </c>
      <c r="F376" s="1" t="s">
        <v>410</v>
      </c>
      <c r="G376" s="74" t="s">
        <v>95</v>
      </c>
      <c r="H376" s="5">
        <v>2</v>
      </c>
      <c r="I376" s="5" t="str">
        <f>VLOOKUP(F376,'Set up'!$A$2:$C$48,3,FALSE)</f>
        <v>Cash</v>
      </c>
      <c r="J376" s="5">
        <f>VLOOKUP(F376,'Set up'!$A$2:$D$48,4,FALSE)</f>
        <v>0</v>
      </c>
      <c r="K376" s="4">
        <f t="shared" si="69"/>
        <v>44495</v>
      </c>
      <c r="L376" s="5">
        <f t="shared" si="67"/>
        <v>10</v>
      </c>
      <c r="M376" s="5">
        <f t="shared" si="68"/>
        <v>2021</v>
      </c>
      <c r="N376" s="6">
        <v>3916</v>
      </c>
      <c r="O376" s="6">
        <f>-3084-832</f>
        <v>-3916</v>
      </c>
      <c r="P376" s="6">
        <f t="shared" si="66"/>
        <v>0</v>
      </c>
      <c r="Q376" s="7">
        <f t="shared" si="62"/>
        <v>556827.75</v>
      </c>
      <c r="R376" s="44" t="str">
        <f>VLOOKUP(F376,'Set up'!$A$2:$E$48,5,FALSE)</f>
        <v>Trsf</v>
      </c>
      <c r="S376" s="40" t="s">
        <v>519</v>
      </c>
    </row>
    <row r="377" spans="1:19" ht="46.8" x14ac:dyDescent="0.3">
      <c r="A377" s="4">
        <v>44495</v>
      </c>
      <c r="B377" s="5">
        <f t="shared" si="64"/>
        <v>10</v>
      </c>
      <c r="C377" s="5">
        <f t="shared" si="65"/>
        <v>2021</v>
      </c>
      <c r="D377" s="5" t="s">
        <v>444</v>
      </c>
      <c r="E377" s="5" t="str">
        <f>VLOOKUP(F377,'Set up'!$A$2:$C$48,2,FALSE)</f>
        <v>C00000020</v>
      </c>
      <c r="F377" s="1" t="s">
        <v>410</v>
      </c>
      <c r="G377" s="79" t="s">
        <v>220</v>
      </c>
      <c r="H377" s="5">
        <v>14</v>
      </c>
      <c r="I377" s="5" t="str">
        <f>VLOOKUP(F377,'Set up'!$A$2:$C$48,3,FALSE)</f>
        <v>Cash</v>
      </c>
      <c r="J377" s="5">
        <f>VLOOKUP(F377,'Set up'!$A$2:$D$48,4,FALSE)</f>
        <v>0</v>
      </c>
      <c r="K377" s="4">
        <f t="shared" si="69"/>
        <v>44495</v>
      </c>
      <c r="L377" s="5">
        <f t="shared" si="67"/>
        <v>10</v>
      </c>
      <c r="M377" s="5">
        <f t="shared" si="68"/>
        <v>2021</v>
      </c>
      <c r="N377" s="6">
        <v>4610.2</v>
      </c>
      <c r="O377" s="6">
        <f>-2168-2442.2</f>
        <v>-4610.2</v>
      </c>
      <c r="P377" s="6">
        <f t="shared" si="66"/>
        <v>0</v>
      </c>
      <c r="Q377" s="7">
        <f t="shared" si="62"/>
        <v>561437.94999999995</v>
      </c>
      <c r="R377" s="44" t="str">
        <f>VLOOKUP(F377,'Set up'!$A$2:$E$48,5,FALSE)</f>
        <v>Trsf</v>
      </c>
      <c r="S377" s="40" t="s">
        <v>520</v>
      </c>
    </row>
    <row r="378" spans="1:19" ht="28.8" x14ac:dyDescent="0.3">
      <c r="A378" s="4">
        <v>44495</v>
      </c>
      <c r="B378" s="5">
        <f t="shared" si="64"/>
        <v>10</v>
      </c>
      <c r="C378" s="5">
        <f t="shared" si="65"/>
        <v>2021</v>
      </c>
      <c r="D378" s="5" t="s">
        <v>444</v>
      </c>
      <c r="E378" s="5" t="str">
        <f>VLOOKUP(F378,'Set up'!$A$2:$C$48,2,FALSE)</f>
        <v>C00000020</v>
      </c>
      <c r="F378" s="1" t="s">
        <v>410</v>
      </c>
      <c r="G378" s="74" t="s">
        <v>64</v>
      </c>
      <c r="H378" s="5">
        <v>6</v>
      </c>
      <c r="I378" s="5" t="str">
        <f>VLOOKUP(F378,'Set up'!$A$2:$C$48,3,FALSE)</f>
        <v>Cash</v>
      </c>
      <c r="J378" s="5">
        <f>VLOOKUP(F378,'Set up'!$A$2:$D$48,4,FALSE)</f>
        <v>0</v>
      </c>
      <c r="K378" s="4">
        <f t="shared" si="69"/>
        <v>44495</v>
      </c>
      <c r="L378" s="5">
        <f t="shared" si="67"/>
        <v>10</v>
      </c>
      <c r="M378" s="5">
        <f t="shared" si="68"/>
        <v>2021</v>
      </c>
      <c r="N378" s="6">
        <v>375</v>
      </c>
      <c r="O378" s="6">
        <f t="shared" ref="O378:O395" si="70">-N378</f>
        <v>-375</v>
      </c>
      <c r="P378" s="6">
        <f t="shared" si="66"/>
        <v>0</v>
      </c>
      <c r="Q378" s="7">
        <f t="shared" si="62"/>
        <v>561812.94999999995</v>
      </c>
      <c r="R378" s="44" t="str">
        <f>VLOOKUP(F378,'Set up'!$A$2:$E$48,5,FALSE)</f>
        <v>Trsf</v>
      </c>
      <c r="S378" s="1" t="s">
        <v>521</v>
      </c>
    </row>
    <row r="379" spans="1:19" ht="43.2" x14ac:dyDescent="0.3">
      <c r="A379" s="4">
        <v>44495</v>
      </c>
      <c r="B379" s="5">
        <f t="shared" si="64"/>
        <v>10</v>
      </c>
      <c r="C379" s="5">
        <f t="shared" si="65"/>
        <v>2021</v>
      </c>
      <c r="D379" s="5" t="s">
        <v>444</v>
      </c>
      <c r="E379" s="5" t="str">
        <f>VLOOKUP(F379,'Set up'!$A$2:$C$48,2,FALSE)</f>
        <v>C00000020</v>
      </c>
      <c r="F379" s="1" t="s">
        <v>410</v>
      </c>
      <c r="G379" s="74" t="s">
        <v>415</v>
      </c>
      <c r="H379" s="5">
        <v>9</v>
      </c>
      <c r="I379" s="5" t="str">
        <f>VLOOKUP(F379,'Set up'!$A$2:$C$48,3,FALSE)</f>
        <v>Cash</v>
      </c>
      <c r="J379" s="5">
        <f>VLOOKUP(F379,'Set up'!$A$2:$D$48,4,FALSE)</f>
        <v>0</v>
      </c>
      <c r="K379" s="4">
        <f t="shared" si="69"/>
        <v>44495</v>
      </c>
      <c r="L379" s="5">
        <f t="shared" si="67"/>
        <v>10</v>
      </c>
      <c r="M379" s="5">
        <f t="shared" si="68"/>
        <v>2021</v>
      </c>
      <c r="N379" s="6">
        <v>3159</v>
      </c>
      <c r="O379" s="6">
        <f t="shared" si="70"/>
        <v>-3159</v>
      </c>
      <c r="P379" s="6">
        <f t="shared" si="66"/>
        <v>0</v>
      </c>
      <c r="Q379" s="7">
        <f t="shared" si="62"/>
        <v>564971.94999999995</v>
      </c>
      <c r="R379" s="44" t="str">
        <f>VLOOKUP(F379,'Set up'!$A$2:$E$48,5,FALSE)</f>
        <v>Trsf</v>
      </c>
      <c r="S379" s="1" t="s">
        <v>521</v>
      </c>
    </row>
    <row r="380" spans="1:19" ht="28.8" x14ac:dyDescent="0.3">
      <c r="A380" s="4">
        <v>44495</v>
      </c>
      <c r="B380" s="5">
        <f t="shared" si="64"/>
        <v>10</v>
      </c>
      <c r="C380" s="5">
        <f t="shared" si="65"/>
        <v>2021</v>
      </c>
      <c r="D380" s="5" t="s">
        <v>444</v>
      </c>
      <c r="E380" s="5" t="str">
        <f>VLOOKUP(F380,'Set up'!$A$2:$C$48,2,FALSE)</f>
        <v>C00000020</v>
      </c>
      <c r="F380" s="1" t="s">
        <v>410</v>
      </c>
      <c r="G380" s="74" t="s">
        <v>430</v>
      </c>
      <c r="H380" s="5">
        <v>1</v>
      </c>
      <c r="I380" s="5" t="str">
        <f>VLOOKUP(F380,'Set up'!$A$2:$C$48,3,FALSE)</f>
        <v>Cash</v>
      </c>
      <c r="J380" s="5">
        <f>VLOOKUP(F380,'Set up'!$A$2:$D$48,4,FALSE)</f>
        <v>0</v>
      </c>
      <c r="K380" s="4">
        <f t="shared" si="69"/>
        <v>44495</v>
      </c>
      <c r="L380" s="5">
        <f t="shared" si="67"/>
        <v>10</v>
      </c>
      <c r="M380" s="5">
        <f t="shared" si="68"/>
        <v>2021</v>
      </c>
      <c r="N380" s="6">
        <v>1000</v>
      </c>
      <c r="O380" s="6">
        <f t="shared" si="70"/>
        <v>-1000</v>
      </c>
      <c r="P380" s="6">
        <f t="shared" si="66"/>
        <v>0</v>
      </c>
      <c r="Q380" s="7">
        <f t="shared" si="62"/>
        <v>565971.94999999995</v>
      </c>
      <c r="R380" s="44" t="str">
        <f>VLOOKUP(F380,'Set up'!$A$2:$E$48,5,FALSE)</f>
        <v>Trsf</v>
      </c>
      <c r="S380" s="1" t="s">
        <v>521</v>
      </c>
    </row>
    <row r="381" spans="1:19" ht="46.8" hidden="1" x14ac:dyDescent="0.3">
      <c r="A381" s="4">
        <v>44497</v>
      </c>
      <c r="B381" s="5">
        <f t="shared" si="64"/>
        <v>10</v>
      </c>
      <c r="C381" s="5">
        <f t="shared" si="65"/>
        <v>2021</v>
      </c>
      <c r="D381" s="5" t="s">
        <v>445</v>
      </c>
      <c r="E381" s="5" t="str">
        <f>VLOOKUP(F381,'Set up'!$A$2:$C$48,2,FALSE)</f>
        <v>C00000008</v>
      </c>
      <c r="F381" s="1" t="s">
        <v>52</v>
      </c>
      <c r="G381" s="79" t="s">
        <v>220</v>
      </c>
      <c r="H381" s="5">
        <v>2</v>
      </c>
      <c r="I381" s="5" t="str">
        <f>VLOOKUP(F381,'Set up'!$A$2:$C$48,3,FALSE)</f>
        <v>Cash</v>
      </c>
      <c r="J381" s="5">
        <f>VLOOKUP(F381,'Set up'!$A$2:$D$48,4,FALSE)</f>
        <v>0</v>
      </c>
      <c r="K381" s="4">
        <f t="shared" si="69"/>
        <v>44497</v>
      </c>
      <c r="L381" s="5">
        <f t="shared" si="67"/>
        <v>10</v>
      </c>
      <c r="M381" s="5">
        <f t="shared" si="68"/>
        <v>2021</v>
      </c>
      <c r="N381" s="6">
        <v>510</v>
      </c>
      <c r="O381" s="6">
        <f t="shared" si="70"/>
        <v>-510</v>
      </c>
      <c r="P381" s="34">
        <f t="shared" si="66"/>
        <v>0</v>
      </c>
      <c r="Q381" s="7">
        <f t="shared" si="62"/>
        <v>566481.94999999995</v>
      </c>
      <c r="R381" s="44" t="str">
        <f>VLOOKUP(F381,'Set up'!$A$2:$E$48,5,FALSE)</f>
        <v>Trsf</v>
      </c>
      <c r="S381" s="1" t="s">
        <v>582</v>
      </c>
    </row>
    <row r="382" spans="1:19" ht="28.8" x14ac:dyDescent="0.3">
      <c r="A382" s="4">
        <v>44496</v>
      </c>
      <c r="B382" s="5">
        <f t="shared" si="64"/>
        <v>10</v>
      </c>
      <c r="C382" s="5">
        <f t="shared" si="65"/>
        <v>2021</v>
      </c>
      <c r="D382" s="5" t="s">
        <v>446</v>
      </c>
      <c r="E382" s="5" t="str">
        <f>VLOOKUP(F382,'Set up'!$A$2:$C$48,2,FALSE)</f>
        <v>C00000020</v>
      </c>
      <c r="F382" s="1" t="s">
        <v>410</v>
      </c>
      <c r="G382" s="74" t="s">
        <v>67</v>
      </c>
      <c r="H382" s="5">
        <v>3</v>
      </c>
      <c r="I382" s="5" t="str">
        <f>VLOOKUP(F382,'Set up'!$A$2:$C$48,3,FALSE)</f>
        <v>Cash</v>
      </c>
      <c r="J382" s="5">
        <f>VLOOKUP(F382,'Set up'!$A$2:$D$48,4,FALSE)</f>
        <v>0</v>
      </c>
      <c r="K382" s="4">
        <f t="shared" si="69"/>
        <v>44496</v>
      </c>
      <c r="L382" s="5">
        <f t="shared" si="67"/>
        <v>10</v>
      </c>
      <c r="M382" s="5">
        <f t="shared" si="68"/>
        <v>2021</v>
      </c>
      <c r="N382" s="6">
        <v>5874</v>
      </c>
      <c r="O382" s="6">
        <f t="shared" si="70"/>
        <v>-5874</v>
      </c>
      <c r="P382" s="6">
        <f t="shared" si="66"/>
        <v>0</v>
      </c>
      <c r="Q382" s="7">
        <f t="shared" si="62"/>
        <v>572355.94999999995</v>
      </c>
      <c r="R382" s="44" t="str">
        <f>VLOOKUP(F382,'Set up'!$A$2:$E$48,5,FALSE)</f>
        <v>Trsf</v>
      </c>
      <c r="S382" s="1" t="s">
        <v>521</v>
      </c>
    </row>
    <row r="383" spans="1:19" hidden="1" x14ac:dyDescent="0.3">
      <c r="A383" s="4">
        <v>44497</v>
      </c>
      <c r="B383" s="5">
        <f t="shared" si="64"/>
        <v>10</v>
      </c>
      <c r="C383" s="5">
        <f t="shared" si="65"/>
        <v>2021</v>
      </c>
      <c r="D383" s="5" t="s">
        <v>447</v>
      </c>
      <c r="E383" s="5" t="str">
        <f>VLOOKUP(F383,'Set up'!$A$2:$C$48,2,FALSE)</f>
        <v>C00000010</v>
      </c>
      <c r="F383" s="1" t="s">
        <v>62</v>
      </c>
      <c r="G383" s="56" t="s">
        <v>304</v>
      </c>
      <c r="H383" s="5">
        <v>6</v>
      </c>
      <c r="I383" s="5">
        <f>VLOOKUP(F383,'Set up'!$A$2:$C$48,3,FALSE)</f>
        <v>120</v>
      </c>
      <c r="J383" s="5">
        <f>VLOOKUP(F383,'Set up'!$A$2:$D$48,4,FALSE)</f>
        <v>120</v>
      </c>
      <c r="K383" s="4">
        <f t="shared" si="69"/>
        <v>44617</v>
      </c>
      <c r="L383" s="5">
        <f t="shared" si="67"/>
        <v>2</v>
      </c>
      <c r="M383" s="5">
        <f t="shared" si="68"/>
        <v>2022</v>
      </c>
      <c r="N383" s="6">
        <v>11748</v>
      </c>
      <c r="O383" s="6">
        <f t="shared" si="70"/>
        <v>-11748</v>
      </c>
      <c r="P383" s="6">
        <f t="shared" si="66"/>
        <v>0</v>
      </c>
      <c r="Q383" s="7">
        <f t="shared" si="62"/>
        <v>584103.94999999995</v>
      </c>
      <c r="R383" s="44" t="str">
        <f>VLOOKUP(F383,'Set up'!$A$2:$E$48,5,FALSE)</f>
        <v>Trsf</v>
      </c>
      <c r="S383" s="1" t="s">
        <v>578</v>
      </c>
    </row>
    <row r="384" spans="1:19" hidden="1" x14ac:dyDescent="0.3">
      <c r="A384" s="4">
        <v>44497</v>
      </c>
      <c r="B384" s="5">
        <f t="shared" si="64"/>
        <v>10</v>
      </c>
      <c r="C384" s="5">
        <f t="shared" si="65"/>
        <v>2021</v>
      </c>
      <c r="D384" s="5" t="s">
        <v>447</v>
      </c>
      <c r="E384" s="5" t="str">
        <f>VLOOKUP(F384,'Set up'!$A$2:$C$48,2,FALSE)</f>
        <v>C00000010</v>
      </c>
      <c r="F384" s="1" t="s">
        <v>62</v>
      </c>
      <c r="G384" s="56" t="s">
        <v>449</v>
      </c>
      <c r="H384" s="5">
        <v>6</v>
      </c>
      <c r="I384" s="5">
        <f>VLOOKUP(F384,'Set up'!$A$2:$C$48,3,FALSE)</f>
        <v>120</v>
      </c>
      <c r="J384" s="5">
        <f>VLOOKUP(F384,'Set up'!$A$2:$D$48,4,FALSE)</f>
        <v>120</v>
      </c>
      <c r="K384" s="4">
        <f t="shared" si="69"/>
        <v>44617</v>
      </c>
      <c r="L384" s="5">
        <f t="shared" si="67"/>
        <v>2</v>
      </c>
      <c r="M384" s="5">
        <f t="shared" si="68"/>
        <v>2022</v>
      </c>
      <c r="N384" s="6">
        <v>1975.8</v>
      </c>
      <c r="O384" s="6">
        <f t="shared" si="70"/>
        <v>-1975.8</v>
      </c>
      <c r="P384" s="6">
        <f t="shared" si="66"/>
        <v>0</v>
      </c>
      <c r="Q384" s="7">
        <f t="shared" si="62"/>
        <v>586079.75</v>
      </c>
      <c r="R384" s="44" t="str">
        <f>VLOOKUP(F384,'Set up'!$A$2:$E$48,5,FALSE)</f>
        <v>Trsf</v>
      </c>
      <c r="S384" s="1" t="s">
        <v>578</v>
      </c>
    </row>
    <row r="385" spans="1:19" hidden="1" x14ac:dyDescent="0.3">
      <c r="A385" s="4">
        <v>44497</v>
      </c>
      <c r="B385" s="5">
        <f t="shared" si="64"/>
        <v>10</v>
      </c>
      <c r="C385" s="5">
        <f t="shared" si="65"/>
        <v>2021</v>
      </c>
      <c r="D385" s="5" t="s">
        <v>448</v>
      </c>
      <c r="E385" s="5" t="str">
        <f>VLOOKUP(F385,'Set up'!$A$2:$C$48,2,FALSE)</f>
        <v>C00000019</v>
      </c>
      <c r="F385" s="1" t="s">
        <v>401</v>
      </c>
      <c r="G385" s="11" t="s">
        <v>293</v>
      </c>
      <c r="H385" s="5">
        <v>2</v>
      </c>
      <c r="I385" s="5" t="str">
        <f>VLOOKUP(F385,'Set up'!$A$2:$C$48,3,FALSE)</f>
        <v>Cash</v>
      </c>
      <c r="J385" s="5">
        <f>VLOOKUP(F385,'Set up'!$A$2:$D$48,4,FALSE)</f>
        <v>0</v>
      </c>
      <c r="K385" s="4">
        <f t="shared" si="69"/>
        <v>44497</v>
      </c>
      <c r="L385" s="5">
        <f t="shared" si="67"/>
        <v>10</v>
      </c>
      <c r="M385" s="5">
        <f t="shared" si="68"/>
        <v>2021</v>
      </c>
      <c r="N385" s="6">
        <v>720</v>
      </c>
      <c r="O385" s="6">
        <f t="shared" si="70"/>
        <v>-720</v>
      </c>
      <c r="P385" s="6">
        <f t="shared" si="66"/>
        <v>0</v>
      </c>
      <c r="Q385" s="7">
        <f t="shared" si="62"/>
        <v>586799.75</v>
      </c>
      <c r="R385" s="44" t="str">
        <f>VLOOKUP(F385,'Set up'!$A$2:$E$48,5,FALSE)</f>
        <v>Trsf</v>
      </c>
      <c r="S385" s="1" t="s">
        <v>452</v>
      </c>
    </row>
    <row r="386" spans="1:19" hidden="1" x14ac:dyDescent="0.3">
      <c r="A386" s="4">
        <v>44499</v>
      </c>
      <c r="B386" s="5">
        <f t="shared" si="64"/>
        <v>10</v>
      </c>
      <c r="C386" s="5">
        <f t="shared" si="65"/>
        <v>2021</v>
      </c>
      <c r="D386" s="5" t="s">
        <v>450</v>
      </c>
      <c r="E386" s="5" t="str">
        <f>VLOOKUP(F386,'Set up'!$A$2:$C$48,2,FALSE)</f>
        <v>C00000010</v>
      </c>
      <c r="F386" s="1" t="s">
        <v>62</v>
      </c>
      <c r="G386" s="56" t="s">
        <v>304</v>
      </c>
      <c r="H386" s="5">
        <v>4</v>
      </c>
      <c r="I386" s="5">
        <f>VLOOKUP(F386,'Set up'!$A$2:$C$48,3,FALSE)</f>
        <v>120</v>
      </c>
      <c r="J386" s="5">
        <f>VLOOKUP(F386,'Set up'!$A$2:$D$48,4,FALSE)</f>
        <v>120</v>
      </c>
      <c r="K386" s="4">
        <f t="shared" si="69"/>
        <v>44619</v>
      </c>
      <c r="L386" s="5">
        <f t="shared" si="67"/>
        <v>2</v>
      </c>
      <c r="M386" s="5">
        <f t="shared" si="68"/>
        <v>2022</v>
      </c>
      <c r="N386" s="6">
        <v>7832</v>
      </c>
      <c r="O386" s="6">
        <f t="shared" si="70"/>
        <v>-7832</v>
      </c>
      <c r="P386" s="6">
        <f t="shared" si="66"/>
        <v>0</v>
      </c>
      <c r="Q386" s="7">
        <f t="shared" si="62"/>
        <v>594631.75</v>
      </c>
      <c r="R386" s="44" t="str">
        <f>VLOOKUP(F386,'Set up'!$A$2:$E$48,5,FALSE)</f>
        <v>Trsf</v>
      </c>
      <c r="S386" s="1" t="s">
        <v>578</v>
      </c>
    </row>
    <row r="387" spans="1:19" hidden="1" x14ac:dyDescent="0.3">
      <c r="A387" s="4">
        <v>44499</v>
      </c>
      <c r="B387" s="5">
        <f t="shared" si="64"/>
        <v>10</v>
      </c>
      <c r="C387" s="5">
        <f t="shared" si="65"/>
        <v>2021</v>
      </c>
      <c r="D387" s="5" t="s">
        <v>450</v>
      </c>
      <c r="E387" s="5" t="str">
        <f>VLOOKUP(F387,'Set up'!$A$2:$C$48,2,FALSE)</f>
        <v>C00000010</v>
      </c>
      <c r="F387" s="1" t="s">
        <v>62</v>
      </c>
      <c r="G387" s="56" t="s">
        <v>449</v>
      </c>
      <c r="H387" s="5">
        <v>4</v>
      </c>
      <c r="I387" s="5">
        <f>VLOOKUP(F387,'Set up'!$A$2:$C$48,3,FALSE)</f>
        <v>120</v>
      </c>
      <c r="J387" s="5">
        <f>VLOOKUP(F387,'Set up'!$A$2:$D$48,4,FALSE)</f>
        <v>120</v>
      </c>
      <c r="K387" s="4">
        <f t="shared" ref="K387:K405" si="71">A387+J387</f>
        <v>44619</v>
      </c>
      <c r="L387" s="5">
        <f t="shared" si="67"/>
        <v>2</v>
      </c>
      <c r="M387" s="5">
        <f t="shared" si="68"/>
        <v>2022</v>
      </c>
      <c r="N387" s="6">
        <v>1317.2</v>
      </c>
      <c r="O387" s="6">
        <f t="shared" si="70"/>
        <v>-1317.2</v>
      </c>
      <c r="P387" s="6">
        <f t="shared" si="66"/>
        <v>0</v>
      </c>
      <c r="Q387" s="7">
        <f t="shared" ref="Q387:Q450" si="72">SUM(Q386+N387)</f>
        <v>595948.94999999995</v>
      </c>
      <c r="R387" s="44" t="str">
        <f>VLOOKUP(F387,'Set up'!$A$2:$E$48,5,FALSE)</f>
        <v>Trsf</v>
      </c>
      <c r="S387" s="1" t="s">
        <v>578</v>
      </c>
    </row>
    <row r="388" spans="1:19" hidden="1" x14ac:dyDescent="0.3">
      <c r="A388" s="4">
        <v>44499</v>
      </c>
      <c r="B388" s="5">
        <f t="shared" si="64"/>
        <v>10</v>
      </c>
      <c r="C388" s="5">
        <f t="shared" si="65"/>
        <v>2021</v>
      </c>
      <c r="D388" s="5" t="s">
        <v>450</v>
      </c>
      <c r="E388" s="5" t="str">
        <f>VLOOKUP(F388,'Set up'!$A$2:$C$48,2,FALSE)</f>
        <v>C00000010</v>
      </c>
      <c r="F388" s="1" t="s">
        <v>62</v>
      </c>
      <c r="G388" s="56" t="s">
        <v>64</v>
      </c>
      <c r="H388" s="5">
        <v>10</v>
      </c>
      <c r="I388" s="5">
        <f>VLOOKUP(F388,'Set up'!$A$2:$C$48,3,FALSE)</f>
        <v>120</v>
      </c>
      <c r="J388" s="5">
        <f>VLOOKUP(F388,'Set up'!$A$2:$D$48,4,FALSE)</f>
        <v>120</v>
      </c>
      <c r="K388" s="4">
        <f t="shared" si="71"/>
        <v>44619</v>
      </c>
      <c r="L388" s="5">
        <f t="shared" si="67"/>
        <v>2</v>
      </c>
      <c r="M388" s="5">
        <f t="shared" si="68"/>
        <v>2022</v>
      </c>
      <c r="N388" s="6">
        <v>550</v>
      </c>
      <c r="O388" s="6">
        <f t="shared" si="70"/>
        <v>-550</v>
      </c>
      <c r="P388" s="6">
        <f t="shared" si="66"/>
        <v>0</v>
      </c>
      <c r="Q388" s="7">
        <f t="shared" si="72"/>
        <v>596498.94999999995</v>
      </c>
      <c r="R388" s="44" t="str">
        <f>VLOOKUP(F388,'Set up'!$A$2:$E$48,5,FALSE)</f>
        <v>Trsf</v>
      </c>
      <c r="S388" s="1" t="s">
        <v>578</v>
      </c>
    </row>
    <row r="389" spans="1:19" hidden="1" x14ac:dyDescent="0.3">
      <c r="A389" s="4">
        <v>44499</v>
      </c>
      <c r="B389" s="5">
        <f t="shared" si="64"/>
        <v>10</v>
      </c>
      <c r="C389" s="5">
        <f t="shared" si="65"/>
        <v>2021</v>
      </c>
      <c r="D389" s="5" t="s">
        <v>450</v>
      </c>
      <c r="E389" s="5" t="str">
        <f>VLOOKUP(F389,'Set up'!$A$2:$C$48,2,FALSE)</f>
        <v>C00000010</v>
      </c>
      <c r="F389" s="1" t="s">
        <v>62</v>
      </c>
      <c r="G389" s="77" t="s">
        <v>382</v>
      </c>
      <c r="H389" s="5">
        <v>4</v>
      </c>
      <c r="I389" s="5">
        <f>VLOOKUP(F389,'Set up'!$A$2:$C$48,3,FALSE)</f>
        <v>120</v>
      </c>
      <c r="J389" s="5">
        <f>VLOOKUP(F389,'Set up'!$A$2:$D$48,4,FALSE)</f>
        <v>120</v>
      </c>
      <c r="K389" s="4">
        <f t="shared" si="71"/>
        <v>44619</v>
      </c>
      <c r="L389" s="5">
        <f t="shared" si="67"/>
        <v>2</v>
      </c>
      <c r="M389" s="5">
        <f t="shared" si="68"/>
        <v>2022</v>
      </c>
      <c r="N389" s="6">
        <v>320</v>
      </c>
      <c r="O389" s="6">
        <f t="shared" si="70"/>
        <v>-320</v>
      </c>
      <c r="P389" s="6">
        <f t="shared" si="66"/>
        <v>0</v>
      </c>
      <c r="Q389" s="7">
        <f t="shared" si="72"/>
        <v>596818.94999999995</v>
      </c>
      <c r="R389" s="44" t="str">
        <f>VLOOKUP(F389,'Set up'!$A$2:$E$48,5,FALSE)</f>
        <v>Trsf</v>
      </c>
      <c r="S389" s="1" t="s">
        <v>578</v>
      </c>
    </row>
    <row r="390" spans="1:19" hidden="1" x14ac:dyDescent="0.3">
      <c r="A390" s="4">
        <v>44501</v>
      </c>
      <c r="B390" s="5">
        <f t="shared" si="64"/>
        <v>11</v>
      </c>
      <c r="C390" s="5">
        <f t="shared" si="65"/>
        <v>2021</v>
      </c>
      <c r="D390" s="5" t="s">
        <v>456</v>
      </c>
      <c r="E390" s="5" t="str">
        <f>VLOOKUP(F390,'Set up'!$A$2:$C$48,2,FALSE)</f>
        <v>C00000005</v>
      </c>
      <c r="F390" s="1" t="s">
        <v>35</v>
      </c>
      <c r="G390" s="80" t="s">
        <v>449</v>
      </c>
      <c r="H390" s="5">
        <v>1</v>
      </c>
      <c r="I390" s="5" t="str">
        <f>VLOOKUP(F390,'Set up'!$A$2:$C$48,3,FALSE)</f>
        <v>Cash</v>
      </c>
      <c r="J390" s="5">
        <f>VLOOKUP(F390,'Set up'!$A$2:$D$48,4,FALSE)</f>
        <v>0</v>
      </c>
      <c r="K390" s="4">
        <f t="shared" si="71"/>
        <v>44501</v>
      </c>
      <c r="L390" s="5">
        <f t="shared" si="67"/>
        <v>11</v>
      </c>
      <c r="M390" s="5">
        <f t="shared" si="68"/>
        <v>2021</v>
      </c>
      <c r="N390" s="6">
        <v>340.4</v>
      </c>
      <c r="O390" s="6">
        <f t="shared" si="70"/>
        <v>-340.4</v>
      </c>
      <c r="P390" s="6">
        <f t="shared" si="66"/>
        <v>0</v>
      </c>
      <c r="Q390" s="7">
        <f t="shared" si="72"/>
        <v>597159.35</v>
      </c>
      <c r="R390" s="44" t="str">
        <f>VLOOKUP(F390,'Set up'!$A$2:$E$48,5,FALSE)</f>
        <v>Chq</v>
      </c>
      <c r="S390" s="1" t="s">
        <v>491</v>
      </c>
    </row>
    <row r="391" spans="1:19" hidden="1" x14ac:dyDescent="0.3">
      <c r="A391" s="4">
        <v>44501</v>
      </c>
      <c r="B391" s="5">
        <f t="shared" si="64"/>
        <v>11</v>
      </c>
      <c r="C391" s="5">
        <f t="shared" si="65"/>
        <v>2021</v>
      </c>
      <c r="D391" s="5" t="s">
        <v>456</v>
      </c>
      <c r="E391" s="5" t="str">
        <f>VLOOKUP(F391,'Set up'!$A$2:$C$48,2,FALSE)</f>
        <v>C00000005</v>
      </c>
      <c r="F391" s="1" t="s">
        <v>35</v>
      </c>
      <c r="G391" s="55" t="s">
        <v>457</v>
      </c>
      <c r="H391" s="5">
        <v>1</v>
      </c>
      <c r="I391" s="5" t="str">
        <f>VLOOKUP(F391,'Set up'!$A$2:$C$48,3,FALSE)</f>
        <v>Cash</v>
      </c>
      <c r="J391" s="5">
        <f>VLOOKUP(F391,'Set up'!$A$2:$D$48,4,FALSE)</f>
        <v>0</v>
      </c>
      <c r="K391" s="4">
        <f t="shared" si="71"/>
        <v>44501</v>
      </c>
      <c r="L391" s="5">
        <f t="shared" si="67"/>
        <v>11</v>
      </c>
      <c r="M391" s="5">
        <f t="shared" si="68"/>
        <v>2021</v>
      </c>
      <c r="N391" s="6">
        <v>40</v>
      </c>
      <c r="O391" s="6">
        <f t="shared" si="70"/>
        <v>-40</v>
      </c>
      <c r="P391" s="6">
        <f t="shared" si="66"/>
        <v>0</v>
      </c>
      <c r="Q391" s="7">
        <f t="shared" si="72"/>
        <v>597199.35</v>
      </c>
      <c r="R391" s="44" t="str">
        <f>VLOOKUP(F391,'Set up'!$A$2:$E$48,5,FALSE)</f>
        <v>Chq</v>
      </c>
      <c r="S391" s="1" t="s">
        <v>491</v>
      </c>
    </row>
    <row r="392" spans="1:19" hidden="1" x14ac:dyDescent="0.3">
      <c r="A392" s="4">
        <v>44502</v>
      </c>
      <c r="B392" s="5">
        <f t="shared" si="64"/>
        <v>11</v>
      </c>
      <c r="C392" s="5">
        <f t="shared" si="65"/>
        <v>2021</v>
      </c>
      <c r="D392" s="5" t="s">
        <v>458</v>
      </c>
      <c r="E392" s="5" t="str">
        <f>VLOOKUP(F392,'Set up'!$A$2:$C$48,2,FALSE)</f>
        <v>C00000019</v>
      </c>
      <c r="F392" s="1" t="s">
        <v>401</v>
      </c>
      <c r="G392" s="56" t="s">
        <v>304</v>
      </c>
      <c r="H392" s="5">
        <v>2</v>
      </c>
      <c r="I392" s="5" t="str">
        <f>VLOOKUP(F392,'Set up'!$A$2:$C$48,3,FALSE)</f>
        <v>Cash</v>
      </c>
      <c r="J392" s="5">
        <f>VLOOKUP(F392,'Set up'!$A$2:$D$48,4,FALSE)</f>
        <v>0</v>
      </c>
      <c r="K392" s="4">
        <f t="shared" si="71"/>
        <v>44502</v>
      </c>
      <c r="L392" s="5">
        <f t="shared" si="67"/>
        <v>11</v>
      </c>
      <c r="M392" s="5">
        <f t="shared" si="68"/>
        <v>2021</v>
      </c>
      <c r="N392" s="6">
        <v>3960</v>
      </c>
      <c r="O392" s="6">
        <f t="shared" si="70"/>
        <v>-3960</v>
      </c>
      <c r="P392" s="6">
        <f t="shared" si="66"/>
        <v>0</v>
      </c>
      <c r="Q392" s="7">
        <f t="shared" si="72"/>
        <v>601159.35</v>
      </c>
      <c r="R392" s="44" t="str">
        <f>VLOOKUP(F392,'Set up'!$A$2:$E$48,5,FALSE)</f>
        <v>Trsf</v>
      </c>
      <c r="S392" s="1" t="s">
        <v>463</v>
      </c>
    </row>
    <row r="393" spans="1:19" hidden="1" x14ac:dyDescent="0.3">
      <c r="A393" s="4">
        <v>44502</v>
      </c>
      <c r="B393" s="5">
        <f t="shared" si="64"/>
        <v>11</v>
      </c>
      <c r="C393" s="5">
        <f t="shared" si="65"/>
        <v>2021</v>
      </c>
      <c r="D393" s="5" t="s">
        <v>458</v>
      </c>
      <c r="E393" s="5" t="str">
        <f>VLOOKUP(F393,'Set up'!$A$2:$C$48,2,FALSE)</f>
        <v>C00000019</v>
      </c>
      <c r="F393" s="1" t="s">
        <v>401</v>
      </c>
      <c r="G393" s="56" t="s">
        <v>64</v>
      </c>
      <c r="H393" s="5">
        <v>6</v>
      </c>
      <c r="I393" s="5" t="str">
        <f>VLOOKUP(F393,'Set up'!$A$2:$C$48,3,FALSE)</f>
        <v>Cash</v>
      </c>
      <c r="J393" s="5">
        <f>VLOOKUP(F393,'Set up'!$A$2:$D$48,4,FALSE)</f>
        <v>0</v>
      </c>
      <c r="K393" s="4">
        <f t="shared" si="71"/>
        <v>44502</v>
      </c>
      <c r="L393" s="5">
        <f t="shared" si="67"/>
        <v>11</v>
      </c>
      <c r="M393" s="5">
        <f t="shared" si="68"/>
        <v>2021</v>
      </c>
      <c r="N393" s="6">
        <v>360</v>
      </c>
      <c r="O393" s="6">
        <f t="shared" si="70"/>
        <v>-360</v>
      </c>
      <c r="P393" s="6">
        <f t="shared" si="66"/>
        <v>0</v>
      </c>
      <c r="Q393" s="7">
        <f t="shared" si="72"/>
        <v>601519.35</v>
      </c>
      <c r="R393" s="44" t="str">
        <f>VLOOKUP(F393,'Set up'!$A$2:$E$48,5,FALSE)</f>
        <v>Trsf</v>
      </c>
      <c r="S393" s="1" t="s">
        <v>463</v>
      </c>
    </row>
    <row r="394" spans="1:19" hidden="1" x14ac:dyDescent="0.3">
      <c r="A394" s="4">
        <v>44502</v>
      </c>
      <c r="B394" s="5">
        <f t="shared" si="64"/>
        <v>11</v>
      </c>
      <c r="C394" s="5">
        <f t="shared" si="65"/>
        <v>2021</v>
      </c>
      <c r="D394" s="5" t="s">
        <v>458</v>
      </c>
      <c r="E394" s="5" t="str">
        <f>VLOOKUP(F394,'Set up'!$A$2:$C$48,2,FALSE)</f>
        <v>C00000019</v>
      </c>
      <c r="F394" s="1" t="s">
        <v>401</v>
      </c>
      <c r="G394" s="77" t="s">
        <v>239</v>
      </c>
      <c r="H394" s="5">
        <v>1</v>
      </c>
      <c r="I394" s="5" t="str">
        <f>VLOOKUP(F394,'Set up'!$A$2:$C$48,3,FALSE)</f>
        <v>Cash</v>
      </c>
      <c r="J394" s="5">
        <f>VLOOKUP(F394,'Set up'!$A$2:$D$48,4,FALSE)</f>
        <v>0</v>
      </c>
      <c r="K394" s="4">
        <f t="shared" si="71"/>
        <v>44502</v>
      </c>
      <c r="L394" s="5">
        <f t="shared" si="67"/>
        <v>11</v>
      </c>
      <c r="M394" s="5">
        <f t="shared" si="68"/>
        <v>2021</v>
      </c>
      <c r="N394" s="6">
        <v>440</v>
      </c>
      <c r="O394" s="6">
        <f t="shared" si="70"/>
        <v>-440</v>
      </c>
      <c r="P394" s="6">
        <f t="shared" si="66"/>
        <v>0</v>
      </c>
      <c r="Q394" s="7">
        <f t="shared" si="72"/>
        <v>601959.35</v>
      </c>
      <c r="R394" s="44" t="str">
        <f>VLOOKUP(F394,'Set up'!$A$2:$E$48,5,FALSE)</f>
        <v>Trsf</v>
      </c>
      <c r="S394" s="1" t="s">
        <v>463</v>
      </c>
    </row>
    <row r="395" spans="1:19" hidden="1" x14ac:dyDescent="0.3">
      <c r="A395" s="4">
        <v>44502</v>
      </c>
      <c r="B395" s="5">
        <f t="shared" si="64"/>
        <v>11</v>
      </c>
      <c r="C395" s="5">
        <f t="shared" si="65"/>
        <v>2021</v>
      </c>
      <c r="D395" s="5" t="s">
        <v>458</v>
      </c>
      <c r="E395" s="5" t="str">
        <f>VLOOKUP(F395,'Set up'!$A$2:$C$48,2,FALSE)</f>
        <v>C00000019</v>
      </c>
      <c r="F395" s="1" t="s">
        <v>401</v>
      </c>
      <c r="G395" s="77" t="s">
        <v>293</v>
      </c>
      <c r="H395" s="5">
        <v>1</v>
      </c>
      <c r="I395" s="5" t="str">
        <f>VLOOKUP(F395,'Set up'!$A$2:$C$48,3,FALSE)</f>
        <v>Cash</v>
      </c>
      <c r="J395" s="5">
        <f>VLOOKUP(F395,'Set up'!$A$2:$D$48,4,FALSE)</f>
        <v>0</v>
      </c>
      <c r="K395" s="4">
        <f t="shared" si="71"/>
        <v>44502</v>
      </c>
      <c r="L395" s="5">
        <f t="shared" si="67"/>
        <v>11</v>
      </c>
      <c r="M395" s="5">
        <f t="shared" si="68"/>
        <v>2021</v>
      </c>
      <c r="N395" s="6">
        <v>360</v>
      </c>
      <c r="O395" s="6">
        <f t="shared" si="70"/>
        <v>-360</v>
      </c>
      <c r="P395" s="6">
        <f t="shared" si="66"/>
        <v>0</v>
      </c>
      <c r="Q395" s="7">
        <f t="shared" si="72"/>
        <v>602319.35</v>
      </c>
      <c r="R395" s="44" t="str">
        <f>VLOOKUP(F395,'Set up'!$A$2:$E$48,5,FALSE)</f>
        <v>Trsf</v>
      </c>
      <c r="S395" s="1" t="s">
        <v>463</v>
      </c>
    </row>
    <row r="396" spans="1:19" ht="62.4" hidden="1" x14ac:dyDescent="0.3">
      <c r="A396" s="4">
        <v>44502</v>
      </c>
      <c r="B396" s="5">
        <f t="shared" si="64"/>
        <v>11</v>
      </c>
      <c r="C396" s="5">
        <f t="shared" si="65"/>
        <v>2021</v>
      </c>
      <c r="D396" s="5" t="s">
        <v>459</v>
      </c>
      <c r="E396" s="5" t="str">
        <f>VLOOKUP(F396,'Set up'!$A$2:$C$48,2,FALSE)</f>
        <v>C00000003</v>
      </c>
      <c r="F396" s="1" t="s">
        <v>20</v>
      </c>
      <c r="G396" s="2" t="s">
        <v>405</v>
      </c>
      <c r="H396" s="5">
        <v>1</v>
      </c>
      <c r="I396" s="5">
        <f>VLOOKUP(F396,'Set up'!$A$2:$C$48,3,FALSE)</f>
        <v>45</v>
      </c>
      <c r="J396" s="5">
        <f>VLOOKUP(F396,'Set up'!$A$2:$D$48,4,FALSE)</f>
        <v>45</v>
      </c>
      <c r="K396" s="4">
        <f t="shared" si="71"/>
        <v>44547</v>
      </c>
      <c r="L396" s="5">
        <f t="shared" si="67"/>
        <v>12</v>
      </c>
      <c r="M396" s="5">
        <f t="shared" si="68"/>
        <v>2021</v>
      </c>
      <c r="N396" s="6">
        <v>2024</v>
      </c>
      <c r="O396" s="6">
        <f>-684-1340</f>
        <v>-2024</v>
      </c>
      <c r="P396" s="6">
        <f t="shared" si="66"/>
        <v>0</v>
      </c>
      <c r="Q396" s="7">
        <f t="shared" si="72"/>
        <v>604343.35</v>
      </c>
      <c r="R396" s="44" t="str">
        <f>VLOOKUP(F396,'Set up'!$A$2:$E$48,5,FALSE)</f>
        <v>PD Chq</v>
      </c>
      <c r="S396" s="40" t="s">
        <v>626</v>
      </c>
    </row>
    <row r="397" spans="1:19" ht="31.2" hidden="1" x14ac:dyDescent="0.3">
      <c r="A397" s="4">
        <v>44502</v>
      </c>
      <c r="B397" s="5">
        <f t="shared" si="64"/>
        <v>11</v>
      </c>
      <c r="C397" s="5">
        <f t="shared" si="65"/>
        <v>2021</v>
      </c>
      <c r="D397" s="5" t="s">
        <v>459</v>
      </c>
      <c r="E397" s="5" t="str">
        <f>VLOOKUP(F397,'Set up'!$A$2:$C$48,2,FALSE)</f>
        <v>C00000003</v>
      </c>
      <c r="F397" s="1" t="s">
        <v>20</v>
      </c>
      <c r="G397" s="55" t="s">
        <v>382</v>
      </c>
      <c r="H397" s="5">
        <v>2</v>
      </c>
      <c r="I397" s="5">
        <f>VLOOKUP(F397,'Set up'!$A$2:$C$48,3,FALSE)</f>
        <v>45</v>
      </c>
      <c r="J397" s="5">
        <f>VLOOKUP(F397,'Set up'!$A$2:$D$48,4,FALSE)</f>
        <v>45</v>
      </c>
      <c r="K397" s="4">
        <f t="shared" si="71"/>
        <v>44547</v>
      </c>
      <c r="L397" s="5">
        <f t="shared" si="67"/>
        <v>12</v>
      </c>
      <c r="M397" s="5">
        <f t="shared" si="68"/>
        <v>2021</v>
      </c>
      <c r="N397" s="6">
        <v>160</v>
      </c>
      <c r="O397" s="6">
        <f>-N397</f>
        <v>-160</v>
      </c>
      <c r="P397" s="6">
        <f t="shared" si="66"/>
        <v>0</v>
      </c>
      <c r="Q397" s="7">
        <f t="shared" si="72"/>
        <v>604503.35</v>
      </c>
      <c r="R397" s="44" t="str">
        <f>VLOOKUP(F397,'Set up'!$A$2:$E$48,5,FALSE)</f>
        <v>PD Chq</v>
      </c>
      <c r="S397" s="40" t="s">
        <v>622</v>
      </c>
    </row>
    <row r="398" spans="1:19" ht="28.8" x14ac:dyDescent="0.3">
      <c r="A398" s="4">
        <v>44503</v>
      </c>
      <c r="B398" s="5">
        <f t="shared" si="64"/>
        <v>11</v>
      </c>
      <c r="C398" s="5">
        <f t="shared" si="65"/>
        <v>2021</v>
      </c>
      <c r="D398" s="5" t="s">
        <v>460</v>
      </c>
      <c r="E398" s="5" t="str">
        <f>VLOOKUP(F398,'Set up'!$A$2:$C$48,2,FALSE)</f>
        <v>C00000020</v>
      </c>
      <c r="F398" s="1" t="s">
        <v>410</v>
      </c>
      <c r="G398" s="74" t="s">
        <v>67</v>
      </c>
      <c r="H398" s="5">
        <v>2</v>
      </c>
      <c r="I398" s="5" t="str">
        <f>VLOOKUP(F398,'Set up'!$A$2:$C$48,3,FALSE)</f>
        <v>Cash</v>
      </c>
      <c r="J398" s="5">
        <f>VLOOKUP(F398,'Set up'!$A$2:$D$48,4,FALSE)</f>
        <v>0</v>
      </c>
      <c r="K398" s="4">
        <f t="shared" si="71"/>
        <v>44503</v>
      </c>
      <c r="L398" s="5">
        <f t="shared" si="67"/>
        <v>11</v>
      </c>
      <c r="M398" s="5">
        <f t="shared" si="68"/>
        <v>2021</v>
      </c>
      <c r="N398" s="6">
        <v>4048</v>
      </c>
      <c r="O398" s="6">
        <f>-N398</f>
        <v>-4048</v>
      </c>
      <c r="P398" s="6">
        <f t="shared" si="66"/>
        <v>0</v>
      </c>
      <c r="Q398" s="7">
        <f t="shared" si="72"/>
        <v>608551.35</v>
      </c>
      <c r="R398" s="44" t="str">
        <f>VLOOKUP(F398,'Set up'!$A$2:$E$48,5,FALSE)</f>
        <v>Trsf</v>
      </c>
      <c r="S398" s="1" t="s">
        <v>521</v>
      </c>
    </row>
    <row r="399" spans="1:19" ht="46.8" x14ac:dyDescent="0.3">
      <c r="A399" s="4">
        <v>44503</v>
      </c>
      <c r="B399" s="5">
        <f t="shared" si="64"/>
        <v>11</v>
      </c>
      <c r="C399" s="5">
        <f t="shared" si="65"/>
        <v>2021</v>
      </c>
      <c r="D399" s="5" t="s">
        <v>460</v>
      </c>
      <c r="E399" s="5" t="str">
        <f>VLOOKUP(F399,'Set up'!$A$2:$C$48,2,FALSE)</f>
        <v>C00000020</v>
      </c>
      <c r="F399" s="1" t="s">
        <v>410</v>
      </c>
      <c r="G399" s="74" t="s">
        <v>95</v>
      </c>
      <c r="H399" s="5">
        <v>3</v>
      </c>
      <c r="I399" s="5" t="str">
        <f>VLOOKUP(F399,'Set up'!$A$2:$C$48,3,FALSE)</f>
        <v>Cash</v>
      </c>
      <c r="J399" s="5">
        <f>VLOOKUP(F399,'Set up'!$A$2:$D$48,4,FALSE)</f>
        <v>0</v>
      </c>
      <c r="K399" s="4">
        <f t="shared" si="71"/>
        <v>44503</v>
      </c>
      <c r="L399" s="5">
        <f t="shared" si="67"/>
        <v>11</v>
      </c>
      <c r="M399" s="5">
        <f t="shared" si="68"/>
        <v>2021</v>
      </c>
      <c r="N399" s="6">
        <v>6072</v>
      </c>
      <c r="O399" s="6">
        <f>-3101.8-2970.2</f>
        <v>-6072</v>
      </c>
      <c r="P399" s="6">
        <f t="shared" si="66"/>
        <v>0</v>
      </c>
      <c r="Q399" s="7">
        <f t="shared" si="72"/>
        <v>614623.35</v>
      </c>
      <c r="R399" s="44" t="str">
        <f>VLOOKUP(F399,'Set up'!$A$2:$E$48,5,FALSE)</f>
        <v>Trsf</v>
      </c>
      <c r="S399" s="40" t="s">
        <v>542</v>
      </c>
    </row>
    <row r="400" spans="1:19" ht="46.8" x14ac:dyDescent="0.3">
      <c r="A400" s="4">
        <v>44503</v>
      </c>
      <c r="B400" s="5">
        <f t="shared" si="64"/>
        <v>11</v>
      </c>
      <c r="C400" s="5">
        <f t="shared" si="65"/>
        <v>2021</v>
      </c>
      <c r="D400" s="5" t="s">
        <v>460</v>
      </c>
      <c r="E400" s="5" t="str">
        <f>VLOOKUP(F400,'Set up'!$A$2:$C$48,2,FALSE)</f>
        <v>C00000020</v>
      </c>
      <c r="F400" s="1" t="s">
        <v>410</v>
      </c>
      <c r="G400" s="79" t="s">
        <v>449</v>
      </c>
      <c r="H400" s="5">
        <v>15</v>
      </c>
      <c r="I400" s="5" t="str">
        <f>VLOOKUP(F400,'Set up'!$A$2:$C$48,3,FALSE)</f>
        <v>Cash</v>
      </c>
      <c r="J400" s="5">
        <f>VLOOKUP(F400,'Set up'!$A$2:$D$48,4,FALSE)</f>
        <v>0</v>
      </c>
      <c r="K400" s="4">
        <f t="shared" si="71"/>
        <v>44503</v>
      </c>
      <c r="L400" s="5">
        <f t="shared" si="67"/>
        <v>11</v>
      </c>
      <c r="M400" s="5">
        <f t="shared" si="68"/>
        <v>2021</v>
      </c>
      <c r="N400" s="6">
        <v>5106</v>
      </c>
      <c r="O400" s="6">
        <f>-N400</f>
        <v>-5106</v>
      </c>
      <c r="P400" s="6">
        <f t="shared" si="66"/>
        <v>0</v>
      </c>
      <c r="Q400" s="7">
        <f t="shared" si="72"/>
        <v>619729.35</v>
      </c>
      <c r="R400" s="44" t="str">
        <f>VLOOKUP(F400,'Set up'!$A$2:$E$48,5,FALSE)</f>
        <v>Trsf</v>
      </c>
      <c r="S400" s="1" t="s">
        <v>522</v>
      </c>
    </row>
    <row r="401" spans="1:19" ht="28.8" x14ac:dyDescent="0.3">
      <c r="A401" s="4">
        <v>44503</v>
      </c>
      <c r="B401" s="5">
        <f t="shared" si="64"/>
        <v>11</v>
      </c>
      <c r="C401" s="5">
        <f t="shared" si="65"/>
        <v>2021</v>
      </c>
      <c r="D401" s="5" t="s">
        <v>460</v>
      </c>
      <c r="E401" s="5" t="str">
        <f>VLOOKUP(F401,'Set up'!$A$2:$C$48,2,FALSE)</f>
        <v>C00000020</v>
      </c>
      <c r="F401" s="1" t="s">
        <v>410</v>
      </c>
      <c r="G401" s="74" t="s">
        <v>64</v>
      </c>
      <c r="H401" s="5">
        <v>5</v>
      </c>
      <c r="I401" s="5" t="str">
        <f>VLOOKUP(F401,'Set up'!$A$2:$C$48,3,FALSE)</f>
        <v>Cash</v>
      </c>
      <c r="J401" s="5">
        <f>VLOOKUP(F401,'Set up'!$A$2:$D$48,4,FALSE)</f>
        <v>0</v>
      </c>
      <c r="K401" s="4">
        <f t="shared" si="71"/>
        <v>44503</v>
      </c>
      <c r="L401" s="5">
        <f t="shared" si="67"/>
        <v>11</v>
      </c>
      <c r="M401" s="5">
        <f t="shared" si="68"/>
        <v>2021</v>
      </c>
      <c r="N401" s="6">
        <v>312.5</v>
      </c>
      <c r="O401" s="6">
        <f>-N401</f>
        <v>-312.5</v>
      </c>
      <c r="P401" s="6">
        <f t="shared" si="66"/>
        <v>0</v>
      </c>
      <c r="Q401" s="7">
        <f t="shared" si="72"/>
        <v>620041.85</v>
      </c>
      <c r="R401" s="44" t="str">
        <f>VLOOKUP(F401,'Set up'!$A$2:$E$48,5,FALSE)</f>
        <v>Trsf</v>
      </c>
      <c r="S401" s="1" t="s">
        <v>522</v>
      </c>
    </row>
    <row r="402" spans="1:19" ht="46.8" x14ac:dyDescent="0.3">
      <c r="A402" s="4">
        <v>44503</v>
      </c>
      <c r="B402" s="5">
        <f t="shared" ref="B402:B465" si="73">MONTH(A402)</f>
        <v>11</v>
      </c>
      <c r="C402" s="5">
        <f t="shared" ref="C402:C465" si="74">YEAR(A402)</f>
        <v>2021</v>
      </c>
      <c r="D402" s="5" t="s">
        <v>460</v>
      </c>
      <c r="E402" s="5" t="str">
        <f>VLOOKUP(F402,'Set up'!$A$2:$C$48,2,FALSE)</f>
        <v>C00000020</v>
      </c>
      <c r="F402" s="1" t="s">
        <v>410</v>
      </c>
      <c r="G402" s="74" t="s">
        <v>415</v>
      </c>
      <c r="H402" s="5">
        <v>9</v>
      </c>
      <c r="I402" s="5" t="str">
        <f>VLOOKUP(F402,'Set up'!$A$2:$C$48,3,FALSE)</f>
        <v>Cash</v>
      </c>
      <c r="J402" s="5">
        <f>VLOOKUP(F402,'Set up'!$A$2:$D$48,4,FALSE)</f>
        <v>0</v>
      </c>
      <c r="K402" s="4">
        <f t="shared" si="71"/>
        <v>44503</v>
      </c>
      <c r="L402" s="5">
        <f t="shared" si="67"/>
        <v>11</v>
      </c>
      <c r="M402" s="5">
        <f t="shared" si="68"/>
        <v>2021</v>
      </c>
      <c r="N402" s="6">
        <v>3159</v>
      </c>
      <c r="O402" s="6">
        <f>-1611.3-1547.7</f>
        <v>-3159</v>
      </c>
      <c r="P402" s="6">
        <f t="shared" si="66"/>
        <v>0</v>
      </c>
      <c r="Q402" s="7">
        <f t="shared" si="72"/>
        <v>623200.85</v>
      </c>
      <c r="R402" s="44" t="str">
        <f>VLOOKUP(F402,'Set up'!$A$2:$E$48,5,FALSE)</f>
        <v>Trsf</v>
      </c>
      <c r="S402" s="40" t="s">
        <v>540</v>
      </c>
    </row>
    <row r="403" spans="1:19" x14ac:dyDescent="0.3">
      <c r="A403" s="4">
        <v>44503</v>
      </c>
      <c r="B403" s="5">
        <f t="shared" si="73"/>
        <v>11</v>
      </c>
      <c r="C403" s="5">
        <f t="shared" si="74"/>
        <v>2021</v>
      </c>
      <c r="D403" s="5" t="s">
        <v>460</v>
      </c>
      <c r="E403" s="5" t="str">
        <f>VLOOKUP(F403,'Set up'!$A$2:$C$48,2,FALSE)</f>
        <v>C00000020</v>
      </c>
      <c r="F403" s="1" t="s">
        <v>410</v>
      </c>
      <c r="G403" s="55" t="s">
        <v>382</v>
      </c>
      <c r="H403" s="5">
        <v>4</v>
      </c>
      <c r="I403" s="5" t="str">
        <f>VLOOKUP(F403,'Set up'!$A$2:$C$48,3,FALSE)</f>
        <v>Cash</v>
      </c>
      <c r="J403" s="5">
        <f>VLOOKUP(F403,'Set up'!$A$2:$D$48,4,FALSE)</f>
        <v>0</v>
      </c>
      <c r="K403" s="4">
        <f t="shared" si="71"/>
        <v>44503</v>
      </c>
      <c r="L403" s="5">
        <f t="shared" si="67"/>
        <v>11</v>
      </c>
      <c r="M403" s="5">
        <f t="shared" si="68"/>
        <v>2021</v>
      </c>
      <c r="N403" s="6">
        <v>320</v>
      </c>
      <c r="O403" s="6">
        <f t="shared" ref="O403:O409" si="75">-N403</f>
        <v>-320</v>
      </c>
      <c r="P403" s="6">
        <f t="shared" si="66"/>
        <v>0</v>
      </c>
      <c r="Q403" s="7">
        <f t="shared" si="72"/>
        <v>623520.85</v>
      </c>
      <c r="R403" s="44" t="str">
        <f>VLOOKUP(F403,'Set up'!$A$2:$E$48,5,FALSE)</f>
        <v>Trsf</v>
      </c>
      <c r="S403" s="1" t="s">
        <v>543</v>
      </c>
    </row>
    <row r="404" spans="1:19" ht="28.8" hidden="1" x14ac:dyDescent="0.3">
      <c r="A404" s="4">
        <v>44503</v>
      </c>
      <c r="B404" s="5">
        <f t="shared" si="73"/>
        <v>11</v>
      </c>
      <c r="C404" s="5">
        <f t="shared" si="74"/>
        <v>2021</v>
      </c>
      <c r="D404" s="5" t="s">
        <v>461</v>
      </c>
      <c r="E404" s="5" t="str">
        <f>VLOOKUP(F404,'Set up'!$A$2:$C$48,2,FALSE)</f>
        <v>C00000010</v>
      </c>
      <c r="F404" s="1" t="s">
        <v>62</v>
      </c>
      <c r="G404" s="74" t="s">
        <v>64</v>
      </c>
      <c r="H404" s="5">
        <v>5</v>
      </c>
      <c r="I404" s="5">
        <f>VLOOKUP(F404,'Set up'!$A$2:$C$48,3,FALSE)</f>
        <v>120</v>
      </c>
      <c r="J404" s="5">
        <f>VLOOKUP(F404,'Set up'!$A$2:$D$48,4,FALSE)</f>
        <v>120</v>
      </c>
      <c r="K404" s="4">
        <f t="shared" si="71"/>
        <v>44623</v>
      </c>
      <c r="L404" s="5">
        <f t="shared" si="67"/>
        <v>3</v>
      </c>
      <c r="M404" s="5">
        <f t="shared" si="68"/>
        <v>2022</v>
      </c>
      <c r="N404" s="6">
        <v>275</v>
      </c>
      <c r="O404" s="6">
        <f t="shared" si="75"/>
        <v>-275</v>
      </c>
      <c r="P404" s="6">
        <f t="shared" si="66"/>
        <v>0</v>
      </c>
      <c r="Q404" s="7">
        <f t="shared" si="72"/>
        <v>623795.85</v>
      </c>
      <c r="R404" s="44" t="str">
        <f>VLOOKUP(F404,'Set up'!$A$2:$E$48,5,FALSE)</f>
        <v>Trsf</v>
      </c>
      <c r="S404" s="1" t="s">
        <v>632</v>
      </c>
    </row>
    <row r="405" spans="1:19" hidden="1" x14ac:dyDescent="0.3">
      <c r="A405" s="4">
        <v>44503</v>
      </c>
      <c r="B405" s="5">
        <f t="shared" si="73"/>
        <v>11</v>
      </c>
      <c r="C405" s="5">
        <f t="shared" si="74"/>
        <v>2021</v>
      </c>
      <c r="D405" s="5" t="s">
        <v>461</v>
      </c>
      <c r="E405" s="5" t="str">
        <f>VLOOKUP(F405,'Set up'!$A$2:$C$48,2,FALSE)</f>
        <v>C00000010</v>
      </c>
      <c r="F405" s="1" t="s">
        <v>62</v>
      </c>
      <c r="G405" s="55" t="s">
        <v>382</v>
      </c>
      <c r="H405" s="5">
        <v>4</v>
      </c>
      <c r="I405" s="5">
        <f>VLOOKUP(F405,'Set up'!$A$2:$C$48,3,FALSE)</f>
        <v>120</v>
      </c>
      <c r="J405" s="5">
        <f>VLOOKUP(F405,'Set up'!$A$2:$D$48,4,FALSE)</f>
        <v>120</v>
      </c>
      <c r="K405" s="4">
        <f t="shared" si="71"/>
        <v>44623</v>
      </c>
      <c r="L405" s="5">
        <f t="shared" si="67"/>
        <v>3</v>
      </c>
      <c r="M405" s="5">
        <f t="shared" si="68"/>
        <v>2022</v>
      </c>
      <c r="N405" s="6">
        <v>320</v>
      </c>
      <c r="O405" s="6">
        <f t="shared" si="75"/>
        <v>-320</v>
      </c>
      <c r="P405" s="6">
        <f t="shared" ref="P405:P468" si="76">SUM(N405+O405)</f>
        <v>0</v>
      </c>
      <c r="Q405" s="7">
        <f t="shared" si="72"/>
        <v>624115.85</v>
      </c>
      <c r="R405" s="44" t="str">
        <f>VLOOKUP(F405,'Set up'!$A$2:$E$48,5,FALSE)</f>
        <v>Trsf</v>
      </c>
      <c r="S405" s="1" t="s">
        <v>632</v>
      </c>
    </row>
    <row r="406" spans="1:19" hidden="1" x14ac:dyDescent="0.3">
      <c r="A406" s="4">
        <v>44503</v>
      </c>
      <c r="B406" s="5">
        <f t="shared" si="73"/>
        <v>11</v>
      </c>
      <c r="C406" s="5">
        <f t="shared" si="74"/>
        <v>2021</v>
      </c>
      <c r="D406" s="5" t="s">
        <v>461</v>
      </c>
      <c r="E406" s="5" t="str">
        <f>VLOOKUP(F406,'Set up'!$A$2:$C$48,2,FALSE)</f>
        <v>C00000010</v>
      </c>
      <c r="F406" s="1" t="s">
        <v>62</v>
      </c>
      <c r="G406" s="77" t="s">
        <v>239</v>
      </c>
      <c r="H406" s="5">
        <v>3</v>
      </c>
      <c r="I406" s="5">
        <f>VLOOKUP(F406,'Set up'!$A$2:$C$48,3,FALSE)</f>
        <v>120</v>
      </c>
      <c r="J406" s="5">
        <f>VLOOKUP(F406,'Set up'!$A$2:$D$48,4,FALSE)</f>
        <v>120</v>
      </c>
      <c r="K406" s="4">
        <f>A406+J544</f>
        <v>44623</v>
      </c>
      <c r="L406" s="5">
        <f t="shared" si="67"/>
        <v>3</v>
      </c>
      <c r="M406" s="5">
        <f t="shared" si="68"/>
        <v>2022</v>
      </c>
      <c r="N406" s="6">
        <v>1320</v>
      </c>
      <c r="O406" s="6">
        <f t="shared" si="75"/>
        <v>-1320</v>
      </c>
      <c r="P406" s="6">
        <f t="shared" si="76"/>
        <v>0</v>
      </c>
      <c r="Q406" s="7">
        <f t="shared" si="72"/>
        <v>625435.85</v>
      </c>
      <c r="R406" s="44" t="str">
        <f>VLOOKUP(F406,'Set up'!$A$2:$E$48,5,FALSE)</f>
        <v>Trsf</v>
      </c>
      <c r="S406" s="1" t="s">
        <v>632</v>
      </c>
    </row>
    <row r="407" spans="1:19" hidden="1" x14ac:dyDescent="0.3">
      <c r="A407" s="4">
        <v>44503</v>
      </c>
      <c r="B407" s="5">
        <f t="shared" si="73"/>
        <v>11</v>
      </c>
      <c r="C407" s="5">
        <f t="shared" si="74"/>
        <v>2021</v>
      </c>
      <c r="D407" s="5" t="s">
        <v>461</v>
      </c>
      <c r="E407" s="5" t="str">
        <f>VLOOKUP(F407,'Set up'!$A$2:$C$48,2,FALSE)</f>
        <v>C00000010</v>
      </c>
      <c r="F407" s="1" t="s">
        <v>62</v>
      </c>
      <c r="G407" s="55" t="s">
        <v>305</v>
      </c>
      <c r="H407" s="5">
        <v>4</v>
      </c>
      <c r="I407" s="5">
        <f>VLOOKUP(F407,'Set up'!$A$2:$C$48,3,FALSE)</f>
        <v>120</v>
      </c>
      <c r="J407" s="5">
        <f>VLOOKUP(F407,'Set up'!$A$2:$D$48,4,FALSE)</f>
        <v>120</v>
      </c>
      <c r="K407" s="4">
        <f>A407+J545</f>
        <v>44623</v>
      </c>
      <c r="L407" s="5">
        <f t="shared" si="67"/>
        <v>3</v>
      </c>
      <c r="M407" s="5">
        <f t="shared" si="68"/>
        <v>2022</v>
      </c>
      <c r="N407" s="6">
        <v>220</v>
      </c>
      <c r="O407" s="6">
        <f t="shared" si="75"/>
        <v>-220</v>
      </c>
      <c r="P407" s="6">
        <f t="shared" si="76"/>
        <v>0</v>
      </c>
      <c r="Q407" s="7">
        <f t="shared" si="72"/>
        <v>625655.85</v>
      </c>
      <c r="R407" s="44" t="str">
        <f>VLOOKUP(F407,'Set up'!$A$2:$E$48,5,FALSE)</f>
        <v>Trsf</v>
      </c>
      <c r="S407" s="1" t="s">
        <v>632</v>
      </c>
    </row>
    <row r="408" spans="1:19" ht="28.8" x14ac:dyDescent="0.3">
      <c r="A408" s="4">
        <v>44506</v>
      </c>
      <c r="B408" s="5">
        <f t="shared" si="73"/>
        <v>11</v>
      </c>
      <c r="C408" s="5">
        <f t="shared" si="74"/>
        <v>2021</v>
      </c>
      <c r="D408" s="5" t="s">
        <v>465</v>
      </c>
      <c r="E408" s="5" t="str">
        <f>VLOOKUP(F408,'Set up'!$A$2:$C$48,2,FALSE)</f>
        <v>C00000020</v>
      </c>
      <c r="F408" s="1" t="s">
        <v>410</v>
      </c>
      <c r="G408" s="74" t="s">
        <v>67</v>
      </c>
      <c r="H408" s="5">
        <v>2</v>
      </c>
      <c r="I408" s="5" t="str">
        <f>VLOOKUP(F408,'Set up'!$A$2:$C$48,3,FALSE)</f>
        <v>Cash</v>
      </c>
      <c r="J408" s="5">
        <f>VLOOKUP(F408,'Set up'!$A$2:$D$48,4,FALSE)</f>
        <v>0</v>
      </c>
      <c r="K408" s="4">
        <f t="shared" ref="K408:K471" si="77">A408+J408</f>
        <v>44506</v>
      </c>
      <c r="L408" s="5">
        <f t="shared" si="67"/>
        <v>11</v>
      </c>
      <c r="M408" s="5">
        <f t="shared" si="68"/>
        <v>2021</v>
      </c>
      <c r="N408" s="6">
        <v>4048</v>
      </c>
      <c r="O408" s="6">
        <f t="shared" si="75"/>
        <v>-4048</v>
      </c>
      <c r="P408" s="6">
        <f t="shared" si="76"/>
        <v>0</v>
      </c>
      <c r="Q408" s="7">
        <f t="shared" si="72"/>
        <v>629703.85</v>
      </c>
      <c r="R408" s="44" t="str">
        <f>VLOOKUP(F408,'Set up'!$A$2:$E$48,5,FALSE)</f>
        <v>Trsf</v>
      </c>
      <c r="S408" s="1" t="s">
        <v>541</v>
      </c>
    </row>
    <row r="409" spans="1:19" ht="28.8" x14ac:dyDescent="0.3">
      <c r="A409" s="4">
        <v>44506</v>
      </c>
      <c r="B409" s="5">
        <f t="shared" si="73"/>
        <v>11</v>
      </c>
      <c r="C409" s="5">
        <f t="shared" si="74"/>
        <v>2021</v>
      </c>
      <c r="D409" s="5" t="s">
        <v>465</v>
      </c>
      <c r="E409" s="5" t="str">
        <f>VLOOKUP(F409,'Set up'!$A$2:$C$48,2,FALSE)</f>
        <v>C00000020</v>
      </c>
      <c r="F409" s="1" t="s">
        <v>410</v>
      </c>
      <c r="G409" s="74" t="s">
        <v>95</v>
      </c>
      <c r="H409" s="5">
        <v>3</v>
      </c>
      <c r="I409" s="5" t="str">
        <f>VLOOKUP(F409,'Set up'!$A$2:$C$48,3,FALSE)</f>
        <v>Cash</v>
      </c>
      <c r="J409" s="5">
        <f>VLOOKUP(F409,'Set up'!$A$2:$D$48,4,FALSE)</f>
        <v>0</v>
      </c>
      <c r="K409" s="4">
        <f t="shared" si="77"/>
        <v>44506</v>
      </c>
      <c r="L409" s="5">
        <f t="shared" si="67"/>
        <v>11</v>
      </c>
      <c r="M409" s="5">
        <f t="shared" si="68"/>
        <v>2021</v>
      </c>
      <c r="N409" s="6">
        <v>6072</v>
      </c>
      <c r="O409" s="6">
        <f t="shared" si="75"/>
        <v>-6072</v>
      </c>
      <c r="P409" s="6">
        <f t="shared" si="76"/>
        <v>0</v>
      </c>
      <c r="Q409" s="7">
        <f t="shared" si="72"/>
        <v>635775.85</v>
      </c>
      <c r="R409" s="44" t="str">
        <f>VLOOKUP(F409,'Set up'!$A$2:$E$48,5,FALSE)</f>
        <v>Trsf</v>
      </c>
      <c r="S409" s="1" t="s">
        <v>544</v>
      </c>
    </row>
    <row r="410" spans="1:19" x14ac:dyDescent="0.3">
      <c r="A410" s="4">
        <v>44506</v>
      </c>
      <c r="B410" s="5">
        <f t="shared" si="73"/>
        <v>11</v>
      </c>
      <c r="C410" s="5">
        <f t="shared" si="74"/>
        <v>2021</v>
      </c>
      <c r="D410" s="5" t="s">
        <v>465</v>
      </c>
      <c r="E410" s="5" t="str">
        <f>VLOOKUP(F410,'Set up'!$A$2:$C$48,2,FALSE)</f>
        <v>C00000020</v>
      </c>
      <c r="F410" s="1" t="s">
        <v>410</v>
      </c>
      <c r="G410" s="56" t="s">
        <v>449</v>
      </c>
      <c r="H410" s="5">
        <v>15</v>
      </c>
      <c r="I410" s="5" t="str">
        <f>VLOOKUP(F410,'Set up'!$A$2:$C$48,3,FALSE)</f>
        <v>Cash</v>
      </c>
      <c r="J410" s="5">
        <f>VLOOKUP(F410,'Set up'!$A$2:$D$48,4,FALSE)</f>
        <v>0</v>
      </c>
      <c r="K410" s="4">
        <f t="shared" si="77"/>
        <v>44506</v>
      </c>
      <c r="L410" s="5">
        <f t="shared" si="67"/>
        <v>11</v>
      </c>
      <c r="M410" s="5">
        <f t="shared" si="68"/>
        <v>2021</v>
      </c>
      <c r="N410" s="6">
        <v>5106</v>
      </c>
      <c r="O410" s="6">
        <f>-512.3-4593.7</f>
        <v>-5106</v>
      </c>
      <c r="P410" s="6">
        <f t="shared" si="76"/>
        <v>0</v>
      </c>
      <c r="Q410" s="7">
        <f t="shared" si="72"/>
        <v>640881.85</v>
      </c>
      <c r="R410" s="44" t="str">
        <f>VLOOKUP(F410,'Set up'!$A$2:$E$48,5,FALSE)</f>
        <v>Trsf</v>
      </c>
      <c r="S410" s="1" t="s">
        <v>572</v>
      </c>
    </row>
    <row r="411" spans="1:19" ht="28.8" x14ac:dyDescent="0.3">
      <c r="A411" s="4">
        <v>44506</v>
      </c>
      <c r="B411" s="5">
        <f t="shared" si="73"/>
        <v>11</v>
      </c>
      <c r="C411" s="5">
        <f t="shared" si="74"/>
        <v>2021</v>
      </c>
      <c r="D411" s="5" t="s">
        <v>465</v>
      </c>
      <c r="E411" s="5" t="str">
        <f>VLOOKUP(F411,'Set up'!$A$2:$C$48,2,FALSE)</f>
        <v>C00000020</v>
      </c>
      <c r="F411" s="1" t="s">
        <v>410</v>
      </c>
      <c r="G411" s="74" t="s">
        <v>64</v>
      </c>
      <c r="H411" s="5">
        <v>5</v>
      </c>
      <c r="I411" s="5" t="str">
        <f>VLOOKUP(F411,'Set up'!$A$2:$C$48,3,FALSE)</f>
        <v>Cash</v>
      </c>
      <c r="J411" s="5">
        <f>VLOOKUP(F411,'Set up'!$A$2:$D$48,4,FALSE)</f>
        <v>0</v>
      </c>
      <c r="K411" s="4">
        <f t="shared" si="77"/>
        <v>44506</v>
      </c>
      <c r="L411" s="5">
        <f t="shared" si="67"/>
        <v>11</v>
      </c>
      <c r="M411" s="5">
        <f t="shared" si="68"/>
        <v>2021</v>
      </c>
      <c r="N411" s="6">
        <v>312.5</v>
      </c>
      <c r="O411" s="6">
        <f t="shared" ref="O411:O420" si="78">-N411</f>
        <v>-312.5</v>
      </c>
      <c r="P411" s="6">
        <f t="shared" si="76"/>
        <v>0</v>
      </c>
      <c r="Q411" s="7">
        <f t="shared" si="72"/>
        <v>641194.35</v>
      </c>
      <c r="R411" s="44" t="str">
        <f>VLOOKUP(F411,'Set up'!$A$2:$E$48,5,FALSE)</f>
        <v>Trsf</v>
      </c>
      <c r="S411" s="1" t="s">
        <v>573</v>
      </c>
    </row>
    <row r="412" spans="1:19" ht="43.2" x14ac:dyDescent="0.3">
      <c r="A412" s="4">
        <v>44506</v>
      </c>
      <c r="B412" s="5">
        <f t="shared" si="73"/>
        <v>11</v>
      </c>
      <c r="C412" s="5">
        <f t="shared" si="74"/>
        <v>2021</v>
      </c>
      <c r="D412" s="5" t="s">
        <v>465</v>
      </c>
      <c r="E412" s="5" t="str">
        <f>VLOOKUP(F412,'Set up'!$A$2:$C$48,2,FALSE)</f>
        <v>C00000020</v>
      </c>
      <c r="F412" s="1" t="s">
        <v>410</v>
      </c>
      <c r="G412" s="74" t="s">
        <v>415</v>
      </c>
      <c r="H412" s="5">
        <v>7</v>
      </c>
      <c r="I412" s="5" t="str">
        <f>VLOOKUP(F412,'Set up'!$A$2:$C$48,3,FALSE)</f>
        <v>Cash</v>
      </c>
      <c r="J412" s="5">
        <f>VLOOKUP(F412,'Set up'!$A$2:$D$48,4,FALSE)</f>
        <v>0</v>
      </c>
      <c r="K412" s="4">
        <f t="shared" si="77"/>
        <v>44506</v>
      </c>
      <c r="L412" s="5">
        <f t="shared" si="67"/>
        <v>11</v>
      </c>
      <c r="M412" s="5">
        <f t="shared" si="68"/>
        <v>2021</v>
      </c>
      <c r="N412" s="6">
        <v>2457</v>
      </c>
      <c r="O412" s="6">
        <f t="shared" si="78"/>
        <v>-2457</v>
      </c>
      <c r="P412" s="6">
        <f t="shared" si="76"/>
        <v>0</v>
      </c>
      <c r="Q412" s="7">
        <f t="shared" si="72"/>
        <v>643651.35</v>
      </c>
      <c r="R412" s="44" t="str">
        <f>VLOOKUP(F412,'Set up'!$A$2:$E$48,5,FALSE)</f>
        <v>Trsf</v>
      </c>
      <c r="S412" s="1" t="s">
        <v>573</v>
      </c>
    </row>
    <row r="413" spans="1:19" x14ac:dyDescent="0.3">
      <c r="A413" s="4">
        <v>44506</v>
      </c>
      <c r="B413" s="5">
        <f t="shared" si="73"/>
        <v>11</v>
      </c>
      <c r="C413" s="5">
        <f t="shared" si="74"/>
        <v>2021</v>
      </c>
      <c r="D413" s="5" t="s">
        <v>465</v>
      </c>
      <c r="E413" s="5" t="str">
        <f>VLOOKUP(F413,'Set up'!$A$2:$C$48,2,FALSE)</f>
        <v>C00000020</v>
      </c>
      <c r="F413" s="1" t="s">
        <v>410</v>
      </c>
      <c r="G413" s="55" t="s">
        <v>382</v>
      </c>
      <c r="H413" s="5">
        <v>4</v>
      </c>
      <c r="I413" s="5" t="str">
        <f>VLOOKUP(F413,'Set up'!$A$2:$C$48,3,FALSE)</f>
        <v>Cash</v>
      </c>
      <c r="J413" s="5">
        <f>VLOOKUP(F413,'Set up'!$A$2:$D$48,4,FALSE)</f>
        <v>0</v>
      </c>
      <c r="K413" s="4">
        <f t="shared" si="77"/>
        <v>44506</v>
      </c>
      <c r="L413" s="5">
        <f t="shared" si="67"/>
        <v>11</v>
      </c>
      <c r="M413" s="5">
        <f t="shared" si="68"/>
        <v>2021</v>
      </c>
      <c r="N413" s="6">
        <v>320</v>
      </c>
      <c r="O413" s="6">
        <f t="shared" si="78"/>
        <v>-320</v>
      </c>
      <c r="P413" s="6">
        <f t="shared" si="76"/>
        <v>0</v>
      </c>
      <c r="Q413" s="7">
        <f t="shared" si="72"/>
        <v>643971.35</v>
      </c>
      <c r="R413" s="44" t="str">
        <f>VLOOKUP(F413,'Set up'!$A$2:$E$48,5,FALSE)</f>
        <v>Trsf</v>
      </c>
      <c r="S413" s="1" t="s">
        <v>573</v>
      </c>
    </row>
    <row r="414" spans="1:19" ht="28.8" x14ac:dyDescent="0.3">
      <c r="A414" s="4">
        <v>44506</v>
      </c>
      <c r="B414" s="5">
        <f t="shared" si="73"/>
        <v>11</v>
      </c>
      <c r="C414" s="5">
        <f t="shared" si="74"/>
        <v>2021</v>
      </c>
      <c r="D414" s="5" t="s">
        <v>465</v>
      </c>
      <c r="E414" s="5" t="str">
        <f>VLOOKUP(F414,'Set up'!$A$2:$C$48,2,FALSE)</f>
        <v>C00000020</v>
      </c>
      <c r="F414" s="1" t="s">
        <v>410</v>
      </c>
      <c r="G414" s="74" t="s">
        <v>430</v>
      </c>
      <c r="H414" s="5">
        <v>1</v>
      </c>
      <c r="I414" s="5" t="str">
        <f>VLOOKUP(F414,'Set up'!$A$2:$C$48,3,FALSE)</f>
        <v>Cash</v>
      </c>
      <c r="J414" s="5">
        <f>VLOOKUP(F414,'Set up'!$A$2:$D$48,4,FALSE)</f>
        <v>0</v>
      </c>
      <c r="K414" s="4">
        <f t="shared" si="77"/>
        <v>44506</v>
      </c>
      <c r="L414" s="5">
        <f t="shared" si="67"/>
        <v>11</v>
      </c>
      <c r="M414" s="5">
        <f t="shared" si="68"/>
        <v>2021</v>
      </c>
      <c r="N414" s="6">
        <v>1000</v>
      </c>
      <c r="O414" s="6">
        <f t="shared" si="78"/>
        <v>-1000</v>
      </c>
      <c r="P414" s="6">
        <f t="shared" si="76"/>
        <v>0</v>
      </c>
      <c r="Q414" s="7">
        <f t="shared" si="72"/>
        <v>644971.35</v>
      </c>
      <c r="R414" s="44" t="str">
        <f>VLOOKUP(F414,'Set up'!$A$2:$E$48,5,FALSE)</f>
        <v>Trsf</v>
      </c>
      <c r="S414" s="1" t="s">
        <v>573</v>
      </c>
    </row>
    <row r="415" spans="1:19" hidden="1" x14ac:dyDescent="0.3">
      <c r="A415" s="4">
        <v>44508</v>
      </c>
      <c r="B415" s="5">
        <f t="shared" si="73"/>
        <v>11</v>
      </c>
      <c r="C415" s="5">
        <f t="shared" si="74"/>
        <v>2021</v>
      </c>
      <c r="D415" s="5" t="s">
        <v>466</v>
      </c>
      <c r="E415" s="5" t="str">
        <f>VLOOKUP(F415,'Set up'!$A$2:$C$48,2,FALSE)</f>
        <v>C00000010</v>
      </c>
      <c r="F415" s="1" t="s">
        <v>62</v>
      </c>
      <c r="G415" s="56" t="s">
        <v>304</v>
      </c>
      <c r="H415" s="5">
        <v>6</v>
      </c>
      <c r="I415" s="5">
        <f>VLOOKUP(F415,'Set up'!$A$2:$C$48,3,FALSE)</f>
        <v>120</v>
      </c>
      <c r="J415" s="5">
        <f>VLOOKUP(F415,'Set up'!$A$2:$D$48,4,FALSE)</f>
        <v>120</v>
      </c>
      <c r="K415" s="4">
        <f t="shared" si="77"/>
        <v>44628</v>
      </c>
      <c r="L415" s="5">
        <f t="shared" ref="L415:L478" si="79">MONTH(K415)</f>
        <v>3</v>
      </c>
      <c r="M415" s="5">
        <f t="shared" ref="M415:M478" si="80">YEAR(K415)</f>
        <v>2022</v>
      </c>
      <c r="N415" s="6">
        <v>12144</v>
      </c>
      <c r="O415" s="6">
        <f t="shared" si="78"/>
        <v>-12144</v>
      </c>
      <c r="P415" s="6">
        <f t="shared" si="76"/>
        <v>0</v>
      </c>
      <c r="Q415" s="7">
        <f t="shared" si="72"/>
        <v>657115.35</v>
      </c>
      <c r="R415" s="44" t="str">
        <f>VLOOKUP(F415,'Set up'!$A$2:$E$48,5,FALSE)</f>
        <v>Trsf</v>
      </c>
      <c r="S415" s="1" t="s">
        <v>632</v>
      </c>
    </row>
    <row r="416" spans="1:19" hidden="1" x14ac:dyDescent="0.3">
      <c r="A416" s="4">
        <v>44508</v>
      </c>
      <c r="B416" s="5">
        <f t="shared" si="73"/>
        <v>11</v>
      </c>
      <c r="C416" s="5">
        <f t="shared" si="74"/>
        <v>2021</v>
      </c>
      <c r="D416" s="5" t="s">
        <v>466</v>
      </c>
      <c r="E416" s="5" t="str">
        <f>VLOOKUP(F416,'Set up'!$A$2:$C$48,2,FALSE)</f>
        <v>C00000010</v>
      </c>
      <c r="F416" s="1" t="s">
        <v>62</v>
      </c>
      <c r="G416" s="56" t="s">
        <v>449</v>
      </c>
      <c r="H416" s="5">
        <v>6</v>
      </c>
      <c r="I416" s="5">
        <f>VLOOKUP(F416,'Set up'!$A$2:$C$48,3,FALSE)</f>
        <v>120</v>
      </c>
      <c r="J416" s="5">
        <f>VLOOKUP(F416,'Set up'!$A$2:$D$48,4,FALSE)</f>
        <v>120</v>
      </c>
      <c r="K416" s="4">
        <f t="shared" si="77"/>
        <v>44628</v>
      </c>
      <c r="L416" s="5">
        <f t="shared" si="79"/>
        <v>3</v>
      </c>
      <c r="M416" s="5">
        <f t="shared" si="80"/>
        <v>2022</v>
      </c>
      <c r="N416" s="6">
        <v>2109</v>
      </c>
      <c r="O416" s="6">
        <f t="shared" si="78"/>
        <v>-2109</v>
      </c>
      <c r="P416" s="6">
        <f t="shared" si="76"/>
        <v>0</v>
      </c>
      <c r="Q416" s="7">
        <f t="shared" si="72"/>
        <v>659224.35</v>
      </c>
      <c r="R416" s="44" t="str">
        <f>VLOOKUP(F416,'Set up'!$A$2:$E$48,5,FALSE)</f>
        <v>Trsf</v>
      </c>
      <c r="S416" s="1" t="s">
        <v>632</v>
      </c>
    </row>
    <row r="417" spans="1:19" ht="28.8" hidden="1" x14ac:dyDescent="0.3">
      <c r="A417" s="4">
        <v>44509</v>
      </c>
      <c r="B417" s="5">
        <f t="shared" si="73"/>
        <v>11</v>
      </c>
      <c r="C417" s="5">
        <f t="shared" si="74"/>
        <v>2021</v>
      </c>
      <c r="D417" s="5" t="s">
        <v>471</v>
      </c>
      <c r="E417" s="5" t="e">
        <f>VLOOKUP(F417,'Set up'!$A$2:$C$48,2,FALSE)</f>
        <v>#N/A</v>
      </c>
      <c r="F417" s="1" t="s">
        <v>470</v>
      </c>
      <c r="G417" s="74" t="s">
        <v>472</v>
      </c>
      <c r="H417" s="5">
        <v>1</v>
      </c>
      <c r="I417" s="5" t="e">
        <f>VLOOKUP(F417,'Set up'!$A$2:$C$48,3,FALSE)</f>
        <v>#N/A</v>
      </c>
      <c r="J417" s="5" t="e">
        <f>VLOOKUP(F417,'Set up'!$A$2:$D$48,4,FALSE)</f>
        <v>#N/A</v>
      </c>
      <c r="K417" s="4" t="e">
        <f t="shared" si="77"/>
        <v>#N/A</v>
      </c>
      <c r="L417" s="5" t="e">
        <f t="shared" si="79"/>
        <v>#N/A</v>
      </c>
      <c r="M417" s="5" t="e">
        <f t="shared" si="80"/>
        <v>#N/A</v>
      </c>
      <c r="N417" s="6">
        <v>240</v>
      </c>
      <c r="O417" s="6">
        <f t="shared" si="78"/>
        <v>-240</v>
      </c>
      <c r="P417" s="6">
        <f t="shared" si="76"/>
        <v>0</v>
      </c>
      <c r="Q417" s="7">
        <f t="shared" si="72"/>
        <v>659464.35</v>
      </c>
      <c r="R417" s="44" t="e">
        <f>VLOOKUP(F417,'Set up'!$A$2:$E$48,5,FALSE)</f>
        <v>#N/A</v>
      </c>
      <c r="S417" s="1" t="s">
        <v>500</v>
      </c>
    </row>
    <row r="418" spans="1:19" ht="28.8" hidden="1" x14ac:dyDescent="0.3">
      <c r="A418" s="4">
        <v>44510</v>
      </c>
      <c r="B418" s="5">
        <f t="shared" si="73"/>
        <v>11</v>
      </c>
      <c r="C418" s="5">
        <f t="shared" si="74"/>
        <v>2021</v>
      </c>
      <c r="D418" s="5" t="s">
        <v>473</v>
      </c>
      <c r="E418" s="5" t="str">
        <f>VLOOKUP(F418,'Set up'!$A$2:$C$48,2,FALSE)</f>
        <v>C00000021</v>
      </c>
      <c r="F418" s="11" t="s">
        <v>492</v>
      </c>
      <c r="G418" s="74" t="s">
        <v>67</v>
      </c>
      <c r="H418" s="5">
        <v>1</v>
      </c>
      <c r="I418" s="5" t="str">
        <f>VLOOKUP(F418,'Set up'!$A$2:$C$48,3,FALSE)</f>
        <v>Cash</v>
      </c>
      <c r="J418" s="5">
        <f>VLOOKUP(F418,'Set up'!$A$2:$D$48,4,FALSE)</f>
        <v>0</v>
      </c>
      <c r="K418" s="4">
        <f t="shared" si="77"/>
        <v>44510</v>
      </c>
      <c r="L418" s="5">
        <f t="shared" si="79"/>
        <v>11</v>
      </c>
      <c r="M418" s="5">
        <f t="shared" si="80"/>
        <v>2021</v>
      </c>
      <c r="N418" s="6">
        <v>2024</v>
      </c>
      <c r="O418" s="6">
        <f t="shared" si="78"/>
        <v>-2024</v>
      </c>
      <c r="P418" s="6">
        <f t="shared" si="76"/>
        <v>0</v>
      </c>
      <c r="Q418" s="7">
        <f t="shared" si="72"/>
        <v>661488.35</v>
      </c>
      <c r="R418" s="44" t="str">
        <f>VLOOKUP(F418,'Set up'!$A$2:$E$48,5,FALSE)</f>
        <v>PD Chq</v>
      </c>
      <c r="S418" s="1" t="s">
        <v>493</v>
      </c>
    </row>
    <row r="419" spans="1:19" x14ac:dyDescent="0.3">
      <c r="A419" s="4">
        <v>44511</v>
      </c>
      <c r="B419" s="5">
        <f t="shared" si="73"/>
        <v>11</v>
      </c>
      <c r="C419" s="5">
        <f t="shared" si="74"/>
        <v>2021</v>
      </c>
      <c r="D419" s="5" t="s">
        <v>474</v>
      </c>
      <c r="E419" s="5" t="str">
        <f>VLOOKUP(F419,'Set up'!$A$2:$C$48,2,FALSE)</f>
        <v>C00000020</v>
      </c>
      <c r="F419" s="1" t="s">
        <v>410</v>
      </c>
      <c r="G419" s="56" t="s">
        <v>304</v>
      </c>
      <c r="H419" s="5">
        <v>10</v>
      </c>
      <c r="I419" s="5" t="str">
        <f>VLOOKUP(F419,'Set up'!$A$2:$C$48,3,FALSE)</f>
        <v>Cash</v>
      </c>
      <c r="J419" s="5">
        <f>VLOOKUP(F419,'Set up'!$A$2:$D$48,4,FALSE)</f>
        <v>0</v>
      </c>
      <c r="K419" s="4">
        <f t="shared" si="77"/>
        <v>44511</v>
      </c>
      <c r="L419" s="5">
        <f t="shared" si="79"/>
        <v>11</v>
      </c>
      <c r="M419" s="5">
        <f t="shared" si="80"/>
        <v>2021</v>
      </c>
      <c r="N419" s="6">
        <v>20680</v>
      </c>
      <c r="O419" s="6">
        <f t="shared" si="78"/>
        <v>-20680</v>
      </c>
      <c r="P419" s="6">
        <f t="shared" si="76"/>
        <v>0</v>
      </c>
      <c r="Q419" s="7">
        <f t="shared" si="72"/>
        <v>682168.35</v>
      </c>
      <c r="R419" s="44" t="str">
        <f>VLOOKUP(F419,'Set up'!$A$2:$E$48,5,FALSE)</f>
        <v>Trsf</v>
      </c>
      <c r="S419" s="1" t="s">
        <v>573</v>
      </c>
    </row>
    <row r="420" spans="1:19" x14ac:dyDescent="0.3">
      <c r="A420" s="4">
        <v>44511</v>
      </c>
      <c r="B420" s="5">
        <f t="shared" si="73"/>
        <v>11</v>
      </c>
      <c r="C420" s="5">
        <f t="shared" si="74"/>
        <v>2021</v>
      </c>
      <c r="D420" s="5" t="s">
        <v>474</v>
      </c>
      <c r="E420" s="5" t="str">
        <f>VLOOKUP(F420,'Set up'!$A$2:$C$48,2,FALSE)</f>
        <v>C00000020</v>
      </c>
      <c r="F420" s="1" t="s">
        <v>410</v>
      </c>
      <c r="G420" s="56" t="s">
        <v>449</v>
      </c>
      <c r="H420" s="5">
        <v>15</v>
      </c>
      <c r="I420" s="5" t="str">
        <f>VLOOKUP(F420,'Set up'!$A$2:$C$48,3,FALSE)</f>
        <v>Cash</v>
      </c>
      <c r="J420" s="5">
        <f>VLOOKUP(F420,'Set up'!$A$2:$D$48,4,FALSE)</f>
        <v>0</v>
      </c>
      <c r="K420" s="4">
        <f t="shared" si="77"/>
        <v>44511</v>
      </c>
      <c r="L420" s="5">
        <f t="shared" si="79"/>
        <v>11</v>
      </c>
      <c r="M420" s="5">
        <f t="shared" si="80"/>
        <v>2021</v>
      </c>
      <c r="N420" s="6">
        <v>5328</v>
      </c>
      <c r="O420" s="6">
        <f t="shared" si="78"/>
        <v>-5328</v>
      </c>
      <c r="P420" s="6">
        <f t="shared" si="76"/>
        <v>0</v>
      </c>
      <c r="Q420" s="7">
        <f t="shared" si="72"/>
        <v>687496.35</v>
      </c>
      <c r="R420" s="44" t="str">
        <f>VLOOKUP(F420,'Set up'!$A$2:$E$48,5,FALSE)</f>
        <v>Trsf</v>
      </c>
      <c r="S420" s="1" t="s">
        <v>573</v>
      </c>
    </row>
    <row r="421" spans="1:19" ht="43.2" x14ac:dyDescent="0.3">
      <c r="A421" s="4">
        <v>44511</v>
      </c>
      <c r="B421" s="5">
        <f t="shared" si="73"/>
        <v>11</v>
      </c>
      <c r="C421" s="5">
        <f t="shared" si="74"/>
        <v>2021</v>
      </c>
      <c r="D421" s="5" t="s">
        <v>474</v>
      </c>
      <c r="E421" s="5" t="str">
        <f>VLOOKUP(F421,'Set up'!$A$2:$C$48,2,FALSE)</f>
        <v>C00000020</v>
      </c>
      <c r="F421" s="1" t="s">
        <v>410</v>
      </c>
      <c r="G421" s="74" t="s">
        <v>415</v>
      </c>
      <c r="H421" s="5">
        <v>14</v>
      </c>
      <c r="I421" s="5" t="str">
        <f>VLOOKUP(F421,'Set up'!$A$2:$C$48,3,FALSE)</f>
        <v>Cash</v>
      </c>
      <c r="J421" s="5">
        <f>VLOOKUP(F421,'Set up'!$A$2:$D$48,4,FALSE)</f>
        <v>0</v>
      </c>
      <c r="K421" s="4">
        <f t="shared" si="77"/>
        <v>44511</v>
      </c>
      <c r="L421" s="5">
        <f t="shared" si="79"/>
        <v>11</v>
      </c>
      <c r="M421" s="5">
        <f t="shared" si="80"/>
        <v>2021</v>
      </c>
      <c r="N421" s="6">
        <v>4914</v>
      </c>
      <c r="O421" s="6">
        <f>-2808.8-2105.2</f>
        <v>-4914</v>
      </c>
      <c r="P421" s="6">
        <f t="shared" si="76"/>
        <v>0</v>
      </c>
      <c r="Q421" s="7">
        <f t="shared" si="72"/>
        <v>692410.35</v>
      </c>
      <c r="R421" s="44" t="str">
        <f>VLOOKUP(F421,'Set up'!$A$2:$E$48,5,FALSE)</f>
        <v>Trsf</v>
      </c>
      <c r="S421" s="1" t="s">
        <v>574</v>
      </c>
    </row>
    <row r="422" spans="1:19" ht="28.8" x14ac:dyDescent="0.3">
      <c r="A422" s="4">
        <v>44511</v>
      </c>
      <c r="B422" s="5">
        <f t="shared" si="73"/>
        <v>11</v>
      </c>
      <c r="C422" s="5">
        <f t="shared" si="74"/>
        <v>2021</v>
      </c>
      <c r="D422" s="5" t="s">
        <v>474</v>
      </c>
      <c r="E422" s="5" t="str">
        <f>VLOOKUP(F422,'Set up'!$A$2:$C$48,2,FALSE)</f>
        <v>C00000020</v>
      </c>
      <c r="F422" s="1" t="s">
        <v>410</v>
      </c>
      <c r="G422" s="74" t="s">
        <v>64</v>
      </c>
      <c r="H422" s="5">
        <v>4</v>
      </c>
      <c r="I422" s="5" t="str">
        <f>VLOOKUP(F422,'Set up'!$A$2:$C$48,3,FALSE)</f>
        <v>Cash</v>
      </c>
      <c r="J422" s="5">
        <f>VLOOKUP(F422,'Set up'!$A$2:$D$48,4,FALSE)</f>
        <v>0</v>
      </c>
      <c r="K422" s="4">
        <f t="shared" si="77"/>
        <v>44511</v>
      </c>
      <c r="L422" s="5">
        <f t="shared" si="79"/>
        <v>11</v>
      </c>
      <c r="M422" s="5">
        <f t="shared" si="80"/>
        <v>2021</v>
      </c>
      <c r="N422" s="6">
        <v>250</v>
      </c>
      <c r="O422" s="6">
        <f t="shared" ref="O422:O456" si="81">-N422</f>
        <v>-250</v>
      </c>
      <c r="P422" s="6">
        <f t="shared" si="76"/>
        <v>0</v>
      </c>
      <c r="Q422" s="7">
        <f t="shared" si="72"/>
        <v>692660.35</v>
      </c>
      <c r="R422" s="44" t="str">
        <f>VLOOKUP(F422,'Set up'!$A$2:$E$48,5,FALSE)</f>
        <v>Trsf</v>
      </c>
      <c r="S422" s="1" t="s">
        <v>575</v>
      </c>
    </row>
    <row r="423" spans="1:19" ht="28.8" x14ac:dyDescent="0.3">
      <c r="A423" s="4">
        <v>44511</v>
      </c>
      <c r="B423" s="5">
        <f t="shared" si="73"/>
        <v>11</v>
      </c>
      <c r="C423" s="5">
        <f t="shared" si="74"/>
        <v>2021</v>
      </c>
      <c r="D423" s="5" t="s">
        <v>474</v>
      </c>
      <c r="E423" s="5" t="str">
        <f>VLOOKUP(F423,'Set up'!$A$2:$C$48,2,FALSE)</f>
        <v>C00000020</v>
      </c>
      <c r="F423" s="1" t="s">
        <v>410</v>
      </c>
      <c r="G423" s="74" t="s">
        <v>430</v>
      </c>
      <c r="H423" s="5">
        <v>2</v>
      </c>
      <c r="I423" s="5" t="str">
        <f>VLOOKUP(F423,'Set up'!$A$2:$C$48,3,FALSE)</f>
        <v>Cash</v>
      </c>
      <c r="J423" s="5">
        <f>VLOOKUP(F423,'Set up'!$A$2:$D$48,4,FALSE)</f>
        <v>0</v>
      </c>
      <c r="K423" s="4">
        <f t="shared" si="77"/>
        <v>44511</v>
      </c>
      <c r="L423" s="5">
        <f t="shared" si="79"/>
        <v>11</v>
      </c>
      <c r="M423" s="5">
        <f t="shared" si="80"/>
        <v>2021</v>
      </c>
      <c r="N423" s="6">
        <v>2000</v>
      </c>
      <c r="O423" s="6">
        <f t="shared" si="81"/>
        <v>-2000</v>
      </c>
      <c r="P423" s="6">
        <f t="shared" si="76"/>
        <v>0</v>
      </c>
      <c r="Q423" s="7">
        <f t="shared" si="72"/>
        <v>694660.35</v>
      </c>
      <c r="R423" s="44" t="str">
        <f>VLOOKUP(F423,'Set up'!$A$2:$E$48,5,FALSE)</f>
        <v>Trsf</v>
      </c>
      <c r="S423" s="1" t="s">
        <v>575</v>
      </c>
    </row>
    <row r="424" spans="1:19" ht="28.8" x14ac:dyDescent="0.3">
      <c r="A424" s="4">
        <v>44511</v>
      </c>
      <c r="B424" s="5">
        <f t="shared" si="73"/>
        <v>11</v>
      </c>
      <c r="C424" s="5">
        <f t="shared" si="74"/>
        <v>2021</v>
      </c>
      <c r="D424" s="5" t="s">
        <v>476</v>
      </c>
      <c r="E424" s="5" t="str">
        <f>VLOOKUP(F424,'Set up'!$A$2:$C$48,2,FALSE)</f>
        <v>C00000020</v>
      </c>
      <c r="F424" s="1" t="s">
        <v>410</v>
      </c>
      <c r="G424" s="74" t="s">
        <v>64</v>
      </c>
      <c r="H424" s="5">
        <v>5</v>
      </c>
      <c r="I424" s="5" t="str">
        <f>VLOOKUP(F424,'Set up'!$A$2:$C$48,3,FALSE)</f>
        <v>Cash</v>
      </c>
      <c r="J424" s="5">
        <f>VLOOKUP(F424,'Set up'!$A$2:$D$48,4,FALSE)</f>
        <v>0</v>
      </c>
      <c r="K424" s="4">
        <f t="shared" si="77"/>
        <v>44511</v>
      </c>
      <c r="L424" s="5">
        <f t="shared" si="79"/>
        <v>11</v>
      </c>
      <c r="M424" s="5">
        <f t="shared" si="80"/>
        <v>2021</v>
      </c>
      <c r="N424" s="6">
        <v>312.5</v>
      </c>
      <c r="O424" s="6">
        <f t="shared" si="81"/>
        <v>-312.5</v>
      </c>
      <c r="P424" s="6">
        <f t="shared" si="76"/>
        <v>0</v>
      </c>
      <c r="Q424" s="7">
        <f t="shared" si="72"/>
        <v>694972.85</v>
      </c>
      <c r="R424" s="44" t="str">
        <f>VLOOKUP(F424,'Set up'!$A$2:$E$48,5,FALSE)</f>
        <v>Trsf</v>
      </c>
      <c r="S424" s="1" t="s">
        <v>575</v>
      </c>
    </row>
    <row r="425" spans="1:19" ht="28.8" hidden="1" x14ac:dyDescent="0.3">
      <c r="A425" s="4">
        <v>44513</v>
      </c>
      <c r="B425" s="5">
        <f t="shared" si="73"/>
        <v>11</v>
      </c>
      <c r="C425" s="5">
        <f t="shared" si="74"/>
        <v>2021</v>
      </c>
      <c r="D425" s="5" t="s">
        <v>477</v>
      </c>
      <c r="E425" s="5" t="e">
        <f>VLOOKUP(F425,'Set up'!$A$2:$C$48,2,FALSE)</f>
        <v>#N/A</v>
      </c>
      <c r="F425" s="1" t="s">
        <v>229</v>
      </c>
      <c r="G425" s="74" t="s">
        <v>67</v>
      </c>
      <c r="H425" s="5">
        <v>1</v>
      </c>
      <c r="I425" s="5" t="e">
        <f>VLOOKUP(F425,'Set up'!$A$2:$C$48,3,FALSE)</f>
        <v>#N/A</v>
      </c>
      <c r="J425" s="5" t="e">
        <f>VLOOKUP(F425,'Set up'!$A$2:$D$48,4,FALSE)</f>
        <v>#N/A</v>
      </c>
      <c r="K425" s="4" t="e">
        <f t="shared" si="77"/>
        <v>#N/A</v>
      </c>
      <c r="L425" s="5" t="e">
        <f t="shared" si="79"/>
        <v>#N/A</v>
      </c>
      <c r="M425" s="5" t="e">
        <f t="shared" si="80"/>
        <v>#N/A</v>
      </c>
      <c r="N425" s="6">
        <v>2090</v>
      </c>
      <c r="O425" s="6">
        <f t="shared" si="81"/>
        <v>-2090</v>
      </c>
      <c r="P425" s="6">
        <f t="shared" si="76"/>
        <v>0</v>
      </c>
      <c r="Q425" s="7">
        <f t="shared" si="72"/>
        <v>697062.85</v>
      </c>
      <c r="R425" s="44" t="e">
        <f>VLOOKUP(F425,'Set up'!$A$2:$E$48,5,FALSE)</f>
        <v>#N/A</v>
      </c>
      <c r="S425" s="1" t="s">
        <v>498</v>
      </c>
    </row>
    <row r="426" spans="1:19" ht="28.8" hidden="1" x14ac:dyDescent="0.3">
      <c r="A426" s="4">
        <v>44513</v>
      </c>
      <c r="B426" s="5">
        <f t="shared" si="73"/>
        <v>11</v>
      </c>
      <c r="C426" s="5">
        <f t="shared" si="74"/>
        <v>2021</v>
      </c>
      <c r="D426" s="5" t="s">
        <v>477</v>
      </c>
      <c r="E426" s="5" t="e">
        <f>VLOOKUP(F426,'Set up'!$A$2:$C$48,2,FALSE)</f>
        <v>#N/A</v>
      </c>
      <c r="F426" s="1" t="s">
        <v>229</v>
      </c>
      <c r="G426" s="74" t="s">
        <v>418</v>
      </c>
      <c r="H426" s="5">
        <v>2</v>
      </c>
      <c r="I426" s="5" t="e">
        <f>VLOOKUP(F426,'Set up'!$A$2:$C$48,3,FALSE)</f>
        <v>#N/A</v>
      </c>
      <c r="J426" s="5" t="e">
        <f>VLOOKUP(F426,'Set up'!$A$2:$D$48,4,FALSE)</f>
        <v>#N/A</v>
      </c>
      <c r="K426" s="4" t="e">
        <f t="shared" si="77"/>
        <v>#N/A</v>
      </c>
      <c r="L426" s="5" t="e">
        <f t="shared" si="79"/>
        <v>#N/A</v>
      </c>
      <c r="M426" s="5" t="e">
        <f t="shared" si="80"/>
        <v>#N/A</v>
      </c>
      <c r="N426" s="6">
        <v>120</v>
      </c>
      <c r="O426" s="6">
        <f t="shared" si="81"/>
        <v>-120</v>
      </c>
      <c r="P426" s="6">
        <f t="shared" si="76"/>
        <v>0</v>
      </c>
      <c r="Q426" s="7">
        <f t="shared" si="72"/>
        <v>697182.85</v>
      </c>
      <c r="R426" s="44" t="e">
        <f>VLOOKUP(F426,'Set up'!$A$2:$E$48,5,FALSE)</f>
        <v>#N/A</v>
      </c>
      <c r="S426" s="1" t="s">
        <v>497</v>
      </c>
    </row>
    <row r="427" spans="1:19" hidden="1" x14ac:dyDescent="0.3">
      <c r="A427" s="4">
        <v>44513</v>
      </c>
      <c r="B427" s="5">
        <f t="shared" si="73"/>
        <v>11</v>
      </c>
      <c r="C427" s="5">
        <f t="shared" si="74"/>
        <v>2021</v>
      </c>
      <c r="D427" s="5" t="s">
        <v>477</v>
      </c>
      <c r="E427" s="5" t="e">
        <f>VLOOKUP(F427,'Set up'!$A$2:$C$48,2,FALSE)</f>
        <v>#N/A</v>
      </c>
      <c r="F427" s="1" t="s">
        <v>229</v>
      </c>
      <c r="G427" s="11" t="s">
        <v>24</v>
      </c>
      <c r="H427" s="5">
        <v>2</v>
      </c>
      <c r="I427" s="5" t="e">
        <f>VLOOKUP(F427,'Set up'!$A$2:$C$48,3,FALSE)</f>
        <v>#N/A</v>
      </c>
      <c r="J427" s="5" t="e">
        <f>VLOOKUP(F427,'Set up'!$A$2:$D$48,4,FALSE)</f>
        <v>#N/A</v>
      </c>
      <c r="K427" s="4" t="e">
        <f t="shared" si="77"/>
        <v>#N/A</v>
      </c>
      <c r="L427" s="5" t="e">
        <f t="shared" si="79"/>
        <v>#N/A</v>
      </c>
      <c r="M427" s="5" t="e">
        <f t="shared" si="80"/>
        <v>#N/A</v>
      </c>
      <c r="N427" s="6">
        <v>540</v>
      </c>
      <c r="O427" s="6">
        <f t="shared" si="81"/>
        <v>-540</v>
      </c>
      <c r="P427" s="6">
        <f t="shared" si="76"/>
        <v>0</v>
      </c>
      <c r="Q427" s="7">
        <f t="shared" si="72"/>
        <v>697722.85</v>
      </c>
      <c r="R427" s="44" t="e">
        <f>VLOOKUP(F427,'Set up'!$A$2:$E$48,5,FALSE)</f>
        <v>#N/A</v>
      </c>
      <c r="S427" s="1" t="s">
        <v>497</v>
      </c>
    </row>
    <row r="428" spans="1:19" ht="43.2" hidden="1" x14ac:dyDescent="0.3">
      <c r="A428" s="4">
        <v>44513</v>
      </c>
      <c r="B428" s="5">
        <f t="shared" si="73"/>
        <v>11</v>
      </c>
      <c r="C428" s="5">
        <f t="shared" si="74"/>
        <v>2021</v>
      </c>
      <c r="D428" s="5" t="s">
        <v>477</v>
      </c>
      <c r="E428" s="5" t="e">
        <f>VLOOKUP(F428,'Set up'!$A$2:$C$48,2,FALSE)</f>
        <v>#N/A</v>
      </c>
      <c r="F428" s="1" t="s">
        <v>229</v>
      </c>
      <c r="G428" s="84" t="s">
        <v>235</v>
      </c>
      <c r="H428" s="5">
        <v>2</v>
      </c>
      <c r="I428" s="5" t="e">
        <f>VLOOKUP(F428,'Set up'!$A$2:$C$48,3,FALSE)</f>
        <v>#N/A</v>
      </c>
      <c r="J428" s="5" t="e">
        <f>VLOOKUP(F428,'Set up'!$A$2:$D$48,4,FALSE)</f>
        <v>#N/A</v>
      </c>
      <c r="K428" s="4" t="e">
        <f t="shared" si="77"/>
        <v>#N/A</v>
      </c>
      <c r="L428" s="5" t="e">
        <f t="shared" si="79"/>
        <v>#N/A</v>
      </c>
      <c r="M428" s="5" t="e">
        <f t="shared" si="80"/>
        <v>#N/A</v>
      </c>
      <c r="N428" s="6">
        <v>320</v>
      </c>
      <c r="O428" s="6">
        <f t="shared" si="81"/>
        <v>-320</v>
      </c>
      <c r="P428" s="6">
        <f t="shared" si="76"/>
        <v>0</v>
      </c>
      <c r="Q428" s="7">
        <f t="shared" si="72"/>
        <v>698042.85</v>
      </c>
      <c r="R428" s="44" t="e">
        <f>VLOOKUP(F428,'Set up'!$A$2:$E$48,5,FALSE)</f>
        <v>#N/A</v>
      </c>
      <c r="S428" s="1" t="s">
        <v>497</v>
      </c>
    </row>
    <row r="429" spans="1:19" hidden="1" x14ac:dyDescent="0.3">
      <c r="A429" s="4">
        <v>44513</v>
      </c>
      <c r="B429" s="5">
        <f t="shared" si="73"/>
        <v>11</v>
      </c>
      <c r="C429" s="5">
        <f t="shared" si="74"/>
        <v>2021</v>
      </c>
      <c r="D429" s="5" t="s">
        <v>478</v>
      </c>
      <c r="E429" s="5" t="str">
        <f>VLOOKUP(F429,'Set up'!$A$2:$C$48,2,FALSE)</f>
        <v>C00000019</v>
      </c>
      <c r="F429" s="1" t="s">
        <v>401</v>
      </c>
      <c r="G429" s="56" t="s">
        <v>304</v>
      </c>
      <c r="H429" s="5">
        <v>2</v>
      </c>
      <c r="I429" s="5" t="str">
        <f>VLOOKUP(F429,'Set up'!$A$2:$C$48,3,FALSE)</f>
        <v>Cash</v>
      </c>
      <c r="J429" s="5">
        <f>VLOOKUP(F429,'Set up'!$A$2:$D$48,4,FALSE)</f>
        <v>0</v>
      </c>
      <c r="K429" s="4">
        <f t="shared" si="77"/>
        <v>44513</v>
      </c>
      <c r="L429" s="5">
        <f t="shared" si="79"/>
        <v>11</v>
      </c>
      <c r="M429" s="5">
        <f t="shared" si="80"/>
        <v>2021</v>
      </c>
      <c r="N429" s="6">
        <v>4048</v>
      </c>
      <c r="O429" s="6">
        <f t="shared" si="81"/>
        <v>-4048</v>
      </c>
      <c r="P429" s="6">
        <f t="shared" si="76"/>
        <v>0</v>
      </c>
      <c r="Q429" s="7">
        <f t="shared" si="72"/>
        <v>702090.85</v>
      </c>
      <c r="R429" s="44" t="str">
        <f>VLOOKUP(F429,'Set up'!$A$2:$E$48,5,FALSE)</f>
        <v>Trsf</v>
      </c>
      <c r="S429" s="1" t="s">
        <v>496</v>
      </c>
    </row>
    <row r="430" spans="1:19" hidden="1" x14ac:dyDescent="0.3">
      <c r="A430" s="4">
        <v>44513</v>
      </c>
      <c r="B430" s="5">
        <f t="shared" si="73"/>
        <v>11</v>
      </c>
      <c r="C430" s="5">
        <f t="shared" si="74"/>
        <v>2021</v>
      </c>
      <c r="D430" s="5" t="s">
        <v>478</v>
      </c>
      <c r="E430" s="5" t="str">
        <f>VLOOKUP(F430,'Set up'!$A$2:$C$48,2,FALSE)</f>
        <v>C00000019</v>
      </c>
      <c r="F430" s="1" t="s">
        <v>401</v>
      </c>
      <c r="G430" s="85" t="s">
        <v>479</v>
      </c>
      <c r="H430" s="5">
        <v>2</v>
      </c>
      <c r="I430" s="5" t="str">
        <f>VLOOKUP(F430,'Set up'!$A$2:$C$48,3,FALSE)</f>
        <v>Cash</v>
      </c>
      <c r="J430" s="5">
        <f>VLOOKUP(F430,'Set up'!$A$2:$D$48,4,FALSE)</f>
        <v>0</v>
      </c>
      <c r="K430" s="4">
        <f t="shared" si="77"/>
        <v>44513</v>
      </c>
      <c r="L430" s="5">
        <f t="shared" si="79"/>
        <v>11</v>
      </c>
      <c r="M430" s="5">
        <f t="shared" si="80"/>
        <v>2021</v>
      </c>
      <c r="N430" s="6">
        <v>993.6</v>
      </c>
      <c r="O430" s="6">
        <f t="shared" si="81"/>
        <v>-993.6</v>
      </c>
      <c r="P430" s="6">
        <f t="shared" si="76"/>
        <v>0</v>
      </c>
      <c r="Q430" s="7">
        <f t="shared" si="72"/>
        <v>703084.45</v>
      </c>
      <c r="R430" s="44" t="str">
        <f>VLOOKUP(F430,'Set up'!$A$2:$E$48,5,FALSE)</f>
        <v>Trsf</v>
      </c>
      <c r="S430" s="1" t="s">
        <v>496</v>
      </c>
    </row>
    <row r="431" spans="1:19" ht="28.8" hidden="1" x14ac:dyDescent="0.3">
      <c r="A431" s="4">
        <v>44513</v>
      </c>
      <c r="B431" s="5">
        <f t="shared" si="73"/>
        <v>11</v>
      </c>
      <c r="C431" s="5">
        <f t="shared" si="74"/>
        <v>2021</v>
      </c>
      <c r="D431" s="5" t="s">
        <v>478</v>
      </c>
      <c r="E431" s="5" t="str">
        <f>VLOOKUP(F431,'Set up'!$A$2:$C$48,2,FALSE)</f>
        <v>C00000019</v>
      </c>
      <c r="F431" s="1" t="s">
        <v>401</v>
      </c>
      <c r="G431" s="74" t="s">
        <v>64</v>
      </c>
      <c r="H431" s="5">
        <v>2</v>
      </c>
      <c r="I431" s="5" t="str">
        <f>VLOOKUP(F431,'Set up'!$A$2:$C$48,3,FALSE)</f>
        <v>Cash</v>
      </c>
      <c r="J431" s="5">
        <f>VLOOKUP(F431,'Set up'!$A$2:$D$48,4,FALSE)</f>
        <v>0</v>
      </c>
      <c r="K431" s="4">
        <f t="shared" si="77"/>
        <v>44513</v>
      </c>
      <c r="L431" s="5">
        <f t="shared" si="79"/>
        <v>11</v>
      </c>
      <c r="M431" s="5">
        <f t="shared" si="80"/>
        <v>2021</v>
      </c>
      <c r="N431" s="6">
        <v>125</v>
      </c>
      <c r="O431" s="6">
        <f t="shared" si="81"/>
        <v>-125</v>
      </c>
      <c r="P431" s="6">
        <f t="shared" si="76"/>
        <v>0</v>
      </c>
      <c r="Q431" s="7">
        <f t="shared" si="72"/>
        <v>703209.45</v>
      </c>
      <c r="R431" s="44" t="str">
        <f>VLOOKUP(F431,'Set up'!$A$2:$E$48,5,FALSE)</f>
        <v>Trsf</v>
      </c>
      <c r="S431" s="1" t="s">
        <v>496</v>
      </c>
    </row>
    <row r="432" spans="1:19" hidden="1" x14ac:dyDescent="0.3">
      <c r="A432" s="4">
        <v>44513</v>
      </c>
      <c r="B432" s="5">
        <f t="shared" si="73"/>
        <v>11</v>
      </c>
      <c r="C432" s="5">
        <f t="shared" si="74"/>
        <v>2021</v>
      </c>
      <c r="D432" s="5" t="s">
        <v>478</v>
      </c>
      <c r="E432" s="5" t="str">
        <f>VLOOKUP(F432,'Set up'!$A$2:$C$48,2,FALSE)</f>
        <v>C00000019</v>
      </c>
      <c r="F432" s="1" t="s">
        <v>401</v>
      </c>
      <c r="G432" s="56" t="s">
        <v>46</v>
      </c>
      <c r="H432" s="5">
        <v>2</v>
      </c>
      <c r="I432" s="5" t="str">
        <f>VLOOKUP(F432,'Set up'!$A$2:$C$48,3,FALSE)</f>
        <v>Cash</v>
      </c>
      <c r="J432" s="5">
        <f>VLOOKUP(F432,'Set up'!$A$2:$D$48,4,FALSE)</f>
        <v>0</v>
      </c>
      <c r="K432" s="4">
        <f t="shared" si="77"/>
        <v>44513</v>
      </c>
      <c r="L432" s="5">
        <f t="shared" si="79"/>
        <v>11</v>
      </c>
      <c r="M432" s="5">
        <f t="shared" si="80"/>
        <v>2021</v>
      </c>
      <c r="N432" s="6">
        <v>200</v>
      </c>
      <c r="O432" s="6">
        <f t="shared" si="81"/>
        <v>-200</v>
      </c>
      <c r="P432" s="6">
        <f t="shared" si="76"/>
        <v>0</v>
      </c>
      <c r="Q432" s="7">
        <f t="shared" si="72"/>
        <v>703409.45</v>
      </c>
      <c r="R432" s="44" t="str">
        <f>VLOOKUP(F432,'Set up'!$A$2:$E$48,5,FALSE)</f>
        <v>Trsf</v>
      </c>
      <c r="S432" s="1" t="s">
        <v>496</v>
      </c>
    </row>
    <row r="433" spans="1:19" ht="31.2" hidden="1" x14ac:dyDescent="0.3">
      <c r="A433" s="4">
        <v>44523</v>
      </c>
      <c r="B433" s="5">
        <f t="shared" si="73"/>
        <v>11</v>
      </c>
      <c r="C433" s="5">
        <f t="shared" si="74"/>
        <v>2021</v>
      </c>
      <c r="D433" s="5" t="s">
        <v>481</v>
      </c>
      <c r="E433" s="5" t="str">
        <f>VLOOKUP(F433,'Set up'!$A$2:$C$48,2,FALSE)</f>
        <v>C00000003</v>
      </c>
      <c r="F433" s="1" t="s">
        <v>20</v>
      </c>
      <c r="G433" s="74" t="s">
        <v>67</v>
      </c>
      <c r="H433" s="5">
        <v>1</v>
      </c>
      <c r="I433" s="5">
        <f>VLOOKUP(F433,'Set up'!$A$2:$C$48,3,FALSE)</f>
        <v>45</v>
      </c>
      <c r="J433" s="5">
        <f>VLOOKUP(F433,'Set up'!$A$2:$D$48,4,FALSE)</f>
        <v>45</v>
      </c>
      <c r="K433" s="4">
        <f t="shared" si="77"/>
        <v>44568</v>
      </c>
      <c r="L433" s="5">
        <f t="shared" si="79"/>
        <v>1</v>
      </c>
      <c r="M433" s="5">
        <f t="shared" si="80"/>
        <v>2022</v>
      </c>
      <c r="N433" s="6">
        <v>2024</v>
      </c>
      <c r="O433" s="6">
        <f t="shared" si="81"/>
        <v>-2024</v>
      </c>
      <c r="P433" s="6">
        <f t="shared" si="76"/>
        <v>0</v>
      </c>
      <c r="Q433" s="7">
        <f t="shared" si="72"/>
        <v>705433.45</v>
      </c>
      <c r="R433" s="44" t="str">
        <f>VLOOKUP(F433,'Set up'!$A$2:$E$48,5,FALSE)</f>
        <v>PD Chq</v>
      </c>
      <c r="S433" s="40" t="s">
        <v>623</v>
      </c>
    </row>
    <row r="434" spans="1:19" ht="31.2" hidden="1" x14ac:dyDescent="0.3">
      <c r="A434" s="4">
        <v>44523</v>
      </c>
      <c r="B434" s="5">
        <f t="shared" si="73"/>
        <v>11</v>
      </c>
      <c r="C434" s="5">
        <f t="shared" si="74"/>
        <v>2021</v>
      </c>
      <c r="D434" s="5" t="s">
        <v>481</v>
      </c>
      <c r="E434" s="5" t="str">
        <f>VLOOKUP(F434,'Set up'!$A$2:$C$48,2,FALSE)</f>
        <v>C00000003</v>
      </c>
      <c r="F434" s="1" t="s">
        <v>20</v>
      </c>
      <c r="G434" s="55" t="s">
        <v>382</v>
      </c>
      <c r="H434" s="5">
        <v>2</v>
      </c>
      <c r="I434" s="5">
        <f>VLOOKUP(F434,'Set up'!$A$2:$C$48,3,FALSE)</f>
        <v>45</v>
      </c>
      <c r="J434" s="5">
        <f>VLOOKUP(F434,'Set up'!$A$2:$D$48,4,FALSE)</f>
        <v>45</v>
      </c>
      <c r="K434" s="4">
        <f t="shared" si="77"/>
        <v>44568</v>
      </c>
      <c r="L434" s="5">
        <f t="shared" si="79"/>
        <v>1</v>
      </c>
      <c r="M434" s="5">
        <f t="shared" si="80"/>
        <v>2022</v>
      </c>
      <c r="N434" s="6">
        <v>170</v>
      </c>
      <c r="O434" s="6">
        <f t="shared" si="81"/>
        <v>-170</v>
      </c>
      <c r="P434" s="6">
        <f t="shared" si="76"/>
        <v>0</v>
      </c>
      <c r="Q434" s="7">
        <f t="shared" si="72"/>
        <v>705603.45</v>
      </c>
      <c r="R434" s="44" t="str">
        <f>VLOOKUP(F434,'Set up'!$A$2:$E$48,5,FALSE)</f>
        <v>PD Chq</v>
      </c>
      <c r="S434" s="40" t="s">
        <v>624</v>
      </c>
    </row>
    <row r="435" spans="1:19" ht="31.2" hidden="1" x14ac:dyDescent="0.3">
      <c r="A435" s="4">
        <v>44523</v>
      </c>
      <c r="B435" s="5">
        <f t="shared" si="73"/>
        <v>11</v>
      </c>
      <c r="C435" s="5">
        <f t="shared" si="74"/>
        <v>2021</v>
      </c>
      <c r="D435" s="5" t="s">
        <v>481</v>
      </c>
      <c r="E435" s="5" t="str">
        <f>VLOOKUP(F435,'Set up'!$A$2:$C$48,2,FALSE)</f>
        <v>C00000003</v>
      </c>
      <c r="F435" s="1" t="s">
        <v>20</v>
      </c>
      <c r="G435" s="74" t="s">
        <v>64</v>
      </c>
      <c r="H435" s="5">
        <v>3</v>
      </c>
      <c r="I435" s="5">
        <f>VLOOKUP(F435,'Set up'!$A$2:$C$48,3,FALSE)</f>
        <v>45</v>
      </c>
      <c r="J435" s="5">
        <f>VLOOKUP(F435,'Set up'!$A$2:$D$48,4,FALSE)</f>
        <v>45</v>
      </c>
      <c r="K435" s="4">
        <f t="shared" si="77"/>
        <v>44568</v>
      </c>
      <c r="L435" s="5">
        <f t="shared" si="79"/>
        <v>1</v>
      </c>
      <c r="M435" s="5">
        <f t="shared" si="80"/>
        <v>2022</v>
      </c>
      <c r="N435" s="6">
        <v>172.5</v>
      </c>
      <c r="O435" s="6">
        <f t="shared" si="81"/>
        <v>-172.5</v>
      </c>
      <c r="P435" s="6">
        <f t="shared" si="76"/>
        <v>0</v>
      </c>
      <c r="Q435" s="7">
        <f t="shared" si="72"/>
        <v>705775.95</v>
      </c>
      <c r="R435" s="44" t="str">
        <f>VLOOKUP(F435,'Set up'!$A$2:$E$48,5,FALSE)</f>
        <v>PD Chq</v>
      </c>
      <c r="S435" s="40" t="s">
        <v>625</v>
      </c>
    </row>
    <row r="436" spans="1:19" hidden="1" x14ac:dyDescent="0.3">
      <c r="A436" s="4">
        <v>44526</v>
      </c>
      <c r="B436" s="5">
        <f t="shared" si="73"/>
        <v>11</v>
      </c>
      <c r="C436" s="5">
        <f t="shared" si="74"/>
        <v>2021</v>
      </c>
      <c r="D436" s="5" t="s">
        <v>482</v>
      </c>
      <c r="E436" s="5" t="str">
        <f>VLOOKUP(F436,'Set up'!$A$2:$C$48,2,FALSE)</f>
        <v>C00000019</v>
      </c>
      <c r="F436" s="1" t="s">
        <v>401</v>
      </c>
      <c r="G436" s="56" t="s">
        <v>304</v>
      </c>
      <c r="H436" s="5">
        <v>1</v>
      </c>
      <c r="I436" s="5" t="str">
        <f>VLOOKUP(F436,'Set up'!$A$2:$C$48,3,FALSE)</f>
        <v>Cash</v>
      </c>
      <c r="J436" s="5">
        <f>VLOOKUP(F436,'Set up'!$A$2:$D$48,4,FALSE)</f>
        <v>0</v>
      </c>
      <c r="K436" s="4">
        <f t="shared" si="77"/>
        <v>44526</v>
      </c>
      <c r="L436" s="5">
        <f t="shared" si="79"/>
        <v>11</v>
      </c>
      <c r="M436" s="5">
        <f t="shared" si="80"/>
        <v>2021</v>
      </c>
      <c r="N436" s="71">
        <v>2024</v>
      </c>
      <c r="O436" s="6">
        <f t="shared" si="81"/>
        <v>-2024</v>
      </c>
      <c r="P436" s="6">
        <f t="shared" si="76"/>
        <v>0</v>
      </c>
      <c r="Q436" s="7">
        <f t="shared" si="72"/>
        <v>707799.95</v>
      </c>
      <c r="R436" s="44" t="str">
        <f>VLOOKUP(F436,'Set up'!$A$2:$E$48,5,FALSE)</f>
        <v>Trsf</v>
      </c>
      <c r="S436" s="1" t="s">
        <v>517</v>
      </c>
    </row>
    <row r="437" spans="1:19" ht="28.8" hidden="1" x14ac:dyDescent="0.3">
      <c r="A437" s="4">
        <v>44526</v>
      </c>
      <c r="B437" s="5">
        <f t="shared" si="73"/>
        <v>11</v>
      </c>
      <c r="C437" s="5">
        <f t="shared" si="74"/>
        <v>2021</v>
      </c>
      <c r="D437" s="5" t="s">
        <v>482</v>
      </c>
      <c r="E437" s="5" t="str">
        <f>VLOOKUP(F437,'Set up'!$A$2:$C$48,2,FALSE)</f>
        <v>C00000019</v>
      </c>
      <c r="F437" s="1" t="s">
        <v>401</v>
      </c>
      <c r="G437" s="74" t="s">
        <v>64</v>
      </c>
      <c r="H437" s="5">
        <v>4</v>
      </c>
      <c r="I437" s="5" t="str">
        <f>VLOOKUP(F437,'Set up'!$A$2:$C$48,3,FALSE)</f>
        <v>Cash</v>
      </c>
      <c r="J437" s="5">
        <f>VLOOKUP(F437,'Set up'!$A$2:$D$48,4,FALSE)</f>
        <v>0</v>
      </c>
      <c r="K437" s="4">
        <f t="shared" si="77"/>
        <v>44526</v>
      </c>
      <c r="L437" s="5">
        <f t="shared" si="79"/>
        <v>11</v>
      </c>
      <c r="M437" s="5">
        <f t="shared" si="80"/>
        <v>2021</v>
      </c>
      <c r="N437" s="6">
        <v>250</v>
      </c>
      <c r="O437" s="6">
        <f t="shared" si="81"/>
        <v>-250</v>
      </c>
      <c r="P437" s="6">
        <f t="shared" si="76"/>
        <v>0</v>
      </c>
      <c r="Q437" s="7">
        <f t="shared" si="72"/>
        <v>708049.95</v>
      </c>
      <c r="R437" s="44" t="str">
        <f>VLOOKUP(F437,'Set up'!$A$2:$E$48,5,FALSE)</f>
        <v>Trsf</v>
      </c>
      <c r="S437" s="1" t="s">
        <v>517</v>
      </c>
    </row>
    <row r="438" spans="1:19" hidden="1" x14ac:dyDescent="0.3">
      <c r="A438" s="4">
        <v>44526</v>
      </c>
      <c r="B438" s="5">
        <f t="shared" si="73"/>
        <v>11</v>
      </c>
      <c r="C438" s="5">
        <f t="shared" si="74"/>
        <v>2021</v>
      </c>
      <c r="D438" s="5" t="s">
        <v>482</v>
      </c>
      <c r="E438" s="5" t="str">
        <f>VLOOKUP(F438,'Set up'!$A$2:$C$48,2,FALSE)</f>
        <v>C00000019</v>
      </c>
      <c r="F438" s="1" t="s">
        <v>401</v>
      </c>
      <c r="G438" s="56" t="s">
        <v>46</v>
      </c>
      <c r="H438" s="5">
        <v>1</v>
      </c>
      <c r="I438" s="5" t="str">
        <f>VLOOKUP(F438,'Set up'!$A$2:$C$48,3,FALSE)</f>
        <v>Cash</v>
      </c>
      <c r="J438" s="5">
        <f>VLOOKUP(F438,'Set up'!$A$2:$D$48,4,FALSE)</f>
        <v>0</v>
      </c>
      <c r="K438" s="4">
        <f t="shared" si="77"/>
        <v>44526</v>
      </c>
      <c r="L438" s="5">
        <f t="shared" si="79"/>
        <v>11</v>
      </c>
      <c r="M438" s="5">
        <f t="shared" si="80"/>
        <v>2021</v>
      </c>
      <c r="N438" s="6">
        <v>100</v>
      </c>
      <c r="O438" s="6">
        <f t="shared" si="81"/>
        <v>-100</v>
      </c>
      <c r="P438" s="6">
        <f t="shared" si="76"/>
        <v>0</v>
      </c>
      <c r="Q438" s="7">
        <f t="shared" si="72"/>
        <v>708149.95</v>
      </c>
      <c r="R438" s="44" t="str">
        <f>VLOOKUP(F438,'Set up'!$A$2:$E$48,5,FALSE)</f>
        <v>Trsf</v>
      </c>
      <c r="S438" s="1" t="s">
        <v>517</v>
      </c>
    </row>
    <row r="439" spans="1:19" hidden="1" x14ac:dyDescent="0.3">
      <c r="A439" s="4">
        <v>44526</v>
      </c>
      <c r="B439" s="5">
        <f t="shared" si="73"/>
        <v>11</v>
      </c>
      <c r="C439" s="5">
        <f t="shared" si="74"/>
        <v>2021</v>
      </c>
      <c r="D439" s="5" t="s">
        <v>483</v>
      </c>
      <c r="E439" s="5" t="str">
        <f>VLOOKUP(F439,'Set up'!$A$2:$C$48,2,FALSE)</f>
        <v>C00000019</v>
      </c>
      <c r="F439" s="1" t="s">
        <v>401</v>
      </c>
      <c r="G439" s="56" t="s">
        <v>304</v>
      </c>
      <c r="H439" s="5">
        <v>1</v>
      </c>
      <c r="I439" s="5" t="str">
        <f>VLOOKUP(F439,'Set up'!$A$2:$C$48,3,FALSE)</f>
        <v>Cash</v>
      </c>
      <c r="J439" s="5">
        <f>VLOOKUP(F439,'Set up'!$A$2:$D$48,4,FALSE)</f>
        <v>0</v>
      </c>
      <c r="K439" s="4">
        <f t="shared" si="77"/>
        <v>44526</v>
      </c>
      <c r="L439" s="5">
        <f t="shared" si="79"/>
        <v>11</v>
      </c>
      <c r="M439" s="5">
        <f t="shared" si="80"/>
        <v>2021</v>
      </c>
      <c r="N439" s="6">
        <v>2024</v>
      </c>
      <c r="O439" s="6">
        <f t="shared" si="81"/>
        <v>-2024</v>
      </c>
      <c r="P439" s="6">
        <f t="shared" si="76"/>
        <v>0</v>
      </c>
      <c r="Q439" s="7">
        <f t="shared" si="72"/>
        <v>710173.95</v>
      </c>
      <c r="R439" s="44" t="str">
        <f>VLOOKUP(F439,'Set up'!$A$2:$E$48,5,FALSE)</f>
        <v>Trsf</v>
      </c>
      <c r="S439" s="1" t="s">
        <v>517</v>
      </c>
    </row>
    <row r="440" spans="1:19" ht="28.8" hidden="1" x14ac:dyDescent="0.3">
      <c r="A440" s="4">
        <v>44529</v>
      </c>
      <c r="B440" s="5">
        <f t="shared" si="73"/>
        <v>11</v>
      </c>
      <c r="C440" s="5">
        <f t="shared" si="74"/>
        <v>2021</v>
      </c>
      <c r="D440" s="5" t="s">
        <v>485</v>
      </c>
      <c r="E440" s="5" t="str">
        <f>VLOOKUP(F440,'Set up'!$A$2:$C$48,2,FALSE)</f>
        <v>C00000008</v>
      </c>
      <c r="F440" s="1" t="s">
        <v>52</v>
      </c>
      <c r="G440" s="74" t="s">
        <v>67</v>
      </c>
      <c r="H440" s="5">
        <v>1</v>
      </c>
      <c r="I440" s="5" t="str">
        <f>VLOOKUP(F440,'Set up'!$A$2:$C$48,3,FALSE)</f>
        <v>Cash</v>
      </c>
      <c r="J440" s="5">
        <f>VLOOKUP(F440,'Set up'!$A$2:$D$48,4,FALSE)</f>
        <v>0</v>
      </c>
      <c r="K440" s="4">
        <f t="shared" si="77"/>
        <v>44529</v>
      </c>
      <c r="L440" s="5">
        <f t="shared" si="79"/>
        <v>11</v>
      </c>
      <c r="M440" s="5">
        <f t="shared" si="80"/>
        <v>2021</v>
      </c>
      <c r="N440" s="6">
        <v>2090</v>
      </c>
      <c r="O440" s="6">
        <f t="shared" si="81"/>
        <v>-2090</v>
      </c>
      <c r="P440" s="6">
        <f t="shared" si="76"/>
        <v>0</v>
      </c>
      <c r="Q440" s="7">
        <f t="shared" si="72"/>
        <v>712263.95</v>
      </c>
      <c r="R440" s="44" t="str">
        <f>VLOOKUP(F440,'Set up'!$A$2:$E$48,5,FALSE)</f>
        <v>Trsf</v>
      </c>
      <c r="S440" s="1" t="s">
        <v>582</v>
      </c>
    </row>
    <row r="441" spans="1:19" ht="46.8" hidden="1" x14ac:dyDescent="0.3">
      <c r="A441" s="4">
        <v>44529</v>
      </c>
      <c r="B441" s="5">
        <f t="shared" si="73"/>
        <v>11</v>
      </c>
      <c r="C441" s="5">
        <f t="shared" si="74"/>
        <v>2021</v>
      </c>
      <c r="D441" s="5" t="s">
        <v>485</v>
      </c>
      <c r="E441" s="5" t="str">
        <f>VLOOKUP(F441,'Set up'!$A$2:$C$48,2,FALSE)</f>
        <v>C00000008</v>
      </c>
      <c r="F441" s="1" t="s">
        <v>52</v>
      </c>
      <c r="G441" s="79" t="s">
        <v>220</v>
      </c>
      <c r="H441" s="5">
        <v>4</v>
      </c>
      <c r="I441" s="5" t="str">
        <f>VLOOKUP(F441,'Set up'!$A$2:$C$48,3,FALSE)</f>
        <v>Cash</v>
      </c>
      <c r="J441" s="5">
        <f>VLOOKUP(F441,'Set up'!$A$2:$D$48,4,FALSE)</f>
        <v>0</v>
      </c>
      <c r="K441" s="4">
        <f t="shared" si="77"/>
        <v>44529</v>
      </c>
      <c r="L441" s="5">
        <f t="shared" si="79"/>
        <v>11</v>
      </c>
      <c r="M441" s="5">
        <f t="shared" si="80"/>
        <v>2021</v>
      </c>
      <c r="N441" s="6">
        <v>1406</v>
      </c>
      <c r="O441" s="6">
        <f t="shared" si="81"/>
        <v>-1406</v>
      </c>
      <c r="P441" s="6">
        <f t="shared" si="76"/>
        <v>0</v>
      </c>
      <c r="Q441" s="7">
        <f t="shared" si="72"/>
        <v>713669.95</v>
      </c>
      <c r="R441" s="44" t="str">
        <f>VLOOKUP(F441,'Set up'!$A$2:$E$48,5,FALSE)</f>
        <v>Trsf</v>
      </c>
      <c r="S441" s="1" t="s">
        <v>582</v>
      </c>
    </row>
    <row r="442" spans="1:19" ht="28.8" x14ac:dyDescent="0.3">
      <c r="A442" s="4">
        <v>44537</v>
      </c>
      <c r="B442" s="5">
        <f t="shared" si="73"/>
        <v>12</v>
      </c>
      <c r="C442" s="5">
        <f t="shared" si="74"/>
        <v>2021</v>
      </c>
      <c r="D442" s="5" t="s">
        <v>502</v>
      </c>
      <c r="E442" s="5" t="str">
        <f>VLOOKUP(F442,'Set up'!$A$2:$C$48,2,FALSE)</f>
        <v>C00000020</v>
      </c>
      <c r="F442" s="1" t="s">
        <v>410</v>
      </c>
      <c r="G442" s="74" t="s">
        <v>67</v>
      </c>
      <c r="H442" s="5">
        <v>3</v>
      </c>
      <c r="I442" s="5" t="str">
        <f>VLOOKUP(F442,'Set up'!$A$2:$C$48,3,FALSE)</f>
        <v>Cash</v>
      </c>
      <c r="J442" s="5">
        <f>VLOOKUP(F442,'Set up'!$A$2:$D$48,4,FALSE)</f>
        <v>0</v>
      </c>
      <c r="K442" s="4">
        <f t="shared" si="77"/>
        <v>44537</v>
      </c>
      <c r="L442" s="5">
        <f t="shared" si="79"/>
        <v>12</v>
      </c>
      <c r="M442" s="5">
        <f t="shared" si="80"/>
        <v>2021</v>
      </c>
      <c r="N442" s="6">
        <v>6138</v>
      </c>
      <c r="O442" s="6">
        <f t="shared" si="81"/>
        <v>-6138</v>
      </c>
      <c r="P442" s="6">
        <f t="shared" si="76"/>
        <v>0</v>
      </c>
      <c r="Q442" s="7">
        <f t="shared" si="72"/>
        <v>719807.95</v>
      </c>
      <c r="R442" s="44" t="str">
        <f>VLOOKUP(F442,'Set up'!$A$2:$E$48,5,FALSE)</f>
        <v>Trsf</v>
      </c>
      <c r="S442" s="1" t="s">
        <v>518</v>
      </c>
    </row>
    <row r="443" spans="1:19" ht="46.8" x14ac:dyDescent="0.3">
      <c r="A443" s="4">
        <v>44537</v>
      </c>
      <c r="B443" s="5">
        <f t="shared" si="73"/>
        <v>12</v>
      </c>
      <c r="C443" s="5">
        <f t="shared" si="74"/>
        <v>2021</v>
      </c>
      <c r="D443" s="5" t="s">
        <v>502</v>
      </c>
      <c r="E443" s="5" t="str">
        <f>VLOOKUP(F443,'Set up'!$A$2:$C$48,2,FALSE)</f>
        <v>C00000020</v>
      </c>
      <c r="F443" s="1" t="s">
        <v>410</v>
      </c>
      <c r="G443" s="79" t="s">
        <v>449</v>
      </c>
      <c r="H443" s="5">
        <v>9</v>
      </c>
      <c r="I443" s="5" t="str">
        <f>VLOOKUP(F443,'Set up'!$A$2:$C$48,3,FALSE)</f>
        <v>Cash</v>
      </c>
      <c r="J443" s="5">
        <f>VLOOKUP(F443,'Set up'!$A$2:$D$48,4,FALSE)</f>
        <v>0</v>
      </c>
      <c r="K443" s="4">
        <f t="shared" si="77"/>
        <v>44537</v>
      </c>
      <c r="L443" s="5">
        <f t="shared" si="79"/>
        <v>12</v>
      </c>
      <c r="M443" s="5">
        <f t="shared" si="80"/>
        <v>2021</v>
      </c>
      <c r="N443" s="6">
        <v>3263.4</v>
      </c>
      <c r="O443" s="6">
        <f t="shared" si="81"/>
        <v>-3263.4</v>
      </c>
      <c r="P443" s="6">
        <f t="shared" si="76"/>
        <v>0</v>
      </c>
      <c r="Q443" s="7">
        <f t="shared" si="72"/>
        <v>723071.35</v>
      </c>
      <c r="R443" s="44" t="str">
        <f>VLOOKUP(F443,'Set up'!$A$2:$E$48,5,FALSE)</f>
        <v>Trsf</v>
      </c>
      <c r="S443" s="1" t="s">
        <v>518</v>
      </c>
    </row>
    <row r="444" spans="1:19" ht="43.2" x14ac:dyDescent="0.3">
      <c r="A444" s="4">
        <v>44537</v>
      </c>
      <c r="B444" s="5">
        <f t="shared" si="73"/>
        <v>12</v>
      </c>
      <c r="C444" s="5">
        <f t="shared" si="74"/>
        <v>2021</v>
      </c>
      <c r="D444" s="5" t="s">
        <v>502</v>
      </c>
      <c r="E444" s="5" t="str">
        <f>VLOOKUP(F444,'Set up'!$A$2:$C$48,2,FALSE)</f>
        <v>C00000020</v>
      </c>
      <c r="F444" s="1" t="s">
        <v>410</v>
      </c>
      <c r="G444" s="74" t="s">
        <v>415</v>
      </c>
      <c r="H444" s="5">
        <v>6</v>
      </c>
      <c r="I444" s="5" t="str">
        <f>VLOOKUP(F444,'Set up'!$A$2:$C$48,3,FALSE)</f>
        <v>Cash</v>
      </c>
      <c r="J444" s="5">
        <f>VLOOKUP(F444,'Set up'!$A$2:$D$48,4,FALSE)</f>
        <v>0</v>
      </c>
      <c r="K444" s="4">
        <f t="shared" si="77"/>
        <v>44537</v>
      </c>
      <c r="L444" s="5">
        <f t="shared" si="79"/>
        <v>12</v>
      </c>
      <c r="M444" s="5">
        <f t="shared" si="80"/>
        <v>2021</v>
      </c>
      <c r="N444" s="6">
        <v>2430</v>
      </c>
      <c r="O444" s="6">
        <f t="shared" si="81"/>
        <v>-2430</v>
      </c>
      <c r="P444" s="6">
        <f t="shared" si="76"/>
        <v>0</v>
      </c>
      <c r="Q444" s="7">
        <f t="shared" si="72"/>
        <v>725501.35</v>
      </c>
      <c r="R444" s="44" t="str">
        <f>VLOOKUP(F444,'Set up'!$A$2:$E$48,5,FALSE)</f>
        <v>Trsf</v>
      </c>
      <c r="S444" s="1" t="s">
        <v>518</v>
      </c>
    </row>
    <row r="445" spans="1:19" ht="28.8" x14ac:dyDescent="0.3">
      <c r="A445" s="4">
        <v>44537</v>
      </c>
      <c r="B445" s="5">
        <f t="shared" si="73"/>
        <v>12</v>
      </c>
      <c r="C445" s="5">
        <f t="shared" si="74"/>
        <v>2021</v>
      </c>
      <c r="D445" s="5" t="s">
        <v>502</v>
      </c>
      <c r="E445" s="5" t="str">
        <f>VLOOKUP(F445,'Set up'!$A$2:$C$48,2,FALSE)</f>
        <v>C00000020</v>
      </c>
      <c r="F445" s="1" t="s">
        <v>410</v>
      </c>
      <c r="G445" s="74" t="s">
        <v>64</v>
      </c>
      <c r="H445" s="5">
        <v>3</v>
      </c>
      <c r="I445" s="5" t="str">
        <f>VLOOKUP(F445,'Set up'!$A$2:$C$48,3,FALSE)</f>
        <v>Cash</v>
      </c>
      <c r="J445" s="5">
        <f>VLOOKUP(F445,'Set up'!$A$2:$D$48,4,FALSE)</f>
        <v>0</v>
      </c>
      <c r="K445" s="4">
        <f t="shared" si="77"/>
        <v>44537</v>
      </c>
      <c r="L445" s="5">
        <f t="shared" si="79"/>
        <v>12</v>
      </c>
      <c r="M445" s="5">
        <f t="shared" si="80"/>
        <v>2021</v>
      </c>
      <c r="N445" s="6">
        <v>187.5</v>
      </c>
      <c r="O445" s="6">
        <f t="shared" si="81"/>
        <v>-187.5</v>
      </c>
      <c r="P445" s="6">
        <f t="shared" si="76"/>
        <v>0</v>
      </c>
      <c r="Q445" s="7">
        <f t="shared" si="72"/>
        <v>725688.85</v>
      </c>
      <c r="R445" s="44" t="str">
        <f>VLOOKUP(F445,'Set up'!$A$2:$E$48,5,FALSE)</f>
        <v>Trsf</v>
      </c>
      <c r="S445" s="1" t="s">
        <v>518</v>
      </c>
    </row>
    <row r="446" spans="1:19" ht="28.8" x14ac:dyDescent="0.3">
      <c r="A446" s="4">
        <v>44537</v>
      </c>
      <c r="B446" s="5">
        <f t="shared" si="73"/>
        <v>12</v>
      </c>
      <c r="C446" s="5">
        <f t="shared" si="74"/>
        <v>2021</v>
      </c>
      <c r="D446" s="5" t="s">
        <v>502</v>
      </c>
      <c r="E446" s="5" t="str">
        <f>VLOOKUP(F446,'Set up'!$A$2:$C$48,2,FALSE)</f>
        <v>C00000020</v>
      </c>
      <c r="F446" s="1" t="s">
        <v>410</v>
      </c>
      <c r="G446" s="74" t="s">
        <v>382</v>
      </c>
      <c r="H446" s="5">
        <v>2</v>
      </c>
      <c r="I446" s="5" t="str">
        <f>VLOOKUP(F446,'Set up'!$A$2:$C$48,3,FALSE)</f>
        <v>Cash</v>
      </c>
      <c r="J446" s="5">
        <f>VLOOKUP(F446,'Set up'!$A$2:$D$48,4,FALSE)</f>
        <v>0</v>
      </c>
      <c r="K446" s="4">
        <f t="shared" si="77"/>
        <v>44537</v>
      </c>
      <c r="L446" s="5">
        <f t="shared" si="79"/>
        <v>12</v>
      </c>
      <c r="M446" s="5">
        <f t="shared" si="80"/>
        <v>2021</v>
      </c>
      <c r="N446" s="6">
        <v>170</v>
      </c>
      <c r="O446" s="6">
        <f t="shared" si="81"/>
        <v>-170</v>
      </c>
      <c r="P446" s="6">
        <f t="shared" si="76"/>
        <v>0</v>
      </c>
      <c r="Q446" s="7">
        <f t="shared" si="72"/>
        <v>725858.85</v>
      </c>
      <c r="R446" s="44" t="str">
        <f>VLOOKUP(F446,'Set up'!$A$2:$E$48,5,FALSE)</f>
        <v>Trsf</v>
      </c>
      <c r="S446" s="1" t="s">
        <v>518</v>
      </c>
    </row>
    <row r="447" spans="1:19" ht="28.8" hidden="1" x14ac:dyDescent="0.3">
      <c r="A447" s="4">
        <v>44540</v>
      </c>
      <c r="B447" s="5">
        <f t="shared" si="73"/>
        <v>12</v>
      </c>
      <c r="C447" s="5">
        <f t="shared" si="74"/>
        <v>2021</v>
      </c>
      <c r="D447" s="5" t="s">
        <v>503</v>
      </c>
      <c r="E447" s="5" t="str">
        <f>VLOOKUP(F447,'Set up'!$A$2:$C$48,2,FALSE)</f>
        <v>C00000013</v>
      </c>
      <c r="F447" s="1" t="s">
        <v>1454</v>
      </c>
      <c r="G447" s="74" t="s">
        <v>67</v>
      </c>
      <c r="H447" s="5">
        <v>1</v>
      </c>
      <c r="I447" s="5" t="str">
        <f>VLOOKUP(F447,'Set up'!$A$2:$C$48,3,FALSE)</f>
        <v>Cash</v>
      </c>
      <c r="J447" s="5">
        <f>VLOOKUP(F447,'Set up'!$A$2:$D$48,4,FALSE)</f>
        <v>0</v>
      </c>
      <c r="K447" s="4">
        <f t="shared" si="77"/>
        <v>44540</v>
      </c>
      <c r="L447" s="5">
        <f t="shared" si="79"/>
        <v>12</v>
      </c>
      <c r="M447" s="5">
        <f t="shared" si="80"/>
        <v>2021</v>
      </c>
      <c r="N447" s="6">
        <v>2112</v>
      </c>
      <c r="O447" s="6">
        <f t="shared" si="81"/>
        <v>-2112</v>
      </c>
      <c r="P447" s="6">
        <f t="shared" si="76"/>
        <v>0</v>
      </c>
      <c r="Q447" s="7">
        <f t="shared" si="72"/>
        <v>727970.85</v>
      </c>
      <c r="R447" s="44" t="str">
        <f>VLOOKUP(F447,'Set up'!$A$2:$E$48,5,FALSE)</f>
        <v>Chq</v>
      </c>
      <c r="S447" s="1" t="s">
        <v>527</v>
      </c>
    </row>
    <row r="448" spans="1:19" ht="31.2" hidden="1" x14ac:dyDescent="0.3">
      <c r="A448" s="4">
        <v>44540</v>
      </c>
      <c r="B448" s="5">
        <f t="shared" si="73"/>
        <v>12</v>
      </c>
      <c r="C448" s="5">
        <f t="shared" si="74"/>
        <v>2021</v>
      </c>
      <c r="D448" s="5" t="s">
        <v>503</v>
      </c>
      <c r="E448" s="5" t="str">
        <f>VLOOKUP(F448,'Set up'!$A$2:$C$48,2,FALSE)</f>
        <v>C00000013</v>
      </c>
      <c r="F448" s="1" t="s">
        <v>1454</v>
      </c>
      <c r="G448" s="79" t="s">
        <v>418</v>
      </c>
      <c r="H448" s="5">
        <v>1</v>
      </c>
      <c r="I448" s="5" t="str">
        <f>VLOOKUP(F448,'Set up'!$A$2:$C$48,3,FALSE)</f>
        <v>Cash</v>
      </c>
      <c r="J448" s="5">
        <f>VLOOKUP(F448,'Set up'!$A$2:$D$48,4,FALSE)</f>
        <v>0</v>
      </c>
      <c r="K448" s="4">
        <f t="shared" si="77"/>
        <v>44540</v>
      </c>
      <c r="L448" s="5">
        <f t="shared" si="79"/>
        <v>12</v>
      </c>
      <c r="M448" s="5">
        <f t="shared" si="80"/>
        <v>2021</v>
      </c>
      <c r="N448" s="6">
        <v>60</v>
      </c>
      <c r="O448" s="6">
        <f t="shared" si="81"/>
        <v>-60</v>
      </c>
      <c r="P448" s="6">
        <f t="shared" si="76"/>
        <v>0</v>
      </c>
      <c r="Q448" s="7">
        <f t="shared" si="72"/>
        <v>728030.85</v>
      </c>
      <c r="R448" s="44" t="str">
        <f>VLOOKUP(F448,'Set up'!$A$2:$E$48,5,FALSE)</f>
        <v>Chq</v>
      </c>
      <c r="S448" s="1" t="s">
        <v>527</v>
      </c>
    </row>
    <row r="449" spans="1:19" ht="31.2" hidden="1" x14ac:dyDescent="0.3">
      <c r="A449" s="4">
        <v>44540</v>
      </c>
      <c r="B449" s="5">
        <f t="shared" si="73"/>
        <v>12</v>
      </c>
      <c r="C449" s="5">
        <f t="shared" si="74"/>
        <v>2021</v>
      </c>
      <c r="D449" s="5" t="s">
        <v>503</v>
      </c>
      <c r="E449" s="5" t="str">
        <f>VLOOKUP(F449,'Set up'!$A$2:$C$48,2,FALSE)</f>
        <v>C00000013</v>
      </c>
      <c r="F449" s="1" t="s">
        <v>1454</v>
      </c>
      <c r="G449" s="75" t="s">
        <v>24</v>
      </c>
      <c r="H449" s="5">
        <v>1</v>
      </c>
      <c r="I449" s="5" t="str">
        <f>VLOOKUP(F449,'Set up'!$A$2:$C$48,3,FALSE)</f>
        <v>Cash</v>
      </c>
      <c r="J449" s="5">
        <f>VLOOKUP(F449,'Set up'!$A$2:$D$48,4,FALSE)</f>
        <v>0</v>
      </c>
      <c r="K449" s="4">
        <f t="shared" si="77"/>
        <v>44540</v>
      </c>
      <c r="L449" s="5">
        <f t="shared" si="79"/>
        <v>12</v>
      </c>
      <c r="M449" s="5">
        <f t="shared" si="80"/>
        <v>2021</v>
      </c>
      <c r="N449" s="6">
        <v>270</v>
      </c>
      <c r="O449" s="6">
        <f t="shared" si="81"/>
        <v>-270</v>
      </c>
      <c r="P449" s="6">
        <f t="shared" si="76"/>
        <v>0</v>
      </c>
      <c r="Q449" s="7">
        <f t="shared" si="72"/>
        <v>728300.85</v>
      </c>
      <c r="R449" s="44" t="str">
        <f>VLOOKUP(F449,'Set up'!$A$2:$E$48,5,FALSE)</f>
        <v>Chq</v>
      </c>
      <c r="S449" s="1" t="s">
        <v>527</v>
      </c>
    </row>
    <row r="450" spans="1:19" ht="43.2" hidden="1" x14ac:dyDescent="0.3">
      <c r="A450" s="4">
        <v>44540</v>
      </c>
      <c r="B450" s="5">
        <f t="shared" si="73"/>
        <v>12</v>
      </c>
      <c r="C450" s="5">
        <f t="shared" si="74"/>
        <v>2021</v>
      </c>
      <c r="D450" s="5" t="s">
        <v>503</v>
      </c>
      <c r="E450" s="5" t="str">
        <f>VLOOKUP(F450,'Set up'!$A$2:$C$48,2,FALSE)</f>
        <v>C00000013</v>
      </c>
      <c r="F450" s="1" t="s">
        <v>1454</v>
      </c>
      <c r="G450" s="84" t="s">
        <v>235</v>
      </c>
      <c r="H450" s="5">
        <v>2</v>
      </c>
      <c r="I450" s="5" t="str">
        <f>VLOOKUP(F450,'Set up'!$A$2:$C$48,3,FALSE)</f>
        <v>Cash</v>
      </c>
      <c r="J450" s="5">
        <f>VLOOKUP(F450,'Set up'!$A$2:$D$48,4,FALSE)</f>
        <v>0</v>
      </c>
      <c r="K450" s="4">
        <f t="shared" si="77"/>
        <v>44540</v>
      </c>
      <c r="L450" s="5">
        <f t="shared" si="79"/>
        <v>12</v>
      </c>
      <c r="M450" s="5">
        <f t="shared" si="80"/>
        <v>2021</v>
      </c>
      <c r="N450" s="6">
        <v>320</v>
      </c>
      <c r="O450" s="6">
        <f t="shared" si="81"/>
        <v>-320</v>
      </c>
      <c r="P450" s="6">
        <f t="shared" si="76"/>
        <v>0</v>
      </c>
      <c r="Q450" s="7">
        <f t="shared" si="72"/>
        <v>728620.85</v>
      </c>
      <c r="R450" s="44" t="str">
        <f>VLOOKUP(F450,'Set up'!$A$2:$E$48,5,FALSE)</f>
        <v>Chq</v>
      </c>
      <c r="S450" s="1" t="s">
        <v>527</v>
      </c>
    </row>
    <row r="451" spans="1:19" ht="46.8" hidden="1" x14ac:dyDescent="0.3">
      <c r="A451" s="4">
        <v>44540</v>
      </c>
      <c r="B451" s="5">
        <f t="shared" si="73"/>
        <v>12</v>
      </c>
      <c r="C451" s="5">
        <f t="shared" si="74"/>
        <v>2021</v>
      </c>
      <c r="D451" s="5" t="s">
        <v>503</v>
      </c>
      <c r="E451" s="5" t="str">
        <f>VLOOKUP(F451,'Set up'!$A$2:$C$48,2,FALSE)</f>
        <v>C00000013</v>
      </c>
      <c r="F451" s="1" t="s">
        <v>1454</v>
      </c>
      <c r="G451" s="79" t="s">
        <v>293</v>
      </c>
      <c r="H451" s="5">
        <v>1</v>
      </c>
      <c r="I451" s="5" t="str">
        <f>VLOOKUP(F451,'Set up'!$A$2:$C$48,3,FALSE)</f>
        <v>Cash</v>
      </c>
      <c r="J451" s="5">
        <f>VLOOKUP(F451,'Set up'!$A$2:$D$48,4,FALSE)</f>
        <v>0</v>
      </c>
      <c r="K451" s="4">
        <f t="shared" si="77"/>
        <v>44540</v>
      </c>
      <c r="L451" s="5">
        <f t="shared" si="79"/>
        <v>12</v>
      </c>
      <c r="M451" s="5">
        <f t="shared" si="80"/>
        <v>2021</v>
      </c>
      <c r="N451" s="6">
        <v>390</v>
      </c>
      <c r="O451" s="6">
        <f t="shared" si="81"/>
        <v>-390</v>
      </c>
      <c r="P451" s="6">
        <f t="shared" si="76"/>
        <v>0</v>
      </c>
      <c r="Q451" s="7">
        <f t="shared" ref="Q451:Q514" si="82">SUM(Q450+N451)</f>
        <v>729010.85</v>
      </c>
      <c r="R451" s="44" t="str">
        <f>VLOOKUP(F451,'Set up'!$A$2:$E$48,5,FALSE)</f>
        <v>Chq</v>
      </c>
      <c r="S451" s="1" t="s">
        <v>527</v>
      </c>
    </row>
    <row r="452" spans="1:19" ht="28.8" hidden="1" x14ac:dyDescent="0.3">
      <c r="A452" s="4">
        <v>44540</v>
      </c>
      <c r="B452" s="5">
        <f t="shared" si="73"/>
        <v>12</v>
      </c>
      <c r="C452" s="5">
        <f t="shared" si="74"/>
        <v>2021</v>
      </c>
      <c r="D452" s="5" t="s">
        <v>503</v>
      </c>
      <c r="E452" s="5" t="str">
        <f>VLOOKUP(F452,'Set up'!$A$2:$C$48,2,FALSE)</f>
        <v>C00000013</v>
      </c>
      <c r="F452" s="1" t="s">
        <v>1454</v>
      </c>
      <c r="G452" s="74" t="s">
        <v>382</v>
      </c>
      <c r="H452" s="5">
        <v>2</v>
      </c>
      <c r="I452" s="5" t="str">
        <f>VLOOKUP(F452,'Set up'!$A$2:$C$48,3,FALSE)</f>
        <v>Cash</v>
      </c>
      <c r="J452" s="5">
        <f>VLOOKUP(F452,'Set up'!$A$2:$D$48,4,FALSE)</f>
        <v>0</v>
      </c>
      <c r="K452" s="4">
        <f t="shared" si="77"/>
        <v>44540</v>
      </c>
      <c r="L452" s="5">
        <f t="shared" si="79"/>
        <v>12</v>
      </c>
      <c r="M452" s="5">
        <f t="shared" si="80"/>
        <v>2021</v>
      </c>
      <c r="N452" s="6">
        <v>170</v>
      </c>
      <c r="O452" s="6">
        <f t="shared" si="81"/>
        <v>-170</v>
      </c>
      <c r="P452" s="6">
        <f t="shared" si="76"/>
        <v>0</v>
      </c>
      <c r="Q452" s="7">
        <f t="shared" si="82"/>
        <v>729180.85</v>
      </c>
      <c r="R452" s="44" t="str">
        <f>VLOOKUP(F452,'Set up'!$A$2:$E$48,5,FALSE)</f>
        <v>Chq</v>
      </c>
      <c r="S452" s="1" t="s">
        <v>527</v>
      </c>
    </row>
    <row r="453" spans="1:19" ht="62.4" hidden="1" x14ac:dyDescent="0.3">
      <c r="A453" s="4">
        <v>44540</v>
      </c>
      <c r="B453" s="5">
        <f t="shared" si="73"/>
        <v>12</v>
      </c>
      <c r="C453" s="5">
        <f t="shared" si="74"/>
        <v>2021</v>
      </c>
      <c r="D453" s="5" t="s">
        <v>503</v>
      </c>
      <c r="E453" s="5" t="str">
        <f>VLOOKUP(F453,'Set up'!$A$2:$C$48,2,FALSE)</f>
        <v>C00000013</v>
      </c>
      <c r="F453" s="1" t="s">
        <v>1454</v>
      </c>
      <c r="G453" s="79" t="s">
        <v>529</v>
      </c>
      <c r="H453" s="5">
        <v>1</v>
      </c>
      <c r="I453" s="5" t="str">
        <f>VLOOKUP(F453,'Set up'!$A$2:$C$48,3,FALSE)</f>
        <v>Cash</v>
      </c>
      <c r="J453" s="5">
        <f>VLOOKUP(F453,'Set up'!$A$2:$D$48,4,FALSE)</f>
        <v>0</v>
      </c>
      <c r="K453" s="4">
        <f t="shared" si="77"/>
        <v>44540</v>
      </c>
      <c r="L453" s="5">
        <f t="shared" si="79"/>
        <v>12</v>
      </c>
      <c r="M453" s="5">
        <f t="shared" si="80"/>
        <v>2021</v>
      </c>
      <c r="N453" s="6">
        <v>45</v>
      </c>
      <c r="O453" s="6">
        <f t="shared" si="81"/>
        <v>-45</v>
      </c>
      <c r="P453" s="6">
        <f t="shared" si="76"/>
        <v>0</v>
      </c>
      <c r="Q453" s="7">
        <f t="shared" si="82"/>
        <v>729225.85</v>
      </c>
      <c r="R453" s="44" t="str">
        <f>VLOOKUP(F453,'Set up'!$A$2:$E$48,5,FALSE)</f>
        <v>Chq</v>
      </c>
      <c r="S453" s="1" t="s">
        <v>527</v>
      </c>
    </row>
    <row r="454" spans="1:19" ht="57.6" hidden="1" x14ac:dyDescent="0.3">
      <c r="A454" s="4">
        <v>44540</v>
      </c>
      <c r="B454" s="5">
        <f t="shared" si="73"/>
        <v>12</v>
      </c>
      <c r="C454" s="5">
        <f t="shared" si="74"/>
        <v>2021</v>
      </c>
      <c r="D454" s="5" t="s">
        <v>503</v>
      </c>
      <c r="E454" s="5" t="str">
        <f>VLOOKUP(F454,'Set up'!$A$2:$C$48,2,FALSE)</f>
        <v>C00000013</v>
      </c>
      <c r="F454" s="1" t="s">
        <v>1454</v>
      </c>
      <c r="G454" s="74" t="s">
        <v>96</v>
      </c>
      <c r="H454" s="5">
        <v>1</v>
      </c>
      <c r="I454" s="5" t="str">
        <f>VLOOKUP(F454,'Set up'!$A$2:$C$48,3,FALSE)</f>
        <v>Cash</v>
      </c>
      <c r="J454" s="5">
        <f>VLOOKUP(F454,'Set up'!$A$2:$D$48,4,FALSE)</f>
        <v>0</v>
      </c>
      <c r="K454" s="4">
        <f t="shared" si="77"/>
        <v>44540</v>
      </c>
      <c r="L454" s="5">
        <f t="shared" si="79"/>
        <v>12</v>
      </c>
      <c r="M454" s="5">
        <f t="shared" si="80"/>
        <v>2021</v>
      </c>
      <c r="N454" s="6">
        <v>529.20000000000005</v>
      </c>
      <c r="O454" s="6">
        <f t="shared" si="81"/>
        <v>-529.20000000000005</v>
      </c>
      <c r="P454" s="6">
        <f t="shared" si="76"/>
        <v>0</v>
      </c>
      <c r="Q454" s="7">
        <f t="shared" si="82"/>
        <v>729755.04999999993</v>
      </c>
      <c r="R454" s="44" t="str">
        <f>VLOOKUP(F454,'Set up'!$A$2:$E$48,5,FALSE)</f>
        <v>Chq</v>
      </c>
      <c r="S454" s="1" t="s">
        <v>527</v>
      </c>
    </row>
    <row r="455" spans="1:19" ht="57.6" hidden="1" x14ac:dyDescent="0.3">
      <c r="A455" s="4">
        <v>44540</v>
      </c>
      <c r="B455" s="5">
        <f t="shared" si="73"/>
        <v>12</v>
      </c>
      <c r="C455" s="5">
        <f t="shared" si="74"/>
        <v>2021</v>
      </c>
      <c r="D455" s="5" t="s">
        <v>503</v>
      </c>
      <c r="E455" s="5" t="str">
        <f>VLOOKUP(F455,'Set up'!$A$2:$C$48,2,FALSE)</f>
        <v>C00000013</v>
      </c>
      <c r="F455" s="1" t="s">
        <v>1454</v>
      </c>
      <c r="G455" s="74" t="s">
        <v>97</v>
      </c>
      <c r="H455" s="5">
        <v>1</v>
      </c>
      <c r="I455" s="5" t="str">
        <f>VLOOKUP(F455,'Set up'!$A$2:$C$48,3,FALSE)</f>
        <v>Cash</v>
      </c>
      <c r="J455" s="5">
        <f>VLOOKUP(F455,'Set up'!$A$2:$D$48,4,FALSE)</f>
        <v>0</v>
      </c>
      <c r="K455" s="4">
        <f t="shared" si="77"/>
        <v>44540</v>
      </c>
      <c r="L455" s="5">
        <f t="shared" si="79"/>
        <v>12</v>
      </c>
      <c r="M455" s="5">
        <f t="shared" si="80"/>
        <v>2021</v>
      </c>
      <c r="N455" s="6">
        <v>529.20000000000005</v>
      </c>
      <c r="O455" s="6">
        <f t="shared" si="81"/>
        <v>-529.20000000000005</v>
      </c>
      <c r="P455" s="6">
        <f t="shared" si="76"/>
        <v>0</v>
      </c>
      <c r="Q455" s="7">
        <f t="shared" si="82"/>
        <v>730284.24999999988</v>
      </c>
      <c r="R455" s="44" t="str">
        <f>VLOOKUP(F455,'Set up'!$A$2:$E$48,5,FALSE)</f>
        <v>Chq</v>
      </c>
      <c r="S455" s="1" t="s">
        <v>527</v>
      </c>
    </row>
    <row r="456" spans="1:19" ht="78" hidden="1" x14ac:dyDescent="0.3">
      <c r="A456" s="4">
        <v>44540</v>
      </c>
      <c r="B456" s="5">
        <f t="shared" si="73"/>
        <v>12</v>
      </c>
      <c r="C456" s="5">
        <f t="shared" si="74"/>
        <v>2021</v>
      </c>
      <c r="D456" s="5" t="s">
        <v>503</v>
      </c>
      <c r="E456" s="5" t="str">
        <f>VLOOKUP(F456,'Set up'!$A$2:$C$48,2,FALSE)</f>
        <v>C00000013</v>
      </c>
      <c r="F456" s="1" t="s">
        <v>1454</v>
      </c>
      <c r="G456" s="79" t="s">
        <v>504</v>
      </c>
      <c r="H456" s="5">
        <v>1</v>
      </c>
      <c r="I456" s="5" t="str">
        <f>VLOOKUP(F456,'Set up'!$A$2:$C$48,3,FALSE)</f>
        <v>Cash</v>
      </c>
      <c r="J456" s="5">
        <f>VLOOKUP(F456,'Set up'!$A$2:$D$48,4,FALSE)</f>
        <v>0</v>
      </c>
      <c r="K456" s="4">
        <f t="shared" si="77"/>
        <v>44540</v>
      </c>
      <c r="L456" s="5">
        <f t="shared" si="79"/>
        <v>12</v>
      </c>
      <c r="M456" s="5">
        <f t="shared" si="80"/>
        <v>2021</v>
      </c>
      <c r="N456" s="6">
        <v>750</v>
      </c>
      <c r="O456" s="6">
        <f t="shared" si="81"/>
        <v>-750</v>
      </c>
      <c r="P456" s="6">
        <f t="shared" si="76"/>
        <v>0</v>
      </c>
      <c r="Q456" s="7">
        <f t="shared" si="82"/>
        <v>731034.24999999988</v>
      </c>
      <c r="R456" s="44" t="str">
        <f>VLOOKUP(F456,'Set up'!$A$2:$E$48,5,FALSE)</f>
        <v>Chq</v>
      </c>
      <c r="S456" s="1" t="s">
        <v>527</v>
      </c>
    </row>
    <row r="457" spans="1:19" ht="46.8" x14ac:dyDescent="0.3">
      <c r="A457" s="4">
        <v>44540</v>
      </c>
      <c r="B457" s="5">
        <f t="shared" si="73"/>
        <v>12</v>
      </c>
      <c r="C457" s="5">
        <f t="shared" si="74"/>
        <v>2021</v>
      </c>
      <c r="D457" s="5" t="s">
        <v>505</v>
      </c>
      <c r="E457" s="5" t="str">
        <f>VLOOKUP(F457,'Set up'!$A$2:$C$48,2,FALSE)</f>
        <v>C00000020</v>
      </c>
      <c r="F457" s="1" t="s">
        <v>410</v>
      </c>
      <c r="G457" s="79" t="s">
        <v>506</v>
      </c>
      <c r="H457" s="5">
        <v>5</v>
      </c>
      <c r="I457" s="5" t="str">
        <f>VLOOKUP(F457,'Set up'!$A$2:$C$48,3,FALSE)</f>
        <v>Cash</v>
      </c>
      <c r="J457" s="5">
        <f>VLOOKUP(F457,'Set up'!$A$2:$D$48,4,FALSE)</f>
        <v>0</v>
      </c>
      <c r="K457" s="4">
        <f t="shared" si="77"/>
        <v>44540</v>
      </c>
      <c r="L457" s="5">
        <f t="shared" si="79"/>
        <v>12</v>
      </c>
      <c r="M457" s="5">
        <f t="shared" si="80"/>
        <v>2021</v>
      </c>
      <c r="N457" s="6">
        <v>10462.5</v>
      </c>
      <c r="O457" s="6">
        <f>-332.3-5000-5000-130.2</f>
        <v>-10462.5</v>
      </c>
      <c r="P457" s="6">
        <f t="shared" si="76"/>
        <v>0</v>
      </c>
      <c r="Q457" s="7">
        <f t="shared" si="82"/>
        <v>741496.74999999988</v>
      </c>
      <c r="R457" s="44" t="str">
        <f>VLOOKUP(F457,'Set up'!$A$2:$E$48,5,FALSE)</f>
        <v>Trsf</v>
      </c>
      <c r="S457" s="1" t="s">
        <v>631</v>
      </c>
    </row>
    <row r="458" spans="1:19" ht="62.4" x14ac:dyDescent="0.3">
      <c r="A458" s="4">
        <v>44540</v>
      </c>
      <c r="B458" s="5">
        <f t="shared" si="73"/>
        <v>12</v>
      </c>
      <c r="C458" s="5">
        <f t="shared" si="74"/>
        <v>2021</v>
      </c>
      <c r="D458" s="5" t="s">
        <v>505</v>
      </c>
      <c r="E458" s="5" t="str">
        <f>VLOOKUP(F458,'Set up'!$A$2:$C$48,2,FALSE)</f>
        <v>C00000020</v>
      </c>
      <c r="F458" s="1" t="s">
        <v>410</v>
      </c>
      <c r="G458" s="79" t="s">
        <v>361</v>
      </c>
      <c r="H458" s="5">
        <v>6</v>
      </c>
      <c r="I458" s="5" t="str">
        <f>VLOOKUP(F458,'Set up'!$A$2:$C$48,3,FALSE)</f>
        <v>Cash</v>
      </c>
      <c r="J458" s="5">
        <f>VLOOKUP(F458,'Set up'!$A$2:$D$48,4,FALSE)</f>
        <v>0</v>
      </c>
      <c r="K458" s="4">
        <f t="shared" si="77"/>
        <v>44540</v>
      </c>
      <c r="L458" s="5">
        <f t="shared" si="79"/>
        <v>12</v>
      </c>
      <c r="M458" s="5">
        <f t="shared" si="80"/>
        <v>2021</v>
      </c>
      <c r="N458" s="6">
        <v>3420</v>
      </c>
      <c r="O458" s="6">
        <f>-2769.8-650.2</f>
        <v>-3420</v>
      </c>
      <c r="P458" s="6">
        <f t="shared" si="76"/>
        <v>0</v>
      </c>
      <c r="Q458" s="7">
        <f t="shared" si="82"/>
        <v>744916.74999999988</v>
      </c>
      <c r="R458" s="44" t="str">
        <f>VLOOKUP(F458,'Set up'!$A$2:$E$48,5,FALSE)</f>
        <v>Trsf</v>
      </c>
      <c r="S458" s="1" t="s">
        <v>676</v>
      </c>
    </row>
    <row r="459" spans="1:19" ht="43.2" x14ac:dyDescent="0.3">
      <c r="A459" s="4">
        <v>44540</v>
      </c>
      <c r="B459" s="5">
        <f t="shared" si="73"/>
        <v>12</v>
      </c>
      <c r="C459" s="5">
        <f t="shared" si="74"/>
        <v>2021</v>
      </c>
      <c r="D459" s="5" t="s">
        <v>505</v>
      </c>
      <c r="E459" s="5" t="str">
        <f>VLOOKUP(F459,'Set up'!$A$2:$C$48,2,FALSE)</f>
        <v>C00000020</v>
      </c>
      <c r="F459" s="1" t="s">
        <v>410</v>
      </c>
      <c r="G459" s="74" t="s">
        <v>415</v>
      </c>
      <c r="H459" s="5">
        <v>7</v>
      </c>
      <c r="I459" s="5" t="str">
        <f>VLOOKUP(F459,'Set up'!$A$2:$C$48,3,FALSE)</f>
        <v>Cash</v>
      </c>
      <c r="J459" s="5">
        <f>VLOOKUP(F459,'Set up'!$A$2:$D$48,4,FALSE)</f>
        <v>0</v>
      </c>
      <c r="K459" s="4">
        <f t="shared" si="77"/>
        <v>44540</v>
      </c>
      <c r="L459" s="5">
        <f t="shared" si="79"/>
        <v>12</v>
      </c>
      <c r="M459" s="5">
        <f t="shared" si="80"/>
        <v>2021</v>
      </c>
      <c r="N459" s="6">
        <v>2835</v>
      </c>
      <c r="O459" s="6">
        <f t="shared" ref="O459:O473" si="83">-N459</f>
        <v>-2835</v>
      </c>
      <c r="P459" s="6">
        <f t="shared" si="76"/>
        <v>0</v>
      </c>
      <c r="Q459" s="7">
        <f t="shared" si="82"/>
        <v>747751.74999999988</v>
      </c>
      <c r="R459" s="44" t="str">
        <f>VLOOKUP(F459,'Set up'!$A$2:$E$48,5,FALSE)</f>
        <v>Trsf</v>
      </c>
      <c r="S459" s="1" t="s">
        <v>675</v>
      </c>
    </row>
    <row r="460" spans="1:19" ht="28.8" x14ac:dyDescent="0.3">
      <c r="A460" s="4">
        <v>44540</v>
      </c>
      <c r="B460" s="5">
        <f t="shared" si="73"/>
        <v>12</v>
      </c>
      <c r="C460" s="5">
        <f t="shared" si="74"/>
        <v>2021</v>
      </c>
      <c r="D460" s="5" t="s">
        <v>505</v>
      </c>
      <c r="E460" s="5" t="str">
        <f>VLOOKUP(F460,'Set up'!$A$2:$C$48,2,FALSE)</f>
        <v>C00000020</v>
      </c>
      <c r="F460" s="1" t="s">
        <v>410</v>
      </c>
      <c r="G460" s="74" t="s">
        <v>64</v>
      </c>
      <c r="H460" s="5">
        <v>5</v>
      </c>
      <c r="I460" s="5" t="str">
        <f>VLOOKUP(F460,'Set up'!$A$2:$C$48,3,FALSE)</f>
        <v>Cash</v>
      </c>
      <c r="J460" s="5">
        <f>VLOOKUP(F460,'Set up'!$A$2:$D$48,4,FALSE)</f>
        <v>0</v>
      </c>
      <c r="K460" s="4">
        <f t="shared" si="77"/>
        <v>44540</v>
      </c>
      <c r="L460" s="5">
        <f t="shared" si="79"/>
        <v>12</v>
      </c>
      <c r="M460" s="5">
        <f t="shared" si="80"/>
        <v>2021</v>
      </c>
      <c r="N460" s="6">
        <v>312.5</v>
      </c>
      <c r="O460" s="6">
        <f t="shared" si="83"/>
        <v>-312.5</v>
      </c>
      <c r="P460" s="6">
        <f t="shared" si="76"/>
        <v>0</v>
      </c>
      <c r="Q460" s="7">
        <f t="shared" si="82"/>
        <v>748064.24999999988</v>
      </c>
      <c r="R460" s="44" t="str">
        <f>VLOOKUP(F460,'Set up'!$A$2:$E$48,5,FALSE)</f>
        <v>Trsf</v>
      </c>
      <c r="S460" s="1" t="s">
        <v>675</v>
      </c>
    </row>
    <row r="461" spans="1:19" ht="31.2" x14ac:dyDescent="0.3">
      <c r="A461" s="4">
        <v>44540</v>
      </c>
      <c r="B461" s="5">
        <f t="shared" si="73"/>
        <v>12</v>
      </c>
      <c r="C461" s="5">
        <f t="shared" si="74"/>
        <v>2021</v>
      </c>
      <c r="D461" s="5" t="s">
        <v>505</v>
      </c>
      <c r="E461" s="5" t="str">
        <f>VLOOKUP(F461,'Set up'!$A$2:$C$48,2,FALSE)</f>
        <v>C00000020</v>
      </c>
      <c r="F461" s="1" t="s">
        <v>410</v>
      </c>
      <c r="G461" s="79" t="s">
        <v>430</v>
      </c>
      <c r="H461" s="5">
        <v>1</v>
      </c>
      <c r="I461" s="5" t="str">
        <f>VLOOKUP(F461,'Set up'!$A$2:$C$48,3,FALSE)</f>
        <v>Cash</v>
      </c>
      <c r="J461" s="5">
        <f>VLOOKUP(F461,'Set up'!$A$2:$D$48,4,FALSE)</f>
        <v>0</v>
      </c>
      <c r="K461" s="4">
        <f t="shared" si="77"/>
        <v>44540</v>
      </c>
      <c r="L461" s="5">
        <f t="shared" si="79"/>
        <v>12</v>
      </c>
      <c r="M461" s="5">
        <f t="shared" si="80"/>
        <v>2021</v>
      </c>
      <c r="N461" s="6">
        <v>1000</v>
      </c>
      <c r="O461" s="6">
        <f t="shared" si="83"/>
        <v>-1000</v>
      </c>
      <c r="P461" s="6">
        <f t="shared" si="76"/>
        <v>0</v>
      </c>
      <c r="Q461" s="7">
        <f t="shared" si="82"/>
        <v>749064.24999999988</v>
      </c>
      <c r="R461" s="44" t="str">
        <f>VLOOKUP(F461,'Set up'!$A$2:$E$48,5,FALSE)</f>
        <v>Trsf</v>
      </c>
      <c r="S461" s="1" t="s">
        <v>675</v>
      </c>
    </row>
    <row r="462" spans="1:19" ht="28.8" x14ac:dyDescent="0.3">
      <c r="A462" s="4">
        <v>44540</v>
      </c>
      <c r="B462" s="5">
        <f t="shared" si="73"/>
        <v>12</v>
      </c>
      <c r="C462" s="5">
        <f t="shared" si="74"/>
        <v>2021</v>
      </c>
      <c r="D462" s="5" t="s">
        <v>505</v>
      </c>
      <c r="E462" s="5" t="str">
        <f>VLOOKUP(F462,'Set up'!$A$2:$C$48,2,FALSE)</f>
        <v>C00000020</v>
      </c>
      <c r="F462" s="1" t="s">
        <v>410</v>
      </c>
      <c r="G462" s="74" t="s">
        <v>382</v>
      </c>
      <c r="H462" s="5">
        <v>2</v>
      </c>
      <c r="I462" s="5" t="str">
        <f>VLOOKUP(F462,'Set up'!$A$2:$C$48,3,FALSE)</f>
        <v>Cash</v>
      </c>
      <c r="J462" s="5">
        <f>VLOOKUP(F462,'Set up'!$A$2:$D$48,4,FALSE)</f>
        <v>0</v>
      </c>
      <c r="K462" s="4">
        <f t="shared" si="77"/>
        <v>44540</v>
      </c>
      <c r="L462" s="5">
        <f t="shared" si="79"/>
        <v>12</v>
      </c>
      <c r="M462" s="5">
        <f t="shared" si="80"/>
        <v>2021</v>
      </c>
      <c r="N462" s="6">
        <v>170</v>
      </c>
      <c r="O462" s="6">
        <f t="shared" si="83"/>
        <v>-170</v>
      </c>
      <c r="P462" s="6">
        <f t="shared" si="76"/>
        <v>0</v>
      </c>
      <c r="Q462" s="7">
        <f t="shared" si="82"/>
        <v>749234.24999999988</v>
      </c>
      <c r="R462" s="44" t="str">
        <f>VLOOKUP(F462,'Set up'!$A$2:$E$48,5,FALSE)</f>
        <v>Trsf</v>
      </c>
      <c r="S462" s="1" t="s">
        <v>675</v>
      </c>
    </row>
    <row r="463" spans="1:19" ht="57.6" x14ac:dyDescent="0.3">
      <c r="A463" s="4">
        <v>44540</v>
      </c>
      <c r="B463" s="5">
        <f t="shared" si="73"/>
        <v>12</v>
      </c>
      <c r="C463" s="5">
        <f t="shared" si="74"/>
        <v>2021</v>
      </c>
      <c r="D463" s="5" t="s">
        <v>505</v>
      </c>
      <c r="E463" s="5" t="str">
        <f>VLOOKUP(F463,'Set up'!$A$2:$C$48,2,FALSE)</f>
        <v>C00000020</v>
      </c>
      <c r="F463" s="1" t="s">
        <v>410</v>
      </c>
      <c r="G463" s="74" t="s">
        <v>507</v>
      </c>
      <c r="H463" s="5">
        <v>1</v>
      </c>
      <c r="I463" s="5" t="str">
        <f>VLOOKUP(F463,'Set up'!$A$2:$C$48,3,FALSE)</f>
        <v>Cash</v>
      </c>
      <c r="J463" s="5">
        <f>VLOOKUP(F463,'Set up'!$A$2:$D$48,4,FALSE)</f>
        <v>0</v>
      </c>
      <c r="K463" s="4">
        <f t="shared" si="77"/>
        <v>44540</v>
      </c>
      <c r="L463" s="5">
        <f t="shared" si="79"/>
        <v>12</v>
      </c>
      <c r="M463" s="5">
        <f t="shared" si="80"/>
        <v>2021</v>
      </c>
      <c r="N463" s="6">
        <v>484.5</v>
      </c>
      <c r="O463" s="6">
        <f t="shared" si="83"/>
        <v>-484.5</v>
      </c>
      <c r="P463" s="6">
        <f t="shared" si="76"/>
        <v>0</v>
      </c>
      <c r="Q463" s="7">
        <f t="shared" si="82"/>
        <v>749718.74999999988</v>
      </c>
      <c r="R463" s="44" t="str">
        <f>VLOOKUP(F463,'Set up'!$A$2:$E$48,5,FALSE)</f>
        <v>Trsf</v>
      </c>
      <c r="S463" s="1" t="s">
        <v>675</v>
      </c>
    </row>
    <row r="464" spans="1:19" hidden="1" x14ac:dyDescent="0.3">
      <c r="A464" s="4">
        <v>44545</v>
      </c>
      <c r="B464" s="5">
        <f t="shared" si="73"/>
        <v>12</v>
      </c>
      <c r="C464" s="5">
        <f t="shared" si="74"/>
        <v>2021</v>
      </c>
      <c r="D464" s="5" t="s">
        <v>508</v>
      </c>
      <c r="E464" s="5" t="str">
        <f>VLOOKUP(F464,'Set up'!$A$2:$C$48,2,FALSE)</f>
        <v>C00000010</v>
      </c>
      <c r="F464" s="1" t="s">
        <v>62</v>
      </c>
      <c r="G464" s="56" t="s">
        <v>304</v>
      </c>
      <c r="H464" s="5">
        <v>6</v>
      </c>
      <c r="I464" s="5">
        <f>VLOOKUP(F464,'Set up'!$A$2:$C$48,3,FALSE)</f>
        <v>120</v>
      </c>
      <c r="J464" s="5">
        <f>VLOOKUP(F464,'Set up'!$A$2:$D$48,4,FALSE)</f>
        <v>120</v>
      </c>
      <c r="K464" s="4">
        <f t="shared" si="77"/>
        <v>44665</v>
      </c>
      <c r="L464" s="5">
        <f t="shared" si="79"/>
        <v>4</v>
      </c>
      <c r="M464" s="5">
        <f t="shared" si="80"/>
        <v>2022</v>
      </c>
      <c r="N464" s="6">
        <v>12144</v>
      </c>
      <c r="O464" s="6">
        <f t="shared" si="83"/>
        <v>-12144</v>
      </c>
      <c r="P464" s="6">
        <f t="shared" si="76"/>
        <v>0</v>
      </c>
      <c r="Q464" s="7">
        <f t="shared" si="82"/>
        <v>761862.74999999988</v>
      </c>
      <c r="R464" s="44" t="str">
        <f>VLOOKUP(F464,'Set up'!$A$2:$E$48,5,FALSE)</f>
        <v>Trsf</v>
      </c>
      <c r="S464" s="1" t="s">
        <v>668</v>
      </c>
    </row>
    <row r="465" spans="1:19" hidden="1" x14ac:dyDescent="0.3">
      <c r="A465" s="4">
        <v>44545</v>
      </c>
      <c r="B465" s="5">
        <f t="shared" si="73"/>
        <v>12</v>
      </c>
      <c r="C465" s="5">
        <f t="shared" si="74"/>
        <v>2021</v>
      </c>
      <c r="D465" s="5" t="s">
        <v>509</v>
      </c>
      <c r="E465" s="5" t="str">
        <f>VLOOKUP(F465,'Set up'!$A$2:$C$48,2,FALSE)</f>
        <v>C00000004</v>
      </c>
      <c r="F465" s="1" t="s">
        <v>23</v>
      </c>
      <c r="G465" s="56" t="s">
        <v>304</v>
      </c>
      <c r="H465" s="5">
        <v>5</v>
      </c>
      <c r="I465" s="5">
        <f>VLOOKUP(F465,'Set up'!$A$2:$C$48,3,FALSE)</f>
        <v>120</v>
      </c>
      <c r="J465" s="5">
        <f>VLOOKUP(F465,'Set up'!$A$2:$D$48,4,FALSE)</f>
        <v>120</v>
      </c>
      <c r="K465" s="4">
        <f t="shared" si="77"/>
        <v>44665</v>
      </c>
      <c r="L465" s="5">
        <f t="shared" si="79"/>
        <v>4</v>
      </c>
      <c r="M465" s="5">
        <f t="shared" si="80"/>
        <v>2022</v>
      </c>
      <c r="N465" s="6">
        <v>10120</v>
      </c>
      <c r="O465" s="6">
        <f t="shared" si="83"/>
        <v>-10120</v>
      </c>
      <c r="P465" s="6">
        <f t="shared" si="76"/>
        <v>0</v>
      </c>
      <c r="Q465" s="7">
        <f t="shared" si="82"/>
        <v>771982.74999999988</v>
      </c>
      <c r="R465" s="44" t="str">
        <f>VLOOKUP(F465,'Set up'!$A$2:$E$48,5,FALSE)</f>
        <v>Chq</v>
      </c>
      <c r="S465" s="1" t="s">
        <v>750</v>
      </c>
    </row>
    <row r="466" spans="1:19" ht="46.8" hidden="1" x14ac:dyDescent="0.3">
      <c r="A466" s="4">
        <v>44545</v>
      </c>
      <c r="B466" s="5">
        <f t="shared" ref="B466:B489" si="84">MONTH(A466)</f>
        <v>12</v>
      </c>
      <c r="C466" s="5">
        <f t="shared" ref="C466:C489" si="85">YEAR(A466)</f>
        <v>2021</v>
      </c>
      <c r="D466" s="5" t="s">
        <v>509</v>
      </c>
      <c r="E466" s="5" t="str">
        <f>VLOOKUP(F466,'Set up'!$A$2:$C$48,2,FALSE)</f>
        <v>C00000004</v>
      </c>
      <c r="F466" s="1" t="s">
        <v>23</v>
      </c>
      <c r="G466" s="79" t="s">
        <v>510</v>
      </c>
      <c r="H466" s="5">
        <v>1</v>
      </c>
      <c r="I466" s="5">
        <f>VLOOKUP(F466,'Set up'!$A$2:$C$48,3,FALSE)</f>
        <v>120</v>
      </c>
      <c r="J466" s="5">
        <f>VLOOKUP(F466,'Set up'!$A$2:$D$48,4,FALSE)</f>
        <v>120</v>
      </c>
      <c r="K466" s="4">
        <f t="shared" si="77"/>
        <v>44665</v>
      </c>
      <c r="L466" s="5">
        <f t="shared" si="79"/>
        <v>4</v>
      </c>
      <c r="M466" s="5">
        <f t="shared" si="80"/>
        <v>2022</v>
      </c>
      <c r="N466" s="6">
        <v>2024</v>
      </c>
      <c r="O466" s="6">
        <f t="shared" si="83"/>
        <v>-2024</v>
      </c>
      <c r="P466" s="6">
        <f t="shared" si="76"/>
        <v>0</v>
      </c>
      <c r="Q466" s="7">
        <f t="shared" si="82"/>
        <v>774006.74999999988</v>
      </c>
      <c r="R466" s="44" t="str">
        <f>VLOOKUP(F466,'Set up'!$A$2:$E$48,5,FALSE)</f>
        <v>Chq</v>
      </c>
      <c r="S466" s="1" t="s">
        <v>750</v>
      </c>
    </row>
    <row r="467" spans="1:19" ht="28.8" hidden="1" x14ac:dyDescent="0.3">
      <c r="A467" s="4">
        <v>44545</v>
      </c>
      <c r="B467" s="5">
        <f t="shared" si="84"/>
        <v>12</v>
      </c>
      <c r="C467" s="5">
        <f t="shared" si="85"/>
        <v>2021</v>
      </c>
      <c r="D467" s="5" t="s">
        <v>509</v>
      </c>
      <c r="E467" s="5" t="str">
        <f>VLOOKUP(F467,'Set up'!$A$2:$C$48,2,FALSE)</f>
        <v>C00000004</v>
      </c>
      <c r="F467" s="1" t="s">
        <v>23</v>
      </c>
      <c r="G467" s="74" t="s">
        <v>382</v>
      </c>
      <c r="H467" s="5">
        <v>4</v>
      </c>
      <c r="I467" s="5">
        <f>VLOOKUP(F467,'Set up'!$A$2:$C$48,3,FALSE)</f>
        <v>120</v>
      </c>
      <c r="J467" s="5">
        <f>VLOOKUP(F467,'Set up'!$A$2:$D$48,4,FALSE)</f>
        <v>120</v>
      </c>
      <c r="K467" s="4">
        <f t="shared" si="77"/>
        <v>44665</v>
      </c>
      <c r="L467" s="5">
        <f t="shared" si="79"/>
        <v>4</v>
      </c>
      <c r="M467" s="5">
        <f t="shared" si="80"/>
        <v>2022</v>
      </c>
      <c r="N467" s="6">
        <v>340</v>
      </c>
      <c r="O467" s="6">
        <f t="shared" si="83"/>
        <v>-340</v>
      </c>
      <c r="P467" s="6">
        <f t="shared" si="76"/>
        <v>0</v>
      </c>
      <c r="Q467" s="7">
        <f t="shared" si="82"/>
        <v>774346.74999999988</v>
      </c>
      <c r="R467" s="44" t="str">
        <f>VLOOKUP(F467,'Set up'!$A$2:$E$48,5,FALSE)</f>
        <v>Chq</v>
      </c>
      <c r="S467" s="1" t="s">
        <v>750</v>
      </c>
    </row>
    <row r="468" spans="1:19" hidden="1" x14ac:dyDescent="0.3">
      <c r="A468" s="4">
        <v>44546</v>
      </c>
      <c r="B468" s="5">
        <f t="shared" si="84"/>
        <v>12</v>
      </c>
      <c r="C468" s="5">
        <f t="shared" si="85"/>
        <v>2021</v>
      </c>
      <c r="D468" s="5" t="s">
        <v>511</v>
      </c>
      <c r="E468" s="5" t="str">
        <f>VLOOKUP(F468,'Set up'!$A$2:$C$48,2,FALSE)</f>
        <v>C00000004</v>
      </c>
      <c r="F468" s="1" t="s">
        <v>23</v>
      </c>
      <c r="G468" s="11" t="s">
        <v>98</v>
      </c>
      <c r="H468" s="5">
        <v>1</v>
      </c>
      <c r="I468" s="5">
        <f>VLOOKUP(F468,'Set up'!$A$2:$C$48,3,FALSE)</f>
        <v>120</v>
      </c>
      <c r="J468" s="5">
        <f>VLOOKUP(F468,'Set up'!$A$2:$D$48,4,FALSE)</f>
        <v>120</v>
      </c>
      <c r="K468" s="4">
        <f t="shared" si="77"/>
        <v>44666</v>
      </c>
      <c r="L468" s="5">
        <f t="shared" si="79"/>
        <v>4</v>
      </c>
      <c r="M468" s="5">
        <f t="shared" si="80"/>
        <v>2022</v>
      </c>
      <c r="N468" s="6">
        <v>390</v>
      </c>
      <c r="O468" s="6">
        <f t="shared" si="83"/>
        <v>-390</v>
      </c>
      <c r="P468" s="6">
        <f t="shared" si="76"/>
        <v>0</v>
      </c>
      <c r="Q468" s="7">
        <f t="shared" si="82"/>
        <v>774736.74999999988</v>
      </c>
      <c r="R468" s="44" t="str">
        <f>VLOOKUP(F468,'Set up'!$A$2:$E$48,5,FALSE)</f>
        <v>Chq</v>
      </c>
      <c r="S468" s="1" t="s">
        <v>750</v>
      </c>
    </row>
    <row r="469" spans="1:19" ht="28.8" x14ac:dyDescent="0.3">
      <c r="A469" s="4">
        <v>44550</v>
      </c>
      <c r="B469" s="5">
        <f t="shared" si="84"/>
        <v>12</v>
      </c>
      <c r="C469" s="5">
        <f t="shared" si="85"/>
        <v>2021</v>
      </c>
      <c r="D469" s="5" t="s">
        <v>512</v>
      </c>
      <c r="E469" s="5" t="str">
        <f>VLOOKUP(F469,'Set up'!$A$2:$C$48,2,FALSE)</f>
        <v>C00000020</v>
      </c>
      <c r="F469" s="1" t="s">
        <v>410</v>
      </c>
      <c r="G469" s="74" t="s">
        <v>67</v>
      </c>
      <c r="H469" s="5">
        <v>3</v>
      </c>
      <c r="I469" s="5" t="str">
        <f>VLOOKUP(F469,'Set up'!$A$2:$C$48,3,FALSE)</f>
        <v>Cash</v>
      </c>
      <c r="J469" s="5">
        <f>VLOOKUP(F469,'Set up'!$A$2:$D$48,4,FALSE)</f>
        <v>0</v>
      </c>
      <c r="K469" s="4">
        <f t="shared" si="77"/>
        <v>44550</v>
      </c>
      <c r="L469" s="5">
        <f t="shared" si="79"/>
        <v>12</v>
      </c>
      <c r="M469" s="5">
        <f t="shared" si="80"/>
        <v>2021</v>
      </c>
      <c r="N469" s="6">
        <v>6270</v>
      </c>
      <c r="O469" s="6">
        <f t="shared" si="83"/>
        <v>-6270</v>
      </c>
      <c r="P469" s="6">
        <f t="shared" ref="P469:P532" si="86">SUM(N469+O469)</f>
        <v>0</v>
      </c>
      <c r="Q469" s="7">
        <f t="shared" si="82"/>
        <v>781006.74999999988</v>
      </c>
      <c r="R469" s="44" t="str">
        <f>VLOOKUP(F469,'Set up'!$A$2:$E$48,5,FALSE)</f>
        <v>Trsf</v>
      </c>
      <c r="S469" s="1" t="s">
        <v>675</v>
      </c>
    </row>
    <row r="470" spans="1:19" ht="28.8" x14ac:dyDescent="0.3">
      <c r="A470" s="4">
        <v>44550</v>
      </c>
      <c r="B470" s="5">
        <f t="shared" si="84"/>
        <v>12</v>
      </c>
      <c r="C470" s="5">
        <f t="shared" si="85"/>
        <v>2021</v>
      </c>
      <c r="D470" s="5" t="s">
        <v>512</v>
      </c>
      <c r="E470" s="5" t="str">
        <f>VLOOKUP(F470,'Set up'!$A$2:$C$48,2,FALSE)</f>
        <v>C00000020</v>
      </c>
      <c r="F470" s="1" t="s">
        <v>410</v>
      </c>
      <c r="G470" s="74" t="s">
        <v>430</v>
      </c>
      <c r="H470" s="5">
        <v>1</v>
      </c>
      <c r="I470" s="5" t="str">
        <f>VLOOKUP(F470,'Set up'!$A$2:$C$48,3,FALSE)</f>
        <v>Cash</v>
      </c>
      <c r="J470" s="5">
        <f>VLOOKUP(F470,'Set up'!$A$2:$D$48,4,FALSE)</f>
        <v>0</v>
      </c>
      <c r="K470" s="4">
        <f t="shared" si="77"/>
        <v>44550</v>
      </c>
      <c r="L470" s="5">
        <f t="shared" si="79"/>
        <v>12</v>
      </c>
      <c r="M470" s="5">
        <f t="shared" si="80"/>
        <v>2021</v>
      </c>
      <c r="N470" s="6">
        <v>1000</v>
      </c>
      <c r="O470" s="6">
        <f t="shared" si="83"/>
        <v>-1000</v>
      </c>
      <c r="P470" s="6">
        <f t="shared" si="86"/>
        <v>0</v>
      </c>
      <c r="Q470" s="7">
        <f t="shared" si="82"/>
        <v>782006.74999999988</v>
      </c>
      <c r="R470" s="44" t="str">
        <f>VLOOKUP(F470,'Set up'!$A$2:$E$48,5,FALSE)</f>
        <v>Trsf</v>
      </c>
      <c r="S470" s="1" t="s">
        <v>675</v>
      </c>
    </row>
    <row r="471" spans="1:19" ht="28.8" x14ac:dyDescent="0.3">
      <c r="A471" s="4">
        <v>44550</v>
      </c>
      <c r="B471" s="5">
        <f t="shared" si="84"/>
        <v>12</v>
      </c>
      <c r="C471" s="5">
        <f t="shared" si="85"/>
        <v>2021</v>
      </c>
      <c r="D471" s="5" t="s">
        <v>512</v>
      </c>
      <c r="E471" s="5" t="str">
        <f>VLOOKUP(F471,'Set up'!$A$2:$C$48,2,FALSE)</f>
        <v>C00000020</v>
      </c>
      <c r="F471" s="1" t="s">
        <v>410</v>
      </c>
      <c r="G471" s="74" t="s">
        <v>64</v>
      </c>
      <c r="H471" s="5">
        <v>3</v>
      </c>
      <c r="I471" s="5" t="str">
        <f>VLOOKUP(F471,'Set up'!$A$2:$C$48,3,FALSE)</f>
        <v>Cash</v>
      </c>
      <c r="J471" s="5">
        <f>VLOOKUP(F471,'Set up'!$A$2:$D$48,4,FALSE)</f>
        <v>0</v>
      </c>
      <c r="K471" s="4">
        <f t="shared" si="77"/>
        <v>44550</v>
      </c>
      <c r="L471" s="5">
        <f t="shared" si="79"/>
        <v>12</v>
      </c>
      <c r="M471" s="5">
        <f t="shared" si="80"/>
        <v>2021</v>
      </c>
      <c r="N471" s="6">
        <v>187.5</v>
      </c>
      <c r="O471" s="6">
        <f t="shared" si="83"/>
        <v>-187.5</v>
      </c>
      <c r="P471" s="6">
        <f t="shared" si="86"/>
        <v>0</v>
      </c>
      <c r="Q471" s="7">
        <f t="shared" si="82"/>
        <v>782194.24999999988</v>
      </c>
      <c r="R471" s="44" t="str">
        <f>VLOOKUP(F471,'Set up'!$A$2:$E$48,5,FALSE)</f>
        <v>Trsf</v>
      </c>
      <c r="S471" s="1" t="s">
        <v>675</v>
      </c>
    </row>
    <row r="472" spans="1:19" hidden="1" x14ac:dyDescent="0.3">
      <c r="A472" s="4">
        <v>44551</v>
      </c>
      <c r="B472" s="5">
        <f t="shared" si="84"/>
        <v>12</v>
      </c>
      <c r="C472" s="5">
        <f t="shared" si="85"/>
        <v>2021</v>
      </c>
      <c r="D472" s="5" t="s">
        <v>513</v>
      </c>
      <c r="E472" s="5" t="str">
        <f>VLOOKUP(F472,'Set up'!$A$2:$C$48,2,FALSE)</f>
        <v>C00000004</v>
      </c>
      <c r="F472" s="1" t="s">
        <v>23</v>
      </c>
      <c r="G472" s="92" t="s">
        <v>514</v>
      </c>
      <c r="H472" s="5">
        <v>1</v>
      </c>
      <c r="I472" s="5">
        <f>VLOOKUP(F472,'Set up'!$A$2:$C$48,3,FALSE)</f>
        <v>120</v>
      </c>
      <c r="J472" s="5">
        <f>VLOOKUP(F472,'Set up'!$A$2:$D$48,4,FALSE)</f>
        <v>120</v>
      </c>
      <c r="K472" s="4">
        <f t="shared" ref="K472:K535" si="87">A472+J472</f>
        <v>44671</v>
      </c>
      <c r="L472" s="5">
        <f t="shared" si="79"/>
        <v>4</v>
      </c>
      <c r="M472" s="5">
        <f t="shared" si="80"/>
        <v>2022</v>
      </c>
      <c r="N472" s="6">
        <v>513</v>
      </c>
      <c r="O472" s="6">
        <f t="shared" si="83"/>
        <v>-513</v>
      </c>
      <c r="P472" s="6">
        <f t="shared" si="86"/>
        <v>0</v>
      </c>
      <c r="Q472" s="7">
        <f t="shared" si="82"/>
        <v>782707.24999999988</v>
      </c>
      <c r="R472" s="44" t="str">
        <f>VLOOKUP(F472,'Set up'!$A$2:$E$48,5,FALSE)</f>
        <v>Chq</v>
      </c>
      <c r="S472" s="1" t="s">
        <v>750</v>
      </c>
    </row>
    <row r="473" spans="1:19" hidden="1" x14ac:dyDescent="0.3">
      <c r="A473" s="4">
        <v>44551</v>
      </c>
      <c r="B473" s="5">
        <f t="shared" si="84"/>
        <v>12</v>
      </c>
      <c r="C473" s="5">
        <f t="shared" si="85"/>
        <v>2021</v>
      </c>
      <c r="D473" s="5" t="s">
        <v>513</v>
      </c>
      <c r="E473" s="5" t="str">
        <f>VLOOKUP(F473,'Set up'!$A$2:$C$48,2,FALSE)</f>
        <v>C00000004</v>
      </c>
      <c r="F473" s="1" t="s">
        <v>23</v>
      </c>
      <c r="G473" s="55" t="s">
        <v>515</v>
      </c>
      <c r="H473" s="5">
        <v>4</v>
      </c>
      <c r="I473" s="5">
        <f>VLOOKUP(F473,'Set up'!$A$2:$C$48,3,FALSE)</f>
        <v>120</v>
      </c>
      <c r="J473" s="5">
        <f>VLOOKUP(F473,'Set up'!$A$2:$D$48,4,FALSE)</f>
        <v>120</v>
      </c>
      <c r="K473" s="4">
        <f t="shared" si="87"/>
        <v>44671</v>
      </c>
      <c r="L473" s="5">
        <f t="shared" si="79"/>
        <v>4</v>
      </c>
      <c r="M473" s="5">
        <f t="shared" si="80"/>
        <v>2022</v>
      </c>
      <c r="N473" s="6">
        <v>2508.8000000000002</v>
      </c>
      <c r="O473" s="6">
        <f t="shared" si="83"/>
        <v>-2508.8000000000002</v>
      </c>
      <c r="P473" s="6">
        <f t="shared" si="86"/>
        <v>0</v>
      </c>
      <c r="Q473" s="7">
        <f t="shared" si="82"/>
        <v>785216.04999999993</v>
      </c>
      <c r="R473" s="44" t="str">
        <f>VLOOKUP(F473,'Set up'!$A$2:$E$48,5,FALSE)</f>
        <v>Chq</v>
      </c>
      <c r="S473" s="1" t="s">
        <v>750</v>
      </c>
    </row>
    <row r="474" spans="1:19" ht="28.8" x14ac:dyDescent="0.3">
      <c r="A474" s="4">
        <v>44552</v>
      </c>
      <c r="B474" s="5">
        <f t="shared" si="84"/>
        <v>12</v>
      </c>
      <c r="C474" s="5">
        <f t="shared" si="85"/>
        <v>2021</v>
      </c>
      <c r="D474" s="5" t="s">
        <v>523</v>
      </c>
      <c r="E474" s="5" t="str">
        <f>VLOOKUP(F474,'Set up'!$A$2:$C$48,2,FALSE)</f>
        <v>C00000020</v>
      </c>
      <c r="F474" s="1" t="s">
        <v>410</v>
      </c>
      <c r="G474" s="74" t="s">
        <v>67</v>
      </c>
      <c r="H474" s="5">
        <v>3</v>
      </c>
      <c r="I474" s="5" t="str">
        <f>VLOOKUP(F474,'Set up'!$A$2:$C$48,3,FALSE)</f>
        <v>Cash</v>
      </c>
      <c r="J474" s="5">
        <f>VLOOKUP(F474,'Set up'!$A$2:$D$48,4,FALSE)</f>
        <v>0</v>
      </c>
      <c r="K474" s="4">
        <f t="shared" si="87"/>
        <v>44552</v>
      </c>
      <c r="L474" s="5">
        <f t="shared" si="79"/>
        <v>12</v>
      </c>
      <c r="M474" s="5">
        <f t="shared" si="80"/>
        <v>2021</v>
      </c>
      <c r="N474" s="6">
        <v>6270</v>
      </c>
      <c r="O474" s="6">
        <f>-3090.3-3179.7</f>
        <v>-6270</v>
      </c>
      <c r="P474" s="6">
        <f t="shared" si="86"/>
        <v>0</v>
      </c>
      <c r="Q474" s="7">
        <f t="shared" si="82"/>
        <v>791486.04999999993</v>
      </c>
      <c r="R474" s="44" t="str">
        <f>VLOOKUP(F474,'Set up'!$A$2:$E$48,5,FALSE)</f>
        <v>Trsf</v>
      </c>
      <c r="S474" s="1" t="s">
        <v>678</v>
      </c>
    </row>
    <row r="475" spans="1:19" ht="28.8" x14ac:dyDescent="0.3">
      <c r="A475" s="4">
        <v>44552</v>
      </c>
      <c r="B475" s="5">
        <f t="shared" si="84"/>
        <v>12</v>
      </c>
      <c r="C475" s="5">
        <f t="shared" si="85"/>
        <v>2021</v>
      </c>
      <c r="D475" s="5" t="s">
        <v>523</v>
      </c>
      <c r="E475" s="5" t="str">
        <f>VLOOKUP(F475,'Set up'!$A$2:$C$48,2,FALSE)</f>
        <v>C00000020</v>
      </c>
      <c r="F475" s="1" t="s">
        <v>410</v>
      </c>
      <c r="G475" s="74" t="s">
        <v>430</v>
      </c>
      <c r="H475" s="5">
        <v>1</v>
      </c>
      <c r="I475" s="5" t="str">
        <f>VLOOKUP(F475,'Set up'!$A$2:$C$48,3,FALSE)</f>
        <v>Cash</v>
      </c>
      <c r="J475" s="5">
        <f>VLOOKUP(F475,'Set up'!$A$2:$D$48,4,FALSE)</f>
        <v>0</v>
      </c>
      <c r="K475" s="4">
        <f t="shared" si="87"/>
        <v>44552</v>
      </c>
      <c r="L475" s="5">
        <f t="shared" si="79"/>
        <v>12</v>
      </c>
      <c r="M475" s="5">
        <f t="shared" si="80"/>
        <v>2021</v>
      </c>
      <c r="N475" s="6">
        <v>1000</v>
      </c>
      <c r="O475" s="6">
        <f>-N475</f>
        <v>-1000</v>
      </c>
      <c r="P475" s="6">
        <f t="shared" si="86"/>
        <v>0</v>
      </c>
      <c r="Q475" s="7">
        <f t="shared" si="82"/>
        <v>792486.04999999993</v>
      </c>
      <c r="R475" s="44" t="str">
        <f>VLOOKUP(F475,'Set up'!$A$2:$E$48,5,FALSE)</f>
        <v>Trsf</v>
      </c>
      <c r="S475" s="1" t="s">
        <v>677</v>
      </c>
    </row>
    <row r="476" spans="1:19" ht="28.8" x14ac:dyDescent="0.3">
      <c r="A476" s="4">
        <v>44552</v>
      </c>
      <c r="B476" s="5">
        <f t="shared" si="84"/>
        <v>12</v>
      </c>
      <c r="C476" s="5">
        <f t="shared" si="85"/>
        <v>2021</v>
      </c>
      <c r="D476" s="5" t="s">
        <v>523</v>
      </c>
      <c r="E476" s="5" t="str">
        <f>VLOOKUP(F476,'Set up'!$A$2:$C$48,2,FALSE)</f>
        <v>C00000020</v>
      </c>
      <c r="F476" s="1" t="s">
        <v>410</v>
      </c>
      <c r="G476" s="74" t="s">
        <v>64</v>
      </c>
      <c r="H476" s="5">
        <v>3</v>
      </c>
      <c r="I476" s="5" t="str">
        <f>VLOOKUP(F476,'Set up'!$A$2:$C$48,3,FALSE)</f>
        <v>Cash</v>
      </c>
      <c r="J476" s="5">
        <f>VLOOKUP(F476,'Set up'!$A$2:$D$48,4,FALSE)</f>
        <v>0</v>
      </c>
      <c r="K476" s="4">
        <f t="shared" si="87"/>
        <v>44552</v>
      </c>
      <c r="L476" s="5">
        <f t="shared" si="79"/>
        <v>12</v>
      </c>
      <c r="M476" s="5">
        <f t="shared" si="80"/>
        <v>2021</v>
      </c>
      <c r="N476" s="6">
        <v>187.5</v>
      </c>
      <c r="O476" s="6">
        <f>-N476</f>
        <v>-187.5</v>
      </c>
      <c r="P476" s="6">
        <f t="shared" si="86"/>
        <v>0</v>
      </c>
      <c r="Q476" s="7">
        <f t="shared" si="82"/>
        <v>792673.54999999993</v>
      </c>
      <c r="R476" s="44" t="str">
        <f>VLOOKUP(F476,'Set up'!$A$2:$E$48,5,FALSE)</f>
        <v>Trsf</v>
      </c>
      <c r="S476" s="1" t="s">
        <v>677</v>
      </c>
    </row>
    <row r="477" spans="1:19" x14ac:dyDescent="0.3">
      <c r="A477" s="4">
        <v>44552</v>
      </c>
      <c r="B477" s="5">
        <f t="shared" si="84"/>
        <v>12</v>
      </c>
      <c r="C477" s="5">
        <f t="shared" si="85"/>
        <v>2021</v>
      </c>
      <c r="D477" s="5" t="s">
        <v>523</v>
      </c>
      <c r="E477" s="5" t="str">
        <f>VLOOKUP(F477,'Set up'!$A$2:$C$48,2,FALSE)</f>
        <v>C00000020</v>
      </c>
      <c r="F477" s="1" t="s">
        <v>410</v>
      </c>
      <c r="G477" s="55" t="s">
        <v>516</v>
      </c>
      <c r="H477" s="5">
        <v>8</v>
      </c>
      <c r="I477" s="5" t="str">
        <f>VLOOKUP(F477,'Set up'!$A$2:$C$48,3,FALSE)</f>
        <v>Cash</v>
      </c>
      <c r="J477" s="5">
        <f>VLOOKUP(F477,'Set up'!$A$2:$D$48,4,FALSE)</f>
        <v>0</v>
      </c>
      <c r="K477" s="4">
        <f t="shared" si="87"/>
        <v>44552</v>
      </c>
      <c r="L477" s="5">
        <f t="shared" si="79"/>
        <v>12</v>
      </c>
      <c r="M477" s="5">
        <f t="shared" si="80"/>
        <v>2021</v>
      </c>
      <c r="N477" s="6">
        <v>3108</v>
      </c>
      <c r="O477" s="6">
        <f>-432.8-2675.2</f>
        <v>-3108</v>
      </c>
      <c r="P477" s="6">
        <f t="shared" si="86"/>
        <v>0</v>
      </c>
      <c r="Q477" s="7">
        <f t="shared" si="82"/>
        <v>795781.54999999993</v>
      </c>
      <c r="R477" s="44" t="str">
        <f>VLOOKUP(F477,'Set up'!$A$2:$E$48,5,FALSE)</f>
        <v>Trsf</v>
      </c>
      <c r="S477" s="1" t="s">
        <v>679</v>
      </c>
    </row>
    <row r="478" spans="1:19" x14ac:dyDescent="0.3">
      <c r="A478" s="4">
        <v>44554</v>
      </c>
      <c r="B478" s="5">
        <f t="shared" si="84"/>
        <v>12</v>
      </c>
      <c r="C478" s="5">
        <f t="shared" si="85"/>
        <v>2021</v>
      </c>
      <c r="D478" s="5" t="s">
        <v>530</v>
      </c>
      <c r="E478" s="5" t="str">
        <f>VLOOKUP(F478,'Set up'!$A$2:$C$48,2,FALSE)</f>
        <v>C00000020</v>
      </c>
      <c r="F478" s="1" t="s">
        <v>410</v>
      </c>
      <c r="G478" s="55" t="s">
        <v>516</v>
      </c>
      <c r="H478" s="5">
        <v>2</v>
      </c>
      <c r="I478" s="5" t="str">
        <f>VLOOKUP(F478,'Set up'!$A$2:$C$48,3,FALSE)</f>
        <v>Cash</v>
      </c>
      <c r="J478" s="5">
        <f>VLOOKUP(F478,'Set up'!$A$2:$D$48,4,FALSE)</f>
        <v>0</v>
      </c>
      <c r="K478" s="4">
        <f t="shared" si="87"/>
        <v>44554</v>
      </c>
      <c r="L478" s="5">
        <f t="shared" si="79"/>
        <v>12</v>
      </c>
      <c r="M478" s="5">
        <f t="shared" si="80"/>
        <v>2021</v>
      </c>
      <c r="N478" s="6">
        <v>777</v>
      </c>
      <c r="O478" s="6">
        <f>-N478</f>
        <v>-777</v>
      </c>
      <c r="P478" s="6">
        <f t="shared" si="86"/>
        <v>0</v>
      </c>
      <c r="Q478" s="7">
        <f t="shared" si="82"/>
        <v>796558.54999999993</v>
      </c>
      <c r="R478" s="44" t="str">
        <f>VLOOKUP(F478,'Set up'!$A$2:$E$48,5,FALSE)</f>
        <v>Trsf</v>
      </c>
      <c r="S478" s="1" t="s">
        <v>739</v>
      </c>
    </row>
    <row r="479" spans="1:19" x14ac:dyDescent="0.3">
      <c r="A479" s="4">
        <v>44557</v>
      </c>
      <c r="B479" s="5">
        <f t="shared" si="84"/>
        <v>12</v>
      </c>
      <c r="C479" s="5">
        <f t="shared" si="85"/>
        <v>2021</v>
      </c>
      <c r="D479" s="5" t="s">
        <v>531</v>
      </c>
      <c r="E479" s="5" t="str">
        <f>VLOOKUP(F479,'Set up'!$A$2:$C$48,2,FALSE)</f>
        <v>C00000020</v>
      </c>
      <c r="F479" s="1" t="s">
        <v>410</v>
      </c>
      <c r="G479" s="55" t="s">
        <v>516</v>
      </c>
      <c r="H479" s="5">
        <v>2</v>
      </c>
      <c r="I479" s="5" t="str">
        <f>VLOOKUP(F479,'Set up'!$A$2:$C$48,3,FALSE)</f>
        <v>Cash</v>
      </c>
      <c r="J479" s="5">
        <f>VLOOKUP(F479,'Set up'!$A$2:$D$48,4,FALSE)</f>
        <v>0</v>
      </c>
      <c r="K479" s="4">
        <f t="shared" si="87"/>
        <v>44557</v>
      </c>
      <c r="L479" s="5">
        <f t="shared" ref="L479:L542" si="88">MONTH(K479)</f>
        <v>12</v>
      </c>
      <c r="M479" s="5">
        <f t="shared" ref="M479:M542" si="89">YEAR(K479)</f>
        <v>2021</v>
      </c>
      <c r="N479" s="6">
        <v>777</v>
      </c>
      <c r="O479" s="6">
        <f>-N479</f>
        <v>-777</v>
      </c>
      <c r="P479" s="6">
        <f t="shared" si="86"/>
        <v>0</v>
      </c>
      <c r="Q479" s="7">
        <f t="shared" si="82"/>
        <v>797335.54999999993</v>
      </c>
      <c r="R479" s="44" t="str">
        <f>VLOOKUP(F479,'Set up'!$A$2:$E$48,5,FALSE)</f>
        <v>Trsf</v>
      </c>
      <c r="S479" s="1" t="s">
        <v>739</v>
      </c>
    </row>
    <row r="480" spans="1:19" x14ac:dyDescent="0.3">
      <c r="A480" s="4">
        <v>44557</v>
      </c>
      <c r="B480" s="5">
        <f t="shared" si="84"/>
        <v>12</v>
      </c>
      <c r="C480" s="5">
        <f t="shared" si="85"/>
        <v>2021</v>
      </c>
      <c r="D480" s="5" t="s">
        <v>531</v>
      </c>
      <c r="E480" s="5" t="str">
        <f>VLOOKUP(F480,'Set up'!$A$2:$C$48,2,FALSE)</f>
        <v>C00000020</v>
      </c>
      <c r="F480" s="1" t="s">
        <v>410</v>
      </c>
      <c r="G480" s="56" t="s">
        <v>259</v>
      </c>
      <c r="H480" s="5">
        <v>1</v>
      </c>
      <c r="I480" s="5" t="str">
        <f>VLOOKUP(F480,'Set up'!$A$2:$C$48,3,FALSE)</f>
        <v>Cash</v>
      </c>
      <c r="J480" s="5">
        <f>VLOOKUP(F480,'Set up'!$A$2:$D$48,4,FALSE)</f>
        <v>0</v>
      </c>
      <c r="K480" s="4">
        <f t="shared" si="87"/>
        <v>44557</v>
      </c>
      <c r="L480" s="5">
        <f t="shared" si="88"/>
        <v>12</v>
      </c>
      <c r="M480" s="5">
        <f t="shared" si="89"/>
        <v>2021</v>
      </c>
      <c r="N480" s="6">
        <v>300</v>
      </c>
      <c r="O480" s="6">
        <f>-N480</f>
        <v>-300</v>
      </c>
      <c r="P480" s="6">
        <f t="shared" si="86"/>
        <v>0</v>
      </c>
      <c r="Q480" s="7">
        <f t="shared" si="82"/>
        <v>797635.54999999993</v>
      </c>
      <c r="R480" s="44" t="str">
        <f>VLOOKUP(F480,'Set up'!$A$2:$E$48,5,FALSE)</f>
        <v>Trsf</v>
      </c>
      <c r="S480" s="1" t="s">
        <v>739</v>
      </c>
    </row>
    <row r="481" spans="1:19" ht="28.8" hidden="1" x14ac:dyDescent="0.3">
      <c r="A481" s="4">
        <v>44558</v>
      </c>
      <c r="B481" s="5">
        <f t="shared" si="84"/>
        <v>12</v>
      </c>
      <c r="C481" s="5">
        <f t="shared" si="85"/>
        <v>2021</v>
      </c>
      <c r="D481" s="5" t="s">
        <v>532</v>
      </c>
      <c r="E481" s="5" t="str">
        <f>VLOOKUP(F481,'Set up'!$A$2:$C$48,2,FALSE)</f>
        <v>C00000001</v>
      </c>
      <c r="F481" s="1" t="s">
        <v>7</v>
      </c>
      <c r="G481" s="74" t="s">
        <v>67</v>
      </c>
      <c r="H481" s="5">
        <v>2</v>
      </c>
      <c r="I481" s="5" t="str">
        <f>VLOOKUP(F481,'Set up'!$A$2:$C$48,3,FALSE)</f>
        <v>Cash</v>
      </c>
      <c r="J481" s="5">
        <f>VLOOKUP(F481,'Set up'!$A$2:$D$48,4,FALSE)</f>
        <v>0</v>
      </c>
      <c r="K481" s="4">
        <f t="shared" si="87"/>
        <v>44558</v>
      </c>
      <c r="L481" s="5">
        <f t="shared" si="88"/>
        <v>12</v>
      </c>
      <c r="M481" s="5">
        <f t="shared" si="89"/>
        <v>2021</v>
      </c>
      <c r="N481" s="6">
        <v>4136</v>
      </c>
      <c r="O481" s="6">
        <f>-N481</f>
        <v>-4136</v>
      </c>
      <c r="P481" s="6">
        <f t="shared" si="86"/>
        <v>0</v>
      </c>
      <c r="Q481" s="7">
        <f t="shared" si="82"/>
        <v>801771.54999999993</v>
      </c>
      <c r="R481" s="44" t="str">
        <f>VLOOKUP(F481,'Set up'!$A$2:$E$48,5,FALSE)</f>
        <v>Trsf</v>
      </c>
      <c r="S481" s="1" t="s">
        <v>545</v>
      </c>
    </row>
    <row r="482" spans="1:19" ht="46.8" hidden="1" x14ac:dyDescent="0.3">
      <c r="A482" s="4">
        <v>44558</v>
      </c>
      <c r="B482" s="5">
        <f t="shared" si="84"/>
        <v>12</v>
      </c>
      <c r="C482" s="5">
        <f t="shared" si="85"/>
        <v>2021</v>
      </c>
      <c r="D482" s="5" t="s">
        <v>532</v>
      </c>
      <c r="E482" s="5" t="str">
        <f>VLOOKUP(F482,'Set up'!$A$2:$C$48,2,FALSE)</f>
        <v>C00000001</v>
      </c>
      <c r="F482" s="1" t="s">
        <v>7</v>
      </c>
      <c r="G482" s="79" t="s">
        <v>534</v>
      </c>
      <c r="H482" s="5">
        <v>5</v>
      </c>
      <c r="I482" s="5" t="str">
        <f>VLOOKUP(F482,'Set up'!$A$2:$C$48,3,FALSE)</f>
        <v>Cash</v>
      </c>
      <c r="J482" s="5">
        <f>VLOOKUP(F482,'Set up'!$A$2:$D$48,4,FALSE)</f>
        <v>0</v>
      </c>
      <c r="K482" s="4">
        <f t="shared" si="87"/>
        <v>44558</v>
      </c>
      <c r="L482" s="5">
        <f t="shared" si="88"/>
        <v>12</v>
      </c>
      <c r="M482" s="5">
        <f t="shared" si="89"/>
        <v>2021</v>
      </c>
      <c r="N482" s="6">
        <v>1455</v>
      </c>
      <c r="O482" s="6">
        <f>-N482</f>
        <v>-1455</v>
      </c>
      <c r="P482" s="6">
        <f t="shared" si="86"/>
        <v>0</v>
      </c>
      <c r="Q482" s="7">
        <f t="shared" si="82"/>
        <v>803226.54999999993</v>
      </c>
      <c r="R482" s="44" t="str">
        <f>VLOOKUP(F482,'Set up'!$A$2:$E$48,5,FALSE)</f>
        <v>Trsf</v>
      </c>
      <c r="S482" s="1" t="s">
        <v>545</v>
      </c>
    </row>
    <row r="483" spans="1:19" ht="28.8" x14ac:dyDescent="0.3">
      <c r="A483" s="4">
        <v>44560</v>
      </c>
      <c r="B483" s="5">
        <f t="shared" si="84"/>
        <v>12</v>
      </c>
      <c r="C483" s="5">
        <f t="shared" si="85"/>
        <v>2021</v>
      </c>
      <c r="D483" s="5" t="s">
        <v>533</v>
      </c>
      <c r="E483" s="5" t="str">
        <f>VLOOKUP(F483,'Set up'!$A$2:$C$48,2,FALSE)</f>
        <v>C00000020</v>
      </c>
      <c r="F483" s="1" t="s">
        <v>410</v>
      </c>
      <c r="G483" s="74" t="s">
        <v>67</v>
      </c>
      <c r="H483" s="5">
        <v>5</v>
      </c>
      <c r="I483" s="5" t="str">
        <f>VLOOKUP(F483,'Set up'!$A$2:$C$48,3,FALSE)</f>
        <v>Cash</v>
      </c>
      <c r="J483" s="5">
        <f>VLOOKUP(F483,'Set up'!$A$2:$D$48,4,FALSE)</f>
        <v>0</v>
      </c>
      <c r="K483" s="4">
        <f t="shared" si="87"/>
        <v>44560</v>
      </c>
      <c r="L483" s="5">
        <f t="shared" si="88"/>
        <v>12</v>
      </c>
      <c r="M483" s="5">
        <f t="shared" si="89"/>
        <v>2021</v>
      </c>
      <c r="N483" s="6">
        <v>10450</v>
      </c>
      <c r="O483" s="6">
        <f>-1470.8-6200-2779.2</f>
        <v>-10450</v>
      </c>
      <c r="P483" s="6">
        <f t="shared" si="86"/>
        <v>0</v>
      </c>
      <c r="Q483" s="7">
        <f t="shared" si="82"/>
        <v>813676.54999999993</v>
      </c>
      <c r="R483" s="44" t="str">
        <f>VLOOKUP(F483,'Set up'!$A$2:$E$48,5,FALSE)</f>
        <v>Trsf</v>
      </c>
      <c r="S483" s="1" t="s">
        <v>740</v>
      </c>
    </row>
    <row r="484" spans="1:19" x14ac:dyDescent="0.3">
      <c r="A484" s="4">
        <v>44560</v>
      </c>
      <c r="B484" s="5">
        <f t="shared" si="84"/>
        <v>12</v>
      </c>
      <c r="C484" s="5">
        <f t="shared" si="85"/>
        <v>2021</v>
      </c>
      <c r="D484" s="5" t="s">
        <v>533</v>
      </c>
      <c r="E484" s="5" t="str">
        <f>VLOOKUP(F484,'Set up'!$A$2:$C$48,2,FALSE)</f>
        <v>C00000020</v>
      </c>
      <c r="F484" s="1" t="s">
        <v>410</v>
      </c>
      <c r="G484" s="56" t="s">
        <v>534</v>
      </c>
      <c r="H484" s="5">
        <v>15</v>
      </c>
      <c r="I484" s="5" t="str">
        <f>VLOOKUP(F484,'Set up'!$A$2:$C$48,3,FALSE)</f>
        <v>Cash</v>
      </c>
      <c r="J484" s="5">
        <f>VLOOKUP(F484,'Set up'!$A$2:$D$48,4,FALSE)</f>
        <v>0</v>
      </c>
      <c r="K484" s="4">
        <f t="shared" si="87"/>
        <v>44560</v>
      </c>
      <c r="L484" s="5">
        <f t="shared" si="88"/>
        <v>12</v>
      </c>
      <c r="M484" s="5">
        <f t="shared" si="89"/>
        <v>2021</v>
      </c>
      <c r="N484" s="6">
        <v>4410</v>
      </c>
      <c r="O484" s="6">
        <f>-4220.8-189.2</f>
        <v>-4410</v>
      </c>
      <c r="P484" s="6">
        <f t="shared" si="86"/>
        <v>0</v>
      </c>
      <c r="Q484" s="7">
        <f t="shared" si="82"/>
        <v>818086.54999999993</v>
      </c>
      <c r="R484" s="44" t="str">
        <f>VLOOKUP(F484,'Set up'!$A$2:$E$48,5,FALSE)</f>
        <v>Trsf</v>
      </c>
      <c r="S484" s="11" t="s">
        <v>731</v>
      </c>
    </row>
    <row r="485" spans="1:19" ht="62.4" x14ac:dyDescent="0.3">
      <c r="A485" s="4">
        <v>44560</v>
      </c>
      <c r="B485" s="5">
        <f t="shared" si="84"/>
        <v>12</v>
      </c>
      <c r="C485" s="5">
        <f t="shared" si="85"/>
        <v>2021</v>
      </c>
      <c r="D485" s="5" t="s">
        <v>533</v>
      </c>
      <c r="E485" s="5" t="str">
        <f>VLOOKUP(F485,'Set up'!$A$2:$C$48,2,FALSE)</f>
        <v>C00000020</v>
      </c>
      <c r="F485" s="1" t="s">
        <v>410</v>
      </c>
      <c r="G485" s="79" t="s">
        <v>535</v>
      </c>
      <c r="H485" s="5">
        <v>8</v>
      </c>
      <c r="I485" s="5" t="str">
        <f>VLOOKUP(F485,'Set up'!$A$2:$C$48,3,FALSE)</f>
        <v>Cash</v>
      </c>
      <c r="J485" s="5">
        <f>VLOOKUP(F485,'Set up'!$A$2:$D$48,4,FALSE)</f>
        <v>0</v>
      </c>
      <c r="K485" s="4">
        <f t="shared" si="87"/>
        <v>44560</v>
      </c>
      <c r="L485" s="5">
        <f t="shared" si="88"/>
        <v>12</v>
      </c>
      <c r="M485" s="5">
        <f t="shared" si="89"/>
        <v>2021</v>
      </c>
      <c r="N485" s="6">
        <v>2808</v>
      </c>
      <c r="O485" s="6">
        <f>-N485</f>
        <v>-2808</v>
      </c>
      <c r="P485" s="6">
        <f t="shared" si="86"/>
        <v>0</v>
      </c>
      <c r="Q485" s="7">
        <f t="shared" si="82"/>
        <v>820894.54999999993</v>
      </c>
      <c r="R485" s="44" t="str">
        <f>VLOOKUP(F485,'Set up'!$A$2:$E$48,5,FALSE)</f>
        <v>Trsf</v>
      </c>
      <c r="S485" s="1" t="s">
        <v>732</v>
      </c>
    </row>
    <row r="486" spans="1:19" ht="28.8" x14ac:dyDescent="0.3">
      <c r="A486" s="4">
        <v>44560</v>
      </c>
      <c r="B486" s="5">
        <f t="shared" si="84"/>
        <v>12</v>
      </c>
      <c r="C486" s="5">
        <f t="shared" si="85"/>
        <v>2021</v>
      </c>
      <c r="D486" s="5" t="s">
        <v>533</v>
      </c>
      <c r="E486" s="5" t="str">
        <f>VLOOKUP(F486,'Set up'!$A$2:$C$48,2,FALSE)</f>
        <v>C00000020</v>
      </c>
      <c r="F486" s="1" t="s">
        <v>410</v>
      </c>
      <c r="G486" s="74" t="s">
        <v>64</v>
      </c>
      <c r="H486" s="5">
        <v>5</v>
      </c>
      <c r="I486" s="5" t="str">
        <f>VLOOKUP(F486,'Set up'!$A$2:$C$48,3,FALSE)</f>
        <v>Cash</v>
      </c>
      <c r="J486" s="5">
        <f>VLOOKUP(F486,'Set up'!$A$2:$D$48,4,FALSE)</f>
        <v>0</v>
      </c>
      <c r="K486" s="4">
        <f t="shared" si="87"/>
        <v>44560</v>
      </c>
      <c r="L486" s="5">
        <f t="shared" si="88"/>
        <v>12</v>
      </c>
      <c r="M486" s="5">
        <f t="shared" si="89"/>
        <v>2021</v>
      </c>
      <c r="N486" s="6">
        <v>312.5</v>
      </c>
      <c r="O486" s="6">
        <f>-2.8-309.7</f>
        <v>-312.5</v>
      </c>
      <c r="P486" s="6">
        <f t="shared" si="86"/>
        <v>0</v>
      </c>
      <c r="Q486" s="7">
        <f t="shared" si="82"/>
        <v>821207.04999999993</v>
      </c>
      <c r="R486" s="44" t="str">
        <f>VLOOKUP(F486,'Set up'!$A$2:$E$48,5,FALSE)</f>
        <v>Trsf</v>
      </c>
      <c r="S486" s="1" t="s">
        <v>733</v>
      </c>
    </row>
    <row r="487" spans="1:19" ht="28.8" x14ac:dyDescent="0.3">
      <c r="A487" s="4">
        <v>44560</v>
      </c>
      <c r="B487" s="5">
        <f t="shared" si="84"/>
        <v>12</v>
      </c>
      <c r="C487" s="5">
        <f t="shared" si="85"/>
        <v>2021</v>
      </c>
      <c r="D487" s="5" t="s">
        <v>533</v>
      </c>
      <c r="E487" s="5" t="str">
        <f>VLOOKUP(F487,'Set up'!$A$2:$C$48,2,FALSE)</f>
        <v>C00000020</v>
      </c>
      <c r="F487" s="1" t="s">
        <v>410</v>
      </c>
      <c r="G487" s="74" t="s">
        <v>430</v>
      </c>
      <c r="H487" s="5">
        <v>1</v>
      </c>
      <c r="I487" s="5" t="str">
        <f>VLOOKUP(F487,'Set up'!$A$2:$C$48,3,FALSE)</f>
        <v>Cash</v>
      </c>
      <c r="J487" s="5">
        <f>VLOOKUP(F487,'Set up'!$A$2:$D$48,4,FALSE)</f>
        <v>0</v>
      </c>
      <c r="K487" s="4">
        <f t="shared" si="87"/>
        <v>44560</v>
      </c>
      <c r="L487" s="5">
        <f t="shared" si="88"/>
        <v>12</v>
      </c>
      <c r="M487" s="5">
        <f t="shared" si="89"/>
        <v>2021</v>
      </c>
      <c r="N487" s="6">
        <v>1000</v>
      </c>
      <c r="O487" s="6">
        <f t="shared" ref="O487:O494" si="90">-N487</f>
        <v>-1000</v>
      </c>
      <c r="P487" s="6">
        <f t="shared" si="86"/>
        <v>0</v>
      </c>
      <c r="Q487" s="7">
        <f t="shared" si="82"/>
        <v>822207.04999999993</v>
      </c>
      <c r="R487" s="44" t="str">
        <f>VLOOKUP(F487,'Set up'!$A$2:$E$48,5,FALSE)</f>
        <v>Trsf</v>
      </c>
      <c r="S487" s="1" t="s">
        <v>734</v>
      </c>
    </row>
    <row r="488" spans="1:19" ht="28.8" x14ac:dyDescent="0.3">
      <c r="A488" s="4">
        <v>44560</v>
      </c>
      <c r="B488" s="5">
        <f t="shared" si="84"/>
        <v>12</v>
      </c>
      <c r="C488" s="5">
        <f t="shared" si="85"/>
        <v>2021</v>
      </c>
      <c r="D488" s="5" t="s">
        <v>533</v>
      </c>
      <c r="E488" s="5" t="str">
        <f>VLOOKUP(F488,'Set up'!$A$2:$C$48,2,FALSE)</f>
        <v>C00000020</v>
      </c>
      <c r="F488" s="1" t="s">
        <v>410</v>
      </c>
      <c r="G488" s="74" t="s">
        <v>382</v>
      </c>
      <c r="H488" s="5">
        <v>4</v>
      </c>
      <c r="I488" s="5" t="str">
        <f>VLOOKUP(F488,'Set up'!$A$2:$C$48,3,FALSE)</f>
        <v>Cash</v>
      </c>
      <c r="J488" s="5">
        <f>VLOOKUP(F488,'Set up'!$A$2:$D$48,4,FALSE)</f>
        <v>0</v>
      </c>
      <c r="K488" s="4">
        <f t="shared" si="87"/>
        <v>44560</v>
      </c>
      <c r="L488" s="5">
        <f t="shared" si="88"/>
        <v>12</v>
      </c>
      <c r="M488" s="5">
        <f t="shared" si="89"/>
        <v>2021</v>
      </c>
      <c r="N488" s="6">
        <v>340</v>
      </c>
      <c r="O488" s="6">
        <f t="shared" si="90"/>
        <v>-340</v>
      </c>
      <c r="P488" s="6">
        <f t="shared" si="86"/>
        <v>0</v>
      </c>
      <c r="Q488" s="7">
        <f t="shared" si="82"/>
        <v>822547.04999999993</v>
      </c>
      <c r="R488" s="44" t="str">
        <f>VLOOKUP(F488,'Set up'!$A$2:$E$48,5,FALSE)</f>
        <v>Trsf</v>
      </c>
      <c r="S488" s="1" t="s">
        <v>734</v>
      </c>
    </row>
    <row r="489" spans="1:19" ht="46.8" hidden="1" x14ac:dyDescent="0.3">
      <c r="A489" s="4">
        <v>44561</v>
      </c>
      <c r="B489" s="5">
        <f t="shared" si="84"/>
        <v>12</v>
      </c>
      <c r="C489" s="5">
        <f t="shared" si="85"/>
        <v>2021</v>
      </c>
      <c r="D489" s="5" t="s">
        <v>536</v>
      </c>
      <c r="E489" s="5" t="str">
        <f>VLOOKUP(F489,'Set up'!$A$2:$C$48,2,FALSE)</f>
        <v>C00000010</v>
      </c>
      <c r="F489" s="1" t="s">
        <v>62</v>
      </c>
      <c r="G489" s="79" t="s">
        <v>304</v>
      </c>
      <c r="H489" s="5">
        <v>4</v>
      </c>
      <c r="I489" s="5">
        <f>VLOOKUP(F489,'Set up'!$A$2:$C$48,3,FALSE)</f>
        <v>120</v>
      </c>
      <c r="J489" s="5">
        <f>VLOOKUP(F489,'Set up'!$A$2:$D$48,4,FALSE)</f>
        <v>120</v>
      </c>
      <c r="K489" s="4">
        <f t="shared" si="87"/>
        <v>44681</v>
      </c>
      <c r="L489" s="5">
        <f t="shared" si="88"/>
        <v>4</v>
      </c>
      <c r="M489" s="5">
        <f t="shared" si="89"/>
        <v>2022</v>
      </c>
      <c r="N489" s="6">
        <v>8096</v>
      </c>
      <c r="O489" s="6">
        <f t="shared" si="90"/>
        <v>-8096</v>
      </c>
      <c r="P489" s="6">
        <f t="shared" si="86"/>
        <v>0</v>
      </c>
      <c r="Q489" s="7">
        <f t="shared" si="82"/>
        <v>830643.04999999993</v>
      </c>
      <c r="R489" s="44" t="str">
        <f>VLOOKUP(F489,'Set up'!$A$2:$E$48,5,FALSE)</f>
        <v>Trsf</v>
      </c>
      <c r="S489" s="1" t="s">
        <v>668</v>
      </c>
    </row>
    <row r="490" spans="1:19" ht="28.8" hidden="1" x14ac:dyDescent="0.3">
      <c r="A490" s="4">
        <v>44561</v>
      </c>
      <c r="B490" s="5">
        <v>12</v>
      </c>
      <c r="C490" s="5">
        <v>2021</v>
      </c>
      <c r="D490" s="5" t="s">
        <v>536</v>
      </c>
      <c r="E490" s="5" t="str">
        <f>VLOOKUP(F490,'Set up'!$A$2:$C$48,2,FALSE)</f>
        <v>C00000010</v>
      </c>
      <c r="F490" s="1" t="s">
        <v>62</v>
      </c>
      <c r="G490" s="74" t="s">
        <v>67</v>
      </c>
      <c r="H490" s="5">
        <v>1</v>
      </c>
      <c r="I490" s="5">
        <f>VLOOKUP(F490,'Set up'!$A$2:$C$48,3,FALSE)</f>
        <v>120</v>
      </c>
      <c r="J490" s="5">
        <f>VLOOKUP(F490,'Set up'!$A$2:$D$48,4,FALSE)</f>
        <v>120</v>
      </c>
      <c r="K490" s="4">
        <f t="shared" si="87"/>
        <v>44681</v>
      </c>
      <c r="L490" s="5">
        <f t="shared" si="88"/>
        <v>4</v>
      </c>
      <c r="M490" s="5">
        <f t="shared" si="89"/>
        <v>2022</v>
      </c>
      <c r="N490" s="6">
        <v>2024</v>
      </c>
      <c r="O490" s="6">
        <f t="shared" si="90"/>
        <v>-2024</v>
      </c>
      <c r="P490" s="6">
        <f t="shared" si="86"/>
        <v>0</v>
      </c>
      <c r="Q490" s="7">
        <f t="shared" si="82"/>
        <v>832667.04999999993</v>
      </c>
      <c r="R490" s="44" t="str">
        <f>VLOOKUP(F490,'Set up'!$A$2:$E$48,5,FALSE)</f>
        <v>Trsf</v>
      </c>
      <c r="S490" s="1" t="s">
        <v>668</v>
      </c>
    </row>
    <row r="491" spans="1:19" ht="46.8" hidden="1" x14ac:dyDescent="0.3">
      <c r="A491" s="4">
        <v>44561</v>
      </c>
      <c r="B491" s="5">
        <f>MONTH(A491)</f>
        <v>12</v>
      </c>
      <c r="C491" s="5">
        <f>YEAR(A491)</f>
        <v>2021</v>
      </c>
      <c r="D491" s="5" t="s">
        <v>537</v>
      </c>
      <c r="E491" s="5" t="str">
        <f>VLOOKUP(F491,'Set up'!$A$2:$C$48,2,FALSE)</f>
        <v>C00000019</v>
      </c>
      <c r="F491" s="1" t="s">
        <v>401</v>
      </c>
      <c r="G491" s="79" t="s">
        <v>304</v>
      </c>
      <c r="H491" s="5">
        <v>2</v>
      </c>
      <c r="I491" s="5" t="str">
        <f>VLOOKUP(F491,'Set up'!$A$2:$C$48,3,FALSE)</f>
        <v>Cash</v>
      </c>
      <c r="J491" s="5">
        <f>VLOOKUP(F491,'Set up'!$A$2:$D$48,4,FALSE)</f>
        <v>0</v>
      </c>
      <c r="K491" s="4">
        <f t="shared" si="87"/>
        <v>44561</v>
      </c>
      <c r="L491" s="5">
        <f t="shared" si="88"/>
        <v>12</v>
      </c>
      <c r="M491" s="5">
        <f t="shared" si="89"/>
        <v>2021</v>
      </c>
      <c r="N491" s="6">
        <v>4136</v>
      </c>
      <c r="O491" s="6">
        <f t="shared" si="90"/>
        <v>-4136</v>
      </c>
      <c r="P491" s="6">
        <f t="shared" si="86"/>
        <v>0</v>
      </c>
      <c r="Q491" s="7">
        <f t="shared" si="82"/>
        <v>836803.04999999993</v>
      </c>
      <c r="R491" s="44" t="str">
        <f>VLOOKUP(F491,'Set up'!$A$2:$E$48,5,FALSE)</f>
        <v>Trsf</v>
      </c>
      <c r="S491" s="1" t="s">
        <v>580</v>
      </c>
    </row>
    <row r="492" spans="1:19" ht="31.2" hidden="1" x14ac:dyDescent="0.3">
      <c r="A492" s="4">
        <v>44561</v>
      </c>
      <c r="B492" s="5">
        <v>12</v>
      </c>
      <c r="C492" s="5">
        <v>2021</v>
      </c>
      <c r="D492" s="5" t="s">
        <v>537</v>
      </c>
      <c r="E492" s="5" t="str">
        <f>VLOOKUP(F492,'Set up'!$A$2:$C$48,2,FALSE)</f>
        <v>C00000019</v>
      </c>
      <c r="F492" s="1" t="s">
        <v>401</v>
      </c>
      <c r="G492" s="79" t="s">
        <v>64</v>
      </c>
      <c r="H492" s="5">
        <v>4</v>
      </c>
      <c r="I492" s="5" t="str">
        <f>VLOOKUP(F492,'Set up'!$A$2:$C$48,3,FALSE)</f>
        <v>Cash</v>
      </c>
      <c r="J492" s="5">
        <f>VLOOKUP(F492,'Set up'!$A$2:$D$48,4,FALSE)</f>
        <v>0</v>
      </c>
      <c r="K492" s="4">
        <f t="shared" si="87"/>
        <v>44561</v>
      </c>
      <c r="L492" s="5">
        <f t="shared" si="88"/>
        <v>12</v>
      </c>
      <c r="M492" s="5">
        <f t="shared" si="89"/>
        <v>2021</v>
      </c>
      <c r="N492" s="6">
        <v>250</v>
      </c>
      <c r="O492" s="6">
        <f t="shared" si="90"/>
        <v>-250</v>
      </c>
      <c r="P492" s="6">
        <f t="shared" si="86"/>
        <v>0</v>
      </c>
      <c r="Q492" s="7">
        <f t="shared" si="82"/>
        <v>837053.04999999993</v>
      </c>
      <c r="R492" s="44" t="str">
        <f>VLOOKUP(F492,'Set up'!$A$2:$E$48,5,FALSE)</f>
        <v>Trsf</v>
      </c>
      <c r="S492" s="1" t="s">
        <v>580</v>
      </c>
    </row>
    <row r="493" spans="1:19" hidden="1" x14ac:dyDescent="0.3">
      <c r="A493" s="4">
        <v>44561</v>
      </c>
      <c r="B493" s="5">
        <f t="shared" ref="B493:B556" si="91">MONTH(A493)</f>
        <v>12</v>
      </c>
      <c r="C493" s="5">
        <f t="shared" ref="C493:C556" si="92">YEAR(A493)</f>
        <v>2021</v>
      </c>
      <c r="D493" s="5" t="s">
        <v>537</v>
      </c>
      <c r="E493" s="5" t="str">
        <f>VLOOKUP(F493,'Set up'!$A$2:$C$48,2,FALSE)</f>
        <v>C00000019</v>
      </c>
      <c r="F493" s="1" t="s">
        <v>401</v>
      </c>
      <c r="G493" s="11" t="s">
        <v>46</v>
      </c>
      <c r="H493" s="5">
        <v>1</v>
      </c>
      <c r="I493" s="5" t="str">
        <f>VLOOKUP(F493,'Set up'!$A$2:$C$48,3,FALSE)</f>
        <v>Cash</v>
      </c>
      <c r="J493" s="5">
        <f>VLOOKUP(F493,'Set up'!$A$2:$D$48,4,FALSE)</f>
        <v>0</v>
      </c>
      <c r="K493" s="4">
        <f t="shared" si="87"/>
        <v>44561</v>
      </c>
      <c r="L493" s="5">
        <f t="shared" si="88"/>
        <v>12</v>
      </c>
      <c r="M493" s="5">
        <f t="shared" si="89"/>
        <v>2021</v>
      </c>
      <c r="N493" s="6">
        <v>105</v>
      </c>
      <c r="O493" s="6">
        <f t="shared" si="90"/>
        <v>-105</v>
      </c>
      <c r="P493" s="6">
        <f t="shared" si="86"/>
        <v>0</v>
      </c>
      <c r="Q493" s="7">
        <f t="shared" si="82"/>
        <v>837158.04999999993</v>
      </c>
      <c r="R493" s="44" t="str">
        <f>VLOOKUP(F493,'Set up'!$A$2:$E$48,5,FALSE)</f>
        <v>Trsf</v>
      </c>
      <c r="S493" s="1" t="s">
        <v>580</v>
      </c>
    </row>
    <row r="494" spans="1:19" hidden="1" x14ac:dyDescent="0.3">
      <c r="A494" s="4">
        <v>44561</v>
      </c>
      <c r="B494" s="5">
        <f t="shared" si="91"/>
        <v>12</v>
      </c>
      <c r="C494" s="5">
        <f t="shared" si="92"/>
        <v>2021</v>
      </c>
      <c r="D494" s="5" t="s">
        <v>537</v>
      </c>
      <c r="E494" s="5" t="str">
        <f>VLOOKUP(F494,'Set up'!$A$2:$C$48,2,FALSE)</f>
        <v>C00000019</v>
      </c>
      <c r="F494" s="1" t="s">
        <v>401</v>
      </c>
      <c r="G494" s="11" t="s">
        <v>479</v>
      </c>
      <c r="H494" s="5">
        <v>1</v>
      </c>
      <c r="I494" s="5" t="str">
        <f>VLOOKUP(F494,'Set up'!$A$2:$C$48,3,FALSE)</f>
        <v>Cash</v>
      </c>
      <c r="J494" s="5">
        <f>VLOOKUP(F494,'Set up'!$A$2:$D$48,4,FALSE)</f>
        <v>0</v>
      </c>
      <c r="K494" s="4">
        <f t="shared" si="87"/>
        <v>44561</v>
      </c>
      <c r="L494" s="5">
        <f t="shared" si="88"/>
        <v>12</v>
      </c>
      <c r="M494" s="5">
        <f t="shared" si="89"/>
        <v>2021</v>
      </c>
      <c r="N494" s="6">
        <v>523.79999999999995</v>
      </c>
      <c r="O494" s="6">
        <f t="shared" si="90"/>
        <v>-523.79999999999995</v>
      </c>
      <c r="P494" s="6">
        <f t="shared" si="86"/>
        <v>0</v>
      </c>
      <c r="Q494" s="7">
        <f t="shared" si="82"/>
        <v>837681.85</v>
      </c>
      <c r="R494" s="44" t="str">
        <f>VLOOKUP(F494,'Set up'!$A$2:$E$48,5,FALSE)</f>
        <v>Trsf</v>
      </c>
      <c r="S494" s="1" t="s">
        <v>580</v>
      </c>
    </row>
    <row r="495" spans="1:19" ht="15" customHeight="1" x14ac:dyDescent="0.3">
      <c r="A495" s="4">
        <v>44564</v>
      </c>
      <c r="B495" s="5">
        <f t="shared" si="91"/>
        <v>1</v>
      </c>
      <c r="C495" s="5">
        <f t="shared" si="92"/>
        <v>2022</v>
      </c>
      <c r="D495" s="5" t="s">
        <v>547</v>
      </c>
      <c r="E495" s="5" t="str">
        <f>VLOOKUP(F495,'Set up'!$A$2:$C$48,2,FALSE)</f>
        <v>C00000020</v>
      </c>
      <c r="F495" s="1" t="s">
        <v>410</v>
      </c>
      <c r="G495" s="11" t="s">
        <v>546</v>
      </c>
      <c r="H495" s="5">
        <v>3</v>
      </c>
      <c r="I495" s="5" t="str">
        <f>VLOOKUP(F495,'Set up'!$A$2:$C$48,3,FALSE)</f>
        <v>Cash</v>
      </c>
      <c r="J495" s="5">
        <f>VLOOKUP(F495,'Set up'!$A$2:$D$48,4,FALSE)</f>
        <v>0</v>
      </c>
      <c r="K495" s="4">
        <f t="shared" si="87"/>
        <v>44564</v>
      </c>
      <c r="L495" s="5">
        <f t="shared" si="88"/>
        <v>1</v>
      </c>
      <c r="M495" s="5">
        <f t="shared" si="89"/>
        <v>2022</v>
      </c>
      <c r="N495" s="6">
        <v>6270</v>
      </c>
      <c r="O495" s="6">
        <f>-3350.3-2919.7</f>
        <v>-6270</v>
      </c>
      <c r="P495" s="6">
        <f t="shared" si="86"/>
        <v>0</v>
      </c>
      <c r="Q495" s="7">
        <f t="shared" si="82"/>
        <v>843951.85</v>
      </c>
      <c r="R495" s="44" t="str">
        <f>VLOOKUP(F495,'Set up'!$A$2:$E$48,5,FALSE)</f>
        <v>Trsf</v>
      </c>
      <c r="S495" s="1" t="s">
        <v>735</v>
      </c>
    </row>
    <row r="496" spans="1:19" x14ac:dyDescent="0.3">
      <c r="A496" s="4">
        <v>44564</v>
      </c>
      <c r="B496" s="5">
        <f t="shared" si="91"/>
        <v>1</v>
      </c>
      <c r="C496" s="5">
        <f t="shared" si="92"/>
        <v>2022</v>
      </c>
      <c r="D496" s="5" t="s">
        <v>547</v>
      </c>
      <c r="E496" s="5" t="str">
        <f>VLOOKUP(F496,'Set up'!$A$2:$C$48,2,FALSE)</f>
        <v>C00000020</v>
      </c>
      <c r="F496" s="1" t="s">
        <v>410</v>
      </c>
      <c r="G496" s="11" t="s">
        <v>534</v>
      </c>
      <c r="H496" s="5">
        <v>4</v>
      </c>
      <c r="I496" s="5" t="str">
        <f>VLOOKUP(F496,'Set up'!$A$2:$C$48,3,FALSE)</f>
        <v>Cash</v>
      </c>
      <c r="J496" s="5">
        <f>VLOOKUP(F496,'Set up'!$A$2:$D$48,4,FALSE)</f>
        <v>0</v>
      </c>
      <c r="K496" s="4">
        <f t="shared" si="87"/>
        <v>44564</v>
      </c>
      <c r="L496" s="5">
        <f t="shared" si="88"/>
        <v>1</v>
      </c>
      <c r="M496" s="5">
        <f t="shared" si="89"/>
        <v>2022</v>
      </c>
      <c r="N496" s="6">
        <v>1176</v>
      </c>
      <c r="O496" s="6">
        <f t="shared" ref="O496:O503" si="93">-N496</f>
        <v>-1176</v>
      </c>
      <c r="P496" s="6">
        <f t="shared" si="86"/>
        <v>0</v>
      </c>
      <c r="Q496" s="7">
        <f t="shared" si="82"/>
        <v>845127.85</v>
      </c>
      <c r="R496" s="44" t="str">
        <f>VLOOKUP(F496,'Set up'!$A$2:$E$48,5,FALSE)</f>
        <v>Trsf</v>
      </c>
      <c r="S496" s="1" t="s">
        <v>736</v>
      </c>
    </row>
    <row r="497" spans="1:19" x14ac:dyDescent="0.3">
      <c r="A497" s="4">
        <v>44564</v>
      </c>
      <c r="B497" s="5">
        <f t="shared" si="91"/>
        <v>1</v>
      </c>
      <c r="C497" s="5">
        <f t="shared" si="92"/>
        <v>2022</v>
      </c>
      <c r="D497" s="5" t="s">
        <v>547</v>
      </c>
      <c r="E497" s="5" t="str">
        <f>VLOOKUP(F497,'Set up'!$A$2:$C$48,2,FALSE)</f>
        <v>C00000020</v>
      </c>
      <c r="F497" s="1" t="s">
        <v>410</v>
      </c>
      <c r="G497" s="11" t="s">
        <v>535</v>
      </c>
      <c r="H497" s="5">
        <v>2</v>
      </c>
      <c r="I497" s="5" t="str">
        <f>VLOOKUP(F497,'Set up'!$A$2:$C$48,3,FALSE)</f>
        <v>Cash</v>
      </c>
      <c r="J497" s="5">
        <f>VLOOKUP(F497,'Set up'!$A$2:$D$48,4,FALSE)</f>
        <v>0</v>
      </c>
      <c r="K497" s="4">
        <f t="shared" si="87"/>
        <v>44564</v>
      </c>
      <c r="L497" s="5">
        <f t="shared" si="88"/>
        <v>1</v>
      </c>
      <c r="M497" s="5">
        <f t="shared" si="89"/>
        <v>2022</v>
      </c>
      <c r="N497" s="6">
        <v>702</v>
      </c>
      <c r="O497" s="6">
        <f t="shared" si="93"/>
        <v>-702</v>
      </c>
      <c r="P497" s="6">
        <f t="shared" si="86"/>
        <v>0</v>
      </c>
      <c r="Q497" s="7">
        <f t="shared" si="82"/>
        <v>845829.85</v>
      </c>
      <c r="R497" s="44" t="str">
        <f>VLOOKUP(F497,'Set up'!$A$2:$E$48,5,FALSE)</f>
        <v>Trsf</v>
      </c>
      <c r="S497" s="1" t="s">
        <v>736</v>
      </c>
    </row>
    <row r="498" spans="1:19" x14ac:dyDescent="0.3">
      <c r="A498" s="4">
        <v>44564</v>
      </c>
      <c r="B498" s="5">
        <f t="shared" si="91"/>
        <v>1</v>
      </c>
      <c r="C498" s="5">
        <f t="shared" si="92"/>
        <v>2022</v>
      </c>
      <c r="D498" s="5" t="s">
        <v>547</v>
      </c>
      <c r="E498" s="5" t="str">
        <f>VLOOKUP(F498,'Set up'!$A$2:$C$48,2,FALSE)</f>
        <v>C00000020</v>
      </c>
      <c r="F498" s="1" t="s">
        <v>410</v>
      </c>
      <c r="G498" s="11" t="s">
        <v>64</v>
      </c>
      <c r="H498" s="5">
        <v>2</v>
      </c>
      <c r="I498" s="5" t="str">
        <f>VLOOKUP(F498,'Set up'!$A$2:$C$48,3,FALSE)</f>
        <v>Cash</v>
      </c>
      <c r="J498" s="5">
        <f>VLOOKUP(F498,'Set up'!$A$2:$D$48,4,FALSE)</f>
        <v>0</v>
      </c>
      <c r="K498" s="4">
        <f t="shared" si="87"/>
        <v>44564</v>
      </c>
      <c r="L498" s="5">
        <f t="shared" si="88"/>
        <v>1</v>
      </c>
      <c r="M498" s="5">
        <f t="shared" si="89"/>
        <v>2022</v>
      </c>
      <c r="N498" s="6">
        <v>125</v>
      </c>
      <c r="O498" s="6">
        <f t="shared" si="93"/>
        <v>-125</v>
      </c>
      <c r="P498" s="6">
        <f t="shared" si="86"/>
        <v>0</v>
      </c>
      <c r="Q498" s="7">
        <f t="shared" si="82"/>
        <v>845954.85</v>
      </c>
      <c r="R498" s="44" t="str">
        <f>VLOOKUP(F498,'Set up'!$A$2:$E$48,5,FALSE)</f>
        <v>Trsf</v>
      </c>
      <c r="S498" s="1" t="s">
        <v>736</v>
      </c>
    </row>
    <row r="499" spans="1:19" hidden="1" x14ac:dyDescent="0.3">
      <c r="A499" s="4">
        <v>44567</v>
      </c>
      <c r="B499" s="5">
        <f t="shared" si="91"/>
        <v>1</v>
      </c>
      <c r="C499" s="5">
        <f t="shared" si="92"/>
        <v>2022</v>
      </c>
      <c r="D499" s="5" t="s">
        <v>548</v>
      </c>
      <c r="E499" s="5" t="str">
        <f>VLOOKUP(F499,'Set up'!$A$2:$C$48,2,FALSE)</f>
        <v>C00000019</v>
      </c>
      <c r="F499" s="1" t="s">
        <v>401</v>
      </c>
      <c r="G499" s="11" t="s">
        <v>616</v>
      </c>
      <c r="H499" s="5">
        <v>6</v>
      </c>
      <c r="I499" s="5" t="str">
        <f>VLOOKUP(F499,'Set up'!$A$2:$C$48,3,FALSE)</f>
        <v>Cash</v>
      </c>
      <c r="J499" s="5">
        <f>VLOOKUP(F499,'Set up'!$A$2:$D$48,4,FALSE)</f>
        <v>0</v>
      </c>
      <c r="K499" s="4">
        <f t="shared" si="87"/>
        <v>44567</v>
      </c>
      <c r="L499" s="5">
        <f t="shared" si="88"/>
        <v>1</v>
      </c>
      <c r="M499" s="5">
        <f t="shared" si="89"/>
        <v>2022</v>
      </c>
      <c r="N499" s="6">
        <v>360</v>
      </c>
      <c r="O499" s="6">
        <f t="shared" si="93"/>
        <v>-360</v>
      </c>
      <c r="P499" s="6">
        <f t="shared" si="86"/>
        <v>0</v>
      </c>
      <c r="Q499" s="7">
        <f t="shared" si="82"/>
        <v>846314.85</v>
      </c>
      <c r="R499" s="44" t="str">
        <f>VLOOKUP(F499,'Set up'!$A$2:$E$48,5,FALSE)</f>
        <v>Trsf</v>
      </c>
      <c r="S499" s="1" t="s">
        <v>581</v>
      </c>
    </row>
    <row r="500" spans="1:19" hidden="1" x14ac:dyDescent="0.3">
      <c r="A500" s="4">
        <v>44567</v>
      </c>
      <c r="B500" s="5">
        <f t="shared" si="91"/>
        <v>1</v>
      </c>
      <c r="C500" s="5">
        <f t="shared" si="92"/>
        <v>2022</v>
      </c>
      <c r="D500" s="5" t="s">
        <v>548</v>
      </c>
      <c r="E500" s="5" t="str">
        <f>VLOOKUP(F500,'Set up'!$A$2:$C$48,2,FALSE)</f>
        <v>C00000019</v>
      </c>
      <c r="F500" s="1" t="s">
        <v>401</v>
      </c>
      <c r="G500" s="11" t="s">
        <v>293</v>
      </c>
      <c r="H500" s="5">
        <v>2</v>
      </c>
      <c r="I500" s="5" t="str">
        <f>VLOOKUP(F500,'Set up'!$A$2:$C$48,3,FALSE)</f>
        <v>Cash</v>
      </c>
      <c r="J500" s="5">
        <f>VLOOKUP(F500,'Set up'!$A$2:$D$48,4,FALSE)</f>
        <v>0</v>
      </c>
      <c r="K500" s="4">
        <f t="shared" si="87"/>
        <v>44567</v>
      </c>
      <c r="L500" s="5">
        <f t="shared" si="88"/>
        <v>1</v>
      </c>
      <c r="M500" s="5">
        <f t="shared" si="89"/>
        <v>2022</v>
      </c>
      <c r="N500" s="6">
        <v>720</v>
      </c>
      <c r="O500" s="6">
        <f t="shared" si="93"/>
        <v>-720</v>
      </c>
      <c r="P500" s="6">
        <f t="shared" si="86"/>
        <v>0</v>
      </c>
      <c r="Q500" s="7">
        <f t="shared" si="82"/>
        <v>847034.85</v>
      </c>
      <c r="R500" s="44" t="str">
        <f>VLOOKUP(F500,'Set up'!$A$2:$E$48,5,FALSE)</f>
        <v>Trsf</v>
      </c>
      <c r="S500" s="1" t="s">
        <v>581</v>
      </c>
    </row>
    <row r="501" spans="1:19" x14ac:dyDescent="0.3">
      <c r="A501" s="4">
        <v>44568</v>
      </c>
      <c r="B501" s="5">
        <f t="shared" si="91"/>
        <v>1</v>
      </c>
      <c r="C501" s="5">
        <f t="shared" si="92"/>
        <v>2022</v>
      </c>
      <c r="D501" s="5" t="s">
        <v>549</v>
      </c>
      <c r="E501" s="5" t="str">
        <f>VLOOKUP(F501,'Set up'!$A$2:$C$48,2,FALSE)</f>
        <v>C00000020</v>
      </c>
      <c r="F501" s="1" t="s">
        <v>410</v>
      </c>
      <c r="G501" s="11" t="s">
        <v>534</v>
      </c>
      <c r="H501" s="5">
        <v>3</v>
      </c>
      <c r="I501" s="5" t="str">
        <f>VLOOKUP(F501,'Set up'!$A$2:$C$48,3,FALSE)</f>
        <v>Cash</v>
      </c>
      <c r="J501" s="5">
        <f>VLOOKUP(F501,'Set up'!$A$2:$D$48,4,FALSE)</f>
        <v>0</v>
      </c>
      <c r="K501" s="4">
        <f t="shared" si="87"/>
        <v>44568</v>
      </c>
      <c r="L501" s="5">
        <f t="shared" si="88"/>
        <v>1</v>
      </c>
      <c r="M501" s="5">
        <f t="shared" si="89"/>
        <v>2022</v>
      </c>
      <c r="N501" s="6">
        <v>882</v>
      </c>
      <c r="O501" s="6">
        <f t="shared" si="93"/>
        <v>-882</v>
      </c>
      <c r="P501" s="6">
        <f t="shared" si="86"/>
        <v>0</v>
      </c>
      <c r="Q501" s="7">
        <f t="shared" si="82"/>
        <v>847916.85</v>
      </c>
      <c r="R501" s="44" t="str">
        <f>VLOOKUP(F501,'Set up'!$A$2:$E$48,5,FALSE)</f>
        <v>Trsf</v>
      </c>
      <c r="S501" s="10" t="s">
        <v>577</v>
      </c>
    </row>
    <row r="502" spans="1:19" x14ac:dyDescent="0.3">
      <c r="A502" s="4">
        <v>44568</v>
      </c>
      <c r="B502" s="5">
        <f t="shared" si="91"/>
        <v>1</v>
      </c>
      <c r="C502" s="5">
        <f t="shared" si="92"/>
        <v>2022</v>
      </c>
      <c r="D502" s="5" t="s">
        <v>549</v>
      </c>
      <c r="E502" s="5" t="str">
        <f>VLOOKUP(F502,'Set up'!$A$2:$C$48,2,FALSE)</f>
        <v>C00000020</v>
      </c>
      <c r="F502" s="1" t="s">
        <v>410</v>
      </c>
      <c r="G502" s="11" t="s">
        <v>535</v>
      </c>
      <c r="H502" s="5">
        <v>1</v>
      </c>
      <c r="I502" s="5" t="str">
        <f>VLOOKUP(F502,'Set up'!$A$2:$C$48,3,FALSE)</f>
        <v>Cash</v>
      </c>
      <c r="J502" s="5">
        <f>VLOOKUP(F502,'Set up'!$A$2:$D$48,4,FALSE)</f>
        <v>0</v>
      </c>
      <c r="K502" s="4">
        <f t="shared" si="87"/>
        <v>44568</v>
      </c>
      <c r="L502" s="5">
        <f t="shared" si="88"/>
        <v>1</v>
      </c>
      <c r="M502" s="5">
        <f t="shared" si="89"/>
        <v>2022</v>
      </c>
      <c r="N502" s="6">
        <v>351</v>
      </c>
      <c r="O502" s="6">
        <f t="shared" si="93"/>
        <v>-351</v>
      </c>
      <c r="P502" s="6">
        <f t="shared" si="86"/>
        <v>0</v>
      </c>
      <c r="Q502" s="7">
        <f t="shared" si="82"/>
        <v>848267.85</v>
      </c>
      <c r="R502" s="44" t="str">
        <f>VLOOKUP(F502,'Set up'!$A$2:$E$48,5,FALSE)</f>
        <v>Trsf</v>
      </c>
      <c r="S502" s="10" t="s">
        <v>577</v>
      </c>
    </row>
    <row r="503" spans="1:19" x14ac:dyDescent="0.3">
      <c r="A503" s="4">
        <v>44569</v>
      </c>
      <c r="B503" s="5">
        <f t="shared" si="91"/>
        <v>1</v>
      </c>
      <c r="C503" s="5">
        <f t="shared" si="92"/>
        <v>2022</v>
      </c>
      <c r="D503" s="5" t="s">
        <v>550</v>
      </c>
      <c r="E503" s="5" t="str">
        <f>VLOOKUP(F503,'Set up'!$A$2:$C$48,2,FALSE)</f>
        <v>C00000020</v>
      </c>
      <c r="F503" s="1" t="s">
        <v>410</v>
      </c>
      <c r="G503" s="11" t="s">
        <v>546</v>
      </c>
      <c r="H503" s="5">
        <v>2</v>
      </c>
      <c r="I503" s="5" t="str">
        <f>VLOOKUP(F503,'Set up'!$A$2:$C$48,3,FALSE)</f>
        <v>Cash</v>
      </c>
      <c r="J503" s="5">
        <f>VLOOKUP(F503,'Set up'!$A$2:$D$48,4,FALSE)</f>
        <v>0</v>
      </c>
      <c r="K503" s="4">
        <f t="shared" si="87"/>
        <v>44569</v>
      </c>
      <c r="L503" s="5">
        <f t="shared" si="88"/>
        <v>1</v>
      </c>
      <c r="M503" s="5">
        <f t="shared" si="89"/>
        <v>2022</v>
      </c>
      <c r="N503" s="6">
        <v>4180</v>
      </c>
      <c r="O503" s="6">
        <f t="shared" si="93"/>
        <v>-4180</v>
      </c>
      <c r="P503" s="6">
        <f t="shared" si="86"/>
        <v>0</v>
      </c>
      <c r="Q503" s="7">
        <f t="shared" si="82"/>
        <v>852447.85</v>
      </c>
      <c r="R503" s="44" t="str">
        <f>VLOOKUP(F503,'Set up'!$A$2:$E$48,5,FALSE)</f>
        <v>Trsf</v>
      </c>
      <c r="S503" s="1" t="s">
        <v>736</v>
      </c>
    </row>
    <row r="504" spans="1:19" x14ac:dyDescent="0.3">
      <c r="A504" s="4">
        <v>44569</v>
      </c>
      <c r="B504" s="5">
        <f t="shared" si="91"/>
        <v>1</v>
      </c>
      <c r="C504" s="5">
        <f t="shared" si="92"/>
        <v>2022</v>
      </c>
      <c r="D504" s="5" t="s">
        <v>550</v>
      </c>
      <c r="E504" s="5" t="str">
        <f>VLOOKUP(F504,'Set up'!$A$2:$C$48,2,FALSE)</f>
        <v>C00000020</v>
      </c>
      <c r="F504" s="1" t="s">
        <v>410</v>
      </c>
      <c r="G504" s="11" t="s">
        <v>534</v>
      </c>
      <c r="H504" s="5">
        <v>7</v>
      </c>
      <c r="I504" s="5" t="str">
        <f>VLOOKUP(F504,'Set up'!$A$2:$C$48,3,FALSE)</f>
        <v>Cash</v>
      </c>
      <c r="J504" s="5">
        <f>VLOOKUP(F504,'Set up'!$A$2:$D$48,4,FALSE)</f>
        <v>0</v>
      </c>
      <c r="K504" s="4">
        <f t="shared" si="87"/>
        <v>44569</v>
      </c>
      <c r="L504" s="5">
        <f t="shared" si="88"/>
        <v>1</v>
      </c>
      <c r="M504" s="5">
        <f t="shared" si="89"/>
        <v>2022</v>
      </c>
      <c r="N504" s="6">
        <v>2058</v>
      </c>
      <c r="O504" s="6">
        <f>-897.3-1160.7</f>
        <v>-2058</v>
      </c>
      <c r="P504" s="6">
        <f t="shared" si="86"/>
        <v>0</v>
      </c>
      <c r="Q504" s="7">
        <f t="shared" si="82"/>
        <v>854505.85</v>
      </c>
      <c r="R504" s="44" t="str">
        <f>VLOOKUP(F504,'Set up'!$A$2:$E$48,5,FALSE)</f>
        <v>Trsf</v>
      </c>
      <c r="S504" s="1" t="s">
        <v>737</v>
      </c>
    </row>
    <row r="505" spans="1:19" x14ac:dyDescent="0.3">
      <c r="A505" s="4">
        <v>44569</v>
      </c>
      <c r="B505" s="5">
        <f t="shared" si="91"/>
        <v>1</v>
      </c>
      <c r="C505" s="5">
        <f t="shared" si="92"/>
        <v>2022</v>
      </c>
      <c r="D505" s="5" t="s">
        <v>550</v>
      </c>
      <c r="E505" s="5" t="str">
        <f>VLOOKUP(F505,'Set up'!$A$2:$C$48,2,FALSE)</f>
        <v>C00000020</v>
      </c>
      <c r="F505" s="1" t="s">
        <v>410</v>
      </c>
      <c r="G505" s="11" t="s">
        <v>259</v>
      </c>
      <c r="H505" s="5">
        <v>1</v>
      </c>
      <c r="I505" s="5" t="str">
        <f>VLOOKUP(F505,'Set up'!$A$2:$C$48,3,FALSE)</f>
        <v>Cash</v>
      </c>
      <c r="J505" s="5">
        <f>VLOOKUP(F505,'Set up'!$A$2:$D$48,4,FALSE)</f>
        <v>0</v>
      </c>
      <c r="K505" s="4">
        <f t="shared" si="87"/>
        <v>44569</v>
      </c>
      <c r="L505" s="5">
        <f t="shared" si="88"/>
        <v>1</v>
      </c>
      <c r="M505" s="5">
        <f t="shared" si="89"/>
        <v>2022</v>
      </c>
      <c r="N505" s="6">
        <v>312</v>
      </c>
      <c r="O505" s="6">
        <f>-N505</f>
        <v>-312</v>
      </c>
      <c r="P505" s="6">
        <f t="shared" si="86"/>
        <v>0</v>
      </c>
      <c r="Q505" s="7">
        <f t="shared" si="82"/>
        <v>854817.85</v>
      </c>
      <c r="R505" s="44" t="str">
        <f>VLOOKUP(F505,'Set up'!$A$2:$E$48,5,FALSE)</f>
        <v>Trsf</v>
      </c>
      <c r="S505" s="1" t="s">
        <v>738</v>
      </c>
    </row>
    <row r="506" spans="1:19" x14ac:dyDescent="0.3">
      <c r="A506" s="4">
        <v>44569</v>
      </c>
      <c r="B506" s="5">
        <f t="shared" si="91"/>
        <v>1</v>
      </c>
      <c r="C506" s="5">
        <f t="shared" si="92"/>
        <v>2022</v>
      </c>
      <c r="D506" s="5" t="s">
        <v>550</v>
      </c>
      <c r="E506" s="5" t="str">
        <f>VLOOKUP(F506,'Set up'!$A$2:$C$48,2,FALSE)</f>
        <v>C00000020</v>
      </c>
      <c r="F506" s="1" t="s">
        <v>410</v>
      </c>
      <c r="G506" s="11" t="s">
        <v>535</v>
      </c>
      <c r="H506" s="5">
        <v>2</v>
      </c>
      <c r="I506" s="5" t="str">
        <f>VLOOKUP(F506,'Set up'!$A$2:$C$48,3,FALSE)</f>
        <v>Cash</v>
      </c>
      <c r="J506" s="5">
        <f>VLOOKUP(F506,'Set up'!$A$2:$D$48,4,FALSE)</f>
        <v>0</v>
      </c>
      <c r="K506" s="4">
        <f t="shared" si="87"/>
        <v>44569</v>
      </c>
      <c r="L506" s="5">
        <f t="shared" si="88"/>
        <v>1</v>
      </c>
      <c r="M506" s="5">
        <f t="shared" si="89"/>
        <v>2022</v>
      </c>
      <c r="N506" s="6">
        <v>702</v>
      </c>
      <c r="O506" s="6">
        <f>-N506</f>
        <v>-702</v>
      </c>
      <c r="P506" s="6">
        <f t="shared" si="86"/>
        <v>0</v>
      </c>
      <c r="Q506" s="7">
        <f t="shared" si="82"/>
        <v>855519.85</v>
      </c>
      <c r="R506" s="44" t="str">
        <f>VLOOKUP(F506,'Set up'!$A$2:$E$48,5,FALSE)</f>
        <v>Trsf</v>
      </c>
      <c r="S506" s="1" t="s">
        <v>738</v>
      </c>
    </row>
    <row r="507" spans="1:19" x14ac:dyDescent="0.3">
      <c r="A507" s="4">
        <v>44569</v>
      </c>
      <c r="B507" s="5">
        <f t="shared" si="91"/>
        <v>1</v>
      </c>
      <c r="C507" s="5">
        <f t="shared" si="92"/>
        <v>2022</v>
      </c>
      <c r="D507" s="5" t="s">
        <v>550</v>
      </c>
      <c r="E507" s="5" t="str">
        <f>VLOOKUP(F507,'Set up'!$A$2:$C$48,2,FALSE)</f>
        <v>C00000020</v>
      </c>
      <c r="F507" s="1" t="s">
        <v>410</v>
      </c>
      <c r="G507" s="11" t="s">
        <v>64</v>
      </c>
      <c r="H507" s="5">
        <v>2</v>
      </c>
      <c r="I507" s="5" t="str">
        <f>VLOOKUP(F507,'Set up'!$A$2:$C$48,3,FALSE)</f>
        <v>Cash</v>
      </c>
      <c r="J507" s="5">
        <f>VLOOKUP(F507,'Set up'!$A$2:$D$48,4,FALSE)</f>
        <v>0</v>
      </c>
      <c r="K507" s="4">
        <f t="shared" si="87"/>
        <v>44569</v>
      </c>
      <c r="L507" s="5">
        <f t="shared" si="88"/>
        <v>1</v>
      </c>
      <c r="M507" s="5">
        <f t="shared" si="89"/>
        <v>2022</v>
      </c>
      <c r="N507" s="6">
        <v>125</v>
      </c>
      <c r="O507" s="6">
        <f>-N507</f>
        <v>-125</v>
      </c>
      <c r="P507" s="6">
        <f t="shared" si="86"/>
        <v>0</v>
      </c>
      <c r="Q507" s="7">
        <f t="shared" si="82"/>
        <v>855644.85</v>
      </c>
      <c r="R507" s="44" t="str">
        <f>VLOOKUP(F507,'Set up'!$A$2:$E$48,5,FALSE)</f>
        <v>Trsf</v>
      </c>
      <c r="S507" s="1" t="s">
        <v>738</v>
      </c>
    </row>
    <row r="508" spans="1:19" ht="124.8" hidden="1" x14ac:dyDescent="0.3">
      <c r="A508" s="4">
        <v>44571</v>
      </c>
      <c r="B508" s="5">
        <f t="shared" si="91"/>
        <v>1</v>
      </c>
      <c r="C508" s="5">
        <f t="shared" si="92"/>
        <v>2022</v>
      </c>
      <c r="D508" s="5" t="s">
        <v>551</v>
      </c>
      <c r="E508" s="5" t="str">
        <f>VLOOKUP(F508,'Set up'!$A$2:$C$48,2,FALSE)</f>
        <v>C00000003</v>
      </c>
      <c r="F508" s="1" t="s">
        <v>20</v>
      </c>
      <c r="G508" s="11" t="s">
        <v>546</v>
      </c>
      <c r="H508" s="5">
        <v>3</v>
      </c>
      <c r="I508" s="5">
        <f>VLOOKUP(F508,'Set up'!$A$2:$C$48,3,FALSE)</f>
        <v>45</v>
      </c>
      <c r="J508" s="5">
        <f>VLOOKUP(F508,'Set up'!$A$2:$D$48,4,FALSE)</f>
        <v>45</v>
      </c>
      <c r="K508" s="4">
        <f t="shared" si="87"/>
        <v>44616</v>
      </c>
      <c r="L508" s="5">
        <f t="shared" si="88"/>
        <v>2</v>
      </c>
      <c r="M508" s="5">
        <f t="shared" si="89"/>
        <v>2022</v>
      </c>
      <c r="N508" s="6">
        <v>6336</v>
      </c>
      <c r="O508" s="6">
        <f>-1800-1800-1935-801</f>
        <v>-6336</v>
      </c>
      <c r="P508" s="6">
        <f t="shared" si="86"/>
        <v>0</v>
      </c>
      <c r="Q508" s="7">
        <f t="shared" si="82"/>
        <v>861980.85</v>
      </c>
      <c r="R508" s="44" t="str">
        <f>VLOOKUP(F508,'Set up'!$A$2:$E$48,5,FALSE)</f>
        <v>PD Chq</v>
      </c>
      <c r="S508" s="40" t="s">
        <v>627</v>
      </c>
    </row>
    <row r="509" spans="1:19" hidden="1" x14ac:dyDescent="0.3">
      <c r="A509" s="4">
        <v>44571</v>
      </c>
      <c r="B509" s="5">
        <f t="shared" si="91"/>
        <v>1</v>
      </c>
      <c r="C509" s="5">
        <f t="shared" si="92"/>
        <v>2022</v>
      </c>
      <c r="D509" s="5" t="s">
        <v>551</v>
      </c>
      <c r="E509" s="5" t="str">
        <f>VLOOKUP(F509,'Set up'!$A$2:$C$48,2,FALSE)</f>
        <v>C00000003</v>
      </c>
      <c r="F509" s="1" t="s">
        <v>20</v>
      </c>
      <c r="G509" s="11" t="s">
        <v>552</v>
      </c>
      <c r="H509" s="5">
        <v>1</v>
      </c>
      <c r="I509" s="5">
        <f>VLOOKUP(F509,'Set up'!$A$2:$C$48,3,FALSE)</f>
        <v>45</v>
      </c>
      <c r="J509" s="5">
        <f>VLOOKUP(F509,'Set up'!$A$2:$D$48,4,FALSE)</f>
        <v>45</v>
      </c>
      <c r="K509" s="4">
        <f t="shared" si="87"/>
        <v>44616</v>
      </c>
      <c r="L509" s="5">
        <f t="shared" si="88"/>
        <v>2</v>
      </c>
      <c r="M509" s="5">
        <f t="shared" si="89"/>
        <v>2022</v>
      </c>
      <c r="N509" s="6">
        <v>309</v>
      </c>
      <c r="O509" s="6">
        <f t="shared" ref="O509:O519" si="94">-N509</f>
        <v>-309</v>
      </c>
      <c r="P509" s="6">
        <f t="shared" si="86"/>
        <v>0</v>
      </c>
      <c r="Q509" s="7">
        <f t="shared" si="82"/>
        <v>862289.85</v>
      </c>
      <c r="R509" s="44" t="str">
        <f>VLOOKUP(F509,'Set up'!$A$2:$E$48,5,FALSE)</f>
        <v>PD Chq</v>
      </c>
      <c r="S509" s="1" t="s">
        <v>628</v>
      </c>
    </row>
    <row r="510" spans="1:19" hidden="1" x14ac:dyDescent="0.3">
      <c r="A510" s="4">
        <v>44571</v>
      </c>
      <c r="B510" s="5">
        <f t="shared" si="91"/>
        <v>1</v>
      </c>
      <c r="C510" s="5">
        <f t="shared" si="92"/>
        <v>2022</v>
      </c>
      <c r="D510" s="5" t="s">
        <v>551</v>
      </c>
      <c r="E510" s="5" t="str">
        <f>VLOOKUP(F510,'Set up'!$A$2:$C$48,2,FALSE)</f>
        <v>C00000003</v>
      </c>
      <c r="F510" s="1" t="s">
        <v>20</v>
      </c>
      <c r="G510" s="11" t="s">
        <v>17</v>
      </c>
      <c r="H510" s="5">
        <v>6</v>
      </c>
      <c r="I510" s="5">
        <f>VLOOKUP(F510,'Set up'!$A$2:$C$48,3,FALSE)</f>
        <v>45</v>
      </c>
      <c r="J510" s="5">
        <f>VLOOKUP(F510,'Set up'!$A$2:$D$48,4,FALSE)</f>
        <v>45</v>
      </c>
      <c r="K510" s="4">
        <f t="shared" si="87"/>
        <v>44616</v>
      </c>
      <c r="L510" s="5">
        <f t="shared" si="88"/>
        <v>2</v>
      </c>
      <c r="M510" s="5">
        <f t="shared" si="89"/>
        <v>2022</v>
      </c>
      <c r="N510" s="6">
        <v>600</v>
      </c>
      <c r="O510" s="6">
        <f t="shared" si="94"/>
        <v>-600</v>
      </c>
      <c r="P510" s="6">
        <f t="shared" si="86"/>
        <v>0</v>
      </c>
      <c r="Q510" s="7">
        <f t="shared" si="82"/>
        <v>862889.85</v>
      </c>
      <c r="R510" s="44" t="str">
        <f>VLOOKUP(F510,'Set up'!$A$2:$E$48,5,FALSE)</f>
        <v>PD Chq</v>
      </c>
      <c r="S510" s="1" t="s">
        <v>629</v>
      </c>
    </row>
    <row r="511" spans="1:19" hidden="1" x14ac:dyDescent="0.3">
      <c r="A511" s="4">
        <v>44571</v>
      </c>
      <c r="B511" s="5">
        <f t="shared" si="91"/>
        <v>1</v>
      </c>
      <c r="C511" s="5">
        <f t="shared" si="92"/>
        <v>2022</v>
      </c>
      <c r="D511" s="5" t="s">
        <v>551</v>
      </c>
      <c r="E511" s="5" t="str">
        <f>VLOOKUP(F511,'Set up'!$A$2:$C$48,2,FALSE)</f>
        <v>C00000003</v>
      </c>
      <c r="F511" s="1" t="s">
        <v>20</v>
      </c>
      <c r="G511" s="11" t="s">
        <v>179</v>
      </c>
      <c r="H511" s="5">
        <v>2</v>
      </c>
      <c r="I511" s="5">
        <f>VLOOKUP(F511,'Set up'!$A$2:$C$48,3,FALSE)</f>
        <v>45</v>
      </c>
      <c r="J511" s="5">
        <f>VLOOKUP(F511,'Set up'!$A$2:$D$48,4,FALSE)</f>
        <v>45</v>
      </c>
      <c r="K511" s="4">
        <f t="shared" si="87"/>
        <v>44616</v>
      </c>
      <c r="L511" s="5">
        <f t="shared" si="88"/>
        <v>2</v>
      </c>
      <c r="M511" s="5">
        <f t="shared" si="89"/>
        <v>2022</v>
      </c>
      <c r="N511" s="6">
        <v>90</v>
      </c>
      <c r="O511" s="6">
        <f t="shared" si="94"/>
        <v>-90</v>
      </c>
      <c r="P511" s="6">
        <f t="shared" si="86"/>
        <v>0</v>
      </c>
      <c r="Q511" s="7">
        <f t="shared" si="82"/>
        <v>862979.85</v>
      </c>
      <c r="R511" s="44" t="str">
        <f>VLOOKUP(F511,'Set up'!$A$2:$E$48,5,FALSE)</f>
        <v>PD Chq</v>
      </c>
      <c r="S511" s="1" t="s">
        <v>630</v>
      </c>
    </row>
    <row r="512" spans="1:19" hidden="1" x14ac:dyDescent="0.3">
      <c r="A512" s="4">
        <v>44572</v>
      </c>
      <c r="B512" s="5">
        <f t="shared" si="91"/>
        <v>1</v>
      </c>
      <c r="C512" s="5">
        <f t="shared" si="92"/>
        <v>2022</v>
      </c>
      <c r="D512" s="5" t="s">
        <v>553</v>
      </c>
      <c r="E512" s="5" t="str">
        <f>VLOOKUP(F512,'Set up'!$A$2:$C$48,2,FALSE)</f>
        <v>C00000010</v>
      </c>
      <c r="F512" s="1" t="s">
        <v>62</v>
      </c>
      <c r="G512" s="11" t="s">
        <v>554</v>
      </c>
      <c r="H512" s="5">
        <v>4</v>
      </c>
      <c r="I512" s="5">
        <f>VLOOKUP(F512,'Set up'!$A$2:$C$48,3,FALSE)</f>
        <v>120</v>
      </c>
      <c r="J512" s="5">
        <f>VLOOKUP(F512,'Set up'!$A$2:$D$48,4,FALSE)</f>
        <v>120</v>
      </c>
      <c r="K512" s="4">
        <f t="shared" si="87"/>
        <v>44692</v>
      </c>
      <c r="L512" s="5">
        <f t="shared" si="88"/>
        <v>5</v>
      </c>
      <c r="M512" s="5">
        <f t="shared" si="89"/>
        <v>2022</v>
      </c>
      <c r="N512" s="6">
        <v>8096</v>
      </c>
      <c r="O512" s="6">
        <f t="shared" si="94"/>
        <v>-8096</v>
      </c>
      <c r="P512" s="6">
        <f t="shared" si="86"/>
        <v>0</v>
      </c>
      <c r="Q512" s="7">
        <f t="shared" si="82"/>
        <v>871075.85</v>
      </c>
      <c r="R512" s="44" t="str">
        <f>VLOOKUP(F512,'Set up'!$A$2:$E$48,5,FALSE)</f>
        <v>Trsf</v>
      </c>
      <c r="S512" s="1" t="s">
        <v>751</v>
      </c>
    </row>
    <row r="513" spans="1:19" hidden="1" x14ac:dyDescent="0.3">
      <c r="A513" s="4">
        <v>44572</v>
      </c>
      <c r="B513" s="5">
        <f t="shared" si="91"/>
        <v>1</v>
      </c>
      <c r="C513" s="5">
        <f t="shared" si="92"/>
        <v>2022</v>
      </c>
      <c r="D513" s="5" t="s">
        <v>553</v>
      </c>
      <c r="E513" s="5" t="str">
        <f>VLOOKUP(F513,'Set up'!$A$2:$C$48,2,FALSE)</f>
        <v>C00000010</v>
      </c>
      <c r="F513" s="1" t="s">
        <v>62</v>
      </c>
      <c r="G513" s="11" t="s">
        <v>555</v>
      </c>
      <c r="H513" s="5">
        <v>20</v>
      </c>
      <c r="I513" s="5">
        <f>VLOOKUP(F513,'Set up'!$A$2:$C$48,3,FALSE)</f>
        <v>120</v>
      </c>
      <c r="J513" s="5">
        <f>VLOOKUP(F513,'Set up'!$A$2:$D$48,4,FALSE)</f>
        <v>120</v>
      </c>
      <c r="K513" s="4">
        <f t="shared" si="87"/>
        <v>44692</v>
      </c>
      <c r="L513" s="5">
        <f t="shared" si="88"/>
        <v>5</v>
      </c>
      <c r="M513" s="5">
        <f t="shared" si="89"/>
        <v>2022</v>
      </c>
      <c r="N513" s="6">
        <v>5700</v>
      </c>
      <c r="O513" s="6">
        <f t="shared" si="94"/>
        <v>-5700</v>
      </c>
      <c r="P513" s="6">
        <f t="shared" si="86"/>
        <v>0</v>
      </c>
      <c r="Q513" s="7">
        <f t="shared" si="82"/>
        <v>876775.85</v>
      </c>
      <c r="R513" s="44" t="str">
        <f>VLOOKUP(F513,'Set up'!$A$2:$E$48,5,FALSE)</f>
        <v>Trsf</v>
      </c>
      <c r="S513" s="1" t="s">
        <v>751</v>
      </c>
    </row>
    <row r="514" spans="1:19" hidden="1" x14ac:dyDescent="0.3">
      <c r="A514" s="4">
        <v>44572</v>
      </c>
      <c r="B514" s="5">
        <f t="shared" si="91"/>
        <v>1</v>
      </c>
      <c r="C514" s="5">
        <f t="shared" si="92"/>
        <v>2022</v>
      </c>
      <c r="D514" s="5" t="s">
        <v>553</v>
      </c>
      <c r="E514" s="5" t="str">
        <f>VLOOKUP(F514,'Set up'!$A$2:$C$48,2,FALSE)</f>
        <v>C00000010</v>
      </c>
      <c r="F514" s="1" t="s">
        <v>62</v>
      </c>
      <c r="G514" s="11" t="s">
        <v>64</v>
      </c>
      <c r="H514" s="5">
        <v>10</v>
      </c>
      <c r="I514" s="5">
        <f>VLOOKUP(F514,'Set up'!$A$2:$C$48,3,FALSE)</f>
        <v>120</v>
      </c>
      <c r="J514" s="5">
        <f>VLOOKUP(F514,'Set up'!$A$2:$D$48,4,FALSE)</f>
        <v>120</v>
      </c>
      <c r="K514" s="4">
        <f t="shared" si="87"/>
        <v>44692</v>
      </c>
      <c r="L514" s="5">
        <f t="shared" si="88"/>
        <v>5</v>
      </c>
      <c r="M514" s="5">
        <f t="shared" si="89"/>
        <v>2022</v>
      </c>
      <c r="N514" s="6">
        <v>550</v>
      </c>
      <c r="O514" s="6">
        <f t="shared" si="94"/>
        <v>-550</v>
      </c>
      <c r="P514" s="6">
        <f t="shared" si="86"/>
        <v>0</v>
      </c>
      <c r="Q514" s="7">
        <f t="shared" si="82"/>
        <v>877325.85</v>
      </c>
      <c r="R514" s="44" t="str">
        <f>VLOOKUP(F514,'Set up'!$A$2:$E$48,5,FALSE)</f>
        <v>Trsf</v>
      </c>
      <c r="S514" s="1" t="s">
        <v>751</v>
      </c>
    </row>
    <row r="515" spans="1:19" hidden="1" x14ac:dyDescent="0.3">
      <c r="A515" s="4">
        <v>44572</v>
      </c>
      <c r="B515" s="5">
        <f t="shared" si="91"/>
        <v>1</v>
      </c>
      <c r="C515" s="5">
        <f t="shared" si="92"/>
        <v>2022</v>
      </c>
      <c r="D515" s="5" t="s">
        <v>553</v>
      </c>
      <c r="E515" s="5" t="str">
        <f>VLOOKUP(F515,'Set up'!$A$2:$C$48,2,FALSE)</f>
        <v>C00000010</v>
      </c>
      <c r="F515" s="1" t="s">
        <v>62</v>
      </c>
      <c r="G515" s="11" t="s">
        <v>382</v>
      </c>
      <c r="H515" s="5">
        <v>4</v>
      </c>
      <c r="I515" s="5">
        <f>VLOOKUP(F515,'Set up'!$A$2:$C$48,3,FALSE)</f>
        <v>120</v>
      </c>
      <c r="J515" s="5">
        <f>VLOOKUP(F515,'Set up'!$A$2:$D$48,4,FALSE)</f>
        <v>120</v>
      </c>
      <c r="K515" s="4">
        <f t="shared" si="87"/>
        <v>44692</v>
      </c>
      <c r="L515" s="5">
        <f t="shared" si="88"/>
        <v>5</v>
      </c>
      <c r="M515" s="5">
        <f t="shared" si="89"/>
        <v>2022</v>
      </c>
      <c r="N515" s="6">
        <v>340</v>
      </c>
      <c r="O515" s="6">
        <f t="shared" si="94"/>
        <v>-340</v>
      </c>
      <c r="P515" s="6">
        <f t="shared" si="86"/>
        <v>0</v>
      </c>
      <c r="Q515" s="7">
        <f t="shared" ref="Q515:Q578" si="95">SUM(Q514+N515)</f>
        <v>877665.85</v>
      </c>
      <c r="R515" s="44" t="str">
        <f>VLOOKUP(F515,'Set up'!$A$2:$E$48,5,FALSE)</f>
        <v>Trsf</v>
      </c>
      <c r="S515" s="1" t="s">
        <v>751</v>
      </c>
    </row>
    <row r="516" spans="1:19" hidden="1" x14ac:dyDescent="0.3">
      <c r="A516" s="4">
        <v>44572</v>
      </c>
      <c r="B516" s="5">
        <f t="shared" si="91"/>
        <v>1</v>
      </c>
      <c r="C516" s="5">
        <f t="shared" si="92"/>
        <v>2022</v>
      </c>
      <c r="D516" s="5" t="s">
        <v>553</v>
      </c>
      <c r="E516" s="5" t="str">
        <f>VLOOKUP(F516,'Set up'!$A$2:$C$48,2,FALSE)</f>
        <v>C00000010</v>
      </c>
      <c r="F516" s="1" t="s">
        <v>62</v>
      </c>
      <c r="G516" s="11" t="s">
        <v>239</v>
      </c>
      <c r="H516" s="5">
        <v>1</v>
      </c>
      <c r="I516" s="5">
        <f>VLOOKUP(F516,'Set up'!$A$2:$C$48,3,FALSE)</f>
        <v>120</v>
      </c>
      <c r="J516" s="5">
        <f>VLOOKUP(F516,'Set up'!$A$2:$D$48,4,FALSE)</f>
        <v>120</v>
      </c>
      <c r="K516" s="4">
        <f t="shared" si="87"/>
        <v>44692</v>
      </c>
      <c r="L516" s="5">
        <f t="shared" si="88"/>
        <v>5</v>
      </c>
      <c r="M516" s="5">
        <f t="shared" si="89"/>
        <v>2022</v>
      </c>
      <c r="N516" s="6">
        <v>440</v>
      </c>
      <c r="O516" s="6">
        <f t="shared" si="94"/>
        <v>-440</v>
      </c>
      <c r="P516" s="6">
        <f t="shared" si="86"/>
        <v>0</v>
      </c>
      <c r="Q516" s="7">
        <f t="shared" si="95"/>
        <v>878105.85</v>
      </c>
      <c r="R516" s="44" t="str">
        <f>VLOOKUP(F516,'Set up'!$A$2:$E$48,5,FALSE)</f>
        <v>Trsf</v>
      </c>
      <c r="S516" s="1" t="s">
        <v>751</v>
      </c>
    </row>
    <row r="517" spans="1:19" hidden="1" x14ac:dyDescent="0.3">
      <c r="A517" s="4">
        <v>44572</v>
      </c>
      <c r="B517" s="5">
        <f t="shared" si="91"/>
        <v>1</v>
      </c>
      <c r="C517" s="5">
        <f t="shared" si="92"/>
        <v>2022</v>
      </c>
      <c r="D517" s="5" t="s">
        <v>553</v>
      </c>
      <c r="E517" s="5" t="str">
        <f>VLOOKUP(F517,'Set up'!$A$2:$C$48,2,FALSE)</f>
        <v>C00000010</v>
      </c>
      <c r="F517" s="1" t="s">
        <v>62</v>
      </c>
      <c r="G517" s="11" t="s">
        <v>297</v>
      </c>
      <c r="H517" s="5">
        <v>4</v>
      </c>
      <c r="I517" s="5">
        <f>VLOOKUP(F517,'Set up'!$A$2:$C$48,3,FALSE)</f>
        <v>120</v>
      </c>
      <c r="J517" s="5">
        <f>VLOOKUP(F517,'Set up'!$A$2:$D$48,4,FALSE)</f>
        <v>120</v>
      </c>
      <c r="K517" s="4">
        <f t="shared" si="87"/>
        <v>44692</v>
      </c>
      <c r="L517" s="5">
        <f t="shared" si="88"/>
        <v>5</v>
      </c>
      <c r="M517" s="5">
        <f t="shared" si="89"/>
        <v>2022</v>
      </c>
      <c r="N517" s="6">
        <v>220</v>
      </c>
      <c r="O517" s="6">
        <f t="shared" si="94"/>
        <v>-220</v>
      </c>
      <c r="P517" s="6">
        <f t="shared" si="86"/>
        <v>0</v>
      </c>
      <c r="Q517" s="7">
        <f t="shared" si="95"/>
        <v>878325.85</v>
      </c>
      <c r="R517" s="44" t="str">
        <f>VLOOKUP(F517,'Set up'!$A$2:$E$48,5,FALSE)</f>
        <v>Trsf</v>
      </c>
      <c r="S517" s="1" t="s">
        <v>751</v>
      </c>
    </row>
    <row r="518" spans="1:19" hidden="1" x14ac:dyDescent="0.3">
      <c r="A518" s="4">
        <v>44574</v>
      </c>
      <c r="B518" s="5">
        <f t="shared" si="91"/>
        <v>1</v>
      </c>
      <c r="C518" s="5">
        <f t="shared" si="92"/>
        <v>2022</v>
      </c>
      <c r="D518" s="5" t="s">
        <v>558</v>
      </c>
      <c r="E518" s="5" t="str">
        <f>VLOOKUP(F518,'Set up'!$A$2:$C$48,2,FALSE)</f>
        <v>C00000019</v>
      </c>
      <c r="F518" s="1" t="s">
        <v>401</v>
      </c>
      <c r="G518" s="11" t="s">
        <v>304</v>
      </c>
      <c r="H518" s="5">
        <v>2</v>
      </c>
      <c r="I518" s="5" t="str">
        <f>VLOOKUP(F518,'Set up'!$A$2:$C$48,3,FALSE)</f>
        <v>Cash</v>
      </c>
      <c r="J518" s="5">
        <f>VLOOKUP(F518,'Set up'!$A$2:$D$48,4,FALSE)</f>
        <v>0</v>
      </c>
      <c r="K518" s="4">
        <f t="shared" si="87"/>
        <v>44574</v>
      </c>
      <c r="L518" s="5">
        <f t="shared" si="88"/>
        <v>1</v>
      </c>
      <c r="M518" s="5">
        <f t="shared" si="89"/>
        <v>2022</v>
      </c>
      <c r="N518" s="6">
        <v>4136</v>
      </c>
      <c r="O518" s="6">
        <f t="shared" si="94"/>
        <v>-4136</v>
      </c>
      <c r="P518" s="6">
        <f t="shared" si="86"/>
        <v>0</v>
      </c>
      <c r="Q518" s="7">
        <f t="shared" si="95"/>
        <v>882461.85</v>
      </c>
      <c r="R518" s="44" t="str">
        <f>VLOOKUP(F518,'Set up'!$A$2:$E$48,5,FALSE)</f>
        <v>Trsf</v>
      </c>
      <c r="S518" s="1" t="s">
        <v>579</v>
      </c>
    </row>
    <row r="519" spans="1:19" hidden="1" x14ac:dyDescent="0.3">
      <c r="A519" s="4">
        <v>44574</v>
      </c>
      <c r="B519" s="5">
        <f t="shared" si="91"/>
        <v>1</v>
      </c>
      <c r="C519" s="5">
        <f t="shared" si="92"/>
        <v>2022</v>
      </c>
      <c r="D519" s="5" t="s">
        <v>558</v>
      </c>
      <c r="E519" s="5" t="str">
        <f>VLOOKUP(F519,'Set up'!$A$2:$C$48,2,FALSE)</f>
        <v>C00000019</v>
      </c>
      <c r="F519" s="1" t="s">
        <v>401</v>
      </c>
      <c r="G519" s="11" t="s">
        <v>479</v>
      </c>
      <c r="H519" s="5">
        <v>2</v>
      </c>
      <c r="I519" s="5" t="str">
        <f>VLOOKUP(F519,'Set up'!$A$2:$C$48,3,FALSE)</f>
        <v>Cash</v>
      </c>
      <c r="J519" s="5">
        <f>VLOOKUP(F519,'Set up'!$A$2:$D$48,4,FALSE)</f>
        <v>0</v>
      </c>
      <c r="K519" s="4">
        <f t="shared" si="87"/>
        <v>44574</v>
      </c>
      <c r="L519" s="5">
        <f t="shared" si="88"/>
        <v>1</v>
      </c>
      <c r="M519" s="5">
        <f t="shared" si="89"/>
        <v>2022</v>
      </c>
      <c r="N519" s="6">
        <v>1047.5999999999999</v>
      </c>
      <c r="O519" s="6">
        <f t="shared" si="94"/>
        <v>-1047.5999999999999</v>
      </c>
      <c r="P519" s="6">
        <f t="shared" si="86"/>
        <v>0</v>
      </c>
      <c r="Q519" s="7">
        <f t="shared" si="95"/>
        <v>883509.45</v>
      </c>
      <c r="R519" s="44" t="str">
        <f>VLOOKUP(F519,'Set up'!$A$2:$E$48,5,FALSE)</f>
        <v>Trsf</v>
      </c>
      <c r="S519" s="1" t="s">
        <v>579</v>
      </c>
    </row>
    <row r="520" spans="1:19" x14ac:dyDescent="0.3">
      <c r="A520" s="4">
        <v>44574</v>
      </c>
      <c r="B520" s="5">
        <f t="shared" si="91"/>
        <v>1</v>
      </c>
      <c r="C520" s="5">
        <f t="shared" si="92"/>
        <v>2022</v>
      </c>
      <c r="D520" s="5" t="s">
        <v>559</v>
      </c>
      <c r="E520" s="5" t="str">
        <f>VLOOKUP(F520,'Set up'!$A$2:$C$48,2,FALSE)</f>
        <v>C00000020</v>
      </c>
      <c r="F520" s="1" t="s">
        <v>410</v>
      </c>
      <c r="G520" s="11" t="s">
        <v>546</v>
      </c>
      <c r="H520" s="5">
        <v>8</v>
      </c>
      <c r="I520" s="5" t="str">
        <f>VLOOKUP(F520,'Set up'!$A$2:$C$48,3,FALSE)</f>
        <v>Cash</v>
      </c>
      <c r="J520" s="5">
        <f>VLOOKUP(F520,'Set up'!$A$2:$D$48,4,FALSE)</f>
        <v>0</v>
      </c>
      <c r="K520" s="4">
        <f t="shared" si="87"/>
        <v>44574</v>
      </c>
      <c r="L520" s="5">
        <f t="shared" si="88"/>
        <v>1</v>
      </c>
      <c r="M520" s="5">
        <f t="shared" si="89"/>
        <v>2022</v>
      </c>
      <c r="N520" s="6">
        <v>16720</v>
      </c>
      <c r="O520" s="6">
        <f>-1200.3-8000-7519.7</f>
        <v>-16720</v>
      </c>
      <c r="P520" s="6">
        <f t="shared" si="86"/>
        <v>0</v>
      </c>
      <c r="Q520" s="7">
        <f t="shared" si="95"/>
        <v>900229.45</v>
      </c>
      <c r="R520" s="44" t="str">
        <f>VLOOKUP(F520,'Set up'!$A$2:$E$48,5,FALSE)</f>
        <v>Trsf</v>
      </c>
      <c r="S520" s="1" t="s">
        <v>741</v>
      </c>
    </row>
    <row r="521" spans="1:19" x14ac:dyDescent="0.3">
      <c r="A521" s="4">
        <v>44574</v>
      </c>
      <c r="B521" s="5">
        <f t="shared" si="91"/>
        <v>1</v>
      </c>
      <c r="C521" s="5">
        <f t="shared" si="92"/>
        <v>2022</v>
      </c>
      <c r="D521" s="5" t="s">
        <v>559</v>
      </c>
      <c r="E521" s="5" t="str">
        <f>VLOOKUP(F521,'Set up'!$A$2:$C$48,2,FALSE)</f>
        <v>C00000020</v>
      </c>
      <c r="F521" s="1" t="s">
        <v>410</v>
      </c>
      <c r="G521" s="11" t="s">
        <v>556</v>
      </c>
      <c r="H521" s="5">
        <v>11</v>
      </c>
      <c r="I521" s="5" t="str">
        <f>VLOOKUP(F521,'Set up'!$A$2:$C$48,3,FALSE)</f>
        <v>Cash</v>
      </c>
      <c r="J521" s="5">
        <f>VLOOKUP(F521,'Set up'!$A$2:$D$48,4,FALSE)</f>
        <v>0</v>
      </c>
      <c r="K521" s="4">
        <f t="shared" si="87"/>
        <v>44574</v>
      </c>
      <c r="L521" s="5">
        <f t="shared" si="88"/>
        <v>1</v>
      </c>
      <c r="M521" s="5">
        <f t="shared" si="89"/>
        <v>2022</v>
      </c>
      <c r="N521" s="6">
        <v>6468</v>
      </c>
      <c r="O521" s="6">
        <f>-480.3-5987.7</f>
        <v>-6468</v>
      </c>
      <c r="P521" s="6">
        <f t="shared" si="86"/>
        <v>0</v>
      </c>
      <c r="Q521" s="7">
        <f t="shared" si="95"/>
        <v>906697.45</v>
      </c>
      <c r="R521" s="44" t="str">
        <f>VLOOKUP(F521,'Set up'!$A$2:$E$48,5,FALSE)</f>
        <v>Trsf</v>
      </c>
      <c r="S521" s="1" t="s">
        <v>742</v>
      </c>
    </row>
    <row r="522" spans="1:19" x14ac:dyDescent="0.3">
      <c r="A522" s="4">
        <v>44574</v>
      </c>
      <c r="B522" s="5">
        <f t="shared" si="91"/>
        <v>1</v>
      </c>
      <c r="C522" s="5">
        <f t="shared" si="92"/>
        <v>2022</v>
      </c>
      <c r="D522" s="5" t="s">
        <v>559</v>
      </c>
      <c r="E522" s="5" t="str">
        <f>VLOOKUP(F522,'Set up'!$A$2:$C$48,2,FALSE)</f>
        <v>C00000020</v>
      </c>
      <c r="F522" s="1" t="s">
        <v>410</v>
      </c>
      <c r="G522" s="11" t="s">
        <v>557</v>
      </c>
      <c r="H522" s="5">
        <v>11</v>
      </c>
      <c r="I522" s="5" t="str">
        <f>VLOOKUP(F522,'Set up'!$A$2:$C$48,3,FALSE)</f>
        <v>Cash</v>
      </c>
      <c r="J522" s="5">
        <f>VLOOKUP(F522,'Set up'!$A$2:$D$48,4,FALSE)</f>
        <v>0</v>
      </c>
      <c r="K522" s="4">
        <f t="shared" si="87"/>
        <v>44574</v>
      </c>
      <c r="L522" s="5">
        <f t="shared" si="88"/>
        <v>1</v>
      </c>
      <c r="M522" s="5">
        <f t="shared" si="89"/>
        <v>2022</v>
      </c>
      <c r="N522" s="6">
        <v>3861</v>
      </c>
      <c r="O522" s="6">
        <f>-2012.3-1848.7</f>
        <v>-3861</v>
      </c>
      <c r="P522" s="6">
        <f t="shared" si="86"/>
        <v>0</v>
      </c>
      <c r="Q522" s="7">
        <f t="shared" si="95"/>
        <v>910558.45</v>
      </c>
      <c r="R522" s="44" t="str">
        <f>VLOOKUP(F522,'Set up'!$A$2:$E$48,5,FALSE)</f>
        <v>Trsf</v>
      </c>
      <c r="S522" s="1" t="s">
        <v>820</v>
      </c>
    </row>
    <row r="523" spans="1:19" x14ac:dyDescent="0.3">
      <c r="A523" s="4">
        <v>44574</v>
      </c>
      <c r="B523" s="5">
        <f t="shared" si="91"/>
        <v>1</v>
      </c>
      <c r="C523" s="5">
        <f t="shared" si="92"/>
        <v>2022</v>
      </c>
      <c r="D523" s="5" t="s">
        <v>559</v>
      </c>
      <c r="E523" s="5" t="str">
        <f>VLOOKUP(F523,'Set up'!$A$2:$C$48,2,FALSE)</f>
        <v>C00000020</v>
      </c>
      <c r="F523" s="1" t="s">
        <v>410</v>
      </c>
      <c r="G523" s="11" t="s">
        <v>430</v>
      </c>
      <c r="H523" s="5">
        <v>1</v>
      </c>
      <c r="I523" s="5" t="str">
        <f>VLOOKUP(F523,'Set up'!$A$2:$C$48,3,FALSE)</f>
        <v>Cash</v>
      </c>
      <c r="J523" s="5">
        <f>VLOOKUP(F523,'Set up'!$A$2:$D$48,4,FALSE)</f>
        <v>0</v>
      </c>
      <c r="K523" s="4">
        <f t="shared" si="87"/>
        <v>44574</v>
      </c>
      <c r="L523" s="5">
        <f t="shared" si="88"/>
        <v>1</v>
      </c>
      <c r="M523" s="5">
        <f t="shared" si="89"/>
        <v>2022</v>
      </c>
      <c r="N523" s="6">
        <v>1000</v>
      </c>
      <c r="O523" s="6">
        <f t="shared" ref="O523:O547" si="96">-N523</f>
        <v>-1000</v>
      </c>
      <c r="P523" s="6">
        <f t="shared" si="86"/>
        <v>0</v>
      </c>
      <c r="Q523" s="7">
        <f t="shared" si="95"/>
        <v>911558.45</v>
      </c>
      <c r="R523" s="44" t="str">
        <f>VLOOKUP(F523,'Set up'!$A$2:$E$48,5,FALSE)</f>
        <v>Trsf</v>
      </c>
      <c r="S523" s="1" t="s">
        <v>819</v>
      </c>
    </row>
    <row r="524" spans="1:19" x14ac:dyDescent="0.3">
      <c r="A524" s="4">
        <v>44574</v>
      </c>
      <c r="B524" s="5">
        <f t="shared" si="91"/>
        <v>1</v>
      </c>
      <c r="C524" s="5">
        <f t="shared" si="92"/>
        <v>2022</v>
      </c>
      <c r="D524" s="5" t="s">
        <v>559</v>
      </c>
      <c r="E524" s="5" t="str">
        <f>VLOOKUP(F524,'Set up'!$A$2:$C$48,2,FALSE)</f>
        <v>C00000020</v>
      </c>
      <c r="F524" s="1" t="s">
        <v>410</v>
      </c>
      <c r="G524" s="11" t="s">
        <v>64</v>
      </c>
      <c r="H524" s="5">
        <v>8</v>
      </c>
      <c r="I524" s="5" t="str">
        <f>VLOOKUP(F524,'Set up'!$A$2:$C$48,3,FALSE)</f>
        <v>Cash</v>
      </c>
      <c r="J524" s="5">
        <f>VLOOKUP(F524,'Set up'!$A$2:$D$48,4,FALSE)</f>
        <v>0</v>
      </c>
      <c r="K524" s="4">
        <f t="shared" si="87"/>
        <v>44574</v>
      </c>
      <c r="L524" s="5">
        <f t="shared" si="88"/>
        <v>1</v>
      </c>
      <c r="M524" s="5">
        <f t="shared" si="89"/>
        <v>2022</v>
      </c>
      <c r="N524" s="6">
        <v>500</v>
      </c>
      <c r="O524" s="6">
        <f t="shared" si="96"/>
        <v>-500</v>
      </c>
      <c r="P524" s="6">
        <f t="shared" si="86"/>
        <v>0</v>
      </c>
      <c r="Q524" s="7">
        <f t="shared" si="95"/>
        <v>912058.45</v>
      </c>
      <c r="R524" s="44" t="str">
        <f>VLOOKUP(F524,'Set up'!$A$2:$E$48,5,FALSE)</f>
        <v>Trsf</v>
      </c>
      <c r="S524" s="1" t="s">
        <v>819</v>
      </c>
    </row>
    <row r="525" spans="1:19" hidden="1" x14ac:dyDescent="0.3">
      <c r="A525" s="4">
        <v>44575</v>
      </c>
      <c r="B525" s="5">
        <f t="shared" si="91"/>
        <v>1</v>
      </c>
      <c r="C525" s="5">
        <f t="shared" si="92"/>
        <v>2022</v>
      </c>
      <c r="D525" s="5" t="s">
        <v>560</v>
      </c>
      <c r="E525" s="5" t="str">
        <f>VLOOKUP(F525,'Set up'!$A$2:$C$48,2,FALSE)</f>
        <v>C00000004</v>
      </c>
      <c r="F525" s="1" t="s">
        <v>23</v>
      </c>
      <c r="G525" s="11" t="s">
        <v>561</v>
      </c>
      <c r="H525" s="5">
        <v>2</v>
      </c>
      <c r="I525" s="5">
        <f>VLOOKUP(F525,'Set up'!$A$2:$C$48,3,FALSE)</f>
        <v>120</v>
      </c>
      <c r="J525" s="5">
        <f>VLOOKUP(F525,'Set up'!$A$2:$D$48,4,FALSE)</f>
        <v>120</v>
      </c>
      <c r="K525" s="4">
        <f t="shared" si="87"/>
        <v>44695</v>
      </c>
      <c r="L525" s="5">
        <f t="shared" si="88"/>
        <v>5</v>
      </c>
      <c r="M525" s="5">
        <f t="shared" si="89"/>
        <v>2022</v>
      </c>
      <c r="N525" s="6">
        <v>4048</v>
      </c>
      <c r="O525" s="6">
        <f t="shared" si="96"/>
        <v>-4048</v>
      </c>
      <c r="P525" s="6">
        <f t="shared" si="86"/>
        <v>0</v>
      </c>
      <c r="Q525" s="7">
        <f t="shared" si="95"/>
        <v>916106.45</v>
      </c>
      <c r="R525" s="44" t="str">
        <f>VLOOKUP(F525,'Set up'!$A$2:$E$48,5,FALSE)</f>
        <v>Chq</v>
      </c>
      <c r="S525" s="1" t="s">
        <v>818</v>
      </c>
    </row>
    <row r="526" spans="1:19" hidden="1" x14ac:dyDescent="0.3">
      <c r="A526" s="4">
        <v>44575</v>
      </c>
      <c r="B526" s="5">
        <f t="shared" si="91"/>
        <v>1</v>
      </c>
      <c r="C526" s="5">
        <f t="shared" si="92"/>
        <v>2022</v>
      </c>
      <c r="D526" s="5" t="s">
        <v>560</v>
      </c>
      <c r="E526" s="5" t="str">
        <f>VLOOKUP(F526,'Set up'!$A$2:$C$48,2,FALSE)</f>
        <v>C00000004</v>
      </c>
      <c r="F526" s="1" t="s">
        <v>23</v>
      </c>
      <c r="G526" s="11" t="s">
        <v>556</v>
      </c>
      <c r="H526" s="5">
        <v>2</v>
      </c>
      <c r="I526" s="5">
        <f>VLOOKUP(F526,'Set up'!$A$2:$C$48,3,FALSE)</f>
        <v>120</v>
      </c>
      <c r="J526" s="5">
        <f>VLOOKUP(F526,'Set up'!$A$2:$D$48,4,FALSE)</f>
        <v>120</v>
      </c>
      <c r="K526" s="4">
        <f t="shared" si="87"/>
        <v>44695</v>
      </c>
      <c r="L526" s="5">
        <f t="shared" si="88"/>
        <v>5</v>
      </c>
      <c r="M526" s="5">
        <f t="shared" si="89"/>
        <v>2022</v>
      </c>
      <c r="N526" s="6">
        <v>1140</v>
      </c>
      <c r="O526" s="6">
        <f t="shared" si="96"/>
        <v>-1140</v>
      </c>
      <c r="P526" s="6">
        <f t="shared" si="86"/>
        <v>0</v>
      </c>
      <c r="Q526" s="7">
        <f t="shared" si="95"/>
        <v>917246.45</v>
      </c>
      <c r="R526" s="44" t="str">
        <f>VLOOKUP(F526,'Set up'!$A$2:$E$48,5,FALSE)</f>
        <v>Chq</v>
      </c>
      <c r="S526" s="1" t="s">
        <v>818</v>
      </c>
    </row>
    <row r="527" spans="1:19" hidden="1" x14ac:dyDescent="0.3">
      <c r="A527" s="4">
        <v>44575</v>
      </c>
      <c r="B527" s="5">
        <f t="shared" si="91"/>
        <v>1</v>
      </c>
      <c r="C527" s="5">
        <f t="shared" si="92"/>
        <v>2022</v>
      </c>
      <c r="D527" s="5" t="s">
        <v>560</v>
      </c>
      <c r="E527" s="5" t="str">
        <f>VLOOKUP(F527,'Set up'!$A$2:$C$48,2,FALSE)</f>
        <v>C00000004</v>
      </c>
      <c r="F527" s="1" t="s">
        <v>23</v>
      </c>
      <c r="G527" s="11" t="s">
        <v>239</v>
      </c>
      <c r="H527" s="5">
        <v>1</v>
      </c>
      <c r="I527" s="5">
        <f>VLOOKUP(F527,'Set up'!$A$2:$C$48,3,FALSE)</f>
        <v>120</v>
      </c>
      <c r="J527" s="5">
        <f>VLOOKUP(F527,'Set up'!$A$2:$D$48,4,FALSE)</f>
        <v>120</v>
      </c>
      <c r="K527" s="4">
        <f t="shared" si="87"/>
        <v>44695</v>
      </c>
      <c r="L527" s="5">
        <f t="shared" si="88"/>
        <v>5</v>
      </c>
      <c r="M527" s="5">
        <f t="shared" si="89"/>
        <v>2022</v>
      </c>
      <c r="N527" s="6">
        <v>450</v>
      </c>
      <c r="O527" s="6">
        <f t="shared" si="96"/>
        <v>-450</v>
      </c>
      <c r="P527" s="6">
        <f t="shared" si="86"/>
        <v>0</v>
      </c>
      <c r="Q527" s="7">
        <f t="shared" si="95"/>
        <v>917696.45</v>
      </c>
      <c r="R527" s="44" t="str">
        <f>VLOOKUP(F527,'Set up'!$A$2:$E$48,5,FALSE)</f>
        <v>Chq</v>
      </c>
      <c r="S527" s="1" t="s">
        <v>818</v>
      </c>
    </row>
    <row r="528" spans="1:19" hidden="1" x14ac:dyDescent="0.3">
      <c r="A528" s="4">
        <v>44575</v>
      </c>
      <c r="B528" s="5">
        <f t="shared" si="91"/>
        <v>1</v>
      </c>
      <c r="C528" s="5">
        <f t="shared" si="92"/>
        <v>2022</v>
      </c>
      <c r="D528" s="5" t="s">
        <v>560</v>
      </c>
      <c r="E528" s="5" t="str">
        <f>VLOOKUP(F528,'Set up'!$A$2:$C$48,2,FALSE)</f>
        <v>C00000004</v>
      </c>
      <c r="F528" s="1" t="s">
        <v>23</v>
      </c>
      <c r="G528" s="11" t="s">
        <v>382</v>
      </c>
      <c r="H528" s="5">
        <v>4</v>
      </c>
      <c r="I528" s="5">
        <f>VLOOKUP(F528,'Set up'!$A$2:$C$48,3,FALSE)</f>
        <v>120</v>
      </c>
      <c r="J528" s="5">
        <f>VLOOKUP(F528,'Set up'!$A$2:$D$48,4,FALSE)</f>
        <v>120</v>
      </c>
      <c r="K528" s="4">
        <f t="shared" si="87"/>
        <v>44695</v>
      </c>
      <c r="L528" s="5">
        <f t="shared" si="88"/>
        <v>5</v>
      </c>
      <c r="M528" s="5">
        <f t="shared" si="89"/>
        <v>2022</v>
      </c>
      <c r="N528" s="6">
        <v>340</v>
      </c>
      <c r="O528" s="6">
        <f t="shared" si="96"/>
        <v>-340</v>
      </c>
      <c r="P528" s="6">
        <f t="shared" si="86"/>
        <v>0</v>
      </c>
      <c r="Q528" s="7">
        <f t="shared" si="95"/>
        <v>918036.45</v>
      </c>
      <c r="R528" s="44" t="str">
        <f>VLOOKUP(F528,'Set up'!$A$2:$E$48,5,FALSE)</f>
        <v>Chq</v>
      </c>
      <c r="S528" s="1" t="s">
        <v>818</v>
      </c>
    </row>
    <row r="529" spans="1:19" hidden="1" x14ac:dyDescent="0.3">
      <c r="A529" s="4">
        <v>44575</v>
      </c>
      <c r="B529" s="5">
        <f t="shared" si="91"/>
        <v>1</v>
      </c>
      <c r="C529" s="5">
        <f t="shared" si="92"/>
        <v>2022</v>
      </c>
      <c r="D529" s="5" t="s">
        <v>560</v>
      </c>
      <c r="E529" s="5" t="str">
        <f>VLOOKUP(F529,'Set up'!$A$2:$C$48,2,FALSE)</f>
        <v>C00000004</v>
      </c>
      <c r="F529" s="1" t="s">
        <v>23</v>
      </c>
      <c r="G529" s="11" t="s">
        <v>44</v>
      </c>
      <c r="H529" s="5">
        <v>2</v>
      </c>
      <c r="I529" s="5">
        <f>VLOOKUP(F529,'Set up'!$A$2:$C$48,3,FALSE)</f>
        <v>120</v>
      </c>
      <c r="J529" s="5">
        <f>VLOOKUP(F529,'Set up'!$A$2:$D$48,4,FALSE)</f>
        <v>120</v>
      </c>
      <c r="K529" s="4">
        <f t="shared" si="87"/>
        <v>44695</v>
      </c>
      <c r="L529" s="5">
        <f t="shared" si="88"/>
        <v>5</v>
      </c>
      <c r="M529" s="5">
        <f t="shared" si="89"/>
        <v>2022</v>
      </c>
      <c r="N529" s="6">
        <v>540</v>
      </c>
      <c r="O529" s="6">
        <f t="shared" si="96"/>
        <v>-540</v>
      </c>
      <c r="P529" s="6">
        <f t="shared" si="86"/>
        <v>0</v>
      </c>
      <c r="Q529" s="7">
        <f t="shared" si="95"/>
        <v>918576.45</v>
      </c>
      <c r="R529" s="44" t="str">
        <f>VLOOKUP(F529,'Set up'!$A$2:$E$48,5,FALSE)</f>
        <v>Chq</v>
      </c>
      <c r="S529" s="1" t="s">
        <v>818</v>
      </c>
    </row>
    <row r="530" spans="1:19" hidden="1" x14ac:dyDescent="0.3">
      <c r="A530" s="4">
        <v>44575</v>
      </c>
      <c r="B530" s="5">
        <f t="shared" si="91"/>
        <v>1</v>
      </c>
      <c r="C530" s="5">
        <f t="shared" si="92"/>
        <v>2022</v>
      </c>
      <c r="D530" s="5" t="s">
        <v>560</v>
      </c>
      <c r="E530" s="5" t="str">
        <f>VLOOKUP(F530,'Set up'!$A$2:$C$48,2,FALSE)</f>
        <v>C00000004</v>
      </c>
      <c r="F530" s="1" t="s">
        <v>23</v>
      </c>
      <c r="G530" s="11" t="s">
        <v>552</v>
      </c>
      <c r="H530" s="5">
        <v>1</v>
      </c>
      <c r="I530" s="5">
        <f>VLOOKUP(F530,'Set up'!$A$2:$C$48,3,FALSE)</f>
        <v>120</v>
      </c>
      <c r="J530" s="5">
        <f>VLOOKUP(F530,'Set up'!$A$2:$D$48,4,FALSE)</f>
        <v>120</v>
      </c>
      <c r="K530" s="4">
        <f t="shared" si="87"/>
        <v>44695</v>
      </c>
      <c r="L530" s="5">
        <f t="shared" si="88"/>
        <v>5</v>
      </c>
      <c r="M530" s="5">
        <f t="shared" si="89"/>
        <v>2022</v>
      </c>
      <c r="N530" s="6">
        <v>285</v>
      </c>
      <c r="O530" s="6">
        <f t="shared" si="96"/>
        <v>-285</v>
      </c>
      <c r="P530" s="6">
        <f t="shared" si="86"/>
        <v>0</v>
      </c>
      <c r="Q530" s="7">
        <f t="shared" si="95"/>
        <v>918861.45</v>
      </c>
      <c r="R530" s="44" t="str">
        <f>VLOOKUP(F530,'Set up'!$A$2:$E$48,5,FALSE)</f>
        <v>Chq</v>
      </c>
      <c r="S530" s="1" t="s">
        <v>818</v>
      </c>
    </row>
    <row r="531" spans="1:19" hidden="1" x14ac:dyDescent="0.3">
      <c r="A531" s="4">
        <v>44575</v>
      </c>
      <c r="B531" s="5">
        <f t="shared" si="91"/>
        <v>1</v>
      </c>
      <c r="C531" s="5">
        <f t="shared" si="92"/>
        <v>2022</v>
      </c>
      <c r="D531" s="5" t="s">
        <v>562</v>
      </c>
      <c r="E531" s="5" t="str">
        <f>VLOOKUP(F531,'Set up'!$A$2:$C$48,2,FALSE)</f>
        <v>C00000004</v>
      </c>
      <c r="F531" s="1" t="s">
        <v>23</v>
      </c>
      <c r="G531" s="11" t="s">
        <v>552</v>
      </c>
      <c r="H531" s="5">
        <v>4</v>
      </c>
      <c r="I531" s="5">
        <f>VLOOKUP(F531,'Set up'!$A$2:$C$48,3,FALSE)</f>
        <v>120</v>
      </c>
      <c r="J531" s="5">
        <f>VLOOKUP(F531,'Set up'!$A$2:$D$48,4,FALSE)</f>
        <v>120</v>
      </c>
      <c r="K531" s="4">
        <f t="shared" si="87"/>
        <v>44695</v>
      </c>
      <c r="L531" s="5">
        <f t="shared" si="88"/>
        <v>5</v>
      </c>
      <c r="M531" s="5">
        <f t="shared" si="89"/>
        <v>2022</v>
      </c>
      <c r="N531" s="6">
        <v>1140</v>
      </c>
      <c r="O531" s="6">
        <f t="shared" si="96"/>
        <v>-1140</v>
      </c>
      <c r="P531" s="6">
        <f t="shared" si="86"/>
        <v>0</v>
      </c>
      <c r="Q531" s="7">
        <f t="shared" si="95"/>
        <v>920001.45</v>
      </c>
      <c r="R531" s="44" t="str">
        <f>VLOOKUP(F531,'Set up'!$A$2:$E$48,5,FALSE)</f>
        <v>Chq</v>
      </c>
      <c r="S531" s="1" t="s">
        <v>818</v>
      </c>
    </row>
    <row r="532" spans="1:19" hidden="1" x14ac:dyDescent="0.3">
      <c r="A532" s="4">
        <v>44575</v>
      </c>
      <c r="B532" s="5">
        <f t="shared" si="91"/>
        <v>1</v>
      </c>
      <c r="C532" s="5">
        <f t="shared" si="92"/>
        <v>2022</v>
      </c>
      <c r="D532" s="5" t="s">
        <v>562</v>
      </c>
      <c r="E532" s="5" t="str">
        <f>VLOOKUP(F532,'Set up'!$A$2:$C$48,2,FALSE)</f>
        <v>C00000004</v>
      </c>
      <c r="F532" s="1" t="s">
        <v>23</v>
      </c>
      <c r="G532" s="11" t="s">
        <v>64</v>
      </c>
      <c r="H532" s="5">
        <v>1</v>
      </c>
      <c r="I532" s="5">
        <f>VLOOKUP(F532,'Set up'!$A$2:$C$48,3,FALSE)</f>
        <v>120</v>
      </c>
      <c r="J532" s="5">
        <f>VLOOKUP(F532,'Set up'!$A$2:$D$48,4,FALSE)</f>
        <v>120</v>
      </c>
      <c r="K532" s="4">
        <f t="shared" si="87"/>
        <v>44695</v>
      </c>
      <c r="L532" s="5">
        <f t="shared" si="88"/>
        <v>5</v>
      </c>
      <c r="M532" s="5">
        <f t="shared" si="89"/>
        <v>2022</v>
      </c>
      <c r="N532" s="6">
        <v>62.5</v>
      </c>
      <c r="O532" s="6">
        <f t="shared" si="96"/>
        <v>-62.5</v>
      </c>
      <c r="P532" s="6">
        <f t="shared" si="86"/>
        <v>0</v>
      </c>
      <c r="Q532" s="7">
        <f t="shared" si="95"/>
        <v>920063.95</v>
      </c>
      <c r="R532" s="44" t="str">
        <f>VLOOKUP(F532,'Set up'!$A$2:$E$48,5,FALSE)</f>
        <v>Chq</v>
      </c>
      <c r="S532" s="1" t="s">
        <v>818</v>
      </c>
    </row>
    <row r="533" spans="1:19" hidden="1" x14ac:dyDescent="0.3">
      <c r="A533" s="4">
        <v>44578</v>
      </c>
      <c r="B533" s="5">
        <f t="shared" si="91"/>
        <v>1</v>
      </c>
      <c r="C533" s="5">
        <f t="shared" si="92"/>
        <v>2022</v>
      </c>
      <c r="D533" s="5" t="s">
        <v>563</v>
      </c>
      <c r="E533" s="5" t="str">
        <f>VLOOKUP(F533,'Set up'!$A$2:$C$48,2,FALSE)</f>
        <v>C00000004</v>
      </c>
      <c r="F533" s="1" t="s">
        <v>23</v>
      </c>
      <c r="G533" s="11" t="s">
        <v>95</v>
      </c>
      <c r="H533" s="5">
        <v>3</v>
      </c>
      <c r="I533" s="5">
        <f>VLOOKUP(F533,'Set up'!$A$2:$C$48,3,FALSE)</f>
        <v>120</v>
      </c>
      <c r="J533" s="5">
        <f>VLOOKUP(F533,'Set up'!$A$2:$D$48,4,FALSE)</f>
        <v>120</v>
      </c>
      <c r="K533" s="4">
        <f t="shared" si="87"/>
        <v>44698</v>
      </c>
      <c r="L533" s="5">
        <f t="shared" si="88"/>
        <v>5</v>
      </c>
      <c r="M533" s="5">
        <f t="shared" si="89"/>
        <v>2022</v>
      </c>
      <c r="N533" s="6">
        <v>6072</v>
      </c>
      <c r="O533" s="6">
        <f t="shared" si="96"/>
        <v>-6072</v>
      </c>
      <c r="P533" s="6">
        <f t="shared" ref="P533:P596" si="97">SUM(N533+O533)</f>
        <v>0</v>
      </c>
      <c r="Q533" s="7">
        <f t="shared" si="95"/>
        <v>926135.95</v>
      </c>
      <c r="R533" s="44" t="str">
        <f>VLOOKUP(F533,'Set up'!$A$2:$E$48,5,FALSE)</f>
        <v>Chq</v>
      </c>
      <c r="S533" s="1" t="s">
        <v>818</v>
      </c>
    </row>
    <row r="534" spans="1:19" hidden="1" x14ac:dyDescent="0.3">
      <c r="A534" s="4">
        <v>44578</v>
      </c>
      <c r="B534" s="5">
        <f t="shared" si="91"/>
        <v>1</v>
      </c>
      <c r="C534" s="5">
        <f t="shared" si="92"/>
        <v>2022</v>
      </c>
      <c r="D534" s="5" t="s">
        <v>563</v>
      </c>
      <c r="E534" s="5" t="str">
        <f>VLOOKUP(F534,'Set up'!$A$2:$C$48,2,FALSE)</f>
        <v>C00000004</v>
      </c>
      <c r="F534" s="1" t="s">
        <v>23</v>
      </c>
      <c r="G534" s="11" t="s">
        <v>336</v>
      </c>
      <c r="H534" s="5">
        <v>1</v>
      </c>
      <c r="I534" s="5">
        <f>VLOOKUP(F534,'Set up'!$A$2:$C$48,3,FALSE)</f>
        <v>120</v>
      </c>
      <c r="J534" s="5">
        <f>VLOOKUP(F534,'Set up'!$A$2:$D$48,4,FALSE)</f>
        <v>120</v>
      </c>
      <c r="K534" s="4">
        <f t="shared" si="87"/>
        <v>44698</v>
      </c>
      <c r="L534" s="5">
        <f t="shared" si="88"/>
        <v>5</v>
      </c>
      <c r="M534" s="5">
        <f t="shared" si="89"/>
        <v>2022</v>
      </c>
      <c r="N534" s="6">
        <v>2024</v>
      </c>
      <c r="O534" s="6">
        <f t="shared" si="96"/>
        <v>-2024</v>
      </c>
      <c r="P534" s="6">
        <f t="shared" si="97"/>
        <v>0</v>
      </c>
      <c r="Q534" s="7">
        <f t="shared" si="95"/>
        <v>928159.95</v>
      </c>
      <c r="R534" s="44" t="str">
        <f>VLOOKUP(F534,'Set up'!$A$2:$E$48,5,FALSE)</f>
        <v>Chq</v>
      </c>
      <c r="S534" s="1" t="s">
        <v>818</v>
      </c>
    </row>
    <row r="535" spans="1:19" hidden="1" x14ac:dyDescent="0.3">
      <c r="A535" s="4">
        <v>44578</v>
      </c>
      <c r="B535" s="5">
        <f t="shared" si="91"/>
        <v>1</v>
      </c>
      <c r="C535" s="5">
        <f t="shared" si="92"/>
        <v>2022</v>
      </c>
      <c r="D535" s="5" t="s">
        <v>563</v>
      </c>
      <c r="E535" s="5" t="str">
        <f>VLOOKUP(F535,'Set up'!$A$2:$C$48,2,FALSE)</f>
        <v>C00000004</v>
      </c>
      <c r="F535" s="1" t="s">
        <v>23</v>
      </c>
      <c r="G535" s="11" t="s">
        <v>564</v>
      </c>
      <c r="H535" s="5">
        <v>1</v>
      </c>
      <c r="I535" s="5">
        <f>VLOOKUP(F535,'Set up'!$A$2:$C$48,3,FALSE)</f>
        <v>120</v>
      </c>
      <c r="J535" s="5">
        <f>VLOOKUP(F535,'Set up'!$A$2:$D$48,4,FALSE)</f>
        <v>120</v>
      </c>
      <c r="K535" s="4">
        <f t="shared" si="87"/>
        <v>44698</v>
      </c>
      <c r="L535" s="5">
        <f t="shared" si="88"/>
        <v>5</v>
      </c>
      <c r="M535" s="5">
        <f t="shared" si="89"/>
        <v>2022</v>
      </c>
      <c r="N535" s="6">
        <v>390</v>
      </c>
      <c r="O535" s="6">
        <f t="shared" si="96"/>
        <v>-390</v>
      </c>
      <c r="P535" s="6">
        <f t="shared" si="97"/>
        <v>0</v>
      </c>
      <c r="Q535" s="7">
        <f t="shared" si="95"/>
        <v>928549.95</v>
      </c>
      <c r="R535" s="44" t="str">
        <f>VLOOKUP(F535,'Set up'!$A$2:$E$48,5,FALSE)</f>
        <v>Chq</v>
      </c>
      <c r="S535" s="1" t="s">
        <v>818</v>
      </c>
    </row>
    <row r="536" spans="1:19" x14ac:dyDescent="0.3">
      <c r="A536" s="4">
        <v>44579</v>
      </c>
      <c r="B536" s="5">
        <f t="shared" si="91"/>
        <v>1</v>
      </c>
      <c r="C536" s="5">
        <f t="shared" si="92"/>
        <v>2022</v>
      </c>
      <c r="D536" s="5" t="s">
        <v>565</v>
      </c>
      <c r="E536" s="5" t="str">
        <f>VLOOKUP(F536,'Set up'!$A$2:$C$48,2,FALSE)</f>
        <v>C00000020</v>
      </c>
      <c r="F536" s="1" t="s">
        <v>410</v>
      </c>
      <c r="G536" s="11" t="s">
        <v>546</v>
      </c>
      <c r="H536" s="5">
        <v>3</v>
      </c>
      <c r="I536" s="5" t="str">
        <f>VLOOKUP(F536,'Set up'!$A$2:$C$48,3,FALSE)</f>
        <v>Cash</v>
      </c>
      <c r="J536" s="5">
        <f>VLOOKUP(F536,'Set up'!$A$2:$D$48,4,FALSE)</f>
        <v>0</v>
      </c>
      <c r="K536" s="4">
        <f t="shared" ref="K536:K599" si="98">A536+J536</f>
        <v>44579</v>
      </c>
      <c r="L536" s="5">
        <f t="shared" si="88"/>
        <v>1</v>
      </c>
      <c r="M536" s="5">
        <f t="shared" si="89"/>
        <v>2022</v>
      </c>
      <c r="N536" s="6">
        <v>6270</v>
      </c>
      <c r="O536" s="6">
        <f t="shared" si="96"/>
        <v>-6270</v>
      </c>
      <c r="P536" s="6">
        <f t="shared" si="97"/>
        <v>0</v>
      </c>
      <c r="Q536" s="7">
        <f t="shared" si="95"/>
        <v>934819.95</v>
      </c>
      <c r="R536" s="44" t="str">
        <f>VLOOKUP(F536,'Set up'!$A$2:$E$48,5,FALSE)</f>
        <v>Trsf</v>
      </c>
      <c r="S536" s="1" t="s">
        <v>819</v>
      </c>
    </row>
    <row r="537" spans="1:19" x14ac:dyDescent="0.3">
      <c r="A537" s="4">
        <v>44579</v>
      </c>
      <c r="B537" s="5">
        <f t="shared" si="91"/>
        <v>1</v>
      </c>
      <c r="C537" s="5">
        <f t="shared" si="92"/>
        <v>2022</v>
      </c>
      <c r="D537" s="5" t="s">
        <v>565</v>
      </c>
      <c r="E537" s="5" t="str">
        <f>VLOOKUP(F537,'Set up'!$A$2:$C$48,2,FALSE)</f>
        <v>C00000020</v>
      </c>
      <c r="F537" s="1" t="s">
        <v>410</v>
      </c>
      <c r="G537" s="11" t="s">
        <v>556</v>
      </c>
      <c r="H537" s="5">
        <v>4</v>
      </c>
      <c r="I537" s="5" t="str">
        <f>VLOOKUP(F537,'Set up'!$A$2:$C$48,3,FALSE)</f>
        <v>Cash</v>
      </c>
      <c r="J537" s="5">
        <f>VLOOKUP(F537,'Set up'!$A$2:$D$48,4,FALSE)</f>
        <v>0</v>
      </c>
      <c r="K537" s="4">
        <f t="shared" si="98"/>
        <v>44579</v>
      </c>
      <c r="L537" s="5">
        <f t="shared" si="88"/>
        <v>1</v>
      </c>
      <c r="M537" s="5">
        <f t="shared" si="89"/>
        <v>2022</v>
      </c>
      <c r="N537" s="6">
        <v>2352</v>
      </c>
      <c r="O537" s="6">
        <f t="shared" si="96"/>
        <v>-2352</v>
      </c>
      <c r="P537" s="6">
        <f t="shared" si="97"/>
        <v>0</v>
      </c>
      <c r="Q537" s="7">
        <f t="shared" si="95"/>
        <v>937171.95</v>
      </c>
      <c r="R537" s="44" t="str">
        <f>VLOOKUP(F537,'Set up'!$A$2:$E$48,5,FALSE)</f>
        <v>Trsf</v>
      </c>
      <c r="S537" s="1" t="s">
        <v>819</v>
      </c>
    </row>
    <row r="538" spans="1:19" x14ac:dyDescent="0.3">
      <c r="A538" s="4">
        <v>44579</v>
      </c>
      <c r="B538" s="5">
        <f t="shared" si="91"/>
        <v>1</v>
      </c>
      <c r="C538" s="5">
        <f t="shared" si="92"/>
        <v>2022</v>
      </c>
      <c r="D538" s="5" t="s">
        <v>565</v>
      </c>
      <c r="E538" s="5" t="str">
        <f>VLOOKUP(F538,'Set up'!$A$2:$C$48,2,FALSE)</f>
        <v>C00000020</v>
      </c>
      <c r="F538" s="1" t="s">
        <v>410</v>
      </c>
      <c r="G538" s="11" t="s">
        <v>557</v>
      </c>
      <c r="H538" s="5">
        <v>5</v>
      </c>
      <c r="I538" s="5" t="str">
        <f>VLOOKUP(F538,'Set up'!$A$2:$C$48,3,FALSE)</f>
        <v>Cash</v>
      </c>
      <c r="J538" s="5">
        <f>VLOOKUP(F538,'Set up'!$A$2:$D$48,4,FALSE)</f>
        <v>0</v>
      </c>
      <c r="K538" s="4">
        <f t="shared" si="98"/>
        <v>44579</v>
      </c>
      <c r="L538" s="5">
        <f t="shared" si="88"/>
        <v>1</v>
      </c>
      <c r="M538" s="5">
        <f t="shared" si="89"/>
        <v>2022</v>
      </c>
      <c r="N538" s="6">
        <v>1755</v>
      </c>
      <c r="O538" s="6">
        <f t="shared" si="96"/>
        <v>-1755</v>
      </c>
      <c r="P538" s="6">
        <f t="shared" si="97"/>
        <v>0</v>
      </c>
      <c r="Q538" s="7">
        <f t="shared" si="95"/>
        <v>938926.95</v>
      </c>
      <c r="R538" s="44" t="str">
        <f>VLOOKUP(F538,'Set up'!$A$2:$E$48,5,FALSE)</f>
        <v>Trsf</v>
      </c>
      <c r="S538" s="1" t="s">
        <v>819</v>
      </c>
    </row>
    <row r="539" spans="1:19" x14ac:dyDescent="0.3">
      <c r="A539" s="4">
        <v>44579</v>
      </c>
      <c r="B539" s="5">
        <f t="shared" si="91"/>
        <v>1</v>
      </c>
      <c r="C539" s="5">
        <f t="shared" si="92"/>
        <v>2022</v>
      </c>
      <c r="D539" s="5" t="s">
        <v>565</v>
      </c>
      <c r="E539" s="5" t="str">
        <f>VLOOKUP(F539,'Set up'!$A$2:$C$48,2,FALSE)</f>
        <v>C00000020</v>
      </c>
      <c r="F539" s="1" t="s">
        <v>410</v>
      </c>
      <c r="G539" s="11" t="s">
        <v>430</v>
      </c>
      <c r="H539" s="5">
        <v>1</v>
      </c>
      <c r="I539" s="5" t="str">
        <f>VLOOKUP(F539,'Set up'!$A$2:$C$48,3,FALSE)</f>
        <v>Cash</v>
      </c>
      <c r="J539" s="5">
        <f>VLOOKUP(F539,'Set up'!$A$2:$D$48,4,FALSE)</f>
        <v>0</v>
      </c>
      <c r="K539" s="4">
        <f t="shared" si="98"/>
        <v>44579</v>
      </c>
      <c r="L539" s="5">
        <f t="shared" si="88"/>
        <v>1</v>
      </c>
      <c r="M539" s="5">
        <f t="shared" si="89"/>
        <v>2022</v>
      </c>
      <c r="N539" s="6">
        <v>1000</v>
      </c>
      <c r="O539" s="6">
        <f t="shared" si="96"/>
        <v>-1000</v>
      </c>
      <c r="P539" s="6">
        <f t="shared" si="97"/>
        <v>0</v>
      </c>
      <c r="Q539" s="7">
        <f t="shared" si="95"/>
        <v>939926.95</v>
      </c>
      <c r="R539" s="44" t="str">
        <f>VLOOKUP(F539,'Set up'!$A$2:$E$48,5,FALSE)</f>
        <v>Trsf</v>
      </c>
      <c r="S539" s="1" t="s">
        <v>819</v>
      </c>
    </row>
    <row r="540" spans="1:19" x14ac:dyDescent="0.3">
      <c r="A540" s="4">
        <v>44579</v>
      </c>
      <c r="B540" s="5">
        <f t="shared" si="91"/>
        <v>1</v>
      </c>
      <c r="C540" s="5">
        <f t="shared" si="92"/>
        <v>2022</v>
      </c>
      <c r="D540" s="5" t="s">
        <v>565</v>
      </c>
      <c r="E540" s="5" t="str">
        <f>VLOOKUP(F540,'Set up'!$A$2:$C$48,2,FALSE)</f>
        <v>C00000020</v>
      </c>
      <c r="F540" s="1" t="s">
        <v>410</v>
      </c>
      <c r="G540" s="11" t="s">
        <v>64</v>
      </c>
      <c r="H540" s="5">
        <v>2</v>
      </c>
      <c r="I540" s="5" t="str">
        <f>VLOOKUP(F540,'Set up'!$A$2:$C$48,3,FALSE)</f>
        <v>Cash</v>
      </c>
      <c r="J540" s="5">
        <f>VLOOKUP(F540,'Set up'!$A$2:$D$48,4,FALSE)</f>
        <v>0</v>
      </c>
      <c r="K540" s="4">
        <f t="shared" si="98"/>
        <v>44579</v>
      </c>
      <c r="L540" s="5">
        <f t="shared" si="88"/>
        <v>1</v>
      </c>
      <c r="M540" s="5">
        <f t="shared" si="89"/>
        <v>2022</v>
      </c>
      <c r="N540" s="6">
        <v>125</v>
      </c>
      <c r="O540" s="6">
        <f t="shared" si="96"/>
        <v>-125</v>
      </c>
      <c r="P540" s="6">
        <f t="shared" si="97"/>
        <v>0</v>
      </c>
      <c r="Q540" s="7">
        <f t="shared" si="95"/>
        <v>940051.95</v>
      </c>
      <c r="R540" s="44" t="str">
        <f>VLOOKUP(F540,'Set up'!$A$2:$E$48,5,FALSE)</f>
        <v>Trsf</v>
      </c>
      <c r="S540" s="1" t="s">
        <v>819</v>
      </c>
    </row>
    <row r="541" spans="1:19" hidden="1" x14ac:dyDescent="0.3">
      <c r="A541" s="4">
        <v>44583</v>
      </c>
      <c r="B541" s="5">
        <f t="shared" si="91"/>
        <v>1</v>
      </c>
      <c r="C541" s="5">
        <f t="shared" si="92"/>
        <v>2022</v>
      </c>
      <c r="D541" s="5" t="s">
        <v>566</v>
      </c>
      <c r="E541" s="5" t="str">
        <f>VLOOKUP(F541,'Set up'!$A$2:$C$48,2,FALSE)</f>
        <v>C00000019</v>
      </c>
      <c r="F541" s="1" t="s">
        <v>401</v>
      </c>
      <c r="G541" s="11" t="s">
        <v>561</v>
      </c>
      <c r="H541" s="5">
        <v>1</v>
      </c>
      <c r="I541" s="5" t="str">
        <f>VLOOKUP(F541,'Set up'!$A$2:$C$48,3,FALSE)</f>
        <v>Cash</v>
      </c>
      <c r="J541" s="5">
        <f>VLOOKUP(F541,'Set up'!$A$2:$D$48,4,FALSE)</f>
        <v>0</v>
      </c>
      <c r="K541" s="4">
        <f t="shared" si="98"/>
        <v>44583</v>
      </c>
      <c r="L541" s="5">
        <f t="shared" si="88"/>
        <v>1</v>
      </c>
      <c r="M541" s="5">
        <f t="shared" si="89"/>
        <v>2022</v>
      </c>
      <c r="N541" s="6">
        <v>2068</v>
      </c>
      <c r="O541" s="6">
        <f t="shared" si="96"/>
        <v>-2068</v>
      </c>
      <c r="P541" s="6">
        <f t="shared" si="97"/>
        <v>0</v>
      </c>
      <c r="Q541" s="7">
        <f t="shared" si="95"/>
        <v>942119.95</v>
      </c>
      <c r="R541" s="44" t="str">
        <f>VLOOKUP(F541,'Set up'!$A$2:$E$48,5,FALSE)</f>
        <v>Trsf</v>
      </c>
      <c r="S541" s="1" t="s">
        <v>583</v>
      </c>
    </row>
    <row r="542" spans="1:19" hidden="1" x14ac:dyDescent="0.3">
      <c r="A542" s="4">
        <v>44583</v>
      </c>
      <c r="B542" s="5">
        <f t="shared" si="91"/>
        <v>1</v>
      </c>
      <c r="C542" s="5">
        <f t="shared" si="92"/>
        <v>2022</v>
      </c>
      <c r="D542" s="5" t="s">
        <v>566</v>
      </c>
      <c r="E542" s="5" t="str">
        <f>VLOOKUP(F542,'Set up'!$A$2:$C$48,2,FALSE)</f>
        <v>C00000019</v>
      </c>
      <c r="F542" s="1" t="s">
        <v>401</v>
      </c>
      <c r="G542" s="11" t="s">
        <v>479</v>
      </c>
      <c r="H542" s="5">
        <v>1</v>
      </c>
      <c r="I542" s="5" t="str">
        <f>VLOOKUP(F542,'Set up'!$A$2:$C$48,3,FALSE)</f>
        <v>Cash</v>
      </c>
      <c r="J542" s="5">
        <f>VLOOKUP(F542,'Set up'!$A$2:$D$48,4,FALSE)</f>
        <v>0</v>
      </c>
      <c r="K542" s="4">
        <f t="shared" si="98"/>
        <v>44583</v>
      </c>
      <c r="L542" s="5">
        <f t="shared" si="88"/>
        <v>1</v>
      </c>
      <c r="M542" s="5">
        <f t="shared" si="89"/>
        <v>2022</v>
      </c>
      <c r="N542" s="6">
        <v>523.79999999999995</v>
      </c>
      <c r="O542" s="6">
        <f t="shared" si="96"/>
        <v>-523.79999999999995</v>
      </c>
      <c r="P542" s="6">
        <f t="shared" si="97"/>
        <v>0</v>
      </c>
      <c r="Q542" s="7">
        <f t="shared" si="95"/>
        <v>942643.75</v>
      </c>
      <c r="R542" s="44" t="str">
        <f>VLOOKUP(F542,'Set up'!$A$2:$E$48,5,FALSE)</f>
        <v>Trsf</v>
      </c>
      <c r="S542" s="1" t="s">
        <v>583</v>
      </c>
    </row>
    <row r="543" spans="1:19" hidden="1" x14ac:dyDescent="0.3">
      <c r="A543" s="4">
        <v>44583</v>
      </c>
      <c r="B543" s="5">
        <f t="shared" si="91"/>
        <v>1</v>
      </c>
      <c r="C543" s="5">
        <f t="shared" si="92"/>
        <v>2022</v>
      </c>
      <c r="D543" s="5" t="s">
        <v>566</v>
      </c>
      <c r="E543" s="5" t="str">
        <f>VLOOKUP(F543,'Set up'!$A$2:$C$48,2,FALSE)</f>
        <v>C00000019</v>
      </c>
      <c r="F543" s="1" t="s">
        <v>401</v>
      </c>
      <c r="G543" s="11" t="s">
        <v>567</v>
      </c>
      <c r="H543" s="5">
        <v>1</v>
      </c>
      <c r="I543" s="5" t="str">
        <f>VLOOKUP(F543,'Set up'!$A$2:$C$48,3,FALSE)</f>
        <v>Cash</v>
      </c>
      <c r="J543" s="5">
        <f>VLOOKUP(F543,'Set up'!$A$2:$D$48,4,FALSE)</f>
        <v>0</v>
      </c>
      <c r="K543" s="4">
        <f t="shared" si="98"/>
        <v>44583</v>
      </c>
      <c r="L543" s="5">
        <f t="shared" ref="L543:L606" si="99">MONTH(K543)</f>
        <v>1</v>
      </c>
      <c r="M543" s="5">
        <f t="shared" ref="M543:M606" si="100">YEAR(K543)</f>
        <v>2022</v>
      </c>
      <c r="N543" s="6">
        <v>105</v>
      </c>
      <c r="O543" s="6">
        <f t="shared" si="96"/>
        <v>-105</v>
      </c>
      <c r="P543" s="6">
        <f t="shared" si="97"/>
        <v>0</v>
      </c>
      <c r="Q543" s="7">
        <f t="shared" si="95"/>
        <v>942748.75</v>
      </c>
      <c r="R543" s="44" t="str">
        <f>VLOOKUP(F543,'Set up'!$A$2:$E$48,5,FALSE)</f>
        <v>Trsf</v>
      </c>
      <c r="S543" s="1" t="s">
        <v>583</v>
      </c>
    </row>
    <row r="544" spans="1:19" hidden="1" x14ac:dyDescent="0.3">
      <c r="A544" s="4">
        <v>44585</v>
      </c>
      <c r="B544" s="5">
        <f t="shared" si="91"/>
        <v>1</v>
      </c>
      <c r="C544" s="5">
        <f t="shared" si="92"/>
        <v>2022</v>
      </c>
      <c r="D544" s="5" t="s">
        <v>568</v>
      </c>
      <c r="E544" s="5" t="str">
        <f>VLOOKUP(F544,'Set up'!$A$2:$C$48,2,FALSE)</f>
        <v>C00000010</v>
      </c>
      <c r="F544" s="1" t="s">
        <v>62</v>
      </c>
      <c r="G544" s="11" t="s">
        <v>304</v>
      </c>
      <c r="H544" s="5">
        <v>6</v>
      </c>
      <c r="I544" s="5">
        <f>VLOOKUP(F544,'Set up'!$A$2:$C$48,3,FALSE)</f>
        <v>120</v>
      </c>
      <c r="J544" s="5">
        <f>VLOOKUP(F544,'Set up'!$A$2:$D$48,4,FALSE)</f>
        <v>120</v>
      </c>
      <c r="K544" s="4">
        <f t="shared" si="98"/>
        <v>44705</v>
      </c>
      <c r="L544" s="5">
        <f t="shared" si="99"/>
        <v>5</v>
      </c>
      <c r="M544" s="5">
        <f t="shared" si="100"/>
        <v>2022</v>
      </c>
      <c r="N544" s="6">
        <v>12144</v>
      </c>
      <c r="O544" s="6">
        <f t="shared" si="96"/>
        <v>-12144</v>
      </c>
      <c r="P544" s="6">
        <f t="shared" si="97"/>
        <v>0</v>
      </c>
      <c r="Q544" s="7">
        <f t="shared" si="95"/>
        <v>954892.75</v>
      </c>
      <c r="R544" s="44" t="str">
        <f>VLOOKUP(F544,'Set up'!$A$2:$E$48,5,FALSE)</f>
        <v>Trsf</v>
      </c>
      <c r="S544" s="1" t="s">
        <v>751</v>
      </c>
    </row>
    <row r="545" spans="1:19" hidden="1" x14ac:dyDescent="0.3">
      <c r="A545" s="4">
        <v>44585</v>
      </c>
      <c r="B545" s="5">
        <f t="shared" si="91"/>
        <v>1</v>
      </c>
      <c r="C545" s="5">
        <f t="shared" si="92"/>
        <v>2022</v>
      </c>
      <c r="D545" s="5" t="s">
        <v>568</v>
      </c>
      <c r="E545" s="5" t="str">
        <f>VLOOKUP(F545,'Set up'!$A$2:$C$48,2,FALSE)</f>
        <v>C00000010</v>
      </c>
      <c r="F545" s="1" t="s">
        <v>62</v>
      </c>
      <c r="G545" s="11" t="s">
        <v>64</v>
      </c>
      <c r="H545" s="5">
        <v>10</v>
      </c>
      <c r="I545" s="5">
        <f>VLOOKUP(F545,'Set up'!$A$2:$C$48,3,FALSE)</f>
        <v>120</v>
      </c>
      <c r="J545" s="5">
        <f>VLOOKUP(F545,'Set up'!$A$2:$D$48,4,FALSE)</f>
        <v>120</v>
      </c>
      <c r="K545" s="4">
        <f t="shared" si="98"/>
        <v>44705</v>
      </c>
      <c r="L545" s="5">
        <f t="shared" si="99"/>
        <v>5</v>
      </c>
      <c r="M545" s="5">
        <f t="shared" si="100"/>
        <v>2022</v>
      </c>
      <c r="N545" s="6">
        <v>550</v>
      </c>
      <c r="O545" s="6">
        <f t="shared" si="96"/>
        <v>-550</v>
      </c>
      <c r="P545" s="6">
        <f t="shared" si="97"/>
        <v>0</v>
      </c>
      <c r="Q545" s="7">
        <f t="shared" si="95"/>
        <v>955442.75</v>
      </c>
      <c r="R545" s="44" t="str">
        <f>VLOOKUP(F545,'Set up'!$A$2:$E$48,5,FALSE)</f>
        <v>Trsf</v>
      </c>
      <c r="S545" s="1" t="s">
        <v>751</v>
      </c>
    </row>
    <row r="546" spans="1:19" hidden="1" x14ac:dyDescent="0.3">
      <c r="A546" s="4">
        <v>44585</v>
      </c>
      <c r="B546" s="5">
        <f t="shared" si="91"/>
        <v>1</v>
      </c>
      <c r="C546" s="5">
        <f t="shared" si="92"/>
        <v>2022</v>
      </c>
      <c r="D546" s="5" t="s">
        <v>568</v>
      </c>
      <c r="E546" s="5" t="str">
        <f>VLOOKUP(F546,'Set up'!$A$2:$C$48,2,FALSE)</f>
        <v>C00000010</v>
      </c>
      <c r="F546" s="1" t="s">
        <v>62</v>
      </c>
      <c r="G546" s="11" t="s">
        <v>382</v>
      </c>
      <c r="H546" s="5">
        <v>4</v>
      </c>
      <c r="I546" s="5">
        <f>VLOOKUP(F546,'Set up'!$A$2:$C$48,3,FALSE)</f>
        <v>120</v>
      </c>
      <c r="J546" s="5">
        <f>VLOOKUP(F546,'Set up'!$A$2:$D$48,4,FALSE)</f>
        <v>120</v>
      </c>
      <c r="K546" s="4">
        <f t="shared" si="98"/>
        <v>44705</v>
      </c>
      <c r="L546" s="5">
        <f t="shared" si="99"/>
        <v>5</v>
      </c>
      <c r="M546" s="5">
        <f t="shared" si="100"/>
        <v>2022</v>
      </c>
      <c r="N546" s="6">
        <v>340</v>
      </c>
      <c r="O546" s="6">
        <f t="shared" si="96"/>
        <v>-340</v>
      </c>
      <c r="P546" s="6">
        <f t="shared" si="97"/>
        <v>0</v>
      </c>
      <c r="Q546" s="7">
        <f t="shared" si="95"/>
        <v>955782.75</v>
      </c>
      <c r="R546" s="44" t="str">
        <f>VLOOKUP(F546,'Set up'!$A$2:$E$48,5,FALSE)</f>
        <v>Trsf</v>
      </c>
      <c r="S546" s="1" t="s">
        <v>751</v>
      </c>
    </row>
    <row r="547" spans="1:19" hidden="1" x14ac:dyDescent="0.3">
      <c r="A547" s="4">
        <v>44585</v>
      </c>
      <c r="B547" s="5">
        <f t="shared" si="91"/>
        <v>1</v>
      </c>
      <c r="C547" s="5">
        <f t="shared" si="92"/>
        <v>2022</v>
      </c>
      <c r="D547" s="5" t="s">
        <v>568</v>
      </c>
      <c r="E547" s="5" t="str">
        <f>VLOOKUP(F547,'Set up'!$A$2:$C$48,2,FALSE)</f>
        <v>C00000010</v>
      </c>
      <c r="F547" s="1" t="s">
        <v>62</v>
      </c>
      <c r="G547" s="11" t="s">
        <v>239</v>
      </c>
      <c r="H547" s="5">
        <v>1</v>
      </c>
      <c r="I547" s="5">
        <f>VLOOKUP(F547,'Set up'!$A$2:$C$48,3,FALSE)</f>
        <v>120</v>
      </c>
      <c r="J547" s="5">
        <f>VLOOKUP(F547,'Set up'!$A$2:$D$48,4,FALSE)</f>
        <v>120</v>
      </c>
      <c r="K547" s="4">
        <f t="shared" si="98"/>
        <v>44705</v>
      </c>
      <c r="L547" s="5">
        <f t="shared" si="99"/>
        <v>5</v>
      </c>
      <c r="M547" s="5">
        <f t="shared" si="100"/>
        <v>2022</v>
      </c>
      <c r="N547" s="6">
        <v>440</v>
      </c>
      <c r="O547" s="6">
        <f t="shared" si="96"/>
        <v>-440</v>
      </c>
      <c r="P547" s="6">
        <f t="shared" si="97"/>
        <v>0</v>
      </c>
      <c r="Q547" s="7">
        <f t="shared" si="95"/>
        <v>956222.75</v>
      </c>
      <c r="R547" s="44" t="str">
        <f>VLOOKUP(F547,'Set up'!$A$2:$E$48,5,FALSE)</f>
        <v>Trsf</v>
      </c>
      <c r="S547" s="1" t="s">
        <v>751</v>
      </c>
    </row>
    <row r="548" spans="1:19" hidden="1" x14ac:dyDescent="0.3">
      <c r="A548" s="4">
        <v>44586</v>
      </c>
      <c r="B548" s="5">
        <f t="shared" si="91"/>
        <v>1</v>
      </c>
      <c r="C548" s="5">
        <f t="shared" si="92"/>
        <v>2022</v>
      </c>
      <c r="D548" s="5" t="s">
        <v>569</v>
      </c>
      <c r="E548" s="5" t="str">
        <f>VLOOKUP(F548,'Set up'!$A$2:$C$48,2,FALSE)</f>
        <v>C00000006</v>
      </c>
      <c r="F548" s="1" t="s">
        <v>43</v>
      </c>
      <c r="G548" s="11" t="s">
        <v>561</v>
      </c>
      <c r="H548" s="5">
        <v>1</v>
      </c>
      <c r="I548" s="5" t="str">
        <f>VLOOKUP(F548,'Set up'!$A$2:$C$48,3,FALSE)</f>
        <v>Cash</v>
      </c>
      <c r="J548" s="5">
        <f>VLOOKUP(F548,'Set up'!$A$2:$D$48,4,FALSE)</f>
        <v>0</v>
      </c>
      <c r="K548" s="4">
        <f t="shared" si="98"/>
        <v>44586</v>
      </c>
      <c r="L548" s="5">
        <f t="shared" si="99"/>
        <v>1</v>
      </c>
      <c r="M548" s="5">
        <f t="shared" si="100"/>
        <v>2022</v>
      </c>
      <c r="N548" s="6">
        <v>2024</v>
      </c>
      <c r="O548" s="6">
        <f>SUM(-N548)</f>
        <v>-2024</v>
      </c>
      <c r="P548" s="6">
        <f t="shared" si="97"/>
        <v>0</v>
      </c>
      <c r="Q548" s="7">
        <f t="shared" si="95"/>
        <v>958246.75</v>
      </c>
      <c r="R548" s="44" t="str">
        <f>VLOOKUP(F548,'Set up'!$A$2:$E$48,5,FALSE)</f>
        <v>Chq</v>
      </c>
      <c r="S548" s="1" t="s">
        <v>619</v>
      </c>
    </row>
    <row r="549" spans="1:19" hidden="1" x14ac:dyDescent="0.3">
      <c r="A549" s="4">
        <v>44586</v>
      </c>
      <c r="B549" s="5">
        <f t="shared" si="91"/>
        <v>1</v>
      </c>
      <c r="C549" s="5">
        <f t="shared" si="92"/>
        <v>2022</v>
      </c>
      <c r="D549" s="5" t="s">
        <v>569</v>
      </c>
      <c r="E549" s="5" t="str">
        <f>VLOOKUP(F549,'Set up'!$A$2:$C$48,2,FALSE)</f>
        <v>C00000006</v>
      </c>
      <c r="F549" s="1" t="s">
        <v>43</v>
      </c>
      <c r="G549" s="11" t="s">
        <v>552</v>
      </c>
      <c r="H549" s="5">
        <v>1</v>
      </c>
      <c r="I549" s="5" t="str">
        <f>VLOOKUP(F549,'Set up'!$A$2:$C$48,3,FALSE)</f>
        <v>Cash</v>
      </c>
      <c r="J549" s="5">
        <f>VLOOKUP(F549,'Set up'!$A$2:$D$48,4,FALSE)</f>
        <v>0</v>
      </c>
      <c r="K549" s="4">
        <f t="shared" si="98"/>
        <v>44586</v>
      </c>
      <c r="L549" s="5">
        <f t="shared" si="99"/>
        <v>1</v>
      </c>
      <c r="M549" s="5">
        <f t="shared" si="100"/>
        <v>2022</v>
      </c>
      <c r="N549" s="6">
        <v>285</v>
      </c>
      <c r="O549" s="6">
        <f>SUM(-N549)</f>
        <v>-285</v>
      </c>
      <c r="P549" s="6">
        <f t="shared" si="97"/>
        <v>0</v>
      </c>
      <c r="Q549" s="7">
        <f t="shared" si="95"/>
        <v>958531.75</v>
      </c>
      <c r="R549" s="44" t="str">
        <f>VLOOKUP(F549,'Set up'!$A$2:$E$48,5,FALSE)</f>
        <v>Chq</v>
      </c>
      <c r="S549" s="1" t="s">
        <v>619</v>
      </c>
    </row>
    <row r="550" spans="1:19" hidden="1" x14ac:dyDescent="0.3">
      <c r="A550" s="4">
        <v>44587</v>
      </c>
      <c r="B550" s="5">
        <f t="shared" si="91"/>
        <v>1</v>
      </c>
      <c r="C550" s="5">
        <f t="shared" si="92"/>
        <v>2022</v>
      </c>
      <c r="D550" s="5" t="s">
        <v>570</v>
      </c>
      <c r="E550" s="5" t="str">
        <f>VLOOKUP(F550,'Set up'!$A$2:$C$48,2,FALSE)</f>
        <v>C00000004</v>
      </c>
      <c r="F550" s="1" t="s">
        <v>23</v>
      </c>
      <c r="G550" s="11" t="s">
        <v>561</v>
      </c>
      <c r="H550" s="5">
        <v>5</v>
      </c>
      <c r="I550" s="5">
        <f>VLOOKUP(F550,'Set up'!$A$2:$C$48,3,FALSE)</f>
        <v>120</v>
      </c>
      <c r="J550" s="5">
        <f>VLOOKUP(F550,'Set up'!$A$2:$D$48,4,FALSE)</f>
        <v>120</v>
      </c>
      <c r="K550" s="4">
        <f t="shared" si="98"/>
        <v>44707</v>
      </c>
      <c r="L550" s="5">
        <f t="shared" si="99"/>
        <v>5</v>
      </c>
      <c r="M550" s="5">
        <f t="shared" si="100"/>
        <v>2022</v>
      </c>
      <c r="N550" s="6">
        <v>10120</v>
      </c>
      <c r="O550" s="6">
        <f t="shared" ref="O550:O566" si="101">-N550</f>
        <v>-10120</v>
      </c>
      <c r="P550" s="6">
        <f t="shared" si="97"/>
        <v>0</v>
      </c>
      <c r="Q550" s="7">
        <f t="shared" si="95"/>
        <v>968651.75</v>
      </c>
      <c r="R550" s="44" t="str">
        <f>VLOOKUP(F550,'Set up'!$A$2:$E$48,5,FALSE)</f>
        <v>Chq</v>
      </c>
      <c r="S550" s="1" t="s">
        <v>818</v>
      </c>
    </row>
    <row r="551" spans="1:19" hidden="1" x14ac:dyDescent="0.3">
      <c r="A551" s="4">
        <v>44587</v>
      </c>
      <c r="B551" s="5">
        <f t="shared" si="91"/>
        <v>1</v>
      </c>
      <c r="C551" s="5">
        <f t="shared" si="92"/>
        <v>2022</v>
      </c>
      <c r="D551" s="5" t="s">
        <v>570</v>
      </c>
      <c r="E551" s="5" t="str">
        <f>VLOOKUP(F551,'Set up'!$A$2:$C$48,2,FALSE)</f>
        <v>C00000004</v>
      </c>
      <c r="F551" s="1" t="s">
        <v>23</v>
      </c>
      <c r="G551" s="11" t="s">
        <v>571</v>
      </c>
      <c r="H551" s="5">
        <v>1</v>
      </c>
      <c r="I551" s="5">
        <f>VLOOKUP(F551,'Set up'!$A$2:$C$48,3,FALSE)</f>
        <v>120</v>
      </c>
      <c r="J551" s="5">
        <f>VLOOKUP(F551,'Set up'!$A$2:$D$48,4,FALSE)</f>
        <v>120</v>
      </c>
      <c r="K551" s="4">
        <f t="shared" si="98"/>
        <v>44707</v>
      </c>
      <c r="L551" s="5">
        <f t="shared" si="99"/>
        <v>5</v>
      </c>
      <c r="M551" s="5">
        <f t="shared" si="100"/>
        <v>2022</v>
      </c>
      <c r="N551" s="6">
        <v>2024</v>
      </c>
      <c r="O551" s="6">
        <f t="shared" si="101"/>
        <v>-2024</v>
      </c>
      <c r="P551" s="6">
        <f t="shared" si="97"/>
        <v>0</v>
      </c>
      <c r="Q551" s="7">
        <f t="shared" si="95"/>
        <v>970675.75</v>
      </c>
      <c r="R551" s="44" t="str">
        <f>VLOOKUP(F551,'Set up'!$A$2:$E$48,5,FALSE)</f>
        <v>Chq</v>
      </c>
      <c r="S551" s="1" t="s">
        <v>818</v>
      </c>
    </row>
    <row r="552" spans="1:19" hidden="1" x14ac:dyDescent="0.3">
      <c r="A552" s="4">
        <v>44587</v>
      </c>
      <c r="B552" s="5">
        <f t="shared" si="91"/>
        <v>1</v>
      </c>
      <c r="C552" s="5">
        <f t="shared" si="92"/>
        <v>2022</v>
      </c>
      <c r="D552" s="5" t="s">
        <v>570</v>
      </c>
      <c r="E552" s="5" t="str">
        <f>VLOOKUP(F552,'Set up'!$A$2:$C$48,2,FALSE)</f>
        <v>C00000004</v>
      </c>
      <c r="F552" s="1" t="s">
        <v>23</v>
      </c>
      <c r="G552" s="11" t="s">
        <v>552</v>
      </c>
      <c r="H552" s="5">
        <v>5</v>
      </c>
      <c r="I552" s="5">
        <f>VLOOKUP(F552,'Set up'!$A$2:$C$48,3,FALSE)</f>
        <v>120</v>
      </c>
      <c r="J552" s="5">
        <f>VLOOKUP(F552,'Set up'!$A$2:$D$48,4,FALSE)</f>
        <v>120</v>
      </c>
      <c r="K552" s="4">
        <f t="shared" si="98"/>
        <v>44707</v>
      </c>
      <c r="L552" s="5">
        <f t="shared" si="99"/>
        <v>5</v>
      </c>
      <c r="M552" s="5">
        <f t="shared" si="100"/>
        <v>2022</v>
      </c>
      <c r="N552" s="6">
        <v>1425</v>
      </c>
      <c r="O552" s="6">
        <f t="shared" si="101"/>
        <v>-1425</v>
      </c>
      <c r="P552" s="6">
        <f t="shared" si="97"/>
        <v>0</v>
      </c>
      <c r="Q552" s="7">
        <f t="shared" si="95"/>
        <v>972100.75</v>
      </c>
      <c r="R552" s="44" t="str">
        <f>VLOOKUP(F552,'Set up'!$A$2:$E$48,5,FALSE)</f>
        <v>Chq</v>
      </c>
      <c r="S552" s="1" t="s">
        <v>818</v>
      </c>
    </row>
    <row r="553" spans="1:19" hidden="1" x14ac:dyDescent="0.3">
      <c r="A553" s="4">
        <v>44587</v>
      </c>
      <c r="B553" s="5">
        <f t="shared" si="91"/>
        <v>1</v>
      </c>
      <c r="C553" s="5">
        <f t="shared" si="92"/>
        <v>2022</v>
      </c>
      <c r="D553" s="5" t="s">
        <v>570</v>
      </c>
      <c r="E553" s="5" t="str">
        <f>VLOOKUP(F553,'Set up'!$A$2:$C$48,2,FALSE)</f>
        <v>C00000004</v>
      </c>
      <c r="F553" s="1" t="s">
        <v>23</v>
      </c>
      <c r="G553" s="11" t="s">
        <v>479</v>
      </c>
      <c r="H553" s="5">
        <v>3</v>
      </c>
      <c r="I553" s="5">
        <f>VLOOKUP(F553,'Set up'!$A$2:$C$48,3,FALSE)</f>
        <v>120</v>
      </c>
      <c r="J553" s="5">
        <f>VLOOKUP(F553,'Set up'!$A$2:$D$48,4,FALSE)</f>
        <v>120</v>
      </c>
      <c r="K553" s="4">
        <f t="shared" si="98"/>
        <v>44707</v>
      </c>
      <c r="L553" s="5">
        <f t="shared" si="99"/>
        <v>5</v>
      </c>
      <c r="M553" s="5">
        <f t="shared" si="100"/>
        <v>2022</v>
      </c>
      <c r="N553" s="6">
        <v>1539</v>
      </c>
      <c r="O553" s="6">
        <f t="shared" si="101"/>
        <v>-1539</v>
      </c>
      <c r="P553" s="6">
        <f t="shared" si="97"/>
        <v>0</v>
      </c>
      <c r="Q553" s="7">
        <f t="shared" si="95"/>
        <v>973639.75</v>
      </c>
      <c r="R553" s="44" t="str">
        <f>VLOOKUP(F553,'Set up'!$A$2:$E$48,5,FALSE)</f>
        <v>Chq</v>
      </c>
      <c r="S553" s="1" t="s">
        <v>818</v>
      </c>
    </row>
    <row r="554" spans="1:19" hidden="1" x14ac:dyDescent="0.3">
      <c r="A554" s="4">
        <v>44602</v>
      </c>
      <c r="B554" s="5">
        <f t="shared" si="91"/>
        <v>2</v>
      </c>
      <c r="C554" s="5">
        <f t="shared" si="92"/>
        <v>2022</v>
      </c>
      <c r="D554" s="5" t="s">
        <v>602</v>
      </c>
      <c r="E554" s="5" t="str">
        <f>VLOOKUP(F554,'Set up'!$A$2:$C$48,2,FALSE)</f>
        <v>C00000019</v>
      </c>
      <c r="F554" s="1" t="s">
        <v>401</v>
      </c>
      <c r="G554" s="11" t="s">
        <v>561</v>
      </c>
      <c r="H554" s="5">
        <v>2</v>
      </c>
      <c r="I554" s="5" t="str">
        <f>VLOOKUP(F554,'Set up'!$A$2:$C$48,3,FALSE)</f>
        <v>Cash</v>
      </c>
      <c r="J554" s="5">
        <f>VLOOKUP(F554,'Set up'!$A$2:$D$48,4,FALSE)</f>
        <v>0</v>
      </c>
      <c r="K554" s="4">
        <f t="shared" si="98"/>
        <v>44602</v>
      </c>
      <c r="L554" s="5">
        <f t="shared" si="99"/>
        <v>2</v>
      </c>
      <c r="M554" s="5">
        <f t="shared" si="100"/>
        <v>2022</v>
      </c>
      <c r="N554" s="6">
        <v>4136</v>
      </c>
      <c r="O554" s="6">
        <f t="shared" si="101"/>
        <v>-4136</v>
      </c>
      <c r="P554" s="6">
        <f t="shared" si="97"/>
        <v>0</v>
      </c>
      <c r="Q554" s="7">
        <f t="shared" si="95"/>
        <v>977775.75</v>
      </c>
      <c r="R554" s="44" t="str">
        <f>VLOOKUP(F554,'Set up'!$A$2:$E$48,5,FALSE)</f>
        <v>Trsf</v>
      </c>
      <c r="S554" s="1" t="s">
        <v>620</v>
      </c>
    </row>
    <row r="555" spans="1:19" hidden="1" x14ac:dyDescent="0.3">
      <c r="A555" s="4">
        <v>44602</v>
      </c>
      <c r="B555" s="5">
        <f t="shared" si="91"/>
        <v>2</v>
      </c>
      <c r="C555" s="5">
        <f t="shared" si="92"/>
        <v>2022</v>
      </c>
      <c r="D555" s="5" t="s">
        <v>602</v>
      </c>
      <c r="E555" s="5" t="str">
        <f>VLOOKUP(F555,'Set up'!$A$2:$C$48,2,FALSE)</f>
        <v>C00000019</v>
      </c>
      <c r="F555" s="1" t="s">
        <v>401</v>
      </c>
      <c r="G555" s="11" t="s">
        <v>479</v>
      </c>
      <c r="H555" s="5">
        <v>3</v>
      </c>
      <c r="I555" s="5" t="str">
        <f>VLOOKUP(F555,'Set up'!$A$2:$C$48,3,FALSE)</f>
        <v>Cash</v>
      </c>
      <c r="J555" s="5">
        <f>VLOOKUP(F555,'Set up'!$A$2:$D$48,4,FALSE)</f>
        <v>0</v>
      </c>
      <c r="K555" s="4">
        <f t="shared" si="98"/>
        <v>44602</v>
      </c>
      <c r="L555" s="5">
        <f t="shared" si="99"/>
        <v>2</v>
      </c>
      <c r="M555" s="5">
        <f t="shared" si="100"/>
        <v>2022</v>
      </c>
      <c r="N555" s="6">
        <v>1571.4</v>
      </c>
      <c r="O555" s="6">
        <f t="shared" si="101"/>
        <v>-1571.4</v>
      </c>
      <c r="P555" s="6">
        <f t="shared" si="97"/>
        <v>0</v>
      </c>
      <c r="Q555" s="7">
        <f t="shared" si="95"/>
        <v>979347.15</v>
      </c>
      <c r="R555" s="44" t="str">
        <f>VLOOKUP(F555,'Set up'!$A$2:$E$48,5,FALSE)</f>
        <v>Trsf</v>
      </c>
      <c r="S555" s="1" t="s">
        <v>620</v>
      </c>
    </row>
    <row r="556" spans="1:19" hidden="1" x14ac:dyDescent="0.3">
      <c r="A556" s="4">
        <v>44602</v>
      </c>
      <c r="B556" s="5">
        <f t="shared" si="91"/>
        <v>2</v>
      </c>
      <c r="C556" s="5">
        <f t="shared" si="92"/>
        <v>2022</v>
      </c>
      <c r="D556" s="5" t="s">
        <v>602</v>
      </c>
      <c r="E556" s="5" t="str">
        <f>VLOOKUP(F556,'Set up'!$A$2:$C$48,2,FALSE)</f>
        <v>C00000019</v>
      </c>
      <c r="F556" s="1" t="s">
        <v>401</v>
      </c>
      <c r="G556" s="11" t="s">
        <v>17</v>
      </c>
      <c r="H556" s="5">
        <v>1</v>
      </c>
      <c r="I556" s="5" t="str">
        <f>VLOOKUP(F556,'Set up'!$A$2:$C$48,3,FALSE)</f>
        <v>Cash</v>
      </c>
      <c r="J556" s="5">
        <f>VLOOKUP(F556,'Set up'!$A$2:$D$48,4,FALSE)</f>
        <v>0</v>
      </c>
      <c r="K556" s="4">
        <f t="shared" si="98"/>
        <v>44602</v>
      </c>
      <c r="L556" s="5">
        <f t="shared" si="99"/>
        <v>2</v>
      </c>
      <c r="M556" s="5">
        <f t="shared" si="100"/>
        <v>2022</v>
      </c>
      <c r="N556" s="6">
        <v>105</v>
      </c>
      <c r="O556" s="6">
        <f t="shared" si="101"/>
        <v>-105</v>
      </c>
      <c r="P556" s="6">
        <f t="shared" si="97"/>
        <v>0</v>
      </c>
      <c r="Q556" s="7">
        <f t="shared" si="95"/>
        <v>979452.15</v>
      </c>
      <c r="R556" s="44" t="str">
        <f>VLOOKUP(F556,'Set up'!$A$2:$E$48,5,FALSE)</f>
        <v>Trsf</v>
      </c>
      <c r="S556" s="1" t="s">
        <v>620</v>
      </c>
    </row>
    <row r="557" spans="1:19" hidden="1" x14ac:dyDescent="0.3">
      <c r="A557" s="4">
        <v>44602</v>
      </c>
      <c r="B557" s="5">
        <f t="shared" ref="B557:B620" si="102">MONTH(A557)</f>
        <v>2</v>
      </c>
      <c r="C557" s="5">
        <f t="shared" ref="C557:C620" si="103">YEAR(A557)</f>
        <v>2022</v>
      </c>
      <c r="D557" s="5" t="s">
        <v>602</v>
      </c>
      <c r="E557" s="5" t="str">
        <f>VLOOKUP(F557,'Set up'!$A$2:$C$48,2,FALSE)</f>
        <v>C00000019</v>
      </c>
      <c r="F557" s="1" t="s">
        <v>401</v>
      </c>
      <c r="G557" s="11" t="s">
        <v>293</v>
      </c>
      <c r="H557" s="5">
        <v>2</v>
      </c>
      <c r="I557" s="5" t="str">
        <f>VLOOKUP(F557,'Set up'!$A$2:$C$48,3,FALSE)</f>
        <v>Cash</v>
      </c>
      <c r="J557" s="5">
        <f>VLOOKUP(F557,'Set up'!$A$2:$D$48,4,FALSE)</f>
        <v>0</v>
      </c>
      <c r="K557" s="4">
        <f t="shared" si="98"/>
        <v>44602</v>
      </c>
      <c r="L557" s="5">
        <f t="shared" si="99"/>
        <v>2</v>
      </c>
      <c r="M557" s="5">
        <f t="shared" si="100"/>
        <v>2022</v>
      </c>
      <c r="N557" s="6">
        <v>720</v>
      </c>
      <c r="O557" s="6">
        <f t="shared" si="101"/>
        <v>-720</v>
      </c>
      <c r="P557" s="6">
        <f t="shared" si="97"/>
        <v>0</v>
      </c>
      <c r="Q557" s="7">
        <f t="shared" si="95"/>
        <v>980172.15</v>
      </c>
      <c r="R557" s="44" t="str">
        <f>VLOOKUP(F557,'Set up'!$A$2:$E$48,5,FALSE)</f>
        <v>Trsf</v>
      </c>
      <c r="S557" s="1" t="s">
        <v>620</v>
      </c>
    </row>
    <row r="558" spans="1:19" hidden="1" x14ac:dyDescent="0.3">
      <c r="A558" s="4">
        <v>44607</v>
      </c>
      <c r="B558" s="5">
        <f t="shared" si="102"/>
        <v>2</v>
      </c>
      <c r="C558" s="5">
        <f t="shared" si="103"/>
        <v>2022</v>
      </c>
      <c r="D558" s="5" t="s">
        <v>603</v>
      </c>
      <c r="E558" s="5" t="str">
        <f>VLOOKUP(F558,'Set up'!$A$2:$C$48,2,FALSE)</f>
        <v>C00000004</v>
      </c>
      <c r="F558" s="1" t="s">
        <v>23</v>
      </c>
      <c r="G558" s="11" t="s">
        <v>382</v>
      </c>
      <c r="H558" s="5">
        <v>4</v>
      </c>
      <c r="I558" s="5">
        <f>VLOOKUP(F558,'Set up'!$A$2:$C$48,3,FALSE)</f>
        <v>120</v>
      </c>
      <c r="J558" s="5">
        <f>VLOOKUP(F558,'Set up'!$A$2:$D$48,4,FALSE)</f>
        <v>120</v>
      </c>
      <c r="K558" s="4">
        <f t="shared" si="98"/>
        <v>44727</v>
      </c>
      <c r="L558" s="5">
        <f t="shared" si="99"/>
        <v>6</v>
      </c>
      <c r="M558" s="5">
        <f t="shared" si="100"/>
        <v>2022</v>
      </c>
      <c r="N558" s="6">
        <v>340</v>
      </c>
      <c r="O558" s="6">
        <f t="shared" si="101"/>
        <v>-340</v>
      </c>
      <c r="P558" s="6">
        <f t="shared" si="97"/>
        <v>0</v>
      </c>
      <c r="Q558" s="7">
        <f t="shared" si="95"/>
        <v>980512.15</v>
      </c>
      <c r="R558" s="44" t="str">
        <f>VLOOKUP(F558,'Set up'!$A$2:$E$48,5,FALSE)</f>
        <v>Chq</v>
      </c>
      <c r="S558" s="1" t="s">
        <v>853</v>
      </c>
    </row>
    <row r="559" spans="1:19" hidden="1" x14ac:dyDescent="0.3">
      <c r="A559" s="4">
        <v>44607</v>
      </c>
      <c r="B559" s="5">
        <f t="shared" si="102"/>
        <v>2</v>
      </c>
      <c r="C559" s="5">
        <f t="shared" si="103"/>
        <v>2022</v>
      </c>
      <c r="D559" s="5" t="s">
        <v>603</v>
      </c>
      <c r="E559" s="5" t="str">
        <f>VLOOKUP(F559,'Set up'!$A$2:$C$48,2,FALSE)</f>
        <v>C00000004</v>
      </c>
      <c r="F559" s="1" t="s">
        <v>23</v>
      </c>
      <c r="G559" s="11" t="s">
        <v>552</v>
      </c>
      <c r="H559" s="5">
        <v>4</v>
      </c>
      <c r="I559" s="5">
        <f>VLOOKUP(F559,'Set up'!$A$2:$C$48,3,FALSE)</f>
        <v>120</v>
      </c>
      <c r="J559" s="5">
        <f>VLOOKUP(F559,'Set up'!$A$2:$D$48,4,FALSE)</f>
        <v>120</v>
      </c>
      <c r="K559" s="4">
        <f t="shared" si="98"/>
        <v>44727</v>
      </c>
      <c r="L559" s="5">
        <f t="shared" si="99"/>
        <v>6</v>
      </c>
      <c r="M559" s="5">
        <f t="shared" si="100"/>
        <v>2022</v>
      </c>
      <c r="N559" s="6">
        <v>1140</v>
      </c>
      <c r="O559" s="6">
        <f t="shared" si="101"/>
        <v>-1140</v>
      </c>
      <c r="P559" s="6">
        <f t="shared" si="97"/>
        <v>0</v>
      </c>
      <c r="Q559" s="7">
        <f t="shared" si="95"/>
        <v>981652.15</v>
      </c>
      <c r="R559" s="44" t="str">
        <f>VLOOKUP(F559,'Set up'!$A$2:$E$48,5,FALSE)</f>
        <v>Chq</v>
      </c>
      <c r="S559" s="1" t="s">
        <v>853</v>
      </c>
    </row>
    <row r="560" spans="1:19" hidden="1" x14ac:dyDescent="0.3">
      <c r="A560" s="4">
        <v>44609</v>
      </c>
      <c r="B560" s="5">
        <f t="shared" si="102"/>
        <v>2</v>
      </c>
      <c r="C560" s="5">
        <f t="shared" si="103"/>
        <v>2022</v>
      </c>
      <c r="D560" s="5" t="s">
        <v>604</v>
      </c>
      <c r="E560" s="5" t="str">
        <f>VLOOKUP(F560,'Set up'!$A$2:$C$48,2,FALSE)</f>
        <v>C00000010</v>
      </c>
      <c r="F560" s="1" t="s">
        <v>62</v>
      </c>
      <c r="G560" s="11" t="s">
        <v>554</v>
      </c>
      <c r="H560" s="5">
        <v>6</v>
      </c>
      <c r="I560" s="5">
        <f>VLOOKUP(F560,'Set up'!$A$2:$C$48,3,FALSE)</f>
        <v>120</v>
      </c>
      <c r="J560" s="5">
        <f>VLOOKUP(F560,'Set up'!$A$2:$D$48,4,FALSE)</f>
        <v>120</v>
      </c>
      <c r="K560" s="4">
        <f t="shared" si="98"/>
        <v>44729</v>
      </c>
      <c r="L560" s="5">
        <f t="shared" si="99"/>
        <v>6</v>
      </c>
      <c r="M560" s="5">
        <f t="shared" si="100"/>
        <v>2022</v>
      </c>
      <c r="N560" s="6">
        <v>11880</v>
      </c>
      <c r="O560" s="6">
        <f t="shared" si="101"/>
        <v>-11880</v>
      </c>
      <c r="P560" s="6">
        <f t="shared" si="97"/>
        <v>0</v>
      </c>
      <c r="Q560" s="7">
        <f t="shared" si="95"/>
        <v>993532.15</v>
      </c>
      <c r="R560" s="44" t="str">
        <f>VLOOKUP(F560,'Set up'!$A$2:$E$48,5,FALSE)</f>
        <v>Trsf</v>
      </c>
      <c r="S560" s="1" t="s">
        <v>814</v>
      </c>
    </row>
    <row r="561" spans="1:19" hidden="1" x14ac:dyDescent="0.3">
      <c r="A561" s="4">
        <v>44609</v>
      </c>
      <c r="B561" s="5">
        <f t="shared" si="102"/>
        <v>2</v>
      </c>
      <c r="C561" s="5">
        <f t="shared" si="103"/>
        <v>2022</v>
      </c>
      <c r="D561" s="5" t="s">
        <v>604</v>
      </c>
      <c r="E561" s="5" t="str">
        <f>VLOOKUP(F561,'Set up'!$A$2:$C$48,2,FALSE)</f>
        <v>C00000010</v>
      </c>
      <c r="F561" s="1" t="s">
        <v>62</v>
      </c>
      <c r="G561" s="11" t="s">
        <v>614</v>
      </c>
      <c r="H561" s="5">
        <v>5</v>
      </c>
      <c r="I561" s="5">
        <f>VLOOKUP(F561,'Set up'!$A$2:$C$48,3,FALSE)</f>
        <v>120</v>
      </c>
      <c r="J561" s="5">
        <f>VLOOKUP(F561,'Set up'!$A$2:$D$48,4,FALSE)</f>
        <v>120</v>
      </c>
      <c r="K561" s="4">
        <f t="shared" si="98"/>
        <v>44729</v>
      </c>
      <c r="L561" s="5">
        <f t="shared" si="99"/>
        <v>6</v>
      </c>
      <c r="M561" s="5">
        <f t="shared" si="100"/>
        <v>2022</v>
      </c>
      <c r="N561" s="6">
        <v>1425</v>
      </c>
      <c r="O561" s="6">
        <f t="shared" si="101"/>
        <v>-1425</v>
      </c>
      <c r="P561" s="6">
        <f t="shared" si="97"/>
        <v>0</v>
      </c>
      <c r="Q561" s="7">
        <f t="shared" si="95"/>
        <v>994957.15</v>
      </c>
      <c r="R561" s="44" t="str">
        <f>VLOOKUP(F561,'Set up'!$A$2:$E$48,5,FALSE)</f>
        <v>Trsf</v>
      </c>
      <c r="S561" s="1" t="s">
        <v>814</v>
      </c>
    </row>
    <row r="562" spans="1:19" hidden="1" x14ac:dyDescent="0.3">
      <c r="A562" s="4">
        <v>44609</v>
      </c>
      <c r="B562" s="5">
        <f t="shared" si="102"/>
        <v>2</v>
      </c>
      <c r="C562" s="5">
        <f t="shared" si="103"/>
        <v>2022</v>
      </c>
      <c r="D562" s="5" t="s">
        <v>604</v>
      </c>
      <c r="E562" s="5" t="str">
        <f>VLOOKUP(F562,'Set up'!$A$2:$C$48,2,FALSE)</f>
        <v>C00000010</v>
      </c>
      <c r="F562" s="1" t="s">
        <v>62</v>
      </c>
      <c r="G562" s="11" t="s">
        <v>64</v>
      </c>
      <c r="H562" s="5">
        <v>5</v>
      </c>
      <c r="I562" s="5">
        <f>VLOOKUP(F562,'Set up'!$A$2:$C$48,3,FALSE)</f>
        <v>120</v>
      </c>
      <c r="J562" s="5">
        <f>VLOOKUP(F562,'Set up'!$A$2:$D$48,4,FALSE)</f>
        <v>120</v>
      </c>
      <c r="K562" s="4">
        <f t="shared" si="98"/>
        <v>44729</v>
      </c>
      <c r="L562" s="5">
        <f t="shared" si="99"/>
        <v>6</v>
      </c>
      <c r="M562" s="5">
        <f t="shared" si="100"/>
        <v>2022</v>
      </c>
      <c r="N562" s="6">
        <v>275</v>
      </c>
      <c r="O562" s="6">
        <f t="shared" si="101"/>
        <v>-275</v>
      </c>
      <c r="P562" s="6">
        <f t="shared" si="97"/>
        <v>0</v>
      </c>
      <c r="Q562" s="7">
        <f t="shared" si="95"/>
        <v>995232.15</v>
      </c>
      <c r="R562" s="44" t="str">
        <f>VLOOKUP(F562,'Set up'!$A$2:$E$48,5,FALSE)</f>
        <v>Trsf</v>
      </c>
      <c r="S562" s="1" t="s">
        <v>814</v>
      </c>
    </row>
    <row r="563" spans="1:19" hidden="1" x14ac:dyDescent="0.3">
      <c r="A563" s="4">
        <v>44609</v>
      </c>
      <c r="B563" s="5">
        <f t="shared" si="102"/>
        <v>2</v>
      </c>
      <c r="C563" s="5">
        <f t="shared" si="103"/>
        <v>2022</v>
      </c>
      <c r="D563" s="5" t="s">
        <v>604</v>
      </c>
      <c r="E563" s="5" t="str">
        <f>VLOOKUP(F563,'Set up'!$A$2:$C$48,2,FALSE)</f>
        <v>C00000010</v>
      </c>
      <c r="F563" s="1" t="s">
        <v>62</v>
      </c>
      <c r="G563" s="11" t="s">
        <v>615</v>
      </c>
      <c r="H563" s="5">
        <v>1</v>
      </c>
      <c r="I563" s="5">
        <f>VLOOKUP(F563,'Set up'!$A$2:$C$48,3,FALSE)</f>
        <v>120</v>
      </c>
      <c r="J563" s="5">
        <f>VLOOKUP(F563,'Set up'!$A$2:$D$48,4,FALSE)</f>
        <v>120</v>
      </c>
      <c r="K563" s="4">
        <f t="shared" si="98"/>
        <v>44729</v>
      </c>
      <c r="L563" s="5">
        <f t="shared" si="99"/>
        <v>6</v>
      </c>
      <c r="M563" s="5">
        <f t="shared" si="100"/>
        <v>2022</v>
      </c>
      <c r="N563" s="6">
        <v>375</v>
      </c>
      <c r="O563" s="6">
        <f t="shared" si="101"/>
        <v>-375</v>
      </c>
      <c r="P563" s="6">
        <f t="shared" si="97"/>
        <v>0</v>
      </c>
      <c r="Q563" s="7">
        <f t="shared" si="95"/>
        <v>995607.15</v>
      </c>
      <c r="R563" s="44" t="str">
        <f>VLOOKUP(F563,'Set up'!$A$2:$E$48,5,FALSE)</f>
        <v>Trsf</v>
      </c>
      <c r="S563" s="1" t="s">
        <v>814</v>
      </c>
    </row>
    <row r="564" spans="1:19" hidden="1" x14ac:dyDescent="0.3">
      <c r="A564" s="4">
        <v>44609</v>
      </c>
      <c r="B564" s="5">
        <f t="shared" si="102"/>
        <v>2</v>
      </c>
      <c r="C564" s="5">
        <f t="shared" si="103"/>
        <v>2022</v>
      </c>
      <c r="D564" s="5" t="s">
        <v>604</v>
      </c>
      <c r="E564" s="5" t="str">
        <f>VLOOKUP(F564,'Set up'!$A$2:$C$48,2,FALSE)</f>
        <v>C00000010</v>
      </c>
      <c r="F564" s="1" t="s">
        <v>62</v>
      </c>
      <c r="G564" s="11" t="s">
        <v>239</v>
      </c>
      <c r="H564" s="5">
        <v>1</v>
      </c>
      <c r="I564" s="5">
        <f>VLOOKUP(F564,'Set up'!$A$2:$C$48,3,FALSE)</f>
        <v>120</v>
      </c>
      <c r="J564" s="5">
        <f>VLOOKUP(F564,'Set up'!$A$2:$D$48,4,FALSE)</f>
        <v>120</v>
      </c>
      <c r="K564" s="4">
        <f t="shared" si="98"/>
        <v>44729</v>
      </c>
      <c r="L564" s="5">
        <f t="shared" si="99"/>
        <v>6</v>
      </c>
      <c r="M564" s="5">
        <f t="shared" si="100"/>
        <v>2022</v>
      </c>
      <c r="N564" s="6">
        <v>440</v>
      </c>
      <c r="O564" s="6">
        <f t="shared" si="101"/>
        <v>-440</v>
      </c>
      <c r="P564" s="6">
        <f t="shared" si="97"/>
        <v>0</v>
      </c>
      <c r="Q564" s="7">
        <f t="shared" si="95"/>
        <v>996047.15</v>
      </c>
      <c r="R564" s="44" t="str">
        <f>VLOOKUP(F564,'Set up'!$A$2:$E$48,5,FALSE)</f>
        <v>Trsf</v>
      </c>
      <c r="S564" s="1" t="s">
        <v>814</v>
      </c>
    </row>
    <row r="565" spans="1:19" hidden="1" x14ac:dyDescent="0.3">
      <c r="A565" s="4">
        <v>44610</v>
      </c>
      <c r="B565" s="5">
        <f t="shared" si="102"/>
        <v>2</v>
      </c>
      <c r="C565" s="5">
        <f t="shared" si="103"/>
        <v>2022</v>
      </c>
      <c r="D565" s="5" t="s">
        <v>605</v>
      </c>
      <c r="E565" s="5" t="str">
        <f>VLOOKUP(F565,'Set up'!$A$2:$C$48,2,FALSE)</f>
        <v>C00000009</v>
      </c>
      <c r="F565" s="1" t="s">
        <v>58</v>
      </c>
      <c r="G565" s="11" t="s">
        <v>561</v>
      </c>
      <c r="H565" s="5">
        <v>2</v>
      </c>
      <c r="I565" s="5">
        <f>VLOOKUP(F565,'Set up'!$A$2:$C$48,3,FALSE)</f>
        <v>60</v>
      </c>
      <c r="J565" s="5">
        <f>VLOOKUP(F565,'Set up'!$A$2:$D$48,4,FALSE)</f>
        <v>60</v>
      </c>
      <c r="K565" s="4">
        <f t="shared" si="98"/>
        <v>44670</v>
      </c>
      <c r="L565" s="5">
        <f t="shared" si="99"/>
        <v>4</v>
      </c>
      <c r="M565" s="5">
        <f t="shared" si="100"/>
        <v>2022</v>
      </c>
      <c r="N565" s="6">
        <v>3960</v>
      </c>
      <c r="O565" s="6">
        <f t="shared" si="101"/>
        <v>-3960</v>
      </c>
      <c r="P565" s="6">
        <f t="shared" si="97"/>
        <v>0</v>
      </c>
      <c r="Q565" s="7">
        <f t="shared" si="95"/>
        <v>1000007.15</v>
      </c>
      <c r="R565" s="44" t="str">
        <f>VLOOKUP(F565,'Set up'!$A$2:$E$48,5,FALSE)</f>
        <v>Chq</v>
      </c>
      <c r="S565" s="1" t="s">
        <v>816</v>
      </c>
    </row>
    <row r="566" spans="1:19" hidden="1" x14ac:dyDescent="0.3">
      <c r="A566" s="4">
        <v>44610</v>
      </c>
      <c r="B566" s="5">
        <f t="shared" si="102"/>
        <v>2</v>
      </c>
      <c r="C566" s="5">
        <f t="shared" si="103"/>
        <v>2022</v>
      </c>
      <c r="D566" s="5" t="s">
        <v>605</v>
      </c>
      <c r="E566" s="5" t="str">
        <f>VLOOKUP(F566,'Set up'!$A$2:$C$48,2,FALSE)</f>
        <v>C00000009</v>
      </c>
      <c r="F566" s="1" t="s">
        <v>58</v>
      </c>
      <c r="G566" s="11" t="s">
        <v>617</v>
      </c>
      <c r="H566" s="5">
        <v>1</v>
      </c>
      <c r="I566" s="5">
        <f>VLOOKUP(F566,'Set up'!$A$2:$C$48,3,FALSE)</f>
        <v>60</v>
      </c>
      <c r="J566" s="5">
        <f>VLOOKUP(F566,'Set up'!$A$2:$D$48,4,FALSE)</f>
        <v>60</v>
      </c>
      <c r="K566" s="4">
        <f t="shared" si="98"/>
        <v>44670</v>
      </c>
      <c r="L566" s="5">
        <f t="shared" si="99"/>
        <v>4</v>
      </c>
      <c r="M566" s="5">
        <f t="shared" si="100"/>
        <v>2022</v>
      </c>
      <c r="N566" s="6">
        <v>1980</v>
      </c>
      <c r="O566" s="6">
        <f t="shared" si="101"/>
        <v>-1980</v>
      </c>
      <c r="P566" s="6">
        <f t="shared" si="97"/>
        <v>0</v>
      </c>
      <c r="Q566" s="7">
        <f t="shared" si="95"/>
        <v>1001987.15</v>
      </c>
      <c r="R566" s="44" t="str">
        <f>VLOOKUP(F566,'Set up'!$A$2:$E$48,5,FALSE)</f>
        <v>Chq</v>
      </c>
      <c r="S566" s="1" t="s">
        <v>816</v>
      </c>
    </row>
    <row r="567" spans="1:19" ht="124.8" hidden="1" x14ac:dyDescent="0.3">
      <c r="A567" s="4">
        <v>44611</v>
      </c>
      <c r="B567" s="5">
        <f t="shared" si="102"/>
        <v>2</v>
      </c>
      <c r="C567" s="5">
        <f t="shared" si="103"/>
        <v>2022</v>
      </c>
      <c r="D567" s="5" t="s">
        <v>606</v>
      </c>
      <c r="E567" s="5" t="str">
        <f>VLOOKUP(F567,'Set up'!$A$2:$C$48,2,FALSE)</f>
        <v>C00000003</v>
      </c>
      <c r="F567" s="1" t="s">
        <v>20</v>
      </c>
      <c r="G567" s="11" t="s">
        <v>546</v>
      </c>
      <c r="H567" s="5">
        <v>3</v>
      </c>
      <c r="I567" s="5">
        <f>VLOOKUP(F567,'Set up'!$A$2:$C$48,3,FALSE)</f>
        <v>45</v>
      </c>
      <c r="J567" s="5">
        <f>VLOOKUP(F567,'Set up'!$A$2:$D$48,4,FALSE)</f>
        <v>45</v>
      </c>
      <c r="K567" s="4">
        <f t="shared" si="98"/>
        <v>44656</v>
      </c>
      <c r="L567" s="5">
        <f t="shared" si="99"/>
        <v>4</v>
      </c>
      <c r="M567" s="5">
        <f t="shared" si="100"/>
        <v>2022</v>
      </c>
      <c r="N567" s="6">
        <v>6336</v>
      </c>
      <c r="O567" s="6">
        <f>-2000-2000-2000-336</f>
        <v>-6336</v>
      </c>
      <c r="P567" s="6">
        <f t="shared" si="97"/>
        <v>0</v>
      </c>
      <c r="Q567" s="7">
        <f t="shared" si="95"/>
        <v>1008323.15</v>
      </c>
      <c r="R567" s="44" t="str">
        <f>VLOOKUP(F567,'Set up'!$A$2:$E$48,5,FALSE)</f>
        <v>PD Chq</v>
      </c>
      <c r="S567" s="40" t="s">
        <v>743</v>
      </c>
    </row>
    <row r="568" spans="1:19" hidden="1" x14ac:dyDescent="0.3">
      <c r="A568" s="4">
        <v>44611</v>
      </c>
      <c r="B568" s="5">
        <f t="shared" si="102"/>
        <v>2</v>
      </c>
      <c r="C568" s="5">
        <f t="shared" si="103"/>
        <v>2022</v>
      </c>
      <c r="D568" s="5" t="s">
        <v>606</v>
      </c>
      <c r="E568" s="5" t="str">
        <f>VLOOKUP(F568,'Set up'!$A$2:$C$48,2,FALSE)</f>
        <v>C00000003</v>
      </c>
      <c r="F568" s="1" t="s">
        <v>20</v>
      </c>
      <c r="G568" s="11" t="s">
        <v>64</v>
      </c>
      <c r="H568" s="5">
        <v>4</v>
      </c>
      <c r="I568" s="5">
        <f>VLOOKUP(F568,'Set up'!$A$2:$C$48,3,FALSE)</f>
        <v>45</v>
      </c>
      <c r="J568" s="5">
        <f>VLOOKUP(F568,'Set up'!$A$2:$D$48,4,FALSE)</f>
        <v>45</v>
      </c>
      <c r="K568" s="4">
        <f t="shared" si="98"/>
        <v>44656</v>
      </c>
      <c r="L568" s="5">
        <f t="shared" si="99"/>
        <v>4</v>
      </c>
      <c r="M568" s="5">
        <f t="shared" si="100"/>
        <v>2022</v>
      </c>
      <c r="N568" s="6">
        <v>260</v>
      </c>
      <c r="O568" s="6">
        <f t="shared" ref="O568:O573" si="104">-N568</f>
        <v>-260</v>
      </c>
      <c r="P568" s="6">
        <f t="shared" si="97"/>
        <v>0</v>
      </c>
      <c r="Q568" s="7">
        <f t="shared" si="95"/>
        <v>1008583.15</v>
      </c>
      <c r="R568" s="44" t="str">
        <f>VLOOKUP(F568,'Set up'!$A$2:$E$48,5,FALSE)</f>
        <v>PD Chq</v>
      </c>
      <c r="S568" s="1" t="s">
        <v>744</v>
      </c>
    </row>
    <row r="569" spans="1:19" hidden="1" x14ac:dyDescent="0.3">
      <c r="A569" s="4">
        <v>44611</v>
      </c>
      <c r="B569" s="5">
        <f t="shared" si="102"/>
        <v>2</v>
      </c>
      <c r="C569" s="5">
        <f t="shared" si="103"/>
        <v>2022</v>
      </c>
      <c r="D569" s="5" t="s">
        <v>606</v>
      </c>
      <c r="E569" s="5" t="str">
        <f>VLOOKUP(F569,'Set up'!$A$2:$C$48,2,FALSE)</f>
        <v>C00000003</v>
      </c>
      <c r="F569" s="1" t="s">
        <v>20</v>
      </c>
      <c r="G569" s="11" t="s">
        <v>17</v>
      </c>
      <c r="H569" s="5">
        <v>6</v>
      </c>
      <c r="I569" s="5">
        <f>VLOOKUP(F569,'Set up'!$A$2:$C$48,3,FALSE)</f>
        <v>45</v>
      </c>
      <c r="J569" s="5">
        <f>VLOOKUP(F569,'Set up'!$A$2:$D$48,4,FALSE)</f>
        <v>45</v>
      </c>
      <c r="K569" s="4">
        <f t="shared" si="98"/>
        <v>44656</v>
      </c>
      <c r="L569" s="5">
        <f t="shared" si="99"/>
        <v>4</v>
      </c>
      <c r="M569" s="5">
        <f t="shared" si="100"/>
        <v>2022</v>
      </c>
      <c r="N569" s="6">
        <v>630</v>
      </c>
      <c r="O569" s="6">
        <f t="shared" si="104"/>
        <v>-630</v>
      </c>
      <c r="P569" s="6">
        <f t="shared" si="97"/>
        <v>0</v>
      </c>
      <c r="Q569" s="7">
        <f t="shared" si="95"/>
        <v>1009213.15</v>
      </c>
      <c r="R569" s="44" t="str">
        <f>VLOOKUP(F569,'Set up'!$A$2:$E$48,5,FALSE)</f>
        <v>PD Chq</v>
      </c>
      <c r="S569" s="1" t="s">
        <v>744</v>
      </c>
    </row>
    <row r="570" spans="1:19" hidden="1" x14ac:dyDescent="0.3">
      <c r="A570" s="4">
        <v>44611</v>
      </c>
      <c r="B570" s="5">
        <f t="shared" si="102"/>
        <v>2</v>
      </c>
      <c r="C570" s="5">
        <f t="shared" si="103"/>
        <v>2022</v>
      </c>
      <c r="D570" s="5" t="s">
        <v>606</v>
      </c>
      <c r="E570" s="5" t="str">
        <f>VLOOKUP(F570,'Set up'!$A$2:$C$48,2,FALSE)</f>
        <v>C00000003</v>
      </c>
      <c r="F570" s="1" t="s">
        <v>20</v>
      </c>
      <c r="G570" s="11" t="s">
        <v>179</v>
      </c>
      <c r="H570" s="5">
        <v>1</v>
      </c>
      <c r="I570" s="5">
        <f>VLOOKUP(F570,'Set up'!$A$2:$C$48,3,FALSE)</f>
        <v>45</v>
      </c>
      <c r="J570" s="5">
        <f>VLOOKUP(F570,'Set up'!$A$2:$D$48,4,FALSE)</f>
        <v>45</v>
      </c>
      <c r="K570" s="4">
        <f t="shared" si="98"/>
        <v>44656</v>
      </c>
      <c r="L570" s="5">
        <f t="shared" si="99"/>
        <v>4</v>
      </c>
      <c r="M570" s="5">
        <f t="shared" si="100"/>
        <v>2022</v>
      </c>
      <c r="N570" s="6">
        <v>45</v>
      </c>
      <c r="O570" s="6">
        <f t="shared" si="104"/>
        <v>-45</v>
      </c>
      <c r="P570" s="6">
        <f t="shared" si="97"/>
        <v>0</v>
      </c>
      <c r="Q570" s="7">
        <f t="shared" si="95"/>
        <v>1009258.15</v>
      </c>
      <c r="R570" s="44" t="str">
        <f>VLOOKUP(F570,'Set up'!$A$2:$E$48,5,FALSE)</f>
        <v>PD Chq</v>
      </c>
      <c r="S570" s="1" t="s">
        <v>744</v>
      </c>
    </row>
    <row r="571" spans="1:19" hidden="1" x14ac:dyDescent="0.3">
      <c r="A571" s="4">
        <v>44613</v>
      </c>
      <c r="B571" s="5">
        <f t="shared" si="102"/>
        <v>2</v>
      </c>
      <c r="C571" s="5">
        <f t="shared" si="103"/>
        <v>2022</v>
      </c>
      <c r="D571" s="5" t="s">
        <v>607</v>
      </c>
      <c r="E571" s="5" t="str">
        <f>VLOOKUP(F571,'Set up'!$A$2:$C$48,2,FALSE)</f>
        <v>C00000021</v>
      </c>
      <c r="F571" s="1" t="s">
        <v>492</v>
      </c>
      <c r="G571" s="11" t="s">
        <v>546</v>
      </c>
      <c r="H571" s="5">
        <v>2</v>
      </c>
      <c r="I571" s="5" t="str">
        <f>VLOOKUP(F571,'Set up'!$A$2:$C$48,3,FALSE)</f>
        <v>Cash</v>
      </c>
      <c r="J571" s="5">
        <f>VLOOKUP(F571,'Set up'!$A$2:$D$48,4,FALSE)</f>
        <v>0</v>
      </c>
      <c r="K571" s="4">
        <f t="shared" si="98"/>
        <v>44613</v>
      </c>
      <c r="L571" s="5">
        <f t="shared" si="99"/>
        <v>2</v>
      </c>
      <c r="M571" s="5">
        <f t="shared" si="100"/>
        <v>2022</v>
      </c>
      <c r="N571" s="6">
        <v>3960</v>
      </c>
      <c r="O571" s="6">
        <f t="shared" si="104"/>
        <v>-3960</v>
      </c>
      <c r="P571" s="6">
        <f t="shared" si="97"/>
        <v>0</v>
      </c>
      <c r="Q571" s="7">
        <f t="shared" si="95"/>
        <v>1013218.15</v>
      </c>
      <c r="R571" s="44" t="str">
        <f>VLOOKUP(F571,'Set up'!$A$2:$E$48,5,FALSE)</f>
        <v>PD Chq</v>
      </c>
      <c r="S571" s="1" t="s">
        <v>670</v>
      </c>
    </row>
    <row r="572" spans="1:19" hidden="1" x14ac:dyDescent="0.3">
      <c r="A572" s="4">
        <v>44613</v>
      </c>
      <c r="B572" s="5">
        <f t="shared" si="102"/>
        <v>2</v>
      </c>
      <c r="C572" s="5">
        <f t="shared" si="103"/>
        <v>2022</v>
      </c>
      <c r="D572" s="5" t="s">
        <v>607</v>
      </c>
      <c r="E572" s="5" t="str">
        <f>VLOOKUP(F572,'Set up'!$A$2:$C$48,2,FALSE)</f>
        <v>C00000021</v>
      </c>
      <c r="F572" s="1" t="s">
        <v>492</v>
      </c>
      <c r="G572" s="11" t="s">
        <v>614</v>
      </c>
      <c r="H572" s="5">
        <v>6</v>
      </c>
      <c r="I572" s="5" t="str">
        <f>VLOOKUP(F572,'Set up'!$A$2:$C$48,3,FALSE)</f>
        <v>Cash</v>
      </c>
      <c r="J572" s="5">
        <f>VLOOKUP(F572,'Set up'!$A$2:$D$48,4,FALSE)</f>
        <v>0</v>
      </c>
      <c r="K572" s="4">
        <f t="shared" si="98"/>
        <v>44613</v>
      </c>
      <c r="L572" s="5">
        <f t="shared" si="99"/>
        <v>2</v>
      </c>
      <c r="M572" s="5">
        <f t="shared" si="100"/>
        <v>2022</v>
      </c>
      <c r="N572" s="6">
        <v>1692</v>
      </c>
      <c r="O572" s="6">
        <f t="shared" si="104"/>
        <v>-1692</v>
      </c>
      <c r="P572" s="6">
        <f t="shared" si="97"/>
        <v>0</v>
      </c>
      <c r="Q572" s="7">
        <f t="shared" si="95"/>
        <v>1014910.15</v>
      </c>
      <c r="R572" s="44" t="str">
        <f>VLOOKUP(F572,'Set up'!$A$2:$E$48,5,FALSE)</f>
        <v>PD Chq</v>
      </c>
      <c r="S572" s="1" t="s">
        <v>671</v>
      </c>
    </row>
    <row r="573" spans="1:19" hidden="1" x14ac:dyDescent="0.3">
      <c r="A573" s="4">
        <v>44613</v>
      </c>
      <c r="B573" s="5">
        <f t="shared" si="102"/>
        <v>2</v>
      </c>
      <c r="C573" s="5">
        <f t="shared" si="103"/>
        <v>2022</v>
      </c>
      <c r="D573" s="5" t="s">
        <v>607</v>
      </c>
      <c r="E573" s="5" t="str">
        <f>VLOOKUP(F573,'Set up'!$A$2:$C$48,2,FALSE)</f>
        <v>C00000021</v>
      </c>
      <c r="F573" s="1" t="s">
        <v>492</v>
      </c>
      <c r="G573" s="11" t="s">
        <v>382</v>
      </c>
      <c r="H573" s="5">
        <v>2</v>
      </c>
      <c r="I573" s="5" t="str">
        <f>VLOOKUP(F573,'Set up'!$A$2:$C$48,3,FALSE)</f>
        <v>Cash</v>
      </c>
      <c r="J573" s="5">
        <f>VLOOKUP(F573,'Set up'!$A$2:$D$48,4,FALSE)</f>
        <v>0</v>
      </c>
      <c r="K573" s="4">
        <f t="shared" si="98"/>
        <v>44613</v>
      </c>
      <c r="L573" s="5">
        <f t="shared" si="99"/>
        <v>2</v>
      </c>
      <c r="M573" s="5">
        <f t="shared" si="100"/>
        <v>2022</v>
      </c>
      <c r="N573" s="6">
        <v>170</v>
      </c>
      <c r="O573" s="6">
        <f t="shared" si="104"/>
        <v>-170</v>
      </c>
      <c r="P573" s="6">
        <f t="shared" si="97"/>
        <v>0</v>
      </c>
      <c r="Q573" s="7">
        <f t="shared" si="95"/>
        <v>1015080.15</v>
      </c>
      <c r="R573" s="44" t="str">
        <f>VLOOKUP(F573,'Set up'!$A$2:$E$48,5,FALSE)</f>
        <v>PD Chq</v>
      </c>
      <c r="S573" s="1" t="s">
        <v>672</v>
      </c>
    </row>
    <row r="574" spans="1:19" hidden="1" x14ac:dyDescent="0.3">
      <c r="A574" s="4">
        <v>44613</v>
      </c>
      <c r="B574" s="5">
        <f t="shared" si="102"/>
        <v>2</v>
      </c>
      <c r="C574" s="5">
        <f t="shared" si="103"/>
        <v>2022</v>
      </c>
      <c r="D574" s="5" t="s">
        <v>608</v>
      </c>
      <c r="E574" s="5" t="str">
        <f>VLOOKUP(F574,'Set up'!$A$2:$C$48,2,FALSE)</f>
        <v>C00000006</v>
      </c>
      <c r="F574" s="1" t="s">
        <v>43</v>
      </c>
      <c r="G574" s="11" t="s">
        <v>618</v>
      </c>
      <c r="H574" s="5">
        <v>1</v>
      </c>
      <c r="I574" s="5" t="str">
        <f>VLOOKUP(F574,'Set up'!$A$2:$C$48,3,FALSE)</f>
        <v>Cash</v>
      </c>
      <c r="J574" s="5">
        <f>VLOOKUP(F574,'Set up'!$A$2:$D$48,4,FALSE)</f>
        <v>0</v>
      </c>
      <c r="K574" s="4">
        <f t="shared" si="98"/>
        <v>44613</v>
      </c>
      <c r="L574" s="5">
        <f t="shared" si="99"/>
        <v>2</v>
      </c>
      <c r="M574" s="5">
        <f t="shared" si="100"/>
        <v>2022</v>
      </c>
      <c r="N574" s="6">
        <v>175</v>
      </c>
      <c r="O574" s="6">
        <f>SUM(-N574)</f>
        <v>-175</v>
      </c>
      <c r="P574" s="6">
        <f t="shared" si="97"/>
        <v>0</v>
      </c>
      <c r="Q574" s="7">
        <f t="shared" si="95"/>
        <v>1015255.15</v>
      </c>
      <c r="R574" s="44" t="str">
        <f>VLOOKUP(F574,'Set up'!$A$2:$E$48,5,FALSE)</f>
        <v>Chq</v>
      </c>
      <c r="S574" s="1" t="s">
        <v>747</v>
      </c>
    </row>
    <row r="575" spans="1:19" hidden="1" x14ac:dyDescent="0.3">
      <c r="A575" s="4">
        <v>44614</v>
      </c>
      <c r="B575" s="5">
        <f t="shared" si="102"/>
        <v>2</v>
      </c>
      <c r="C575" s="5">
        <f t="shared" si="103"/>
        <v>2022</v>
      </c>
      <c r="D575" s="5" t="s">
        <v>609</v>
      </c>
      <c r="E575" s="5" t="str">
        <f>VLOOKUP(F575,'Set up'!$A$2:$C$48,2,FALSE)</f>
        <v>C00000019</v>
      </c>
      <c r="F575" s="1" t="s">
        <v>401</v>
      </c>
      <c r="G575" s="89" t="s">
        <v>561</v>
      </c>
      <c r="H575" s="88">
        <v>2</v>
      </c>
      <c r="I575" s="5" t="str">
        <f>VLOOKUP(F575,'Set up'!$A$2:$C$48,3,FALSE)</f>
        <v>Cash</v>
      </c>
      <c r="J575" s="5">
        <f>VLOOKUP(F575,'Set up'!$A$2:$D$48,4,FALSE)</f>
        <v>0</v>
      </c>
      <c r="K575" s="4">
        <f t="shared" si="98"/>
        <v>44614</v>
      </c>
      <c r="L575" s="5">
        <f t="shared" si="99"/>
        <v>2</v>
      </c>
      <c r="M575" s="5">
        <f t="shared" si="100"/>
        <v>2022</v>
      </c>
      <c r="N575" s="6">
        <v>4136</v>
      </c>
      <c r="O575" s="6">
        <f t="shared" ref="O575:O580" si="105">-N575</f>
        <v>-4136</v>
      </c>
      <c r="P575" s="6">
        <f t="shared" si="97"/>
        <v>0</v>
      </c>
      <c r="Q575" s="7">
        <f t="shared" si="95"/>
        <v>1019391.15</v>
      </c>
      <c r="R575" s="44" t="str">
        <f>VLOOKUP(F575,'Set up'!$A$2:$E$48,5,FALSE)</f>
        <v>Trsf</v>
      </c>
      <c r="S575" s="1" t="s">
        <v>621</v>
      </c>
    </row>
    <row r="576" spans="1:19" hidden="1" x14ac:dyDescent="0.3">
      <c r="A576" s="4">
        <v>44614</v>
      </c>
      <c r="B576" s="5">
        <f t="shared" si="102"/>
        <v>2</v>
      </c>
      <c r="C576" s="5">
        <f t="shared" si="103"/>
        <v>2022</v>
      </c>
      <c r="D576" s="5" t="s">
        <v>609</v>
      </c>
      <c r="E576" s="5" t="str">
        <f>VLOOKUP(F576,'Set up'!$A$2:$C$48,2,FALSE)</f>
        <v>C00000019</v>
      </c>
      <c r="F576" s="1" t="s">
        <v>401</v>
      </c>
      <c r="G576" s="90" t="s">
        <v>479</v>
      </c>
      <c r="H576" s="88">
        <v>1</v>
      </c>
      <c r="I576" s="5" t="str">
        <f>VLOOKUP(F576,'Set up'!$A$2:$C$48,3,FALSE)</f>
        <v>Cash</v>
      </c>
      <c r="J576" s="5">
        <f>VLOOKUP(F576,'Set up'!$A$2:$D$48,4,FALSE)</f>
        <v>0</v>
      </c>
      <c r="K576" s="4">
        <f t="shared" si="98"/>
        <v>44614</v>
      </c>
      <c r="L576" s="5">
        <f t="shared" si="99"/>
        <v>2</v>
      </c>
      <c r="M576" s="5">
        <f t="shared" si="100"/>
        <v>2022</v>
      </c>
      <c r="N576" s="6">
        <v>523.79999999999995</v>
      </c>
      <c r="O576" s="6">
        <f t="shared" si="105"/>
        <v>-523.79999999999995</v>
      </c>
      <c r="P576" s="6">
        <f t="shared" si="97"/>
        <v>0</v>
      </c>
      <c r="Q576" s="7">
        <f t="shared" si="95"/>
        <v>1019914.9500000001</v>
      </c>
      <c r="R576" s="44" t="str">
        <f>VLOOKUP(F576,'Set up'!$A$2:$E$48,5,FALSE)</f>
        <v>Trsf</v>
      </c>
      <c r="S576" s="1" t="s">
        <v>621</v>
      </c>
    </row>
    <row r="577" spans="1:19" hidden="1" x14ac:dyDescent="0.3">
      <c r="A577" s="4">
        <v>44614</v>
      </c>
      <c r="B577" s="5">
        <f t="shared" si="102"/>
        <v>2</v>
      </c>
      <c r="C577" s="5">
        <f t="shared" si="103"/>
        <v>2022</v>
      </c>
      <c r="D577" s="5" t="s">
        <v>609</v>
      </c>
      <c r="E577" s="5" t="str">
        <f>VLOOKUP(F577,'Set up'!$A$2:$C$48,2,FALSE)</f>
        <v>C00000019</v>
      </c>
      <c r="F577" s="1" t="s">
        <v>401</v>
      </c>
      <c r="G577" s="90" t="s">
        <v>567</v>
      </c>
      <c r="H577" s="88">
        <v>1</v>
      </c>
      <c r="I577" s="5" t="str">
        <f>VLOOKUP(F577,'Set up'!$A$2:$C$48,3,FALSE)</f>
        <v>Cash</v>
      </c>
      <c r="J577" s="5">
        <f>VLOOKUP(F577,'Set up'!$A$2:$D$48,4,FALSE)</f>
        <v>0</v>
      </c>
      <c r="K577" s="4">
        <f t="shared" si="98"/>
        <v>44614</v>
      </c>
      <c r="L577" s="5">
        <f t="shared" si="99"/>
        <v>2</v>
      </c>
      <c r="M577" s="5">
        <f t="shared" si="100"/>
        <v>2022</v>
      </c>
      <c r="N577" s="6">
        <v>105</v>
      </c>
      <c r="O577" s="6">
        <f t="shared" si="105"/>
        <v>-105</v>
      </c>
      <c r="P577" s="6">
        <f t="shared" si="97"/>
        <v>0</v>
      </c>
      <c r="Q577" s="7">
        <f t="shared" si="95"/>
        <v>1020019.9500000001</v>
      </c>
      <c r="R577" s="44" t="str">
        <f>VLOOKUP(F577,'Set up'!$A$2:$E$48,5,FALSE)</f>
        <v>Trsf</v>
      </c>
      <c r="S577" s="1" t="s">
        <v>621</v>
      </c>
    </row>
    <row r="578" spans="1:19" hidden="1" x14ac:dyDescent="0.3">
      <c r="A578" s="4">
        <v>44614</v>
      </c>
      <c r="B578" s="5">
        <f t="shared" si="102"/>
        <v>2</v>
      </c>
      <c r="C578" s="5">
        <f t="shared" si="103"/>
        <v>2022</v>
      </c>
      <c r="D578" s="5" t="s">
        <v>609</v>
      </c>
      <c r="E578" s="5" t="str">
        <f>VLOOKUP(F578,'Set up'!$A$2:$C$48,2,FALSE)</f>
        <v>C00000019</v>
      </c>
      <c r="F578" s="1" t="s">
        <v>401</v>
      </c>
      <c r="G578" s="90" t="s">
        <v>293</v>
      </c>
      <c r="H578" s="88">
        <v>1</v>
      </c>
      <c r="I578" s="5" t="str">
        <f>VLOOKUP(F578,'Set up'!$A$2:$C$48,3,FALSE)</f>
        <v>Cash</v>
      </c>
      <c r="J578" s="5">
        <f>VLOOKUP(F578,'Set up'!$A$2:$D$48,4,FALSE)</f>
        <v>0</v>
      </c>
      <c r="K578" s="4">
        <f t="shared" si="98"/>
        <v>44614</v>
      </c>
      <c r="L578" s="5">
        <f t="shared" si="99"/>
        <v>2</v>
      </c>
      <c r="M578" s="5">
        <f t="shared" si="100"/>
        <v>2022</v>
      </c>
      <c r="N578" s="6">
        <v>360</v>
      </c>
      <c r="O578" s="6">
        <f t="shared" si="105"/>
        <v>-360</v>
      </c>
      <c r="P578" s="6">
        <f t="shared" si="97"/>
        <v>0</v>
      </c>
      <c r="Q578" s="7">
        <f t="shared" si="95"/>
        <v>1020379.9500000001</v>
      </c>
      <c r="R578" s="44" t="str">
        <f>VLOOKUP(F578,'Set up'!$A$2:$E$48,5,FALSE)</f>
        <v>Trsf</v>
      </c>
      <c r="S578" s="1" t="s">
        <v>621</v>
      </c>
    </row>
    <row r="579" spans="1:19" hidden="1" x14ac:dyDescent="0.3">
      <c r="A579" s="4">
        <v>44614</v>
      </c>
      <c r="B579" s="5">
        <f t="shared" si="102"/>
        <v>2</v>
      </c>
      <c r="C579" s="5">
        <f t="shared" si="103"/>
        <v>2022</v>
      </c>
      <c r="D579" s="5" t="s">
        <v>609</v>
      </c>
      <c r="E579" s="5" t="str">
        <f>VLOOKUP(F579,'Set up'!$A$2:$C$48,2,FALSE)</f>
        <v>C00000019</v>
      </c>
      <c r="F579" s="1" t="s">
        <v>401</v>
      </c>
      <c r="G579" s="90" t="s">
        <v>64</v>
      </c>
      <c r="H579" s="88">
        <v>5</v>
      </c>
      <c r="I579" s="5" t="str">
        <f>VLOOKUP(F579,'Set up'!$A$2:$C$48,3,FALSE)</f>
        <v>Cash</v>
      </c>
      <c r="J579" s="5">
        <f>VLOOKUP(F579,'Set up'!$A$2:$D$48,4,FALSE)</f>
        <v>0</v>
      </c>
      <c r="K579" s="4">
        <f t="shared" si="98"/>
        <v>44614</v>
      </c>
      <c r="L579" s="5">
        <f t="shared" si="99"/>
        <v>2</v>
      </c>
      <c r="M579" s="5">
        <f t="shared" si="100"/>
        <v>2022</v>
      </c>
      <c r="N579" s="6">
        <v>312.5</v>
      </c>
      <c r="O579" s="6">
        <f t="shared" si="105"/>
        <v>-312.5</v>
      </c>
      <c r="P579" s="6">
        <f t="shared" si="97"/>
        <v>0</v>
      </c>
      <c r="Q579" s="7">
        <f t="shared" ref="Q579:Q642" si="106">SUM(Q578+N579)</f>
        <v>1020692.4500000001</v>
      </c>
      <c r="R579" s="44" t="str">
        <f>VLOOKUP(F579,'Set up'!$A$2:$E$48,5,FALSE)</f>
        <v>Trsf</v>
      </c>
      <c r="S579" s="1" t="s">
        <v>621</v>
      </c>
    </row>
    <row r="580" spans="1:19" hidden="1" x14ac:dyDescent="0.3">
      <c r="A580" s="4">
        <v>44614</v>
      </c>
      <c r="B580" s="5">
        <f t="shared" si="102"/>
        <v>2</v>
      </c>
      <c r="C580" s="5">
        <f t="shared" si="103"/>
        <v>2022</v>
      </c>
      <c r="D580" s="5" t="s">
        <v>609</v>
      </c>
      <c r="E580" s="5" t="str">
        <f>VLOOKUP(F580,'Set up'!$A$2:$C$48,2,FALSE)</f>
        <v>C00000019</v>
      </c>
      <c r="F580" s="1" t="s">
        <v>401</v>
      </c>
      <c r="G580" s="90" t="s">
        <v>239</v>
      </c>
      <c r="H580" s="88">
        <v>1</v>
      </c>
      <c r="I580" s="5" t="str">
        <f>VLOOKUP(F580,'Set up'!$A$2:$C$48,3,FALSE)</f>
        <v>Cash</v>
      </c>
      <c r="J580" s="5">
        <f>VLOOKUP(F580,'Set up'!$A$2:$D$48,4,FALSE)</f>
        <v>0</v>
      </c>
      <c r="K580" s="4">
        <f t="shared" si="98"/>
        <v>44614</v>
      </c>
      <c r="L580" s="5">
        <f t="shared" si="99"/>
        <v>2</v>
      </c>
      <c r="M580" s="5">
        <f t="shared" si="100"/>
        <v>2022</v>
      </c>
      <c r="N580" s="6">
        <v>440</v>
      </c>
      <c r="O580" s="6">
        <f t="shared" si="105"/>
        <v>-440</v>
      </c>
      <c r="P580" s="6">
        <f t="shared" si="97"/>
        <v>0</v>
      </c>
      <c r="Q580" s="7">
        <f t="shared" si="106"/>
        <v>1021132.4500000001</v>
      </c>
      <c r="R580" s="44" t="str">
        <f>VLOOKUP(F580,'Set up'!$A$2:$E$48,5,FALSE)</f>
        <v>Trsf</v>
      </c>
      <c r="S580" s="1" t="s">
        <v>621</v>
      </c>
    </row>
    <row r="581" spans="1:19" x14ac:dyDescent="0.3">
      <c r="A581" s="4">
        <v>44616</v>
      </c>
      <c r="B581" s="5">
        <f t="shared" si="102"/>
        <v>2</v>
      </c>
      <c r="C581" s="5">
        <f t="shared" si="103"/>
        <v>2022</v>
      </c>
      <c r="D581" s="5" t="s">
        <v>610</v>
      </c>
      <c r="E581" s="5" t="str">
        <f>VLOOKUP(F581,'Set up'!$A$2:$C$48,2,FALSE)</f>
        <v>C00000020</v>
      </c>
      <c r="F581" s="1" t="s">
        <v>410</v>
      </c>
      <c r="G581" s="11" t="s">
        <v>546</v>
      </c>
      <c r="H581" s="5">
        <v>2</v>
      </c>
      <c r="I581" s="5" t="str">
        <f>VLOOKUP(F581,'Set up'!$A$2:$C$48,3,FALSE)</f>
        <v>Cash</v>
      </c>
      <c r="J581" s="5">
        <f>VLOOKUP(F581,'Set up'!$A$2:$D$48,4,FALSE)</f>
        <v>0</v>
      </c>
      <c r="K581" s="4">
        <f t="shared" si="98"/>
        <v>44616</v>
      </c>
      <c r="L581" s="5">
        <f t="shared" si="99"/>
        <v>2</v>
      </c>
      <c r="M581" s="5">
        <f t="shared" si="100"/>
        <v>2022</v>
      </c>
      <c r="N581" s="6">
        <v>4180</v>
      </c>
      <c r="O581" s="6">
        <f>-1149.3-3030.7</f>
        <v>-4180</v>
      </c>
      <c r="P581" s="6">
        <f t="shared" si="97"/>
        <v>0</v>
      </c>
      <c r="Q581" s="7">
        <f t="shared" si="106"/>
        <v>1025312.4500000001</v>
      </c>
      <c r="R581" s="44" t="str">
        <f>VLOOKUP(F581,'Set up'!$A$2:$E$48,5,FALSE)</f>
        <v>Trsf</v>
      </c>
      <c r="S581" s="1" t="s">
        <v>822</v>
      </c>
    </row>
    <row r="582" spans="1:19" x14ac:dyDescent="0.3">
      <c r="A582" s="4">
        <v>44616</v>
      </c>
      <c r="B582" s="5">
        <f t="shared" si="102"/>
        <v>2</v>
      </c>
      <c r="C582" s="5">
        <f t="shared" si="103"/>
        <v>2022</v>
      </c>
      <c r="D582" s="5" t="s">
        <v>610</v>
      </c>
      <c r="E582" s="5" t="str">
        <f>VLOOKUP(F582,'Set up'!$A$2:$C$48,2,FALSE)</f>
        <v>C00000020</v>
      </c>
      <c r="F582" s="1" t="s">
        <v>410</v>
      </c>
      <c r="G582" s="11" t="s">
        <v>561</v>
      </c>
      <c r="H582" s="5">
        <v>1</v>
      </c>
      <c r="I582" s="5" t="str">
        <f>VLOOKUP(F582,'Set up'!$A$2:$C$48,3,FALSE)</f>
        <v>Cash</v>
      </c>
      <c r="J582" s="5">
        <f>VLOOKUP(F582,'Set up'!$A$2:$D$48,4,FALSE)</f>
        <v>0</v>
      </c>
      <c r="K582" s="4">
        <f t="shared" si="98"/>
        <v>44616</v>
      </c>
      <c r="L582" s="5">
        <f t="shared" si="99"/>
        <v>2</v>
      </c>
      <c r="M582" s="5">
        <f t="shared" si="100"/>
        <v>2022</v>
      </c>
      <c r="N582" s="6">
        <v>2090</v>
      </c>
      <c r="O582" s="6">
        <f t="shared" ref="O582:O608" si="107">-N582</f>
        <v>-2090</v>
      </c>
      <c r="P582" s="6">
        <f t="shared" si="97"/>
        <v>0</v>
      </c>
      <c r="Q582" s="7">
        <f t="shared" si="106"/>
        <v>1027402.4500000001</v>
      </c>
      <c r="R582" s="44" t="str">
        <f>VLOOKUP(F582,'Set up'!$A$2:$E$48,5,FALSE)</f>
        <v>Trsf</v>
      </c>
      <c r="S582" s="1" t="s">
        <v>821</v>
      </c>
    </row>
    <row r="583" spans="1:19" x14ac:dyDescent="0.3">
      <c r="A583" s="4">
        <v>44616</v>
      </c>
      <c r="B583" s="5">
        <f t="shared" si="102"/>
        <v>2</v>
      </c>
      <c r="C583" s="5">
        <f t="shared" si="103"/>
        <v>2022</v>
      </c>
      <c r="D583" s="5" t="s">
        <v>610</v>
      </c>
      <c r="E583" s="5" t="str">
        <f>VLOOKUP(F583,'Set up'!$A$2:$C$48,2,FALSE)</f>
        <v>C00000020</v>
      </c>
      <c r="F583" s="1" t="s">
        <v>410</v>
      </c>
      <c r="G583" s="11" t="s">
        <v>557</v>
      </c>
      <c r="H583" s="5">
        <v>1</v>
      </c>
      <c r="I583" s="5" t="str">
        <f>VLOOKUP(F583,'Set up'!$A$2:$C$48,3,FALSE)</f>
        <v>Cash</v>
      </c>
      <c r="J583" s="5">
        <f>VLOOKUP(F583,'Set up'!$A$2:$D$48,4,FALSE)</f>
        <v>0</v>
      </c>
      <c r="K583" s="4">
        <f t="shared" si="98"/>
        <v>44616</v>
      </c>
      <c r="L583" s="5">
        <f t="shared" si="99"/>
        <v>2</v>
      </c>
      <c r="M583" s="5">
        <f t="shared" si="100"/>
        <v>2022</v>
      </c>
      <c r="N583" s="6">
        <v>351</v>
      </c>
      <c r="O583" s="6">
        <f t="shared" si="107"/>
        <v>-351</v>
      </c>
      <c r="P583" s="6">
        <f t="shared" si="97"/>
        <v>0</v>
      </c>
      <c r="Q583" s="7">
        <f t="shared" si="106"/>
        <v>1027753.4500000001</v>
      </c>
      <c r="R583" s="44" t="str">
        <f>VLOOKUP(F583,'Set up'!$A$2:$E$48,5,FALSE)</f>
        <v>Trsf</v>
      </c>
      <c r="S583" s="1" t="s">
        <v>821</v>
      </c>
    </row>
    <row r="584" spans="1:19" x14ac:dyDescent="0.3">
      <c r="A584" s="4">
        <v>44616</v>
      </c>
      <c r="B584" s="5">
        <f t="shared" si="102"/>
        <v>2</v>
      </c>
      <c r="C584" s="5">
        <f t="shared" si="103"/>
        <v>2022</v>
      </c>
      <c r="D584" s="5" t="s">
        <v>610</v>
      </c>
      <c r="E584" s="5" t="str">
        <f>VLOOKUP(F584,'Set up'!$A$2:$C$48,2,FALSE)</f>
        <v>C00000020</v>
      </c>
      <c r="F584" s="1" t="s">
        <v>410</v>
      </c>
      <c r="G584" s="11" t="s">
        <v>430</v>
      </c>
      <c r="H584" s="5">
        <v>1</v>
      </c>
      <c r="I584" s="5" t="str">
        <f>VLOOKUP(F584,'Set up'!$A$2:$C$48,3,FALSE)</f>
        <v>Cash</v>
      </c>
      <c r="J584" s="5">
        <f>VLOOKUP(F584,'Set up'!$A$2:$D$48,4,FALSE)</f>
        <v>0</v>
      </c>
      <c r="K584" s="4">
        <f t="shared" si="98"/>
        <v>44616</v>
      </c>
      <c r="L584" s="5">
        <f t="shared" si="99"/>
        <v>2</v>
      </c>
      <c r="M584" s="5">
        <f t="shared" si="100"/>
        <v>2022</v>
      </c>
      <c r="N584" s="6">
        <v>1000</v>
      </c>
      <c r="O584" s="6">
        <f t="shared" si="107"/>
        <v>-1000</v>
      </c>
      <c r="P584" s="6">
        <f t="shared" si="97"/>
        <v>0</v>
      </c>
      <c r="Q584" s="7">
        <f t="shared" si="106"/>
        <v>1028753.4500000001</v>
      </c>
      <c r="R584" s="44" t="str">
        <f>VLOOKUP(F584,'Set up'!$A$2:$E$48,5,FALSE)</f>
        <v>Trsf</v>
      </c>
      <c r="S584" s="1" t="s">
        <v>821</v>
      </c>
    </row>
    <row r="585" spans="1:19" x14ac:dyDescent="0.3">
      <c r="A585" s="4">
        <v>44616</v>
      </c>
      <c r="B585" s="5">
        <f t="shared" si="102"/>
        <v>2</v>
      </c>
      <c r="C585" s="5">
        <f t="shared" si="103"/>
        <v>2022</v>
      </c>
      <c r="D585" s="5" t="s">
        <v>610</v>
      </c>
      <c r="E585" s="5" t="str">
        <f>VLOOKUP(F585,'Set up'!$A$2:$C$48,2,FALSE)</f>
        <v>C00000020</v>
      </c>
      <c r="F585" s="1" t="s">
        <v>410</v>
      </c>
      <c r="G585" s="11" t="s">
        <v>382</v>
      </c>
      <c r="H585" s="5">
        <v>4</v>
      </c>
      <c r="I585" s="5" t="str">
        <f>VLOOKUP(F585,'Set up'!$A$2:$C$48,3,FALSE)</f>
        <v>Cash</v>
      </c>
      <c r="J585" s="5">
        <f>VLOOKUP(F585,'Set up'!$A$2:$D$48,4,FALSE)</f>
        <v>0</v>
      </c>
      <c r="K585" s="4">
        <f t="shared" si="98"/>
        <v>44616</v>
      </c>
      <c r="L585" s="5">
        <f t="shared" si="99"/>
        <v>2</v>
      </c>
      <c r="M585" s="5">
        <f t="shared" si="100"/>
        <v>2022</v>
      </c>
      <c r="N585" s="6">
        <v>340</v>
      </c>
      <c r="O585" s="6">
        <f t="shared" si="107"/>
        <v>-340</v>
      </c>
      <c r="P585" s="6">
        <f t="shared" si="97"/>
        <v>0</v>
      </c>
      <c r="Q585" s="7">
        <f t="shared" si="106"/>
        <v>1029093.4500000001</v>
      </c>
      <c r="R585" s="44" t="str">
        <f>VLOOKUP(F585,'Set up'!$A$2:$E$48,5,FALSE)</f>
        <v>Trsf</v>
      </c>
      <c r="S585" s="1" t="s">
        <v>821</v>
      </c>
    </row>
    <row r="586" spans="1:19" x14ac:dyDescent="0.3">
      <c r="A586" s="4">
        <v>44618</v>
      </c>
      <c r="B586" s="5">
        <f t="shared" si="102"/>
        <v>2</v>
      </c>
      <c r="C586" s="5">
        <f t="shared" si="103"/>
        <v>2022</v>
      </c>
      <c r="D586" s="5" t="s">
        <v>611</v>
      </c>
      <c r="E586" s="5" t="str">
        <f>VLOOKUP(F586,'Set up'!$A$2:$C$48,2,FALSE)</f>
        <v>C00000020</v>
      </c>
      <c r="F586" s="1" t="s">
        <v>410</v>
      </c>
      <c r="G586" s="11" t="s">
        <v>546</v>
      </c>
      <c r="H586" s="5">
        <v>1</v>
      </c>
      <c r="I586" s="5" t="str">
        <f>VLOOKUP(F586,'Set up'!$A$2:$C$48,3,FALSE)</f>
        <v>Cash</v>
      </c>
      <c r="J586" s="5">
        <f>VLOOKUP(F586,'Set up'!$A$2:$D$48,4,FALSE)</f>
        <v>0</v>
      </c>
      <c r="K586" s="4">
        <f t="shared" si="98"/>
        <v>44618</v>
      </c>
      <c r="L586" s="5">
        <f t="shared" si="99"/>
        <v>2</v>
      </c>
      <c r="M586" s="5">
        <f t="shared" si="100"/>
        <v>2022</v>
      </c>
      <c r="N586" s="6">
        <v>2090</v>
      </c>
      <c r="O586" s="6">
        <f t="shared" si="107"/>
        <v>-2090</v>
      </c>
      <c r="P586" s="6">
        <f t="shared" si="97"/>
        <v>0</v>
      </c>
      <c r="Q586" s="7">
        <f t="shared" si="106"/>
        <v>1031183.4500000001</v>
      </c>
      <c r="R586" s="44" t="str">
        <f>VLOOKUP(F586,'Set up'!$A$2:$E$48,5,FALSE)</f>
        <v>Trsf</v>
      </c>
      <c r="S586" s="1" t="s">
        <v>821</v>
      </c>
    </row>
    <row r="587" spans="1:19" x14ac:dyDescent="0.3">
      <c r="A587" s="4">
        <v>44618</v>
      </c>
      <c r="B587" s="5">
        <f t="shared" si="102"/>
        <v>2</v>
      </c>
      <c r="C587" s="5">
        <f t="shared" si="103"/>
        <v>2022</v>
      </c>
      <c r="D587" s="5" t="s">
        <v>611</v>
      </c>
      <c r="E587" s="5" t="str">
        <f>VLOOKUP(F587,'Set up'!$A$2:$C$48,2,FALSE)</f>
        <v>C00000020</v>
      </c>
      <c r="F587" s="1" t="s">
        <v>410</v>
      </c>
      <c r="G587" s="11" t="s">
        <v>556</v>
      </c>
      <c r="H587" s="5">
        <v>1</v>
      </c>
      <c r="I587" s="5" t="str">
        <f>VLOOKUP(F587,'Set up'!$A$2:$C$48,3,FALSE)</f>
        <v>Cash</v>
      </c>
      <c r="J587" s="5">
        <f>VLOOKUP(F587,'Set up'!$A$2:$D$48,4,FALSE)</f>
        <v>0</v>
      </c>
      <c r="K587" s="4">
        <f t="shared" si="98"/>
        <v>44618</v>
      </c>
      <c r="L587" s="5">
        <f t="shared" si="99"/>
        <v>2</v>
      </c>
      <c r="M587" s="5">
        <f t="shared" si="100"/>
        <v>2022</v>
      </c>
      <c r="N587" s="6">
        <v>588</v>
      </c>
      <c r="O587" s="6">
        <f t="shared" si="107"/>
        <v>-588</v>
      </c>
      <c r="P587" s="6">
        <f t="shared" si="97"/>
        <v>0</v>
      </c>
      <c r="Q587" s="7">
        <f t="shared" si="106"/>
        <v>1031771.4500000001</v>
      </c>
      <c r="R587" s="44" t="str">
        <f>VLOOKUP(F587,'Set up'!$A$2:$E$48,5,FALSE)</f>
        <v>Trsf</v>
      </c>
      <c r="S587" s="1" t="s">
        <v>821</v>
      </c>
    </row>
    <row r="588" spans="1:19" hidden="1" x14ac:dyDescent="0.3">
      <c r="A588" s="4">
        <v>44618</v>
      </c>
      <c r="B588" s="5">
        <f t="shared" si="102"/>
        <v>2</v>
      </c>
      <c r="C588" s="5">
        <f t="shared" si="103"/>
        <v>2022</v>
      </c>
      <c r="D588" s="5" t="s">
        <v>612</v>
      </c>
      <c r="E588" s="5" t="str">
        <f>VLOOKUP(F588,'Set up'!$A$2:$C$48,2,FALSE)</f>
        <v>C00000003</v>
      </c>
      <c r="F588" s="1" t="s">
        <v>20</v>
      </c>
      <c r="G588" s="11" t="s">
        <v>552</v>
      </c>
      <c r="H588" s="5">
        <v>1</v>
      </c>
      <c r="I588" s="5">
        <f>VLOOKUP(F588,'Set up'!$A$2:$C$48,3,FALSE)</f>
        <v>45</v>
      </c>
      <c r="J588" s="5">
        <f>VLOOKUP(F588,'Set up'!$A$2:$D$48,4,FALSE)</f>
        <v>45</v>
      </c>
      <c r="K588" s="4">
        <f t="shared" si="98"/>
        <v>44663</v>
      </c>
      <c r="L588" s="5">
        <f t="shared" si="99"/>
        <v>4</v>
      </c>
      <c r="M588" s="5">
        <f t="shared" si="100"/>
        <v>2022</v>
      </c>
      <c r="N588" s="6">
        <v>315</v>
      </c>
      <c r="O588" s="6">
        <f t="shared" si="107"/>
        <v>-315</v>
      </c>
      <c r="P588" s="6">
        <f t="shared" si="97"/>
        <v>0</v>
      </c>
      <c r="Q588" s="7">
        <f t="shared" si="106"/>
        <v>1032086.4500000001</v>
      </c>
      <c r="R588" s="44" t="str">
        <f>VLOOKUP(F588,'Set up'!$A$2:$E$48,5,FALSE)</f>
        <v>PD Chq</v>
      </c>
      <c r="S588" s="1" t="s">
        <v>744</v>
      </c>
    </row>
    <row r="589" spans="1:19" hidden="1" x14ac:dyDescent="0.3">
      <c r="A589" s="4">
        <v>44625</v>
      </c>
      <c r="B589" s="5">
        <f t="shared" si="102"/>
        <v>3</v>
      </c>
      <c r="C589" s="5">
        <f t="shared" si="103"/>
        <v>2022</v>
      </c>
      <c r="D589" s="5" t="s">
        <v>634</v>
      </c>
      <c r="E589" s="5" t="str">
        <f>VLOOKUP(F589,'Set up'!$A$2:$C$48,2,FALSE)</f>
        <v>C00000021</v>
      </c>
      <c r="F589" s="1" t="s">
        <v>492</v>
      </c>
      <c r="G589" s="11" t="s">
        <v>546</v>
      </c>
      <c r="H589" s="5">
        <v>2</v>
      </c>
      <c r="I589" s="5" t="str">
        <f>VLOOKUP(F589,'Set up'!$A$2:$C$48,3,FALSE)</f>
        <v>Cash</v>
      </c>
      <c r="J589" s="5">
        <f>VLOOKUP(F589,'Set up'!$A$2:$D$48,4,FALSE)</f>
        <v>0</v>
      </c>
      <c r="K589" s="4">
        <f t="shared" si="98"/>
        <v>44625</v>
      </c>
      <c r="L589" s="5">
        <f t="shared" si="99"/>
        <v>3</v>
      </c>
      <c r="M589" s="5">
        <f t="shared" si="100"/>
        <v>2022</v>
      </c>
      <c r="N589" s="6">
        <v>3960</v>
      </c>
      <c r="O589" s="6">
        <f t="shared" si="107"/>
        <v>-3960</v>
      </c>
      <c r="P589" s="6">
        <f t="shared" si="97"/>
        <v>0</v>
      </c>
      <c r="Q589" s="7">
        <f t="shared" si="106"/>
        <v>1036046.4500000001</v>
      </c>
      <c r="R589" s="44" t="str">
        <f>VLOOKUP(F589,'Set up'!$A$2:$E$48,5,FALSE)</f>
        <v>PD Chq</v>
      </c>
      <c r="S589" s="1" t="s">
        <v>745</v>
      </c>
    </row>
    <row r="590" spans="1:19" hidden="1" x14ac:dyDescent="0.3">
      <c r="A590" s="4">
        <v>44625</v>
      </c>
      <c r="B590" s="5">
        <f t="shared" si="102"/>
        <v>3</v>
      </c>
      <c r="C590" s="5">
        <f t="shared" si="103"/>
        <v>2022</v>
      </c>
      <c r="D590" s="5" t="s">
        <v>634</v>
      </c>
      <c r="E590" s="5" t="str">
        <f>VLOOKUP(F590,'Set up'!$A$2:$C$48,2,FALSE)</f>
        <v>C00000021</v>
      </c>
      <c r="F590" s="1" t="s">
        <v>492</v>
      </c>
      <c r="G590" s="11" t="s">
        <v>614</v>
      </c>
      <c r="H590" s="5">
        <v>8</v>
      </c>
      <c r="I590" s="5" t="str">
        <f>VLOOKUP(F590,'Set up'!$A$2:$C$48,3,FALSE)</f>
        <v>Cash</v>
      </c>
      <c r="J590" s="5">
        <f>VLOOKUP(F590,'Set up'!$A$2:$D$48,4,FALSE)</f>
        <v>0</v>
      </c>
      <c r="K590" s="4">
        <f t="shared" si="98"/>
        <v>44625</v>
      </c>
      <c r="L590" s="5">
        <f t="shared" si="99"/>
        <v>3</v>
      </c>
      <c r="M590" s="5">
        <f t="shared" si="100"/>
        <v>2022</v>
      </c>
      <c r="N590" s="6">
        <v>2256</v>
      </c>
      <c r="O590" s="6">
        <f t="shared" si="107"/>
        <v>-2256</v>
      </c>
      <c r="P590" s="6">
        <f t="shared" si="97"/>
        <v>0</v>
      </c>
      <c r="Q590" s="7">
        <f t="shared" si="106"/>
        <v>1038302.4500000001</v>
      </c>
      <c r="R590" s="44" t="str">
        <f>VLOOKUP(F590,'Set up'!$A$2:$E$48,5,FALSE)</f>
        <v>PD Chq</v>
      </c>
      <c r="S590" s="1" t="s">
        <v>745</v>
      </c>
    </row>
    <row r="591" spans="1:19" hidden="1" x14ac:dyDescent="0.3">
      <c r="A591" s="4">
        <v>44625</v>
      </c>
      <c r="B591" s="5">
        <f t="shared" si="102"/>
        <v>3</v>
      </c>
      <c r="C591" s="5">
        <f t="shared" si="103"/>
        <v>2022</v>
      </c>
      <c r="D591" s="5" t="s">
        <v>634</v>
      </c>
      <c r="E591" s="5" t="str">
        <f>VLOOKUP(F591,'Set up'!$A$2:$C$48,2,FALSE)</f>
        <v>C00000021</v>
      </c>
      <c r="F591" s="1" t="s">
        <v>492</v>
      </c>
      <c r="G591" s="11" t="s">
        <v>382</v>
      </c>
      <c r="H591" s="5">
        <v>1</v>
      </c>
      <c r="I591" s="5" t="str">
        <f>VLOOKUP(F591,'Set up'!$A$2:$C$48,3,FALSE)</f>
        <v>Cash</v>
      </c>
      <c r="J591" s="5">
        <f>VLOOKUP(F591,'Set up'!$A$2:$D$48,4,FALSE)</f>
        <v>0</v>
      </c>
      <c r="K591" s="4">
        <f t="shared" si="98"/>
        <v>44625</v>
      </c>
      <c r="L591" s="5">
        <f t="shared" si="99"/>
        <v>3</v>
      </c>
      <c r="M591" s="5">
        <f t="shared" si="100"/>
        <v>2022</v>
      </c>
      <c r="N591" s="6">
        <v>85</v>
      </c>
      <c r="O591" s="6">
        <f t="shared" si="107"/>
        <v>-85</v>
      </c>
      <c r="P591" s="6">
        <f t="shared" si="97"/>
        <v>0</v>
      </c>
      <c r="Q591" s="7">
        <f t="shared" si="106"/>
        <v>1038387.4500000001</v>
      </c>
      <c r="R591" s="44" t="str">
        <f>VLOOKUP(F591,'Set up'!$A$2:$E$48,5,FALSE)</f>
        <v>PD Chq</v>
      </c>
      <c r="S591" s="1" t="s">
        <v>745</v>
      </c>
    </row>
    <row r="592" spans="1:19" hidden="1" x14ac:dyDescent="0.3">
      <c r="A592" s="4">
        <v>44628</v>
      </c>
      <c r="B592" s="5">
        <f t="shared" si="102"/>
        <v>3</v>
      </c>
      <c r="C592" s="5">
        <f t="shared" si="103"/>
        <v>2022</v>
      </c>
      <c r="D592" s="5" t="s">
        <v>635</v>
      </c>
      <c r="E592" s="5" t="str">
        <f>VLOOKUP(F592,'Set up'!$A$2:$C$48,2,FALSE)</f>
        <v>C00000022</v>
      </c>
      <c r="F592" s="1" t="s">
        <v>638</v>
      </c>
      <c r="G592" s="11" t="s">
        <v>617</v>
      </c>
      <c r="H592" s="5">
        <v>1</v>
      </c>
      <c r="I592" s="5" t="str">
        <f>VLOOKUP(F592,'Set up'!$A$2:$C$48,3,FALSE)</f>
        <v>Cash</v>
      </c>
      <c r="J592" s="5">
        <f>VLOOKUP(F592,'Set up'!$A$2:$D$48,4,FALSE)</f>
        <v>0</v>
      </c>
      <c r="K592" s="4">
        <f t="shared" si="98"/>
        <v>44628</v>
      </c>
      <c r="L592" s="5">
        <f t="shared" si="99"/>
        <v>3</v>
      </c>
      <c r="M592" s="5">
        <f t="shared" si="100"/>
        <v>2022</v>
      </c>
      <c r="N592" s="6">
        <v>2112</v>
      </c>
      <c r="O592" s="6">
        <f t="shared" si="107"/>
        <v>-2112</v>
      </c>
      <c r="P592" s="6">
        <f t="shared" si="97"/>
        <v>0</v>
      </c>
      <c r="Q592" s="7">
        <f t="shared" si="106"/>
        <v>1040499.4500000001</v>
      </c>
      <c r="R592" s="44" t="str">
        <f>VLOOKUP(F592,'Set up'!$A$2:$E$48,5,FALSE)</f>
        <v>Trsf</v>
      </c>
      <c r="S592" s="1" t="s">
        <v>669</v>
      </c>
    </row>
    <row r="593" spans="1:19" hidden="1" x14ac:dyDescent="0.3">
      <c r="A593" s="4">
        <v>44628</v>
      </c>
      <c r="B593" s="5">
        <f t="shared" si="102"/>
        <v>3</v>
      </c>
      <c r="C593" s="5">
        <f t="shared" si="103"/>
        <v>2022</v>
      </c>
      <c r="D593" s="5" t="s">
        <v>635</v>
      </c>
      <c r="E593" s="5" t="str">
        <f>VLOOKUP(F593,'Set up'!$A$2:$C$48,2,FALSE)</f>
        <v>C00000022</v>
      </c>
      <c r="F593" s="1" t="s">
        <v>638</v>
      </c>
      <c r="G593" s="11" t="s">
        <v>639</v>
      </c>
      <c r="H593" s="5">
        <v>1</v>
      </c>
      <c r="I593" s="5" t="str">
        <f>VLOOKUP(F593,'Set up'!$A$2:$C$48,3,FALSE)</f>
        <v>Cash</v>
      </c>
      <c r="J593" s="5">
        <f>VLOOKUP(F593,'Set up'!$A$2:$D$48,4,FALSE)</f>
        <v>0</v>
      </c>
      <c r="K593" s="4">
        <f t="shared" si="98"/>
        <v>44628</v>
      </c>
      <c r="L593" s="5">
        <f t="shared" si="99"/>
        <v>3</v>
      </c>
      <c r="M593" s="5">
        <f t="shared" si="100"/>
        <v>2022</v>
      </c>
      <c r="N593" s="6">
        <v>320</v>
      </c>
      <c r="O593" s="6">
        <f t="shared" si="107"/>
        <v>-320</v>
      </c>
      <c r="P593" s="6">
        <f t="shared" si="97"/>
        <v>0</v>
      </c>
      <c r="Q593" s="7">
        <f t="shared" si="106"/>
        <v>1040819.4500000001</v>
      </c>
      <c r="R593" s="44" t="str">
        <f>VLOOKUP(F593,'Set up'!$A$2:$E$48,5,FALSE)</f>
        <v>Trsf</v>
      </c>
      <c r="S593" s="1" t="s">
        <v>669</v>
      </c>
    </row>
    <row r="594" spans="1:19" hidden="1" x14ac:dyDescent="0.3">
      <c r="A594" s="4">
        <v>44628</v>
      </c>
      <c r="B594" s="5">
        <f t="shared" si="102"/>
        <v>3</v>
      </c>
      <c r="C594" s="5">
        <f t="shared" si="103"/>
        <v>2022</v>
      </c>
      <c r="D594" s="5" t="s">
        <v>635</v>
      </c>
      <c r="E594" s="5" t="str">
        <f>VLOOKUP(F594,'Set up'!$A$2:$C$48,2,FALSE)</f>
        <v>C00000022</v>
      </c>
      <c r="F594" s="1" t="s">
        <v>638</v>
      </c>
      <c r="G594" s="11" t="s">
        <v>640</v>
      </c>
      <c r="H594" s="5">
        <v>1</v>
      </c>
      <c r="I594" s="5" t="str">
        <f>VLOOKUP(F594,'Set up'!$A$2:$C$48,3,FALSE)</f>
        <v>Cash</v>
      </c>
      <c r="J594" s="5">
        <f>VLOOKUP(F594,'Set up'!$A$2:$D$48,4,FALSE)</f>
        <v>0</v>
      </c>
      <c r="K594" s="4">
        <f t="shared" si="98"/>
        <v>44628</v>
      </c>
      <c r="L594" s="5">
        <f t="shared" si="99"/>
        <v>3</v>
      </c>
      <c r="M594" s="5">
        <f t="shared" si="100"/>
        <v>2022</v>
      </c>
      <c r="N594" s="6">
        <v>337.5</v>
      </c>
      <c r="O594" s="6">
        <f t="shared" si="107"/>
        <v>-337.5</v>
      </c>
      <c r="P594" s="6">
        <f t="shared" si="97"/>
        <v>0</v>
      </c>
      <c r="Q594" s="7">
        <f t="shared" si="106"/>
        <v>1041156.9500000001</v>
      </c>
      <c r="R594" s="44" t="str">
        <f>VLOOKUP(F594,'Set up'!$A$2:$E$48,5,FALSE)</f>
        <v>Trsf</v>
      </c>
      <c r="S594" s="1" t="s">
        <v>669</v>
      </c>
    </row>
    <row r="595" spans="1:19" hidden="1" x14ac:dyDescent="0.3">
      <c r="A595" s="4">
        <v>44628</v>
      </c>
      <c r="B595" s="5">
        <f t="shared" si="102"/>
        <v>3</v>
      </c>
      <c r="C595" s="5">
        <f t="shared" si="103"/>
        <v>2022</v>
      </c>
      <c r="D595" s="5" t="s">
        <v>635</v>
      </c>
      <c r="E595" s="5" t="str">
        <f>VLOOKUP(F595,'Set up'!$A$2:$C$48,2,FALSE)</f>
        <v>C00000022</v>
      </c>
      <c r="F595" s="1" t="s">
        <v>638</v>
      </c>
      <c r="G595" s="11" t="s">
        <v>641</v>
      </c>
      <c r="H595" s="5">
        <v>2</v>
      </c>
      <c r="I595" s="5" t="str">
        <f>VLOOKUP(F595,'Set up'!$A$2:$C$48,3,FALSE)</f>
        <v>Cash</v>
      </c>
      <c r="J595" s="5">
        <f>VLOOKUP(F595,'Set up'!$A$2:$D$48,4,FALSE)</f>
        <v>0</v>
      </c>
      <c r="K595" s="4">
        <f t="shared" si="98"/>
        <v>44628</v>
      </c>
      <c r="L595" s="5">
        <f t="shared" si="99"/>
        <v>3</v>
      </c>
      <c r="M595" s="5">
        <f t="shared" si="100"/>
        <v>2022</v>
      </c>
      <c r="N595" s="6">
        <v>480</v>
      </c>
      <c r="O595" s="6">
        <f t="shared" si="107"/>
        <v>-480</v>
      </c>
      <c r="P595" s="6">
        <f t="shared" si="97"/>
        <v>0</v>
      </c>
      <c r="Q595" s="7">
        <f t="shared" si="106"/>
        <v>1041636.9500000001</v>
      </c>
      <c r="R595" s="44" t="str">
        <f>VLOOKUP(F595,'Set up'!$A$2:$E$48,5,FALSE)</f>
        <v>Trsf</v>
      </c>
      <c r="S595" s="1" t="s">
        <v>669</v>
      </c>
    </row>
    <row r="596" spans="1:19" hidden="1" x14ac:dyDescent="0.3">
      <c r="A596" s="4">
        <v>44628</v>
      </c>
      <c r="B596" s="5">
        <f t="shared" si="102"/>
        <v>3</v>
      </c>
      <c r="C596" s="5">
        <f t="shared" si="103"/>
        <v>2022</v>
      </c>
      <c r="D596" s="5" t="s">
        <v>635</v>
      </c>
      <c r="E596" s="5" t="str">
        <f>VLOOKUP(F596,'Set up'!$A$2:$C$48,2,FALSE)</f>
        <v>C00000022</v>
      </c>
      <c r="F596" s="1" t="s">
        <v>638</v>
      </c>
      <c r="G596" s="11" t="s">
        <v>556</v>
      </c>
      <c r="H596" s="5">
        <v>1</v>
      </c>
      <c r="I596" s="5" t="str">
        <f>VLOOKUP(F596,'Set up'!$A$2:$C$48,3,FALSE)</f>
        <v>Cash</v>
      </c>
      <c r="J596" s="5">
        <f>VLOOKUP(F596,'Set up'!$A$2:$D$48,4,FALSE)</f>
        <v>0</v>
      </c>
      <c r="K596" s="4">
        <f t="shared" si="98"/>
        <v>44628</v>
      </c>
      <c r="L596" s="5">
        <f t="shared" si="99"/>
        <v>3</v>
      </c>
      <c r="M596" s="5">
        <f t="shared" si="100"/>
        <v>2022</v>
      </c>
      <c r="N596" s="6">
        <v>588</v>
      </c>
      <c r="O596" s="6">
        <f t="shared" si="107"/>
        <v>-588</v>
      </c>
      <c r="P596" s="6">
        <f t="shared" si="97"/>
        <v>0</v>
      </c>
      <c r="Q596" s="7">
        <f t="shared" si="106"/>
        <v>1042224.9500000001</v>
      </c>
      <c r="R596" s="44" t="str">
        <f>VLOOKUP(F596,'Set up'!$A$2:$E$48,5,FALSE)</f>
        <v>Trsf</v>
      </c>
      <c r="S596" s="1" t="s">
        <v>669</v>
      </c>
    </row>
    <row r="597" spans="1:19" hidden="1" x14ac:dyDescent="0.3">
      <c r="A597" s="4">
        <v>44628</v>
      </c>
      <c r="B597" s="5">
        <f t="shared" si="102"/>
        <v>3</v>
      </c>
      <c r="C597" s="5">
        <f t="shared" si="103"/>
        <v>2022</v>
      </c>
      <c r="D597" s="5" t="s">
        <v>635</v>
      </c>
      <c r="E597" s="5" t="str">
        <f>VLOOKUP(F597,'Set up'!$A$2:$C$48,2,FALSE)</f>
        <v>C00000022</v>
      </c>
      <c r="F597" s="1" t="s">
        <v>638</v>
      </c>
      <c r="G597" s="11" t="s">
        <v>552</v>
      </c>
      <c r="H597" s="5">
        <v>2</v>
      </c>
      <c r="I597" s="5" t="str">
        <f>VLOOKUP(F597,'Set up'!$A$2:$C$48,3,FALSE)</f>
        <v>Cash</v>
      </c>
      <c r="J597" s="5">
        <f>VLOOKUP(F597,'Set up'!$A$2:$D$48,4,FALSE)</f>
        <v>0</v>
      </c>
      <c r="K597" s="4">
        <f t="shared" si="98"/>
        <v>44628</v>
      </c>
      <c r="L597" s="5">
        <f t="shared" si="99"/>
        <v>3</v>
      </c>
      <c r="M597" s="5">
        <f t="shared" si="100"/>
        <v>2022</v>
      </c>
      <c r="N597" s="6">
        <v>588</v>
      </c>
      <c r="O597" s="6">
        <f t="shared" si="107"/>
        <v>-588</v>
      </c>
      <c r="P597" s="6">
        <f t="shared" ref="P597:P660" si="108">SUM(N597+O597)</f>
        <v>0</v>
      </c>
      <c r="Q597" s="7">
        <f t="shared" si="106"/>
        <v>1042812.9500000001</v>
      </c>
      <c r="R597" s="44" t="str">
        <f>VLOOKUP(F597,'Set up'!$A$2:$E$48,5,FALSE)</f>
        <v>Trsf</v>
      </c>
      <c r="S597" s="1" t="s">
        <v>669</v>
      </c>
    </row>
    <row r="598" spans="1:19" hidden="1" x14ac:dyDescent="0.3">
      <c r="A598" s="4">
        <v>44628</v>
      </c>
      <c r="B598" s="5">
        <f t="shared" si="102"/>
        <v>3</v>
      </c>
      <c r="C598" s="5">
        <f t="shared" si="103"/>
        <v>2022</v>
      </c>
      <c r="D598" s="5" t="s">
        <v>635</v>
      </c>
      <c r="E598" s="5" t="str">
        <f>VLOOKUP(F598,'Set up'!$A$2:$C$48,2,FALSE)</f>
        <v>C00000022</v>
      </c>
      <c r="F598" s="1" t="s">
        <v>638</v>
      </c>
      <c r="G598" s="11" t="s">
        <v>557</v>
      </c>
      <c r="H598" s="5">
        <v>1</v>
      </c>
      <c r="I598" s="5" t="str">
        <f>VLOOKUP(F598,'Set up'!$A$2:$C$48,3,FALSE)</f>
        <v>Cash</v>
      </c>
      <c r="J598" s="5">
        <f>VLOOKUP(F598,'Set up'!$A$2:$D$48,4,FALSE)</f>
        <v>0</v>
      </c>
      <c r="K598" s="4">
        <f t="shared" si="98"/>
        <v>44628</v>
      </c>
      <c r="L598" s="5">
        <f t="shared" si="99"/>
        <v>3</v>
      </c>
      <c r="M598" s="5">
        <f t="shared" si="100"/>
        <v>2022</v>
      </c>
      <c r="N598" s="6">
        <v>337.5</v>
      </c>
      <c r="O598" s="6">
        <f t="shared" si="107"/>
        <v>-337.5</v>
      </c>
      <c r="P598" s="6">
        <f t="shared" si="108"/>
        <v>0</v>
      </c>
      <c r="Q598" s="7">
        <f t="shared" si="106"/>
        <v>1043150.4500000001</v>
      </c>
      <c r="R598" s="44" t="str">
        <f>VLOOKUP(F598,'Set up'!$A$2:$E$48,5,FALSE)</f>
        <v>Trsf</v>
      </c>
      <c r="S598" s="1" t="s">
        <v>669</v>
      </c>
    </row>
    <row r="599" spans="1:19" hidden="1" x14ac:dyDescent="0.3">
      <c r="A599" s="4">
        <v>44628</v>
      </c>
      <c r="B599" s="5">
        <f t="shared" si="102"/>
        <v>3</v>
      </c>
      <c r="C599" s="5">
        <f t="shared" si="103"/>
        <v>2022</v>
      </c>
      <c r="D599" s="5" t="s">
        <v>635</v>
      </c>
      <c r="E599" s="5" t="str">
        <f>VLOOKUP(F599,'Set up'!$A$2:$C$48,2,FALSE)</f>
        <v>C00000022</v>
      </c>
      <c r="F599" s="1" t="s">
        <v>638</v>
      </c>
      <c r="G599" s="11" t="s">
        <v>46</v>
      </c>
      <c r="H599" s="5">
        <v>1</v>
      </c>
      <c r="I599" s="5" t="str">
        <f>VLOOKUP(F599,'Set up'!$A$2:$C$48,3,FALSE)</f>
        <v>Cash</v>
      </c>
      <c r="J599" s="5">
        <f>VLOOKUP(F599,'Set up'!$A$2:$D$48,4,FALSE)</f>
        <v>0</v>
      </c>
      <c r="K599" s="4">
        <f t="shared" si="98"/>
        <v>44628</v>
      </c>
      <c r="L599" s="5">
        <f t="shared" si="99"/>
        <v>3</v>
      </c>
      <c r="M599" s="5">
        <f t="shared" si="100"/>
        <v>2022</v>
      </c>
      <c r="N599" s="6">
        <v>110</v>
      </c>
      <c r="O599" s="6">
        <f t="shared" si="107"/>
        <v>-110</v>
      </c>
      <c r="P599" s="6">
        <f t="shared" si="108"/>
        <v>0</v>
      </c>
      <c r="Q599" s="7">
        <f t="shared" si="106"/>
        <v>1043260.4500000001</v>
      </c>
      <c r="R599" s="44" t="str">
        <f>VLOOKUP(F599,'Set up'!$A$2:$E$48,5,FALSE)</f>
        <v>Trsf</v>
      </c>
      <c r="S599" s="1" t="s">
        <v>669</v>
      </c>
    </row>
    <row r="600" spans="1:19" hidden="1" x14ac:dyDescent="0.3">
      <c r="A600" s="4">
        <v>44628</v>
      </c>
      <c r="B600" s="5">
        <f t="shared" si="102"/>
        <v>3</v>
      </c>
      <c r="C600" s="5">
        <f t="shared" si="103"/>
        <v>2022</v>
      </c>
      <c r="D600" s="5" t="s">
        <v>636</v>
      </c>
      <c r="E600" s="5" t="str">
        <f>VLOOKUP(F600,'Set up'!$A$2:$C$48,2,FALSE)</f>
        <v>C00000010</v>
      </c>
      <c r="F600" s="1" t="s">
        <v>62</v>
      </c>
      <c r="G600" s="11" t="s">
        <v>554</v>
      </c>
      <c r="H600" s="5">
        <v>6</v>
      </c>
      <c r="I600" s="5">
        <f>VLOOKUP(F600,'Set up'!$A$2:$C$48,3,FALSE)</f>
        <v>120</v>
      </c>
      <c r="J600" s="5">
        <f>VLOOKUP(F600,'Set up'!$A$2:$D$48,4,FALSE)</f>
        <v>120</v>
      </c>
      <c r="K600" s="4">
        <f t="shared" ref="K600:K663" si="109">A600+J600</f>
        <v>44748</v>
      </c>
      <c r="L600" s="5">
        <f t="shared" si="99"/>
        <v>7</v>
      </c>
      <c r="M600" s="5">
        <f t="shared" si="100"/>
        <v>2022</v>
      </c>
      <c r="N600" s="6">
        <v>11880</v>
      </c>
      <c r="O600" s="6">
        <f t="shared" si="107"/>
        <v>-11880</v>
      </c>
      <c r="P600" s="6">
        <f t="shared" si="108"/>
        <v>0</v>
      </c>
      <c r="Q600" s="7">
        <f t="shared" si="106"/>
        <v>1055140.4500000002</v>
      </c>
      <c r="R600" s="44" t="str">
        <f>VLOOKUP(F600,'Set up'!$A$2:$E$48,5,FALSE)</f>
        <v>Trsf</v>
      </c>
      <c r="S600" s="1" t="s">
        <v>854</v>
      </c>
    </row>
    <row r="601" spans="1:19" hidden="1" x14ac:dyDescent="0.3">
      <c r="A601" s="4">
        <v>44628</v>
      </c>
      <c r="B601" s="5">
        <f t="shared" si="102"/>
        <v>3</v>
      </c>
      <c r="C601" s="5">
        <f t="shared" si="103"/>
        <v>2022</v>
      </c>
      <c r="D601" s="5" t="s">
        <v>636</v>
      </c>
      <c r="E601" s="5" t="str">
        <f>VLOOKUP(F601,'Set up'!$A$2:$C$48,2,FALSE)</f>
        <v>C00000010</v>
      </c>
      <c r="F601" s="1" t="s">
        <v>62</v>
      </c>
      <c r="G601" s="11" t="s">
        <v>614</v>
      </c>
      <c r="H601" s="5">
        <v>10</v>
      </c>
      <c r="I601" s="5">
        <f>VLOOKUP(F601,'Set up'!$A$2:$C$48,3,FALSE)</f>
        <v>120</v>
      </c>
      <c r="J601" s="5">
        <f>VLOOKUP(F601,'Set up'!$A$2:$D$48,4,FALSE)</f>
        <v>120</v>
      </c>
      <c r="K601" s="4">
        <f t="shared" si="109"/>
        <v>44748</v>
      </c>
      <c r="L601" s="5">
        <f t="shared" si="99"/>
        <v>7</v>
      </c>
      <c r="M601" s="5">
        <f t="shared" si="100"/>
        <v>2022</v>
      </c>
      <c r="N601" s="6">
        <v>2850</v>
      </c>
      <c r="O601" s="6">
        <f t="shared" si="107"/>
        <v>-2850</v>
      </c>
      <c r="P601" s="6">
        <f t="shared" si="108"/>
        <v>0</v>
      </c>
      <c r="Q601" s="7">
        <f t="shared" si="106"/>
        <v>1057990.4500000002</v>
      </c>
      <c r="R601" s="44" t="str">
        <f>VLOOKUP(F601,'Set up'!$A$2:$E$48,5,FALSE)</f>
        <v>Trsf</v>
      </c>
      <c r="S601" s="1" t="s">
        <v>854</v>
      </c>
    </row>
    <row r="602" spans="1:19" hidden="1" x14ac:dyDescent="0.3">
      <c r="A602" s="4">
        <v>44628</v>
      </c>
      <c r="B602" s="5">
        <f t="shared" si="102"/>
        <v>3</v>
      </c>
      <c r="C602" s="5">
        <f t="shared" si="103"/>
        <v>2022</v>
      </c>
      <c r="D602" s="5" t="s">
        <v>636</v>
      </c>
      <c r="E602" s="5" t="str">
        <f>VLOOKUP(F602,'Set up'!$A$2:$C$48,2,FALSE)</f>
        <v>C00000010</v>
      </c>
      <c r="F602" s="1" t="s">
        <v>62</v>
      </c>
      <c r="G602" s="11" t="s">
        <v>64</v>
      </c>
      <c r="H602" s="5">
        <v>10</v>
      </c>
      <c r="I602" s="5">
        <f>VLOOKUP(F602,'Set up'!$A$2:$C$48,3,FALSE)</f>
        <v>120</v>
      </c>
      <c r="J602" s="5">
        <f>VLOOKUP(F602,'Set up'!$A$2:$D$48,4,FALSE)</f>
        <v>120</v>
      </c>
      <c r="K602" s="4">
        <f t="shared" si="109"/>
        <v>44748</v>
      </c>
      <c r="L602" s="5">
        <f t="shared" si="99"/>
        <v>7</v>
      </c>
      <c r="M602" s="5">
        <f t="shared" si="100"/>
        <v>2022</v>
      </c>
      <c r="N602" s="6">
        <v>550</v>
      </c>
      <c r="O602" s="6">
        <f t="shared" si="107"/>
        <v>-550</v>
      </c>
      <c r="P602" s="6">
        <f t="shared" si="108"/>
        <v>0</v>
      </c>
      <c r="Q602" s="7">
        <f t="shared" si="106"/>
        <v>1058540.4500000002</v>
      </c>
      <c r="R602" s="44" t="str">
        <f>VLOOKUP(F602,'Set up'!$A$2:$E$48,5,FALSE)</f>
        <v>Trsf</v>
      </c>
      <c r="S602" s="1" t="s">
        <v>854</v>
      </c>
    </row>
    <row r="603" spans="1:19" hidden="1" x14ac:dyDescent="0.3">
      <c r="A603" s="4">
        <v>44629</v>
      </c>
      <c r="B603" s="5">
        <f t="shared" si="102"/>
        <v>3</v>
      </c>
      <c r="C603" s="5">
        <f t="shared" si="103"/>
        <v>2022</v>
      </c>
      <c r="D603" s="5" t="s">
        <v>643</v>
      </c>
      <c r="E603" s="5" t="str">
        <f>VLOOKUP(F603,'Set up'!$A$2:$C$48,2,FALSE)</f>
        <v>C00000022</v>
      </c>
      <c r="F603" s="1" t="s">
        <v>638</v>
      </c>
      <c r="G603" s="11" t="s">
        <v>64</v>
      </c>
      <c r="H603" s="5">
        <v>1</v>
      </c>
      <c r="I603" s="5" t="str">
        <f>VLOOKUP(F603,'Set up'!$A$2:$C$48,3,FALSE)</f>
        <v>Cash</v>
      </c>
      <c r="J603" s="5">
        <f>VLOOKUP(F603,'Set up'!$A$2:$D$48,4,FALSE)</f>
        <v>0</v>
      </c>
      <c r="K603" s="4">
        <f t="shared" si="109"/>
        <v>44629</v>
      </c>
      <c r="L603" s="5">
        <f t="shared" si="99"/>
        <v>3</v>
      </c>
      <c r="M603" s="5">
        <f t="shared" si="100"/>
        <v>2022</v>
      </c>
      <c r="N603" s="6">
        <v>65</v>
      </c>
      <c r="O603" s="6">
        <f t="shared" si="107"/>
        <v>-65</v>
      </c>
      <c r="P603" s="6">
        <f t="shared" si="108"/>
        <v>0</v>
      </c>
      <c r="Q603" s="7">
        <f t="shared" si="106"/>
        <v>1058605.4500000002</v>
      </c>
      <c r="R603" s="44" t="str">
        <f>VLOOKUP(F603,'Set up'!$A$2:$E$48,5,FALSE)</f>
        <v>Trsf</v>
      </c>
      <c r="S603" s="1" t="s">
        <v>669</v>
      </c>
    </row>
    <row r="604" spans="1:19" hidden="1" x14ac:dyDescent="0.3">
      <c r="A604" s="4">
        <v>44631</v>
      </c>
      <c r="B604" s="5">
        <f t="shared" si="102"/>
        <v>3</v>
      </c>
      <c r="C604" s="5">
        <f t="shared" si="103"/>
        <v>2022</v>
      </c>
      <c r="D604" s="5" t="s">
        <v>644</v>
      </c>
      <c r="E604" s="5" t="str">
        <f>VLOOKUP(F604,'Set up'!$A$2:$C$48,2,FALSE)</f>
        <v>C00000019</v>
      </c>
      <c r="F604" s="1" t="s">
        <v>401</v>
      </c>
      <c r="G604" s="11" t="s">
        <v>561</v>
      </c>
      <c r="H604" s="5">
        <v>2</v>
      </c>
      <c r="I604" s="5" t="str">
        <f>VLOOKUP(F604,'Set up'!$A$2:$C$48,3,FALSE)</f>
        <v>Cash</v>
      </c>
      <c r="J604" s="5">
        <f>VLOOKUP(F604,'Set up'!$A$2:$D$48,4,FALSE)</f>
        <v>0</v>
      </c>
      <c r="K604" s="4">
        <f t="shared" si="109"/>
        <v>44631</v>
      </c>
      <c r="L604" s="5">
        <f t="shared" si="99"/>
        <v>3</v>
      </c>
      <c r="M604" s="5">
        <f t="shared" si="100"/>
        <v>2022</v>
      </c>
      <c r="N604" s="6">
        <v>4136</v>
      </c>
      <c r="O604" s="6">
        <f t="shared" si="107"/>
        <v>-4136</v>
      </c>
      <c r="P604" s="6">
        <f t="shared" si="108"/>
        <v>0</v>
      </c>
      <c r="Q604" s="7">
        <f t="shared" si="106"/>
        <v>1062741.4500000002</v>
      </c>
      <c r="R604" s="44" t="str">
        <f>VLOOKUP(F604,'Set up'!$A$2:$E$48,5,FALSE)</f>
        <v>Trsf</v>
      </c>
      <c r="S604" s="1" t="s">
        <v>803</v>
      </c>
    </row>
    <row r="605" spans="1:19" hidden="1" x14ac:dyDescent="0.3">
      <c r="A605" s="4">
        <v>44631</v>
      </c>
      <c r="B605" s="5">
        <f t="shared" si="102"/>
        <v>3</v>
      </c>
      <c r="C605" s="5">
        <f t="shared" si="103"/>
        <v>2022</v>
      </c>
      <c r="D605" s="5" t="s">
        <v>644</v>
      </c>
      <c r="E605" s="5" t="str">
        <f>VLOOKUP(F605,'Set up'!$A$2:$C$48,2,FALSE)</f>
        <v>C00000019</v>
      </c>
      <c r="F605" s="1" t="s">
        <v>401</v>
      </c>
      <c r="G605" s="11" t="s">
        <v>479</v>
      </c>
      <c r="H605" s="5">
        <v>3</v>
      </c>
      <c r="I605" s="5" t="str">
        <f>VLOOKUP(F605,'Set up'!$A$2:$C$48,3,FALSE)</f>
        <v>Cash</v>
      </c>
      <c r="J605" s="5">
        <f>VLOOKUP(F605,'Set up'!$A$2:$D$48,4,FALSE)</f>
        <v>0</v>
      </c>
      <c r="K605" s="4">
        <f t="shared" si="109"/>
        <v>44631</v>
      </c>
      <c r="L605" s="5">
        <f t="shared" si="99"/>
        <v>3</v>
      </c>
      <c r="M605" s="5">
        <f t="shared" si="100"/>
        <v>2022</v>
      </c>
      <c r="N605" s="6">
        <v>1571.3999999999999</v>
      </c>
      <c r="O605" s="6">
        <f t="shared" si="107"/>
        <v>-1571.3999999999999</v>
      </c>
      <c r="P605" s="6">
        <f t="shared" si="108"/>
        <v>0</v>
      </c>
      <c r="Q605" s="7">
        <f t="shared" si="106"/>
        <v>1064312.8500000001</v>
      </c>
      <c r="R605" s="44" t="str">
        <f>VLOOKUP(F605,'Set up'!$A$2:$E$48,5,FALSE)</f>
        <v>Trsf</v>
      </c>
      <c r="S605" s="1" t="s">
        <v>803</v>
      </c>
    </row>
    <row r="606" spans="1:19" hidden="1" x14ac:dyDescent="0.3">
      <c r="A606" s="4">
        <v>44631</v>
      </c>
      <c r="B606" s="5">
        <f t="shared" si="102"/>
        <v>3</v>
      </c>
      <c r="C606" s="5">
        <f t="shared" si="103"/>
        <v>2022</v>
      </c>
      <c r="D606" s="5" t="s">
        <v>644</v>
      </c>
      <c r="E606" s="5" t="str">
        <f>VLOOKUP(F606,'Set up'!$A$2:$C$48,2,FALSE)</f>
        <v>C00000019</v>
      </c>
      <c r="F606" s="1" t="s">
        <v>401</v>
      </c>
      <c r="G606" s="11" t="s">
        <v>64</v>
      </c>
      <c r="H606" s="5">
        <v>5</v>
      </c>
      <c r="I606" s="5" t="str">
        <f>VLOOKUP(F606,'Set up'!$A$2:$C$48,3,FALSE)</f>
        <v>Cash</v>
      </c>
      <c r="J606" s="5">
        <f>VLOOKUP(F606,'Set up'!$A$2:$D$48,4,FALSE)</f>
        <v>0</v>
      </c>
      <c r="K606" s="4">
        <f t="shared" si="109"/>
        <v>44631</v>
      </c>
      <c r="L606" s="5">
        <f t="shared" si="99"/>
        <v>3</v>
      </c>
      <c r="M606" s="5">
        <f t="shared" si="100"/>
        <v>2022</v>
      </c>
      <c r="N606" s="6">
        <v>312.5</v>
      </c>
      <c r="O606" s="6">
        <f t="shared" si="107"/>
        <v>-312.5</v>
      </c>
      <c r="P606" s="6">
        <f t="shared" si="108"/>
        <v>0</v>
      </c>
      <c r="Q606" s="7">
        <f t="shared" si="106"/>
        <v>1064625.3500000001</v>
      </c>
      <c r="R606" s="44" t="str">
        <f>VLOOKUP(F606,'Set up'!$A$2:$E$48,5,FALSE)</f>
        <v>Trsf</v>
      </c>
      <c r="S606" s="1" t="s">
        <v>803</v>
      </c>
    </row>
    <row r="607" spans="1:19" hidden="1" x14ac:dyDescent="0.3">
      <c r="A607" s="4">
        <v>44631</v>
      </c>
      <c r="B607" s="5">
        <f t="shared" si="102"/>
        <v>3</v>
      </c>
      <c r="C607" s="5">
        <f t="shared" si="103"/>
        <v>2022</v>
      </c>
      <c r="D607" s="5" t="s">
        <v>644</v>
      </c>
      <c r="E607" s="5" t="str">
        <f>VLOOKUP(F607,'Set up'!$A$2:$C$48,2,FALSE)</f>
        <v>C00000019</v>
      </c>
      <c r="F607" s="1" t="s">
        <v>401</v>
      </c>
      <c r="G607" s="11" t="s">
        <v>293</v>
      </c>
      <c r="H607" s="5">
        <v>1</v>
      </c>
      <c r="I607" s="5" t="str">
        <f>VLOOKUP(F607,'Set up'!$A$2:$C$48,3,FALSE)</f>
        <v>Cash</v>
      </c>
      <c r="J607" s="5">
        <f>VLOOKUP(F607,'Set up'!$A$2:$D$48,4,FALSE)</f>
        <v>0</v>
      </c>
      <c r="K607" s="4">
        <f t="shared" si="109"/>
        <v>44631</v>
      </c>
      <c r="L607" s="5">
        <f t="shared" ref="L607:L670" si="110">MONTH(K607)</f>
        <v>3</v>
      </c>
      <c r="M607" s="5">
        <f t="shared" ref="M607:M670" si="111">YEAR(K607)</f>
        <v>2022</v>
      </c>
      <c r="N607" s="6">
        <v>360</v>
      </c>
      <c r="O607" s="6">
        <f t="shared" si="107"/>
        <v>-360</v>
      </c>
      <c r="P607" s="6">
        <f t="shared" si="108"/>
        <v>0</v>
      </c>
      <c r="Q607" s="7">
        <f t="shared" si="106"/>
        <v>1064985.3500000001</v>
      </c>
      <c r="R607" s="44" t="str">
        <f>VLOOKUP(F607,'Set up'!$A$2:$E$48,5,FALSE)</f>
        <v>Trsf</v>
      </c>
      <c r="S607" s="1" t="s">
        <v>803</v>
      </c>
    </row>
    <row r="608" spans="1:19" hidden="1" x14ac:dyDescent="0.3">
      <c r="A608" s="4">
        <v>44632</v>
      </c>
      <c r="B608" s="5">
        <f t="shared" si="102"/>
        <v>3</v>
      </c>
      <c r="C608" s="5">
        <f t="shared" si="103"/>
        <v>2022</v>
      </c>
      <c r="D608" s="5" t="s">
        <v>645</v>
      </c>
      <c r="E608" s="5" t="str">
        <f>VLOOKUP(F608,'Set up'!$A$2:$C$48,2,FALSE)</f>
        <v>C00000022</v>
      </c>
      <c r="F608" s="1" t="s">
        <v>638</v>
      </c>
      <c r="G608" s="11" t="s">
        <v>293</v>
      </c>
      <c r="H608" s="5">
        <v>1</v>
      </c>
      <c r="I608" s="5" t="str">
        <f>VLOOKUP(F608,'Set up'!$A$2:$C$48,3,FALSE)</f>
        <v>Cash</v>
      </c>
      <c r="J608" s="5">
        <f>VLOOKUP(F608,'Set up'!$A$2:$D$48,4,FALSE)</f>
        <v>0</v>
      </c>
      <c r="K608" s="4">
        <f t="shared" si="109"/>
        <v>44632</v>
      </c>
      <c r="L608" s="5">
        <f t="shared" si="110"/>
        <v>3</v>
      </c>
      <c r="M608" s="5">
        <f t="shared" si="111"/>
        <v>2022</v>
      </c>
      <c r="N608" s="6">
        <v>390</v>
      </c>
      <c r="O608" s="6">
        <f t="shared" si="107"/>
        <v>-390</v>
      </c>
      <c r="P608" s="6">
        <f t="shared" si="108"/>
        <v>0</v>
      </c>
      <c r="Q608" s="7">
        <f t="shared" si="106"/>
        <v>1065375.3500000001</v>
      </c>
      <c r="R608" s="44" t="str">
        <f>VLOOKUP(F608,'Set up'!$A$2:$E$48,5,FALSE)</f>
        <v>Trsf</v>
      </c>
      <c r="S608" s="1" t="s">
        <v>669</v>
      </c>
    </row>
    <row r="609" spans="1:19" hidden="1" x14ac:dyDescent="0.3">
      <c r="A609" s="4">
        <v>44632</v>
      </c>
      <c r="B609" s="5">
        <f t="shared" si="102"/>
        <v>3</v>
      </c>
      <c r="C609" s="5">
        <f t="shared" si="103"/>
        <v>2022</v>
      </c>
      <c r="D609" s="5" t="s">
        <v>646</v>
      </c>
      <c r="E609" s="5" t="str">
        <f>VLOOKUP(F609,'Set up'!$A$2:$C$48,2,FALSE)</f>
        <v>C00000006</v>
      </c>
      <c r="F609" s="1" t="s">
        <v>43</v>
      </c>
      <c r="G609" s="11" t="s">
        <v>554</v>
      </c>
      <c r="H609" s="5">
        <v>1</v>
      </c>
      <c r="I609" s="5" t="str">
        <f>VLOOKUP(F609,'Set up'!$A$2:$C$48,3,FALSE)</f>
        <v>Cash</v>
      </c>
      <c r="J609" s="5">
        <f>VLOOKUP(F609,'Set up'!$A$2:$D$48,4,FALSE)</f>
        <v>0</v>
      </c>
      <c r="K609" s="4">
        <f t="shared" si="109"/>
        <v>44632</v>
      </c>
      <c r="L609" s="5">
        <f t="shared" si="110"/>
        <v>3</v>
      </c>
      <c r="M609" s="5">
        <f t="shared" si="111"/>
        <v>2022</v>
      </c>
      <c r="N609" s="6">
        <v>2068</v>
      </c>
      <c r="O609" s="6">
        <f>SUM(-N609)</f>
        <v>-2068</v>
      </c>
      <c r="P609" s="6">
        <f t="shared" si="108"/>
        <v>0</v>
      </c>
      <c r="Q609" s="7">
        <f t="shared" si="106"/>
        <v>1067443.3500000001</v>
      </c>
      <c r="R609" s="44" t="str">
        <f>VLOOKUP(F609,'Set up'!$A$2:$E$48,5,FALSE)</f>
        <v>Chq</v>
      </c>
      <c r="S609" s="1" t="s">
        <v>747</v>
      </c>
    </row>
    <row r="610" spans="1:19" x14ac:dyDescent="0.3">
      <c r="A610" s="4">
        <v>44634</v>
      </c>
      <c r="B610" s="5">
        <f t="shared" si="102"/>
        <v>3</v>
      </c>
      <c r="C610" s="5">
        <f t="shared" si="103"/>
        <v>2022</v>
      </c>
      <c r="D610" s="5" t="s">
        <v>647</v>
      </c>
      <c r="E610" s="5" t="str">
        <f>VLOOKUP(F610,'Set up'!$A$2:$C$48,2,FALSE)</f>
        <v>C00000020</v>
      </c>
      <c r="F610" s="1" t="s">
        <v>410</v>
      </c>
      <c r="G610" s="11" t="s">
        <v>546</v>
      </c>
      <c r="H610" s="5">
        <v>1</v>
      </c>
      <c r="I610" s="5" t="str">
        <f>VLOOKUP(F610,'Set up'!$A$2:$C$48,3,FALSE)</f>
        <v>Cash</v>
      </c>
      <c r="J610" s="5">
        <f>VLOOKUP(F610,'Set up'!$A$2:$D$48,4,FALSE)</f>
        <v>0</v>
      </c>
      <c r="K610" s="4">
        <f t="shared" si="109"/>
        <v>44634</v>
      </c>
      <c r="L610" s="5">
        <f t="shared" si="110"/>
        <v>3</v>
      </c>
      <c r="M610" s="5">
        <f t="shared" si="111"/>
        <v>2022</v>
      </c>
      <c r="N610" s="6">
        <v>2090</v>
      </c>
      <c r="O610" s="6">
        <f>-510.3-1579.7</f>
        <v>-2090</v>
      </c>
      <c r="P610" s="6">
        <f t="shared" si="108"/>
        <v>0</v>
      </c>
      <c r="Q610" s="7">
        <f t="shared" si="106"/>
        <v>1069533.3500000001</v>
      </c>
      <c r="R610" s="44" t="str">
        <f>VLOOKUP(F610,'Set up'!$A$2:$E$48,5,FALSE)</f>
        <v>Trsf</v>
      </c>
      <c r="S610" s="1" t="s">
        <v>824</v>
      </c>
    </row>
    <row r="611" spans="1:19" x14ac:dyDescent="0.3">
      <c r="A611" s="4">
        <v>44634</v>
      </c>
      <c r="B611" s="5">
        <f t="shared" si="102"/>
        <v>3</v>
      </c>
      <c r="C611" s="5">
        <f t="shared" si="103"/>
        <v>2022</v>
      </c>
      <c r="D611" s="5" t="s">
        <v>647</v>
      </c>
      <c r="E611" s="5" t="str">
        <f>VLOOKUP(F611,'Set up'!$A$2:$C$48,2,FALSE)</f>
        <v>C00000020</v>
      </c>
      <c r="F611" s="1" t="s">
        <v>410</v>
      </c>
      <c r="G611" s="11" t="s">
        <v>556</v>
      </c>
      <c r="H611" s="5">
        <v>1</v>
      </c>
      <c r="I611" s="5" t="str">
        <f>VLOOKUP(F611,'Set up'!$A$2:$C$48,3,FALSE)</f>
        <v>Cash</v>
      </c>
      <c r="J611" s="5">
        <f>VLOOKUP(F611,'Set up'!$A$2:$D$48,4,FALSE)</f>
        <v>0</v>
      </c>
      <c r="K611" s="4">
        <f t="shared" si="109"/>
        <v>44634</v>
      </c>
      <c r="L611" s="5">
        <f t="shared" si="110"/>
        <v>3</v>
      </c>
      <c r="M611" s="5">
        <f t="shared" si="111"/>
        <v>2022</v>
      </c>
      <c r="N611" s="6">
        <v>588</v>
      </c>
      <c r="O611" s="6">
        <f t="shared" ref="O611:O616" si="112">-N611</f>
        <v>-588</v>
      </c>
      <c r="P611" s="6">
        <f t="shared" si="108"/>
        <v>0</v>
      </c>
      <c r="Q611" s="7">
        <f t="shared" si="106"/>
        <v>1070121.3500000001</v>
      </c>
      <c r="R611" s="44" t="str">
        <f>VLOOKUP(F611,'Set up'!$A$2:$E$48,5,FALSE)</f>
        <v>Trsf</v>
      </c>
      <c r="S611" s="1" t="s">
        <v>823</v>
      </c>
    </row>
    <row r="612" spans="1:19" x14ac:dyDescent="0.3">
      <c r="A612" s="4">
        <v>44634</v>
      </c>
      <c r="B612" s="5">
        <f t="shared" si="102"/>
        <v>3</v>
      </c>
      <c r="C612" s="5">
        <f t="shared" si="103"/>
        <v>2022</v>
      </c>
      <c r="D612" s="5" t="s">
        <v>647</v>
      </c>
      <c r="E612" s="5" t="str">
        <f>VLOOKUP(F612,'Set up'!$A$2:$C$48,2,FALSE)</f>
        <v>C00000020</v>
      </c>
      <c r="F612" s="1" t="s">
        <v>410</v>
      </c>
      <c r="G612" s="11" t="s">
        <v>557</v>
      </c>
      <c r="H612" s="5">
        <v>1</v>
      </c>
      <c r="I612" s="5" t="str">
        <f>VLOOKUP(F612,'Set up'!$A$2:$C$48,3,FALSE)</f>
        <v>Cash</v>
      </c>
      <c r="J612" s="5">
        <f>VLOOKUP(F612,'Set up'!$A$2:$D$48,4,FALSE)</f>
        <v>0</v>
      </c>
      <c r="K612" s="4">
        <f t="shared" si="109"/>
        <v>44634</v>
      </c>
      <c r="L612" s="5">
        <f t="shared" si="110"/>
        <v>3</v>
      </c>
      <c r="M612" s="5">
        <f t="shared" si="111"/>
        <v>2022</v>
      </c>
      <c r="N612" s="6">
        <v>351</v>
      </c>
      <c r="O612" s="6">
        <f t="shared" si="112"/>
        <v>-351</v>
      </c>
      <c r="P612" s="6">
        <f t="shared" si="108"/>
        <v>0</v>
      </c>
      <c r="Q612" s="7">
        <f t="shared" si="106"/>
        <v>1070472.3500000001</v>
      </c>
      <c r="R612" s="44" t="str">
        <f>VLOOKUP(F612,'Set up'!$A$2:$E$48,5,FALSE)</f>
        <v>Trsf</v>
      </c>
      <c r="S612" s="1" t="s">
        <v>823</v>
      </c>
    </row>
    <row r="613" spans="1:19" hidden="1" x14ac:dyDescent="0.3">
      <c r="A613" s="4">
        <v>44635</v>
      </c>
      <c r="B613" s="5">
        <f t="shared" si="102"/>
        <v>3</v>
      </c>
      <c r="C613" s="5">
        <f t="shared" si="103"/>
        <v>2022</v>
      </c>
      <c r="D613" s="5" t="s">
        <v>648</v>
      </c>
      <c r="E613" s="5" t="str">
        <f>VLOOKUP(F613,'Set up'!$A$2:$C$48,2,FALSE)</f>
        <v>C00000010</v>
      </c>
      <c r="F613" s="1" t="s">
        <v>62</v>
      </c>
      <c r="G613" s="11" t="s">
        <v>554</v>
      </c>
      <c r="H613" s="5">
        <v>6</v>
      </c>
      <c r="I613" s="5">
        <f>VLOOKUP(F613,'Set up'!$A$2:$C$48,3,FALSE)</f>
        <v>120</v>
      </c>
      <c r="J613" s="5">
        <f>VLOOKUP(F613,'Set up'!$A$2:$D$48,4,FALSE)</f>
        <v>120</v>
      </c>
      <c r="K613" s="4">
        <f t="shared" si="109"/>
        <v>44755</v>
      </c>
      <c r="L613" s="5">
        <f t="shared" si="110"/>
        <v>7</v>
      </c>
      <c r="M613" s="5">
        <f t="shared" si="111"/>
        <v>2022</v>
      </c>
      <c r="N613" s="6">
        <v>11880</v>
      </c>
      <c r="O613" s="6">
        <f t="shared" si="112"/>
        <v>-11880</v>
      </c>
      <c r="P613" s="6">
        <f t="shared" si="108"/>
        <v>0</v>
      </c>
      <c r="Q613" s="7">
        <f t="shared" si="106"/>
        <v>1082352.3500000001</v>
      </c>
      <c r="R613" s="44" t="str">
        <f>VLOOKUP(F613,'Set up'!$A$2:$E$48,5,FALSE)</f>
        <v>Trsf</v>
      </c>
      <c r="S613" s="1" t="s">
        <v>854</v>
      </c>
    </row>
    <row r="614" spans="1:19" hidden="1" x14ac:dyDescent="0.3">
      <c r="A614" s="4">
        <v>44635</v>
      </c>
      <c r="B614" s="5">
        <f t="shared" si="102"/>
        <v>3</v>
      </c>
      <c r="C614" s="5">
        <f t="shared" si="103"/>
        <v>2022</v>
      </c>
      <c r="D614" s="5" t="s">
        <v>648</v>
      </c>
      <c r="E614" s="5" t="str">
        <f>VLOOKUP(F614,'Set up'!$A$2:$C$48,2,FALSE)</f>
        <v>C00000010</v>
      </c>
      <c r="F614" s="1" t="s">
        <v>62</v>
      </c>
      <c r="G614" s="11" t="s">
        <v>614</v>
      </c>
      <c r="H614" s="5">
        <v>5</v>
      </c>
      <c r="I614" s="5">
        <f>VLOOKUP(F614,'Set up'!$A$2:$C$48,3,FALSE)</f>
        <v>120</v>
      </c>
      <c r="J614" s="5">
        <f>VLOOKUP(F614,'Set up'!$A$2:$D$48,4,FALSE)</f>
        <v>120</v>
      </c>
      <c r="K614" s="4">
        <f t="shared" si="109"/>
        <v>44755</v>
      </c>
      <c r="L614" s="5">
        <f t="shared" si="110"/>
        <v>7</v>
      </c>
      <c r="M614" s="5">
        <f t="shared" si="111"/>
        <v>2022</v>
      </c>
      <c r="N614" s="6">
        <v>1425</v>
      </c>
      <c r="O614" s="6">
        <f t="shared" si="112"/>
        <v>-1425</v>
      </c>
      <c r="P614" s="6">
        <f t="shared" si="108"/>
        <v>0</v>
      </c>
      <c r="Q614" s="7">
        <f t="shared" si="106"/>
        <v>1083777.3500000001</v>
      </c>
      <c r="R614" s="44" t="str">
        <f>VLOOKUP(F614,'Set up'!$A$2:$E$48,5,FALSE)</f>
        <v>Trsf</v>
      </c>
      <c r="S614" s="1" t="s">
        <v>854</v>
      </c>
    </row>
    <row r="615" spans="1:19" hidden="1" x14ac:dyDescent="0.3">
      <c r="A615" s="4">
        <v>44635</v>
      </c>
      <c r="B615" s="5">
        <f t="shared" si="102"/>
        <v>3</v>
      </c>
      <c r="C615" s="5">
        <f t="shared" si="103"/>
        <v>2022</v>
      </c>
      <c r="D615" s="5" t="s">
        <v>648</v>
      </c>
      <c r="E615" s="5" t="str">
        <f>VLOOKUP(F615,'Set up'!$A$2:$C$48,2,FALSE)</f>
        <v>C00000010</v>
      </c>
      <c r="F615" s="1" t="s">
        <v>62</v>
      </c>
      <c r="G615" s="11" t="s">
        <v>239</v>
      </c>
      <c r="H615" s="5">
        <v>2</v>
      </c>
      <c r="I615" s="5">
        <f>VLOOKUP(F615,'Set up'!$A$2:$C$48,3,FALSE)</f>
        <v>120</v>
      </c>
      <c r="J615" s="5">
        <f>VLOOKUP(F615,'Set up'!$A$2:$D$48,4,FALSE)</f>
        <v>120</v>
      </c>
      <c r="K615" s="4">
        <f t="shared" si="109"/>
        <v>44755</v>
      </c>
      <c r="L615" s="5">
        <f t="shared" si="110"/>
        <v>7</v>
      </c>
      <c r="M615" s="5">
        <f t="shared" si="111"/>
        <v>2022</v>
      </c>
      <c r="N615" s="6">
        <v>880</v>
      </c>
      <c r="O615" s="6">
        <f t="shared" si="112"/>
        <v>-880</v>
      </c>
      <c r="P615" s="6">
        <f t="shared" si="108"/>
        <v>0</v>
      </c>
      <c r="Q615" s="7">
        <f t="shared" si="106"/>
        <v>1084657.3500000001</v>
      </c>
      <c r="R615" s="44" t="str">
        <f>VLOOKUP(F615,'Set up'!$A$2:$E$48,5,FALSE)</f>
        <v>Trsf</v>
      </c>
      <c r="S615" s="1" t="s">
        <v>854</v>
      </c>
    </row>
    <row r="616" spans="1:19" x14ac:dyDescent="0.3">
      <c r="A616" s="4">
        <v>44635</v>
      </c>
      <c r="B616" s="5">
        <f t="shared" si="102"/>
        <v>3</v>
      </c>
      <c r="C616" s="5">
        <f t="shared" si="103"/>
        <v>2022</v>
      </c>
      <c r="D616" s="5" t="s">
        <v>649</v>
      </c>
      <c r="E616" s="5" t="str">
        <f>VLOOKUP(F616,'Set up'!$A$2:$C$48,2,FALSE)</f>
        <v>C00000020</v>
      </c>
      <c r="F616" s="1" t="s">
        <v>410</v>
      </c>
      <c r="G616" s="11" t="s">
        <v>546</v>
      </c>
      <c r="H616" s="5">
        <v>3</v>
      </c>
      <c r="I616" s="5" t="str">
        <f>VLOOKUP(F616,'Set up'!$A$2:$C$48,3,FALSE)</f>
        <v>Cash</v>
      </c>
      <c r="J616" s="5">
        <f>VLOOKUP(F616,'Set up'!$A$2:$D$48,4,FALSE)</f>
        <v>0</v>
      </c>
      <c r="K616" s="4">
        <f t="shared" si="109"/>
        <v>44635</v>
      </c>
      <c r="L616" s="5">
        <f t="shared" si="110"/>
        <v>3</v>
      </c>
      <c r="M616" s="5">
        <f t="shared" si="111"/>
        <v>2022</v>
      </c>
      <c r="N616" s="6">
        <v>6270</v>
      </c>
      <c r="O616" s="6">
        <f t="shared" si="112"/>
        <v>-6270</v>
      </c>
      <c r="P616" s="6">
        <f t="shared" si="108"/>
        <v>0</v>
      </c>
      <c r="Q616" s="7">
        <f t="shared" si="106"/>
        <v>1090927.3500000001</v>
      </c>
      <c r="R616" s="44" t="str">
        <f>VLOOKUP(F616,'Set up'!$A$2:$E$48,5,FALSE)</f>
        <v>Trsf</v>
      </c>
      <c r="S616" s="1" t="s">
        <v>823</v>
      </c>
    </row>
    <row r="617" spans="1:19" x14ac:dyDescent="0.3">
      <c r="A617" s="4">
        <v>44635</v>
      </c>
      <c r="B617" s="5">
        <f t="shared" si="102"/>
        <v>3</v>
      </c>
      <c r="C617" s="5">
        <f t="shared" si="103"/>
        <v>2022</v>
      </c>
      <c r="D617" s="5" t="s">
        <v>649</v>
      </c>
      <c r="E617" s="5" t="str">
        <f>VLOOKUP(F617,'Set up'!$A$2:$C$48,2,FALSE)</f>
        <v>C00000020</v>
      </c>
      <c r="F617" s="1" t="s">
        <v>410</v>
      </c>
      <c r="G617" s="11" t="s">
        <v>556</v>
      </c>
      <c r="H617" s="5">
        <v>6</v>
      </c>
      <c r="I617" s="5" t="str">
        <f>VLOOKUP(F617,'Set up'!$A$2:$C$48,3,FALSE)</f>
        <v>Cash</v>
      </c>
      <c r="J617" s="5">
        <f>VLOOKUP(F617,'Set up'!$A$2:$D$48,4,FALSE)</f>
        <v>0</v>
      </c>
      <c r="K617" s="4">
        <f t="shared" si="109"/>
        <v>44635</v>
      </c>
      <c r="L617" s="5">
        <f t="shared" si="110"/>
        <v>3</v>
      </c>
      <c r="M617" s="5">
        <f t="shared" si="111"/>
        <v>2022</v>
      </c>
      <c r="N617" s="6">
        <v>3528</v>
      </c>
      <c r="O617" s="6">
        <f>-1211.3-2316.7</f>
        <v>-3528</v>
      </c>
      <c r="P617" s="6">
        <f t="shared" si="108"/>
        <v>0</v>
      </c>
      <c r="Q617" s="7">
        <f t="shared" si="106"/>
        <v>1094455.3500000001</v>
      </c>
      <c r="R617" s="44" t="str">
        <f>VLOOKUP(F617,'Set up'!$A$2:$E$48,5,FALSE)</f>
        <v>Trsf</v>
      </c>
      <c r="S617" s="1" t="s">
        <v>826</v>
      </c>
    </row>
    <row r="618" spans="1:19" x14ac:dyDescent="0.3">
      <c r="A618" s="4">
        <v>44635</v>
      </c>
      <c r="B618" s="5">
        <f t="shared" si="102"/>
        <v>3</v>
      </c>
      <c r="C618" s="5">
        <f t="shared" si="103"/>
        <v>2022</v>
      </c>
      <c r="D618" s="5" t="s">
        <v>649</v>
      </c>
      <c r="E618" s="5" t="str">
        <f>VLOOKUP(F618,'Set up'!$A$2:$C$48,2,FALSE)</f>
        <v>C00000020</v>
      </c>
      <c r="F618" s="1" t="s">
        <v>410</v>
      </c>
      <c r="G618" s="11" t="s">
        <v>557</v>
      </c>
      <c r="H618" s="5">
        <v>1</v>
      </c>
      <c r="I618" s="5" t="str">
        <f>VLOOKUP(F618,'Set up'!$A$2:$C$48,3,FALSE)</f>
        <v>Cash</v>
      </c>
      <c r="J618" s="5">
        <f>VLOOKUP(F618,'Set up'!$A$2:$D$48,4,FALSE)</f>
        <v>0</v>
      </c>
      <c r="K618" s="4">
        <f t="shared" si="109"/>
        <v>44635</v>
      </c>
      <c r="L618" s="5">
        <f t="shared" si="110"/>
        <v>3</v>
      </c>
      <c r="M618" s="5">
        <f t="shared" si="111"/>
        <v>2022</v>
      </c>
      <c r="N618" s="6">
        <v>351</v>
      </c>
      <c r="O618" s="6">
        <f>-N618</f>
        <v>-351</v>
      </c>
      <c r="P618" s="6">
        <f t="shared" si="108"/>
        <v>0</v>
      </c>
      <c r="Q618" s="7">
        <f t="shared" si="106"/>
        <v>1094806.3500000001</v>
      </c>
      <c r="R618" s="44" t="str">
        <f>VLOOKUP(F618,'Set up'!$A$2:$E$48,5,FALSE)</f>
        <v>Trsf</v>
      </c>
      <c r="S618" s="1" t="s">
        <v>825</v>
      </c>
    </row>
    <row r="619" spans="1:19" x14ac:dyDescent="0.3">
      <c r="A619" s="4">
        <v>44635</v>
      </c>
      <c r="B619" s="5">
        <f t="shared" si="102"/>
        <v>3</v>
      </c>
      <c r="C619" s="5">
        <f t="shared" si="103"/>
        <v>2022</v>
      </c>
      <c r="D619" s="5" t="s">
        <v>649</v>
      </c>
      <c r="E619" s="5" t="str">
        <f>VLOOKUP(F619,'Set up'!$A$2:$C$48,2,FALSE)</f>
        <v>C00000020</v>
      </c>
      <c r="F619" s="1" t="s">
        <v>410</v>
      </c>
      <c r="G619" s="11" t="s">
        <v>259</v>
      </c>
      <c r="H619" s="5">
        <v>3</v>
      </c>
      <c r="I619" s="5" t="str">
        <f>VLOOKUP(F619,'Set up'!$A$2:$C$48,3,FALSE)</f>
        <v>Cash</v>
      </c>
      <c r="J619" s="5">
        <f>VLOOKUP(F619,'Set up'!$A$2:$D$48,4,FALSE)</f>
        <v>0</v>
      </c>
      <c r="K619" s="4">
        <f t="shared" si="109"/>
        <v>44635</v>
      </c>
      <c r="L619" s="5">
        <f t="shared" si="110"/>
        <v>3</v>
      </c>
      <c r="M619" s="5">
        <f t="shared" si="111"/>
        <v>2022</v>
      </c>
      <c r="N619" s="6">
        <v>936</v>
      </c>
      <c r="O619" s="6">
        <f>-N619</f>
        <v>-936</v>
      </c>
      <c r="P619" s="6">
        <f t="shared" si="108"/>
        <v>0</v>
      </c>
      <c r="Q619" s="7">
        <f t="shared" si="106"/>
        <v>1095742.3500000001</v>
      </c>
      <c r="R619" s="44" t="str">
        <f>VLOOKUP(F619,'Set up'!$A$2:$E$48,5,FALSE)</f>
        <v>Trsf</v>
      </c>
      <c r="S619" s="1" t="s">
        <v>825</v>
      </c>
    </row>
    <row r="620" spans="1:19" x14ac:dyDescent="0.3">
      <c r="A620" s="4">
        <v>44635</v>
      </c>
      <c r="B620" s="5">
        <f t="shared" si="102"/>
        <v>3</v>
      </c>
      <c r="C620" s="5">
        <f t="shared" si="103"/>
        <v>2022</v>
      </c>
      <c r="D620" s="5" t="s">
        <v>649</v>
      </c>
      <c r="E620" s="5" t="str">
        <f>VLOOKUP(F620,'Set up'!$A$2:$C$48,2,FALSE)</f>
        <v>C00000020</v>
      </c>
      <c r="F620" s="1" t="s">
        <v>410</v>
      </c>
      <c r="G620" s="11" t="s">
        <v>382</v>
      </c>
      <c r="H620" s="5">
        <v>4</v>
      </c>
      <c r="I620" s="5" t="str">
        <f>VLOOKUP(F620,'Set up'!$A$2:$C$48,3,FALSE)</f>
        <v>Cash</v>
      </c>
      <c r="J620" s="5">
        <f>VLOOKUP(F620,'Set up'!$A$2:$D$48,4,FALSE)</f>
        <v>0</v>
      </c>
      <c r="K620" s="4">
        <f t="shared" si="109"/>
        <v>44635</v>
      </c>
      <c r="L620" s="5">
        <f t="shared" si="110"/>
        <v>3</v>
      </c>
      <c r="M620" s="5">
        <f t="shared" si="111"/>
        <v>2022</v>
      </c>
      <c r="N620" s="6">
        <v>340</v>
      </c>
      <c r="O620" s="6">
        <f>-N620</f>
        <v>-340</v>
      </c>
      <c r="P620" s="6">
        <f t="shared" si="108"/>
        <v>0</v>
      </c>
      <c r="Q620" s="7">
        <f t="shared" si="106"/>
        <v>1096082.3500000001</v>
      </c>
      <c r="R620" s="44" t="str">
        <f>VLOOKUP(F620,'Set up'!$A$2:$E$48,5,FALSE)</f>
        <v>Trsf</v>
      </c>
      <c r="S620" s="1" t="s">
        <v>825</v>
      </c>
    </row>
    <row r="621" spans="1:19" hidden="1" x14ac:dyDescent="0.3">
      <c r="A621" s="4">
        <v>44637</v>
      </c>
      <c r="B621" s="5">
        <f t="shared" ref="B621:B684" si="113">MONTH(A621)</f>
        <v>3</v>
      </c>
      <c r="C621" s="5">
        <f t="shared" ref="C621:C684" si="114">YEAR(A621)</f>
        <v>2022</v>
      </c>
      <c r="D621" s="5" t="s">
        <v>650</v>
      </c>
      <c r="E621" s="5" t="str">
        <f>VLOOKUP(F621,'Set up'!$A$2:$C$48,2,FALSE)</f>
        <v>C00000019</v>
      </c>
      <c r="F621" s="1" t="s">
        <v>401</v>
      </c>
      <c r="G621" s="11" t="s">
        <v>567</v>
      </c>
      <c r="H621" s="5">
        <v>3</v>
      </c>
      <c r="I621" s="5" t="str">
        <f>VLOOKUP(F621,'Set up'!$A$2:$C$48,3,FALSE)</f>
        <v>Cash</v>
      </c>
      <c r="J621" s="5">
        <f>VLOOKUP(F621,'Set up'!$A$2:$D$48,4,FALSE)</f>
        <v>0</v>
      </c>
      <c r="K621" s="4">
        <f t="shared" si="109"/>
        <v>44637</v>
      </c>
      <c r="L621" s="5">
        <f t="shared" si="110"/>
        <v>3</v>
      </c>
      <c r="M621" s="5">
        <f t="shared" si="111"/>
        <v>2022</v>
      </c>
      <c r="N621" s="6">
        <v>315</v>
      </c>
      <c r="O621" s="6">
        <f>-N621</f>
        <v>-315</v>
      </c>
      <c r="P621" s="6">
        <f t="shared" si="108"/>
        <v>0</v>
      </c>
      <c r="Q621" s="7">
        <f t="shared" si="106"/>
        <v>1096397.3500000001</v>
      </c>
      <c r="R621" s="44" t="str">
        <f>VLOOKUP(F621,'Set up'!$A$2:$E$48,5,FALSE)</f>
        <v>Trsf</v>
      </c>
      <c r="S621" s="1" t="s">
        <v>804</v>
      </c>
    </row>
    <row r="622" spans="1:19" x14ac:dyDescent="0.3">
      <c r="A622" s="4">
        <v>44638</v>
      </c>
      <c r="B622" s="5">
        <f t="shared" si="113"/>
        <v>3</v>
      </c>
      <c r="C622" s="5">
        <f t="shared" si="114"/>
        <v>2022</v>
      </c>
      <c r="D622" s="5" t="s">
        <v>651</v>
      </c>
      <c r="E622" s="5" t="str">
        <f>VLOOKUP(F622,'Set up'!$A$2:$C$48,2,FALSE)</f>
        <v>C00000020</v>
      </c>
      <c r="F622" s="1" t="s">
        <v>410</v>
      </c>
      <c r="G622" s="11" t="s">
        <v>67</v>
      </c>
      <c r="H622" s="5">
        <v>3</v>
      </c>
      <c r="I622" s="5" t="str">
        <f>VLOOKUP(F622,'Set up'!$A$2:$C$48,3,FALSE)</f>
        <v>Cash</v>
      </c>
      <c r="J622" s="5">
        <f>VLOOKUP(F622,'Set up'!$A$2:$D$48,4,FALSE)</f>
        <v>0</v>
      </c>
      <c r="K622" s="4">
        <f t="shared" si="109"/>
        <v>44638</v>
      </c>
      <c r="L622" s="5">
        <f t="shared" si="110"/>
        <v>3</v>
      </c>
      <c r="M622" s="5">
        <f t="shared" si="111"/>
        <v>2022</v>
      </c>
      <c r="N622" s="6">
        <v>6270</v>
      </c>
      <c r="O622" s="6">
        <f>-5056.3-1213.7</f>
        <v>-6270</v>
      </c>
      <c r="P622" s="6">
        <f t="shared" si="108"/>
        <v>0</v>
      </c>
      <c r="Q622" s="7">
        <f t="shared" si="106"/>
        <v>1102667.3500000001</v>
      </c>
      <c r="R622" s="44" t="str">
        <f>VLOOKUP(F622,'Set up'!$A$2:$E$48,5,FALSE)</f>
        <v>Trsf</v>
      </c>
      <c r="S622" s="1" t="s">
        <v>840</v>
      </c>
    </row>
    <row r="623" spans="1:19" x14ac:dyDescent="0.3">
      <c r="A623" s="4">
        <v>44638</v>
      </c>
      <c r="B623" s="5">
        <f t="shared" si="113"/>
        <v>3</v>
      </c>
      <c r="C623" s="5">
        <f t="shared" si="114"/>
        <v>2022</v>
      </c>
      <c r="D623" s="5" t="s">
        <v>651</v>
      </c>
      <c r="E623" s="5" t="str">
        <f>VLOOKUP(F623,'Set up'!$A$2:$C$48,2,FALSE)</f>
        <v>C00000020</v>
      </c>
      <c r="F623" s="1" t="s">
        <v>410</v>
      </c>
      <c r="G623" s="11" t="s">
        <v>655</v>
      </c>
      <c r="H623" s="5">
        <v>7</v>
      </c>
      <c r="I623" s="5" t="str">
        <f>VLOOKUP(F623,'Set up'!$A$2:$C$48,3,FALSE)</f>
        <v>Cash</v>
      </c>
      <c r="J623" s="5">
        <f>VLOOKUP(F623,'Set up'!$A$2:$D$48,4,FALSE)</f>
        <v>0</v>
      </c>
      <c r="K623" s="4">
        <f t="shared" si="109"/>
        <v>44638</v>
      </c>
      <c r="L623" s="5">
        <f t="shared" si="110"/>
        <v>3</v>
      </c>
      <c r="M623" s="5">
        <f t="shared" si="111"/>
        <v>2022</v>
      </c>
      <c r="N623" s="6">
        <v>2058</v>
      </c>
      <c r="O623" s="6">
        <f t="shared" ref="O623:O631" si="115">-N623</f>
        <v>-2058</v>
      </c>
      <c r="P623" s="6">
        <f t="shared" si="108"/>
        <v>0</v>
      </c>
      <c r="Q623" s="7">
        <f t="shared" si="106"/>
        <v>1104725.3500000001</v>
      </c>
      <c r="R623" s="44" t="str">
        <f>VLOOKUP(F623,'Set up'!$A$2:$E$48,5,FALSE)</f>
        <v>Trsf</v>
      </c>
      <c r="S623" s="1" t="s">
        <v>839</v>
      </c>
    </row>
    <row r="624" spans="1:19" x14ac:dyDescent="0.3">
      <c r="A624" s="4">
        <v>44638</v>
      </c>
      <c r="B624" s="5">
        <f t="shared" si="113"/>
        <v>3</v>
      </c>
      <c r="C624" s="5">
        <f t="shared" si="114"/>
        <v>2022</v>
      </c>
      <c r="D624" s="5" t="s">
        <v>651</v>
      </c>
      <c r="E624" s="5" t="str">
        <f>VLOOKUP(F624,'Set up'!$A$2:$C$48,2,FALSE)</f>
        <v>C00000020</v>
      </c>
      <c r="F624" s="1" t="s">
        <v>410</v>
      </c>
      <c r="G624" s="11" t="s">
        <v>656</v>
      </c>
      <c r="H624" s="5">
        <v>5</v>
      </c>
      <c r="I624" s="5" t="str">
        <f>VLOOKUP(F624,'Set up'!$A$2:$C$48,3,FALSE)</f>
        <v>Cash</v>
      </c>
      <c r="J624" s="5">
        <f>VLOOKUP(F624,'Set up'!$A$2:$D$48,4,FALSE)</f>
        <v>0</v>
      </c>
      <c r="K624" s="4">
        <f t="shared" si="109"/>
        <v>44638</v>
      </c>
      <c r="L624" s="5">
        <f t="shared" si="110"/>
        <v>3</v>
      </c>
      <c r="M624" s="5">
        <f t="shared" si="111"/>
        <v>2022</v>
      </c>
      <c r="N624" s="6">
        <v>1560</v>
      </c>
      <c r="O624" s="6">
        <f t="shared" si="115"/>
        <v>-1560</v>
      </c>
      <c r="P624" s="6">
        <f t="shared" si="108"/>
        <v>0</v>
      </c>
      <c r="Q624" s="7">
        <f t="shared" si="106"/>
        <v>1106285.3500000001</v>
      </c>
      <c r="R624" s="44" t="str">
        <f>VLOOKUP(F624,'Set up'!$A$2:$E$48,5,FALSE)</f>
        <v>Trsf</v>
      </c>
      <c r="S624" s="1" t="s">
        <v>839</v>
      </c>
    </row>
    <row r="625" spans="1:19" hidden="1" x14ac:dyDescent="0.3">
      <c r="A625" s="4">
        <v>44639</v>
      </c>
      <c r="B625" s="5">
        <f t="shared" si="113"/>
        <v>3</v>
      </c>
      <c r="C625" s="5">
        <f t="shared" si="114"/>
        <v>2022</v>
      </c>
      <c r="D625" s="5" t="s">
        <v>652</v>
      </c>
      <c r="E625" s="5" t="str">
        <f>VLOOKUP(F625,'Set up'!$A$2:$C$48,2,FALSE)</f>
        <v>C00000021</v>
      </c>
      <c r="F625" s="1" t="s">
        <v>492</v>
      </c>
      <c r="G625" s="11" t="s">
        <v>67</v>
      </c>
      <c r="H625" s="5">
        <v>2</v>
      </c>
      <c r="I625" s="5" t="str">
        <f>VLOOKUP(F625,'Set up'!$A$2:$C$48,3,FALSE)</f>
        <v>Cash</v>
      </c>
      <c r="J625" s="5">
        <f>VLOOKUP(F625,'Set up'!$A$2:$D$48,4,FALSE)</f>
        <v>0</v>
      </c>
      <c r="K625" s="4">
        <f t="shared" si="109"/>
        <v>44639</v>
      </c>
      <c r="L625" s="5">
        <f t="shared" si="110"/>
        <v>3</v>
      </c>
      <c r="M625" s="5">
        <f t="shared" si="111"/>
        <v>2022</v>
      </c>
      <c r="N625" s="6">
        <v>4048</v>
      </c>
      <c r="O625" s="6">
        <f t="shared" si="115"/>
        <v>-4048</v>
      </c>
      <c r="P625" s="6">
        <f t="shared" si="108"/>
        <v>0</v>
      </c>
      <c r="Q625" s="7">
        <f t="shared" si="106"/>
        <v>1110333.3500000001</v>
      </c>
      <c r="R625" s="44" t="str">
        <f>VLOOKUP(F625,'Set up'!$A$2:$E$48,5,FALSE)</f>
        <v>PD Chq</v>
      </c>
      <c r="S625" s="1" t="s">
        <v>817</v>
      </c>
    </row>
    <row r="626" spans="1:19" hidden="1" x14ac:dyDescent="0.3">
      <c r="A626" s="4">
        <v>44639</v>
      </c>
      <c r="B626" s="5">
        <f t="shared" si="113"/>
        <v>3</v>
      </c>
      <c r="C626" s="5">
        <f t="shared" si="114"/>
        <v>2022</v>
      </c>
      <c r="D626" s="5" t="s">
        <v>652</v>
      </c>
      <c r="E626" s="5" t="str">
        <f>VLOOKUP(F626,'Set up'!$A$2:$C$48,2,FALSE)</f>
        <v>C00000021</v>
      </c>
      <c r="F626" s="1" t="s">
        <v>492</v>
      </c>
      <c r="G626" s="11" t="s">
        <v>655</v>
      </c>
      <c r="H626" s="5">
        <v>6</v>
      </c>
      <c r="I626" s="5" t="str">
        <f>VLOOKUP(F626,'Set up'!$A$2:$C$48,3,FALSE)</f>
        <v>Cash</v>
      </c>
      <c r="J626" s="5">
        <f>VLOOKUP(F626,'Set up'!$A$2:$D$48,4,FALSE)</f>
        <v>0</v>
      </c>
      <c r="K626" s="4">
        <f t="shared" si="109"/>
        <v>44639</v>
      </c>
      <c r="L626" s="5">
        <f t="shared" si="110"/>
        <v>3</v>
      </c>
      <c r="M626" s="5">
        <f t="shared" si="111"/>
        <v>2022</v>
      </c>
      <c r="N626" s="6">
        <v>1710</v>
      </c>
      <c r="O626" s="6">
        <f t="shared" si="115"/>
        <v>-1710</v>
      </c>
      <c r="P626" s="6">
        <f t="shared" si="108"/>
        <v>0</v>
      </c>
      <c r="Q626" s="7">
        <f t="shared" si="106"/>
        <v>1112043.3500000001</v>
      </c>
      <c r="R626" s="44" t="str">
        <f>VLOOKUP(F626,'Set up'!$A$2:$E$48,5,FALSE)</f>
        <v>PD Chq</v>
      </c>
      <c r="S626" s="1" t="s">
        <v>817</v>
      </c>
    </row>
    <row r="627" spans="1:19" hidden="1" x14ac:dyDescent="0.3">
      <c r="A627" s="4">
        <v>44639</v>
      </c>
      <c r="B627" s="5">
        <f t="shared" si="113"/>
        <v>3</v>
      </c>
      <c r="C627" s="5">
        <f t="shared" si="114"/>
        <v>2022</v>
      </c>
      <c r="D627" s="5" t="s">
        <v>652</v>
      </c>
      <c r="E627" s="5" t="str">
        <f>VLOOKUP(F627,'Set up'!$A$2:$C$48,2,FALSE)</f>
        <v>C00000021</v>
      </c>
      <c r="F627" s="1" t="s">
        <v>492</v>
      </c>
      <c r="G627" s="11" t="s">
        <v>382</v>
      </c>
      <c r="H627" s="5">
        <v>2</v>
      </c>
      <c r="I627" s="5" t="str">
        <f>VLOOKUP(F627,'Set up'!$A$2:$C$48,3,FALSE)</f>
        <v>Cash</v>
      </c>
      <c r="J627" s="5">
        <f>VLOOKUP(F627,'Set up'!$A$2:$D$48,4,FALSE)</f>
        <v>0</v>
      </c>
      <c r="K627" s="4">
        <f t="shared" si="109"/>
        <v>44639</v>
      </c>
      <c r="L627" s="5">
        <f t="shared" si="110"/>
        <v>3</v>
      </c>
      <c r="M627" s="5">
        <f t="shared" si="111"/>
        <v>2022</v>
      </c>
      <c r="N627" s="6">
        <v>170</v>
      </c>
      <c r="O627" s="6">
        <f t="shared" si="115"/>
        <v>-170</v>
      </c>
      <c r="P627" s="6">
        <f t="shared" si="108"/>
        <v>0</v>
      </c>
      <c r="Q627" s="7">
        <f t="shared" si="106"/>
        <v>1112213.3500000001</v>
      </c>
      <c r="R627" s="44" t="str">
        <f>VLOOKUP(F627,'Set up'!$A$2:$E$48,5,FALSE)</f>
        <v>PD Chq</v>
      </c>
      <c r="S627" s="1" t="s">
        <v>817</v>
      </c>
    </row>
    <row r="628" spans="1:19" hidden="1" x14ac:dyDescent="0.3">
      <c r="A628" s="4">
        <v>44639</v>
      </c>
      <c r="B628" s="5">
        <f t="shared" si="113"/>
        <v>3</v>
      </c>
      <c r="C628" s="5">
        <f t="shared" si="114"/>
        <v>2022</v>
      </c>
      <c r="D628" s="5" t="s">
        <v>652</v>
      </c>
      <c r="E628" s="5" t="str">
        <f>VLOOKUP(F628,'Set up'!$A$2:$C$48,2,FALSE)</f>
        <v>C00000021</v>
      </c>
      <c r="F628" s="1" t="s">
        <v>492</v>
      </c>
      <c r="G628" s="11" t="s">
        <v>657</v>
      </c>
      <c r="H628" s="5">
        <v>1</v>
      </c>
      <c r="I628" s="5" t="str">
        <f>VLOOKUP(F628,'Set up'!$A$2:$C$48,3,FALSE)</f>
        <v>Cash</v>
      </c>
      <c r="J628" s="5">
        <f>VLOOKUP(F628,'Set up'!$A$2:$D$48,4,FALSE)</f>
        <v>0</v>
      </c>
      <c r="K628" s="4">
        <f t="shared" si="109"/>
        <v>44639</v>
      </c>
      <c r="L628" s="5">
        <f t="shared" si="110"/>
        <v>3</v>
      </c>
      <c r="M628" s="5">
        <f t="shared" si="111"/>
        <v>2022</v>
      </c>
      <c r="N628" s="6">
        <v>175</v>
      </c>
      <c r="O628" s="6">
        <f t="shared" si="115"/>
        <v>-175</v>
      </c>
      <c r="P628" s="6">
        <f t="shared" si="108"/>
        <v>0</v>
      </c>
      <c r="Q628" s="7">
        <f t="shared" si="106"/>
        <v>1112388.3500000001</v>
      </c>
      <c r="R628" s="44" t="str">
        <f>VLOOKUP(F628,'Set up'!$A$2:$E$48,5,FALSE)</f>
        <v>PD Chq</v>
      </c>
      <c r="S628" s="1" t="s">
        <v>817</v>
      </c>
    </row>
    <row r="629" spans="1:19" hidden="1" x14ac:dyDescent="0.3">
      <c r="A629" s="4">
        <v>44639</v>
      </c>
      <c r="B629" s="5">
        <f t="shared" si="113"/>
        <v>3</v>
      </c>
      <c r="C629" s="5">
        <f t="shared" si="114"/>
        <v>2022</v>
      </c>
      <c r="D629" s="5" t="s">
        <v>652</v>
      </c>
      <c r="E629" s="5" t="str">
        <f>VLOOKUP(F629,'Set up'!$A$2:$C$48,2,FALSE)</f>
        <v>C00000021</v>
      </c>
      <c r="F629" s="1" t="s">
        <v>492</v>
      </c>
      <c r="G629" s="11" t="s">
        <v>658</v>
      </c>
      <c r="H629" s="5">
        <v>1</v>
      </c>
      <c r="I629" s="5" t="str">
        <f>VLOOKUP(F629,'Set up'!$A$2:$C$48,3,FALSE)</f>
        <v>Cash</v>
      </c>
      <c r="J629" s="5">
        <f>VLOOKUP(F629,'Set up'!$A$2:$D$48,4,FALSE)</f>
        <v>0</v>
      </c>
      <c r="K629" s="4">
        <f t="shared" si="109"/>
        <v>44639</v>
      </c>
      <c r="L629" s="5">
        <f t="shared" si="110"/>
        <v>3</v>
      </c>
      <c r="M629" s="5">
        <f t="shared" si="111"/>
        <v>2022</v>
      </c>
      <c r="N629" s="6">
        <v>390</v>
      </c>
      <c r="O629" s="6">
        <f t="shared" si="115"/>
        <v>-390</v>
      </c>
      <c r="P629" s="6">
        <f t="shared" si="108"/>
        <v>0</v>
      </c>
      <c r="Q629" s="7">
        <f t="shared" si="106"/>
        <v>1112778.3500000001</v>
      </c>
      <c r="R629" s="44" t="str">
        <f>VLOOKUP(F629,'Set up'!$A$2:$E$48,5,FALSE)</f>
        <v>PD Chq</v>
      </c>
      <c r="S629" s="1" t="s">
        <v>817</v>
      </c>
    </row>
    <row r="630" spans="1:19" hidden="1" x14ac:dyDescent="0.3">
      <c r="A630" s="4">
        <v>44639</v>
      </c>
      <c r="B630" s="5">
        <f t="shared" si="113"/>
        <v>3</v>
      </c>
      <c r="C630" s="5">
        <f t="shared" si="114"/>
        <v>2022</v>
      </c>
      <c r="D630" s="5" t="s">
        <v>652</v>
      </c>
      <c r="E630" s="5" t="str">
        <f>VLOOKUP(F630,'Set up'!$A$2:$C$48,2,FALSE)</f>
        <v>C00000021</v>
      </c>
      <c r="F630" s="1" t="s">
        <v>492</v>
      </c>
      <c r="G630" s="11" t="s">
        <v>64</v>
      </c>
      <c r="H630" s="5">
        <v>10</v>
      </c>
      <c r="I630" s="5" t="str">
        <f>VLOOKUP(F630,'Set up'!$A$2:$C$48,3,FALSE)</f>
        <v>Cash</v>
      </c>
      <c r="J630" s="5">
        <f>VLOOKUP(F630,'Set up'!$A$2:$D$48,4,FALSE)</f>
        <v>0</v>
      </c>
      <c r="K630" s="4">
        <f t="shared" si="109"/>
        <v>44639</v>
      </c>
      <c r="L630" s="5">
        <f t="shared" si="110"/>
        <v>3</v>
      </c>
      <c r="M630" s="5">
        <f t="shared" si="111"/>
        <v>2022</v>
      </c>
      <c r="N630" s="6">
        <v>575</v>
      </c>
      <c r="O630" s="6">
        <f t="shared" si="115"/>
        <v>-575</v>
      </c>
      <c r="P630" s="6">
        <f t="shared" si="108"/>
        <v>0</v>
      </c>
      <c r="Q630" s="7">
        <f t="shared" si="106"/>
        <v>1113353.3500000001</v>
      </c>
      <c r="R630" s="44" t="str">
        <f>VLOOKUP(F630,'Set up'!$A$2:$E$48,5,FALSE)</f>
        <v>PD Chq</v>
      </c>
      <c r="S630" s="1" t="s">
        <v>817</v>
      </c>
    </row>
    <row r="631" spans="1:19" hidden="1" x14ac:dyDescent="0.3">
      <c r="A631" s="4">
        <v>44639</v>
      </c>
      <c r="B631" s="5">
        <f t="shared" si="113"/>
        <v>3</v>
      </c>
      <c r="C631" s="5">
        <f t="shared" si="114"/>
        <v>2022</v>
      </c>
      <c r="D631" s="5" t="s">
        <v>652</v>
      </c>
      <c r="E631" s="5" t="str">
        <f>VLOOKUP(F631,'Set up'!$A$2:$C$48,2,FALSE)</f>
        <v>C00000021</v>
      </c>
      <c r="F631" s="1" t="s">
        <v>492</v>
      </c>
      <c r="G631" s="11" t="s">
        <v>659</v>
      </c>
      <c r="H631" s="5">
        <v>1</v>
      </c>
      <c r="I631" s="5" t="str">
        <f>VLOOKUP(F631,'Set up'!$A$2:$C$48,3,FALSE)</f>
        <v>Cash</v>
      </c>
      <c r="J631" s="5">
        <f>VLOOKUP(F631,'Set up'!$A$2:$D$48,4,FALSE)</f>
        <v>0</v>
      </c>
      <c r="K631" s="4">
        <f t="shared" si="109"/>
        <v>44639</v>
      </c>
      <c r="L631" s="5">
        <f t="shared" si="110"/>
        <v>3</v>
      </c>
      <c r="M631" s="5">
        <f t="shared" si="111"/>
        <v>2022</v>
      </c>
      <c r="N631" s="6">
        <v>1059.5</v>
      </c>
      <c r="O631" s="6">
        <f t="shared" si="115"/>
        <v>-1059.5</v>
      </c>
      <c r="P631" s="6">
        <f t="shared" si="108"/>
        <v>0</v>
      </c>
      <c r="Q631" s="7">
        <f t="shared" si="106"/>
        <v>1114412.8500000001</v>
      </c>
      <c r="R631" s="44" t="str">
        <f>VLOOKUP(F631,'Set up'!$A$2:$E$48,5,FALSE)</f>
        <v>PD Chq</v>
      </c>
      <c r="S631" s="1" t="s">
        <v>817</v>
      </c>
    </row>
    <row r="632" spans="1:19" hidden="1" x14ac:dyDescent="0.3">
      <c r="A632" s="4">
        <v>44641</v>
      </c>
      <c r="B632" s="5">
        <f t="shared" si="113"/>
        <v>3</v>
      </c>
      <c r="C632" s="5">
        <f t="shared" si="114"/>
        <v>2022</v>
      </c>
      <c r="D632" s="5" t="s">
        <v>653</v>
      </c>
      <c r="E632" s="5" t="str">
        <f>VLOOKUP(F632,'Set up'!$A$2:$C$48,2,FALSE)</f>
        <v>C00000006</v>
      </c>
      <c r="F632" s="1" t="s">
        <v>43</v>
      </c>
      <c r="G632" s="11" t="s">
        <v>640</v>
      </c>
      <c r="H632" s="5">
        <v>1</v>
      </c>
      <c r="I632" s="5" t="str">
        <f>VLOOKUP(F632,'Set up'!$A$2:$C$48,3,FALSE)</f>
        <v>Cash</v>
      </c>
      <c r="J632" s="5">
        <f>VLOOKUP(F632,'Set up'!$A$2:$D$48,4,FALSE)</f>
        <v>0</v>
      </c>
      <c r="K632" s="4">
        <f t="shared" si="109"/>
        <v>44641</v>
      </c>
      <c r="L632" s="5">
        <f t="shared" si="110"/>
        <v>3</v>
      </c>
      <c r="M632" s="5">
        <f t="shared" si="111"/>
        <v>2022</v>
      </c>
      <c r="N632" s="6">
        <v>337.5</v>
      </c>
      <c r="O632" s="6">
        <f>SUM(-N632)</f>
        <v>-337.5</v>
      </c>
      <c r="P632" s="6">
        <f t="shared" si="108"/>
        <v>0</v>
      </c>
      <c r="Q632" s="7">
        <f t="shared" si="106"/>
        <v>1114750.3500000001</v>
      </c>
      <c r="R632" s="44" t="str">
        <f>VLOOKUP(F632,'Set up'!$A$2:$E$48,5,FALSE)</f>
        <v>Chq</v>
      </c>
      <c r="S632" s="1" t="s">
        <v>747</v>
      </c>
    </row>
    <row r="633" spans="1:19" x14ac:dyDescent="0.3">
      <c r="A633" s="4">
        <v>44643</v>
      </c>
      <c r="B633" s="5">
        <f t="shared" si="113"/>
        <v>3</v>
      </c>
      <c r="C633" s="5">
        <f t="shared" si="114"/>
        <v>2022</v>
      </c>
      <c r="D633" s="5" t="s">
        <v>654</v>
      </c>
      <c r="E633" s="5" t="str">
        <f>VLOOKUP(F633,'Set up'!$A$2:$C$48,2,FALSE)</f>
        <v>C00000020</v>
      </c>
      <c r="F633" s="1" t="s">
        <v>410</v>
      </c>
      <c r="G633" s="11" t="s">
        <v>67</v>
      </c>
      <c r="H633" s="5">
        <v>3</v>
      </c>
      <c r="I633" s="5" t="str">
        <f>VLOOKUP(F633,'Set up'!$A$2:$C$48,3,FALSE)</f>
        <v>Cash</v>
      </c>
      <c r="J633" s="5">
        <f>VLOOKUP(F633,'Set up'!$A$2:$D$48,4,FALSE)</f>
        <v>0</v>
      </c>
      <c r="K633" s="4">
        <f t="shared" si="109"/>
        <v>44643</v>
      </c>
      <c r="L633" s="5">
        <f t="shared" si="110"/>
        <v>3</v>
      </c>
      <c r="M633" s="5">
        <f t="shared" si="111"/>
        <v>2022</v>
      </c>
      <c r="N633" s="6">
        <v>6270</v>
      </c>
      <c r="O633" s="6">
        <f t="shared" ref="O633:O639" si="116">-N633</f>
        <v>-6270</v>
      </c>
      <c r="P633" s="6">
        <f t="shared" si="108"/>
        <v>0</v>
      </c>
      <c r="Q633" s="7">
        <f t="shared" si="106"/>
        <v>1121020.3500000001</v>
      </c>
      <c r="R633" s="44" t="str">
        <f>VLOOKUP(F633,'Set up'!$A$2:$E$48,5,FALSE)</f>
        <v>Trsf</v>
      </c>
      <c r="S633" s="1" t="s">
        <v>839</v>
      </c>
    </row>
    <row r="634" spans="1:19" x14ac:dyDescent="0.3">
      <c r="A634" s="4">
        <v>44643</v>
      </c>
      <c r="B634" s="5">
        <f t="shared" si="113"/>
        <v>3</v>
      </c>
      <c r="C634" s="5">
        <f t="shared" si="114"/>
        <v>2022</v>
      </c>
      <c r="D634" s="5" t="s">
        <v>654</v>
      </c>
      <c r="E634" s="5" t="str">
        <f>VLOOKUP(F634,'Set up'!$A$2:$C$48,2,FALSE)</f>
        <v>C00000020</v>
      </c>
      <c r="F634" s="1" t="s">
        <v>410</v>
      </c>
      <c r="G634" s="11" t="s">
        <v>655</v>
      </c>
      <c r="H634" s="5">
        <v>4</v>
      </c>
      <c r="I634" s="5" t="str">
        <f>VLOOKUP(F634,'Set up'!$A$2:$C$48,3,FALSE)</f>
        <v>Cash</v>
      </c>
      <c r="J634" s="5">
        <f>VLOOKUP(F634,'Set up'!$A$2:$D$48,4,FALSE)</f>
        <v>0</v>
      </c>
      <c r="K634" s="4">
        <f t="shared" si="109"/>
        <v>44643</v>
      </c>
      <c r="L634" s="5">
        <f t="shared" si="110"/>
        <v>3</v>
      </c>
      <c r="M634" s="5">
        <f t="shared" si="111"/>
        <v>2022</v>
      </c>
      <c r="N634" s="6">
        <v>1176</v>
      </c>
      <c r="O634" s="6">
        <f t="shared" si="116"/>
        <v>-1176</v>
      </c>
      <c r="P634" s="6">
        <f t="shared" si="108"/>
        <v>0</v>
      </c>
      <c r="Q634" s="7">
        <f t="shared" si="106"/>
        <v>1122196.3500000001</v>
      </c>
      <c r="R634" s="44" t="str">
        <f>VLOOKUP(F634,'Set up'!$A$2:$E$48,5,FALSE)</f>
        <v>Trsf</v>
      </c>
      <c r="S634" s="1" t="s">
        <v>839</v>
      </c>
    </row>
    <row r="635" spans="1:19" ht="15" customHeight="1" x14ac:dyDescent="0.3">
      <c r="A635" s="4">
        <v>44643</v>
      </c>
      <c r="B635" s="5">
        <f t="shared" si="113"/>
        <v>3</v>
      </c>
      <c r="C635" s="5">
        <f t="shared" si="114"/>
        <v>2022</v>
      </c>
      <c r="D635" s="5" t="s">
        <v>654</v>
      </c>
      <c r="E635" s="5" t="str">
        <f>VLOOKUP(F635,'Set up'!$A$2:$C$48,2,FALSE)</f>
        <v>C00000020</v>
      </c>
      <c r="F635" s="1" t="s">
        <v>410</v>
      </c>
      <c r="G635" s="11" t="s">
        <v>656</v>
      </c>
      <c r="H635" s="5">
        <v>4</v>
      </c>
      <c r="I635" s="5" t="str">
        <f>VLOOKUP(F635,'Set up'!$A$2:$C$48,3,FALSE)</f>
        <v>Cash</v>
      </c>
      <c r="J635" s="5">
        <f>VLOOKUP(F635,'Set up'!$A$2:$D$48,4,FALSE)</f>
        <v>0</v>
      </c>
      <c r="K635" s="4">
        <f t="shared" si="109"/>
        <v>44643</v>
      </c>
      <c r="L635" s="5">
        <f t="shared" si="110"/>
        <v>3</v>
      </c>
      <c r="M635" s="5">
        <f t="shared" si="111"/>
        <v>2022</v>
      </c>
      <c r="N635" s="6">
        <v>1248</v>
      </c>
      <c r="O635" s="6">
        <f t="shared" si="116"/>
        <v>-1248</v>
      </c>
      <c r="P635" s="6">
        <f t="shared" si="108"/>
        <v>0</v>
      </c>
      <c r="Q635" s="7">
        <f t="shared" si="106"/>
        <v>1123444.3500000001</v>
      </c>
      <c r="R635" s="44" t="str">
        <f>VLOOKUP(F635,'Set up'!$A$2:$E$48,5,FALSE)</f>
        <v>Trsf</v>
      </c>
      <c r="S635" s="1" t="s">
        <v>839</v>
      </c>
    </row>
    <row r="636" spans="1:19" x14ac:dyDescent="0.3">
      <c r="A636" s="4">
        <v>44643</v>
      </c>
      <c r="B636" s="5">
        <f t="shared" si="113"/>
        <v>3</v>
      </c>
      <c r="C636" s="5">
        <f t="shared" si="114"/>
        <v>2022</v>
      </c>
      <c r="D636" s="5" t="s">
        <v>654</v>
      </c>
      <c r="E636" s="5" t="str">
        <f>VLOOKUP(F636,'Set up'!$A$2:$C$48,2,FALSE)</f>
        <v>C00000020</v>
      </c>
      <c r="F636" s="1" t="s">
        <v>410</v>
      </c>
      <c r="G636" s="11" t="s">
        <v>64</v>
      </c>
      <c r="H636" s="5">
        <v>2</v>
      </c>
      <c r="I636" s="5" t="str">
        <f>VLOOKUP(F636,'Set up'!$A$2:$C$48,3,FALSE)</f>
        <v>Cash</v>
      </c>
      <c r="J636" s="5">
        <f>VLOOKUP(F636,'Set up'!$A$2:$D$48,4,FALSE)</f>
        <v>0</v>
      </c>
      <c r="K636" s="4">
        <f t="shared" si="109"/>
        <v>44643</v>
      </c>
      <c r="L636" s="5">
        <f t="shared" si="110"/>
        <v>3</v>
      </c>
      <c r="M636" s="5">
        <f t="shared" si="111"/>
        <v>2022</v>
      </c>
      <c r="N636" s="6">
        <v>125</v>
      </c>
      <c r="O636" s="6">
        <f t="shared" si="116"/>
        <v>-125</v>
      </c>
      <c r="P636" s="6">
        <f t="shared" si="108"/>
        <v>0</v>
      </c>
      <c r="Q636" s="7">
        <f t="shared" si="106"/>
        <v>1123569.3500000001</v>
      </c>
      <c r="R636" s="44" t="str">
        <f>VLOOKUP(F636,'Set up'!$A$2:$E$48,5,FALSE)</f>
        <v>Trsf</v>
      </c>
      <c r="S636" s="1" t="s">
        <v>839</v>
      </c>
    </row>
    <row r="637" spans="1:19" x14ac:dyDescent="0.3">
      <c r="A637" s="4">
        <v>44645</v>
      </c>
      <c r="B637" s="5">
        <f t="shared" si="113"/>
        <v>3</v>
      </c>
      <c r="C637" s="5">
        <f t="shared" si="114"/>
        <v>2022</v>
      </c>
      <c r="D637" s="5" t="s">
        <v>661</v>
      </c>
      <c r="E637" s="5" t="str">
        <f>VLOOKUP(F637,'Set up'!$A$2:$C$48,2,FALSE)</f>
        <v>C00000020</v>
      </c>
      <c r="F637" s="1" t="s">
        <v>410</v>
      </c>
      <c r="G637" s="11" t="s">
        <v>95</v>
      </c>
      <c r="H637" s="5">
        <v>4</v>
      </c>
      <c r="I637" s="5" t="str">
        <f>VLOOKUP(F637,'Set up'!$A$2:$C$48,3,FALSE)</f>
        <v>Cash</v>
      </c>
      <c r="J637" s="5">
        <f>VLOOKUP(F637,'Set up'!$A$2:$D$48,4,FALSE)</f>
        <v>0</v>
      </c>
      <c r="K637" s="4">
        <f t="shared" si="109"/>
        <v>44645</v>
      </c>
      <c r="L637" s="5">
        <f t="shared" si="110"/>
        <v>3</v>
      </c>
      <c r="M637" s="5">
        <f t="shared" si="111"/>
        <v>2022</v>
      </c>
      <c r="N637" s="6">
        <v>8360</v>
      </c>
      <c r="O637" s="6">
        <f t="shared" si="116"/>
        <v>-8360</v>
      </c>
      <c r="P637" s="6">
        <f t="shared" si="108"/>
        <v>0</v>
      </c>
      <c r="Q637" s="7">
        <f t="shared" si="106"/>
        <v>1131929.3500000001</v>
      </c>
      <c r="R637" s="44" t="str">
        <f>VLOOKUP(F637,'Set up'!$A$2:$E$48,5,FALSE)</f>
        <v>Trsf</v>
      </c>
      <c r="S637" s="1" t="s">
        <v>839</v>
      </c>
    </row>
    <row r="638" spans="1:19" x14ac:dyDescent="0.3">
      <c r="A638" s="4">
        <v>44645</v>
      </c>
      <c r="B638" s="5">
        <f t="shared" si="113"/>
        <v>3</v>
      </c>
      <c r="C638" s="5">
        <f t="shared" si="114"/>
        <v>2022</v>
      </c>
      <c r="D638" s="5" t="s">
        <v>661</v>
      </c>
      <c r="E638" s="5" t="str">
        <f>VLOOKUP(F638,'Set up'!$A$2:$C$48,2,FALSE)</f>
        <v>C00000020</v>
      </c>
      <c r="F638" s="1" t="s">
        <v>410</v>
      </c>
      <c r="G638" s="11" t="s">
        <v>655</v>
      </c>
      <c r="H638" s="5">
        <v>10</v>
      </c>
      <c r="I638" s="5" t="str">
        <f>VLOOKUP(F638,'Set up'!$A$2:$C$48,3,FALSE)</f>
        <v>Cash</v>
      </c>
      <c r="J638" s="5">
        <f>VLOOKUP(F638,'Set up'!$A$2:$D$48,4,FALSE)</f>
        <v>0</v>
      </c>
      <c r="K638" s="4">
        <f t="shared" si="109"/>
        <v>44645</v>
      </c>
      <c r="L638" s="5">
        <f t="shared" si="110"/>
        <v>3</v>
      </c>
      <c r="M638" s="5">
        <f t="shared" si="111"/>
        <v>2022</v>
      </c>
      <c r="N638" s="6">
        <v>2940</v>
      </c>
      <c r="O638" s="6">
        <f t="shared" si="116"/>
        <v>-2940</v>
      </c>
      <c r="P638" s="6">
        <f t="shared" si="108"/>
        <v>0</v>
      </c>
      <c r="Q638" s="7">
        <f t="shared" si="106"/>
        <v>1134869.3500000001</v>
      </c>
      <c r="R638" s="44" t="str">
        <f>VLOOKUP(F638,'Set up'!$A$2:$E$48,5,FALSE)</f>
        <v>Trsf</v>
      </c>
      <c r="S638" s="1" t="s">
        <v>839</v>
      </c>
    </row>
    <row r="639" spans="1:19" x14ac:dyDescent="0.3">
      <c r="A639" s="4">
        <v>44645</v>
      </c>
      <c r="B639" s="5">
        <f t="shared" si="113"/>
        <v>3</v>
      </c>
      <c r="C639" s="5">
        <f t="shared" si="114"/>
        <v>2022</v>
      </c>
      <c r="D639" s="5" t="s">
        <v>661</v>
      </c>
      <c r="E639" s="5" t="str">
        <f>VLOOKUP(F639,'Set up'!$A$2:$C$48,2,FALSE)</f>
        <v>C00000020</v>
      </c>
      <c r="F639" s="1" t="s">
        <v>410</v>
      </c>
      <c r="G639" s="11" t="s">
        <v>656</v>
      </c>
      <c r="H639" s="5">
        <v>6</v>
      </c>
      <c r="I639" s="5" t="str">
        <f>VLOOKUP(F639,'Set up'!$A$2:$C$48,3,FALSE)</f>
        <v>Cash</v>
      </c>
      <c r="J639" s="5">
        <f>VLOOKUP(F639,'Set up'!$A$2:$D$48,4,FALSE)</f>
        <v>0</v>
      </c>
      <c r="K639" s="4">
        <f t="shared" si="109"/>
        <v>44645</v>
      </c>
      <c r="L639" s="5">
        <f t="shared" si="110"/>
        <v>3</v>
      </c>
      <c r="M639" s="5">
        <f t="shared" si="111"/>
        <v>2022</v>
      </c>
      <c r="N639" s="6">
        <v>1872</v>
      </c>
      <c r="O639" s="6">
        <f t="shared" si="116"/>
        <v>-1872</v>
      </c>
      <c r="P639" s="6">
        <f t="shared" si="108"/>
        <v>0</v>
      </c>
      <c r="Q639" s="7">
        <f t="shared" si="106"/>
        <v>1136741.3500000001</v>
      </c>
      <c r="R639" s="44" t="str">
        <f>VLOOKUP(F639,'Set up'!$A$2:$E$48,5,FALSE)</f>
        <v>Trsf</v>
      </c>
      <c r="S639" s="1" t="s">
        <v>839</v>
      </c>
    </row>
    <row r="640" spans="1:19" x14ac:dyDescent="0.3">
      <c r="A640" s="4">
        <v>44645</v>
      </c>
      <c r="B640" s="5">
        <f t="shared" si="113"/>
        <v>3</v>
      </c>
      <c r="C640" s="5">
        <f t="shared" si="114"/>
        <v>2022</v>
      </c>
      <c r="D640" s="5" t="s">
        <v>661</v>
      </c>
      <c r="E640" s="5" t="str">
        <f>VLOOKUP(F640,'Set up'!$A$2:$C$48,2,FALSE)</f>
        <v>C00000020</v>
      </c>
      <c r="F640" s="1" t="s">
        <v>410</v>
      </c>
      <c r="G640" s="11" t="s">
        <v>64</v>
      </c>
      <c r="H640" s="5">
        <v>4</v>
      </c>
      <c r="I640" s="5" t="str">
        <f>VLOOKUP(F640,'Set up'!$A$2:$C$48,3,FALSE)</f>
        <v>Cash</v>
      </c>
      <c r="J640" s="5">
        <f>VLOOKUP(F640,'Set up'!$A$2:$D$48,4,FALSE)</f>
        <v>0</v>
      </c>
      <c r="K640" s="4">
        <f t="shared" si="109"/>
        <v>44645</v>
      </c>
      <c r="L640" s="5">
        <f t="shared" si="110"/>
        <v>3</v>
      </c>
      <c r="M640" s="5">
        <f t="shared" si="111"/>
        <v>2022</v>
      </c>
      <c r="N640" s="6">
        <v>250</v>
      </c>
      <c r="O640" s="6">
        <f>-177.3-72.7</f>
        <v>-250</v>
      </c>
      <c r="P640" s="6">
        <f t="shared" si="108"/>
        <v>0</v>
      </c>
      <c r="Q640" s="7">
        <f t="shared" si="106"/>
        <v>1136991.3500000001</v>
      </c>
      <c r="R640" s="44" t="str">
        <f>VLOOKUP(F640,'Set up'!$A$2:$E$48,5,FALSE)</f>
        <v>Trsf</v>
      </c>
      <c r="S640" s="1" t="s">
        <v>849</v>
      </c>
    </row>
    <row r="641" spans="1:19" x14ac:dyDescent="0.3">
      <c r="A641" s="4">
        <v>44645</v>
      </c>
      <c r="B641" s="5">
        <f t="shared" si="113"/>
        <v>3</v>
      </c>
      <c r="C641" s="5">
        <f t="shared" si="114"/>
        <v>2022</v>
      </c>
      <c r="D641" s="5" t="s">
        <v>661</v>
      </c>
      <c r="E641" s="5" t="str">
        <f>VLOOKUP(F641,'Set up'!$A$2:$C$48,2,FALSE)</f>
        <v>C00000020</v>
      </c>
      <c r="F641" s="1" t="s">
        <v>410</v>
      </c>
      <c r="G641" s="11" t="s">
        <v>660</v>
      </c>
      <c r="H641" s="5">
        <v>1</v>
      </c>
      <c r="I641" s="5" t="str">
        <f>VLOOKUP(F641,'Set up'!$A$2:$C$48,3,FALSE)</f>
        <v>Cash</v>
      </c>
      <c r="J641" s="5">
        <f>VLOOKUP(F641,'Set up'!$A$2:$D$48,4,FALSE)</f>
        <v>0</v>
      </c>
      <c r="K641" s="4">
        <f t="shared" si="109"/>
        <v>44645</v>
      </c>
      <c r="L641" s="5">
        <f t="shared" si="110"/>
        <v>3</v>
      </c>
      <c r="M641" s="5">
        <f t="shared" si="111"/>
        <v>2022</v>
      </c>
      <c r="N641" s="6">
        <v>1000</v>
      </c>
      <c r="O641" s="6">
        <f>-N641</f>
        <v>-1000</v>
      </c>
      <c r="P641" s="6">
        <f t="shared" si="108"/>
        <v>0</v>
      </c>
      <c r="Q641" s="7">
        <f t="shared" si="106"/>
        <v>1137991.3500000001</v>
      </c>
      <c r="R641" s="44" t="str">
        <f>VLOOKUP(F641,'Set up'!$A$2:$E$48,5,FALSE)</f>
        <v>Trsf</v>
      </c>
      <c r="S641" s="1" t="s">
        <v>882</v>
      </c>
    </row>
    <row r="642" spans="1:19" hidden="1" x14ac:dyDescent="0.3">
      <c r="A642" s="4">
        <v>44649</v>
      </c>
      <c r="B642" s="5">
        <f t="shared" si="113"/>
        <v>3</v>
      </c>
      <c r="C642" s="5">
        <f t="shared" si="114"/>
        <v>2022</v>
      </c>
      <c r="D642" s="5" t="s">
        <v>662</v>
      </c>
      <c r="E642" s="5" t="str">
        <f>VLOOKUP(F642,'Set up'!$A$2:$C$48,2,FALSE)</f>
        <v>C00000001</v>
      </c>
      <c r="F642" s="1" t="s">
        <v>7</v>
      </c>
      <c r="G642" s="11" t="s">
        <v>67</v>
      </c>
      <c r="H642" s="5">
        <v>1</v>
      </c>
      <c r="I642" s="5" t="str">
        <f>VLOOKUP(F642,'Set up'!$A$2:$C$48,3,FALSE)</f>
        <v>Cash</v>
      </c>
      <c r="J642" s="5">
        <f>VLOOKUP(F642,'Set up'!$A$2:$D$48,4,FALSE)</f>
        <v>0</v>
      </c>
      <c r="K642" s="4">
        <f t="shared" si="109"/>
        <v>44649</v>
      </c>
      <c r="L642" s="5">
        <f t="shared" si="110"/>
        <v>3</v>
      </c>
      <c r="M642" s="5">
        <f t="shared" si="111"/>
        <v>2022</v>
      </c>
      <c r="N642" s="6">
        <v>2068</v>
      </c>
      <c r="O642" s="6">
        <f>-N642</f>
        <v>-2068</v>
      </c>
      <c r="P642" s="6">
        <f t="shared" si="108"/>
        <v>0</v>
      </c>
      <c r="Q642" s="7">
        <f t="shared" si="106"/>
        <v>1140059.3500000001</v>
      </c>
      <c r="R642" s="44" t="str">
        <f>VLOOKUP(F642,'Set up'!$A$2:$E$48,5,FALSE)</f>
        <v>Trsf</v>
      </c>
      <c r="S642" s="1" t="s">
        <v>673</v>
      </c>
    </row>
    <row r="643" spans="1:19" hidden="1" x14ac:dyDescent="0.3">
      <c r="A643" s="4">
        <v>44649</v>
      </c>
      <c r="B643" s="5">
        <f t="shared" si="113"/>
        <v>3</v>
      </c>
      <c r="C643" s="5">
        <f t="shared" si="114"/>
        <v>2022</v>
      </c>
      <c r="D643" s="5" t="s">
        <v>662</v>
      </c>
      <c r="E643" s="5" t="str">
        <f>VLOOKUP(F643,'Set up'!$A$2:$C$48,2,FALSE)</f>
        <v>C00000001</v>
      </c>
      <c r="F643" s="1" t="s">
        <v>7</v>
      </c>
      <c r="G643" s="11" t="s">
        <v>655</v>
      </c>
      <c r="H643" s="5">
        <v>4</v>
      </c>
      <c r="I643" s="5" t="str">
        <f>VLOOKUP(F643,'Set up'!$A$2:$C$48,3,FALSE)</f>
        <v>Cash</v>
      </c>
      <c r="J643" s="5">
        <f>VLOOKUP(F643,'Set up'!$A$2:$D$48,4,FALSE)</f>
        <v>0</v>
      </c>
      <c r="K643" s="4">
        <f t="shared" si="109"/>
        <v>44649</v>
      </c>
      <c r="L643" s="5">
        <f t="shared" si="110"/>
        <v>3</v>
      </c>
      <c r="M643" s="5">
        <f t="shared" si="111"/>
        <v>2022</v>
      </c>
      <c r="N643" s="6">
        <v>1164</v>
      </c>
      <c r="O643" s="6">
        <f>-N643</f>
        <v>-1164</v>
      </c>
      <c r="P643" s="6">
        <f t="shared" si="108"/>
        <v>0</v>
      </c>
      <c r="Q643" s="7">
        <f t="shared" ref="Q643:Q706" si="117">SUM(Q642+N643)</f>
        <v>1141223.3500000001</v>
      </c>
      <c r="R643" s="44" t="str">
        <f>VLOOKUP(F643,'Set up'!$A$2:$E$48,5,FALSE)</f>
        <v>Trsf</v>
      </c>
      <c r="S643" s="1" t="s">
        <v>673</v>
      </c>
    </row>
    <row r="644" spans="1:19" x14ac:dyDescent="0.3">
      <c r="A644" s="4">
        <v>44649</v>
      </c>
      <c r="B644" s="5">
        <f t="shared" si="113"/>
        <v>3</v>
      </c>
      <c r="C644" s="5">
        <f t="shared" si="114"/>
        <v>2022</v>
      </c>
      <c r="D644" s="5" t="s">
        <v>663</v>
      </c>
      <c r="E644" s="5" t="str">
        <f>VLOOKUP(F644,'Set up'!$A$2:$C$48,2,FALSE)</f>
        <v>C00000020</v>
      </c>
      <c r="F644" s="1" t="s">
        <v>410</v>
      </c>
      <c r="G644" s="11" t="s">
        <v>95</v>
      </c>
      <c r="H644" s="5">
        <v>2</v>
      </c>
      <c r="I644" s="5" t="str">
        <f>VLOOKUP(F644,'Set up'!$A$2:$C$48,3,FALSE)</f>
        <v>Cash</v>
      </c>
      <c r="J644" s="5">
        <f>VLOOKUP(F644,'Set up'!$A$2:$D$48,4,FALSE)</f>
        <v>0</v>
      </c>
      <c r="K644" s="4">
        <f t="shared" si="109"/>
        <v>44649</v>
      </c>
      <c r="L644" s="5">
        <f t="shared" si="110"/>
        <v>3</v>
      </c>
      <c r="M644" s="5">
        <f t="shared" si="111"/>
        <v>2022</v>
      </c>
      <c r="N644" s="6">
        <v>4180</v>
      </c>
      <c r="O644" s="6">
        <f>-N644</f>
        <v>-4180</v>
      </c>
      <c r="P644" s="6">
        <f t="shared" si="108"/>
        <v>0</v>
      </c>
      <c r="Q644" s="7">
        <f t="shared" si="117"/>
        <v>1145403.3500000001</v>
      </c>
      <c r="R644" s="44" t="str">
        <f>VLOOKUP(F644,'Set up'!$A$2:$E$48,5,FALSE)</f>
        <v>Trsf</v>
      </c>
      <c r="S644" s="1" t="s">
        <v>882</v>
      </c>
    </row>
    <row r="645" spans="1:19" x14ac:dyDescent="0.3">
      <c r="A645" s="4">
        <v>44649</v>
      </c>
      <c r="B645" s="5">
        <f t="shared" si="113"/>
        <v>3</v>
      </c>
      <c r="C645" s="5">
        <f t="shared" si="114"/>
        <v>2022</v>
      </c>
      <c r="D645" s="5" t="s">
        <v>663</v>
      </c>
      <c r="E645" s="5" t="str">
        <f>VLOOKUP(F645,'Set up'!$A$2:$C$48,2,FALSE)</f>
        <v>C00000020</v>
      </c>
      <c r="F645" s="1" t="s">
        <v>410</v>
      </c>
      <c r="G645" s="11" t="s">
        <v>655</v>
      </c>
      <c r="H645" s="5">
        <v>8</v>
      </c>
      <c r="I645" s="5" t="str">
        <f>VLOOKUP(F645,'Set up'!$A$2:$C$48,3,FALSE)</f>
        <v>Cash</v>
      </c>
      <c r="J645" s="5">
        <f>VLOOKUP(F645,'Set up'!$A$2:$D$48,4,FALSE)</f>
        <v>0</v>
      </c>
      <c r="K645" s="4">
        <f t="shared" si="109"/>
        <v>44649</v>
      </c>
      <c r="L645" s="5">
        <f t="shared" si="110"/>
        <v>3</v>
      </c>
      <c r="M645" s="5">
        <f t="shared" si="111"/>
        <v>2022</v>
      </c>
      <c r="N645" s="6">
        <v>2352</v>
      </c>
      <c r="O645" s="6">
        <f>-1747.3-604.7</f>
        <v>-2352</v>
      </c>
      <c r="P645" s="6">
        <f t="shared" si="108"/>
        <v>0</v>
      </c>
      <c r="Q645" s="7">
        <f t="shared" si="117"/>
        <v>1147755.3500000001</v>
      </c>
      <c r="R645" s="44" t="str">
        <f>VLOOKUP(F645,'Set up'!$A$2:$E$48,5,FALSE)</f>
        <v>Trsf</v>
      </c>
      <c r="S645" s="1" t="s">
        <v>883</v>
      </c>
    </row>
    <row r="646" spans="1:19" x14ac:dyDescent="0.3">
      <c r="A646" s="4">
        <v>44649</v>
      </c>
      <c r="B646" s="5">
        <f t="shared" si="113"/>
        <v>3</v>
      </c>
      <c r="C646" s="5">
        <f t="shared" si="114"/>
        <v>2022</v>
      </c>
      <c r="D646" s="5" t="s">
        <v>663</v>
      </c>
      <c r="E646" s="5" t="str">
        <f>VLOOKUP(F646,'Set up'!$A$2:$C$48,2,FALSE)</f>
        <v>C00000020</v>
      </c>
      <c r="F646" s="1" t="s">
        <v>410</v>
      </c>
      <c r="G646" s="11" t="s">
        <v>656</v>
      </c>
      <c r="H646" s="5">
        <v>3</v>
      </c>
      <c r="I646" s="5" t="str">
        <f>VLOOKUP(F646,'Set up'!$A$2:$C$48,3,FALSE)</f>
        <v>Cash</v>
      </c>
      <c r="J646" s="5">
        <f>VLOOKUP(F646,'Set up'!$A$2:$D$48,4,FALSE)</f>
        <v>0</v>
      </c>
      <c r="K646" s="4">
        <f t="shared" si="109"/>
        <v>44649</v>
      </c>
      <c r="L646" s="5">
        <f t="shared" si="110"/>
        <v>3</v>
      </c>
      <c r="M646" s="5">
        <f t="shared" si="111"/>
        <v>2022</v>
      </c>
      <c r="N646" s="6">
        <v>936</v>
      </c>
      <c r="O646" s="6">
        <f>-N646</f>
        <v>-936</v>
      </c>
      <c r="P646" s="6">
        <f t="shared" si="108"/>
        <v>0</v>
      </c>
      <c r="Q646" s="7">
        <f t="shared" si="117"/>
        <v>1148691.3500000001</v>
      </c>
      <c r="R646" s="44" t="str">
        <f>VLOOKUP(F646,'Set up'!$A$2:$E$48,5,FALSE)</f>
        <v>Trsf</v>
      </c>
      <c r="S646" s="1" t="s">
        <v>884</v>
      </c>
    </row>
    <row r="647" spans="1:19" x14ac:dyDescent="0.3">
      <c r="A647" s="4">
        <v>44649</v>
      </c>
      <c r="B647" s="5">
        <f t="shared" si="113"/>
        <v>3</v>
      </c>
      <c r="C647" s="5">
        <f t="shared" si="114"/>
        <v>2022</v>
      </c>
      <c r="D647" s="5" t="s">
        <v>663</v>
      </c>
      <c r="E647" s="5" t="str">
        <f>VLOOKUP(F647,'Set up'!$A$2:$C$48,2,FALSE)</f>
        <v>C00000020</v>
      </c>
      <c r="F647" s="1" t="s">
        <v>410</v>
      </c>
      <c r="G647" s="11" t="s">
        <v>64</v>
      </c>
      <c r="H647" s="5">
        <v>2</v>
      </c>
      <c r="I647" s="5" t="str">
        <f>VLOOKUP(F647,'Set up'!$A$2:$C$48,3,FALSE)</f>
        <v>Cash</v>
      </c>
      <c r="J647" s="5">
        <f>VLOOKUP(F647,'Set up'!$A$2:$D$48,4,FALSE)</f>
        <v>0</v>
      </c>
      <c r="K647" s="4">
        <f t="shared" si="109"/>
        <v>44649</v>
      </c>
      <c r="L647" s="5">
        <f t="shared" si="110"/>
        <v>3</v>
      </c>
      <c r="M647" s="5">
        <f t="shared" si="111"/>
        <v>2022</v>
      </c>
      <c r="N647" s="6">
        <v>125</v>
      </c>
      <c r="O647" s="6">
        <f>-N647</f>
        <v>-125</v>
      </c>
      <c r="P647" s="6">
        <f t="shared" si="108"/>
        <v>0</v>
      </c>
      <c r="Q647" s="7">
        <f t="shared" si="117"/>
        <v>1148816.3500000001</v>
      </c>
      <c r="R647" s="44" t="str">
        <f>VLOOKUP(F647,'Set up'!$A$2:$E$48,5,FALSE)</f>
        <v>Trsf</v>
      </c>
      <c r="S647" s="1" t="s">
        <v>885</v>
      </c>
    </row>
    <row r="648" spans="1:19" hidden="1" x14ac:dyDescent="0.3">
      <c r="A648" s="4">
        <v>44651</v>
      </c>
      <c r="B648" s="5">
        <f t="shared" si="113"/>
        <v>3</v>
      </c>
      <c r="C648" s="5">
        <f t="shared" si="114"/>
        <v>2022</v>
      </c>
      <c r="D648" s="5" t="s">
        <v>664</v>
      </c>
      <c r="E648" s="5" t="str">
        <f>VLOOKUP(F648,'Set up'!$A$2:$C$48,2,FALSE)</f>
        <v>C00000023</v>
      </c>
      <c r="F648" s="1" t="s">
        <v>666</v>
      </c>
      <c r="G648" s="11" t="s">
        <v>95</v>
      </c>
      <c r="H648" s="5">
        <v>1</v>
      </c>
      <c r="I648" s="5" t="str">
        <f>VLOOKUP(F648,'Set up'!$A$2:$C$48,3,FALSE)</f>
        <v>Cash</v>
      </c>
      <c r="J648" s="5">
        <f>VLOOKUP(F648,'Set up'!$A$2:$D$48,4,FALSE)</f>
        <v>0</v>
      </c>
      <c r="K648" s="4">
        <f t="shared" si="109"/>
        <v>44651</v>
      </c>
      <c r="L648" s="5">
        <f t="shared" si="110"/>
        <v>3</v>
      </c>
      <c r="M648" s="5">
        <f t="shared" si="111"/>
        <v>2022</v>
      </c>
      <c r="N648" s="6">
        <v>2090</v>
      </c>
      <c r="O648" s="6">
        <f t="shared" ref="O648:O656" si="118">-N648</f>
        <v>-2090</v>
      </c>
      <c r="P648" s="6">
        <f t="shared" si="108"/>
        <v>0</v>
      </c>
      <c r="Q648" s="7">
        <f t="shared" si="117"/>
        <v>1150906.3500000001</v>
      </c>
      <c r="R648" s="44" t="str">
        <f>VLOOKUP(F648,'Set up'!$A$2:$E$48,5,FALSE)</f>
        <v>Trsf</v>
      </c>
      <c r="S648" s="1" t="s">
        <v>674</v>
      </c>
    </row>
    <row r="649" spans="1:19" hidden="1" x14ac:dyDescent="0.3">
      <c r="A649" s="4">
        <v>44651</v>
      </c>
      <c r="B649" s="5">
        <f t="shared" si="113"/>
        <v>3</v>
      </c>
      <c r="C649" s="5">
        <f t="shared" si="114"/>
        <v>2022</v>
      </c>
      <c r="D649" s="5" t="s">
        <v>664</v>
      </c>
      <c r="E649" s="5" t="str">
        <f>VLOOKUP(F649,'Set up'!$A$2:$C$48,2,FALSE)</f>
        <v>C00000023</v>
      </c>
      <c r="F649" s="1" t="s">
        <v>666</v>
      </c>
      <c r="G649" s="11" t="s">
        <v>667</v>
      </c>
      <c r="H649" s="5">
        <v>4</v>
      </c>
      <c r="I649" s="5" t="str">
        <f>VLOOKUP(F649,'Set up'!$A$2:$C$48,3,FALSE)</f>
        <v>Cash</v>
      </c>
      <c r="J649" s="5">
        <f>VLOOKUP(F649,'Set up'!$A$2:$D$48,4,FALSE)</f>
        <v>0</v>
      </c>
      <c r="K649" s="4">
        <f t="shared" si="109"/>
        <v>44651</v>
      </c>
      <c r="L649" s="5">
        <f t="shared" si="110"/>
        <v>3</v>
      </c>
      <c r="M649" s="5">
        <f t="shared" si="111"/>
        <v>2022</v>
      </c>
      <c r="N649" s="6">
        <v>340</v>
      </c>
      <c r="O649" s="6">
        <f t="shared" si="118"/>
        <v>-340</v>
      </c>
      <c r="P649" s="6">
        <f t="shared" si="108"/>
        <v>0</v>
      </c>
      <c r="Q649" s="7">
        <f t="shared" si="117"/>
        <v>1151246.3500000001</v>
      </c>
      <c r="R649" s="44" t="str">
        <f>VLOOKUP(F649,'Set up'!$A$2:$E$48,5,FALSE)</f>
        <v>Trsf</v>
      </c>
      <c r="S649" s="1" t="s">
        <v>674</v>
      </c>
    </row>
    <row r="650" spans="1:19" hidden="1" x14ac:dyDescent="0.3">
      <c r="A650" s="4">
        <v>44651</v>
      </c>
      <c r="B650" s="5">
        <f t="shared" si="113"/>
        <v>3</v>
      </c>
      <c r="C650" s="5">
        <f t="shared" si="114"/>
        <v>2022</v>
      </c>
      <c r="D650" s="5" t="s">
        <v>664</v>
      </c>
      <c r="E650" s="5" t="str">
        <f>VLOOKUP(F650,'Set up'!$A$2:$C$48,2,FALSE)</f>
        <v>C00000023</v>
      </c>
      <c r="F650" s="1" t="s">
        <v>666</v>
      </c>
      <c r="G650" s="11" t="s">
        <v>660</v>
      </c>
      <c r="H650" s="5">
        <v>1</v>
      </c>
      <c r="I650" s="5" t="str">
        <f>VLOOKUP(F650,'Set up'!$A$2:$C$48,3,FALSE)</f>
        <v>Cash</v>
      </c>
      <c r="J650" s="5">
        <f>VLOOKUP(F650,'Set up'!$A$2:$D$48,4,FALSE)</f>
        <v>0</v>
      </c>
      <c r="K650" s="4">
        <f t="shared" si="109"/>
        <v>44651</v>
      </c>
      <c r="L650" s="5">
        <f t="shared" si="110"/>
        <v>3</v>
      </c>
      <c r="M650" s="5">
        <f t="shared" si="111"/>
        <v>2022</v>
      </c>
      <c r="N650" s="6">
        <v>1000</v>
      </c>
      <c r="O650" s="6">
        <f t="shared" si="118"/>
        <v>-1000</v>
      </c>
      <c r="P650" s="6">
        <f t="shared" si="108"/>
        <v>0</v>
      </c>
      <c r="Q650" s="7">
        <f t="shared" si="117"/>
        <v>1152246.3500000001</v>
      </c>
      <c r="R650" s="44" t="str">
        <f>VLOOKUP(F650,'Set up'!$A$2:$E$48,5,FALSE)</f>
        <v>Trsf</v>
      </c>
      <c r="S650" s="1" t="s">
        <v>674</v>
      </c>
    </row>
    <row r="651" spans="1:19" hidden="1" x14ac:dyDescent="0.3">
      <c r="A651" s="4">
        <v>44651</v>
      </c>
      <c r="B651" s="5">
        <f t="shared" si="113"/>
        <v>3</v>
      </c>
      <c r="C651" s="5">
        <f t="shared" si="114"/>
        <v>2022</v>
      </c>
      <c r="D651" s="5" t="s">
        <v>664</v>
      </c>
      <c r="E651" s="5" t="str">
        <f>VLOOKUP(F651,'Set up'!$A$2:$C$48,2,FALSE)</f>
        <v>C00000023</v>
      </c>
      <c r="F651" s="1" t="s">
        <v>666</v>
      </c>
      <c r="G651" s="11" t="s">
        <v>64</v>
      </c>
      <c r="H651" s="5">
        <v>2</v>
      </c>
      <c r="I651" s="5" t="str">
        <f>VLOOKUP(F651,'Set up'!$A$2:$C$48,3,FALSE)</f>
        <v>Cash</v>
      </c>
      <c r="J651" s="5">
        <f>VLOOKUP(F651,'Set up'!$A$2:$D$48,4,FALSE)</f>
        <v>0</v>
      </c>
      <c r="K651" s="4">
        <f t="shared" si="109"/>
        <v>44651</v>
      </c>
      <c r="L651" s="5">
        <f t="shared" si="110"/>
        <v>3</v>
      </c>
      <c r="M651" s="5">
        <f t="shared" si="111"/>
        <v>2022</v>
      </c>
      <c r="N651" s="6">
        <v>125</v>
      </c>
      <c r="O651" s="6">
        <f t="shared" si="118"/>
        <v>-125</v>
      </c>
      <c r="P651" s="6">
        <f t="shared" si="108"/>
        <v>0</v>
      </c>
      <c r="Q651" s="7">
        <f t="shared" si="117"/>
        <v>1152371.3500000001</v>
      </c>
      <c r="R651" s="44" t="str">
        <f>VLOOKUP(F651,'Set up'!$A$2:$E$48,5,FALSE)</f>
        <v>Trsf</v>
      </c>
      <c r="S651" s="1" t="s">
        <v>674</v>
      </c>
    </row>
    <row r="652" spans="1:19" hidden="1" x14ac:dyDescent="0.3">
      <c r="A652" s="4">
        <v>44652</v>
      </c>
      <c r="B652" s="5">
        <f t="shared" si="113"/>
        <v>4</v>
      </c>
      <c r="C652" s="5">
        <f t="shared" si="114"/>
        <v>2022</v>
      </c>
      <c r="D652" s="5" t="s">
        <v>681</v>
      </c>
      <c r="E652" s="5" t="str">
        <f>VLOOKUP(F652,'Set up'!$A$2:$C$48,2,FALSE)</f>
        <v>C00000021</v>
      </c>
      <c r="F652" s="1" t="s">
        <v>492</v>
      </c>
      <c r="G652" s="11" t="s">
        <v>67</v>
      </c>
      <c r="H652" s="5">
        <v>2</v>
      </c>
      <c r="I652" s="5" t="str">
        <f>VLOOKUP(F652,'Set up'!$A$2:$C$48,3,FALSE)</f>
        <v>Cash</v>
      </c>
      <c r="J652" s="5">
        <f>VLOOKUP(F652,'Set up'!$A$2:$D$48,4,FALSE)</f>
        <v>0</v>
      </c>
      <c r="K652" s="4">
        <f t="shared" si="109"/>
        <v>44652</v>
      </c>
      <c r="L652" s="5">
        <f t="shared" si="110"/>
        <v>4</v>
      </c>
      <c r="M652" s="5">
        <f t="shared" si="111"/>
        <v>2022</v>
      </c>
      <c r="N652" s="6">
        <v>4136</v>
      </c>
      <c r="O652" s="6">
        <f t="shared" si="118"/>
        <v>-4136</v>
      </c>
      <c r="P652" s="6">
        <f t="shared" si="108"/>
        <v>0</v>
      </c>
      <c r="Q652" s="7">
        <f t="shared" si="117"/>
        <v>1156507.3500000001</v>
      </c>
      <c r="R652" s="44" t="str">
        <f>VLOOKUP(F652,'Set up'!$A$2:$E$48,5,FALSE)</f>
        <v>PD Chq</v>
      </c>
      <c r="S652" s="1" t="s">
        <v>753</v>
      </c>
    </row>
    <row r="653" spans="1:19" hidden="1" x14ac:dyDescent="0.3">
      <c r="A653" s="4">
        <v>44652</v>
      </c>
      <c r="B653" s="5">
        <f t="shared" si="113"/>
        <v>4</v>
      </c>
      <c r="C653" s="5">
        <f t="shared" si="114"/>
        <v>2022</v>
      </c>
      <c r="D653" s="5" t="s">
        <v>681</v>
      </c>
      <c r="E653" s="5" t="str">
        <f>VLOOKUP(F653,'Set up'!$A$2:$C$48,2,FALSE)</f>
        <v>C00000021</v>
      </c>
      <c r="F653" s="1" t="s">
        <v>492</v>
      </c>
      <c r="G653" s="11" t="s">
        <v>655</v>
      </c>
      <c r="H653" s="5">
        <v>3</v>
      </c>
      <c r="I653" s="5" t="str">
        <f>VLOOKUP(F653,'Set up'!$A$2:$C$48,3,FALSE)</f>
        <v>Cash</v>
      </c>
      <c r="J653" s="5">
        <f>VLOOKUP(F653,'Set up'!$A$2:$D$48,4,FALSE)</f>
        <v>0</v>
      </c>
      <c r="K653" s="4">
        <f t="shared" si="109"/>
        <v>44652</v>
      </c>
      <c r="L653" s="5">
        <f t="shared" si="110"/>
        <v>4</v>
      </c>
      <c r="M653" s="5">
        <f t="shared" si="111"/>
        <v>2022</v>
      </c>
      <c r="N653" s="6">
        <v>855</v>
      </c>
      <c r="O653" s="6">
        <f t="shared" si="118"/>
        <v>-855</v>
      </c>
      <c r="P653" s="6">
        <f t="shared" si="108"/>
        <v>0</v>
      </c>
      <c r="Q653" s="7">
        <f t="shared" si="117"/>
        <v>1157362.3500000001</v>
      </c>
      <c r="R653" s="44" t="str">
        <f>VLOOKUP(F653,'Set up'!$A$2:$E$48,5,FALSE)</f>
        <v>PD Chq</v>
      </c>
      <c r="S653" s="1" t="s">
        <v>753</v>
      </c>
    </row>
    <row r="654" spans="1:19" hidden="1" x14ac:dyDescent="0.3">
      <c r="A654" s="4">
        <v>44652</v>
      </c>
      <c r="B654" s="5">
        <f t="shared" si="113"/>
        <v>4</v>
      </c>
      <c r="C654" s="5">
        <f t="shared" si="114"/>
        <v>2022</v>
      </c>
      <c r="D654" s="5" t="s">
        <v>681</v>
      </c>
      <c r="E654" s="5" t="str">
        <f>VLOOKUP(F654,'Set up'!$A$2:$C$48,2,FALSE)</f>
        <v>C00000021</v>
      </c>
      <c r="F654" s="1" t="s">
        <v>492</v>
      </c>
      <c r="G654" s="11" t="s">
        <v>667</v>
      </c>
      <c r="H654" s="5">
        <v>2</v>
      </c>
      <c r="I654" s="5" t="str">
        <f>VLOOKUP(F654,'Set up'!$A$2:$C$48,3,FALSE)</f>
        <v>Cash</v>
      </c>
      <c r="J654" s="5">
        <f>VLOOKUP(F654,'Set up'!$A$2:$D$48,4,FALSE)</f>
        <v>0</v>
      </c>
      <c r="K654" s="4">
        <f t="shared" si="109"/>
        <v>44652</v>
      </c>
      <c r="L654" s="5">
        <f t="shared" si="110"/>
        <v>4</v>
      </c>
      <c r="M654" s="5">
        <f t="shared" si="111"/>
        <v>2022</v>
      </c>
      <c r="N654" s="6">
        <v>170</v>
      </c>
      <c r="O654" s="6">
        <f t="shared" si="118"/>
        <v>-170</v>
      </c>
      <c r="P654" s="6">
        <f t="shared" si="108"/>
        <v>0</v>
      </c>
      <c r="Q654" s="7">
        <f t="shared" si="117"/>
        <v>1157532.3500000001</v>
      </c>
      <c r="R654" s="44" t="str">
        <f>VLOOKUP(F654,'Set up'!$A$2:$E$48,5,FALSE)</f>
        <v>PD Chq</v>
      </c>
      <c r="S654" s="1" t="s">
        <v>753</v>
      </c>
    </row>
    <row r="655" spans="1:19" hidden="1" x14ac:dyDescent="0.3">
      <c r="A655" s="4">
        <v>44652</v>
      </c>
      <c r="B655" s="5">
        <f t="shared" si="113"/>
        <v>4</v>
      </c>
      <c r="C655" s="5">
        <f t="shared" si="114"/>
        <v>2022</v>
      </c>
      <c r="D655" s="5" t="s">
        <v>681</v>
      </c>
      <c r="E655" s="5" t="str">
        <f>VLOOKUP(F655,'Set up'!$A$2:$C$48,2,FALSE)</f>
        <v>C00000021</v>
      </c>
      <c r="F655" s="1" t="s">
        <v>492</v>
      </c>
      <c r="G655" s="11" t="s">
        <v>64</v>
      </c>
      <c r="H655" s="5">
        <v>10</v>
      </c>
      <c r="I655" s="5" t="str">
        <f>VLOOKUP(F655,'Set up'!$A$2:$C$48,3,FALSE)</f>
        <v>Cash</v>
      </c>
      <c r="J655" s="5">
        <f>VLOOKUP(F655,'Set up'!$A$2:$D$48,4,FALSE)</f>
        <v>0</v>
      </c>
      <c r="K655" s="4">
        <f t="shared" si="109"/>
        <v>44652</v>
      </c>
      <c r="L655" s="5">
        <f t="shared" si="110"/>
        <v>4</v>
      </c>
      <c r="M655" s="5">
        <f t="shared" si="111"/>
        <v>2022</v>
      </c>
      <c r="N655" s="6">
        <v>575</v>
      </c>
      <c r="O655" s="6">
        <f t="shared" si="118"/>
        <v>-575</v>
      </c>
      <c r="P655" s="6">
        <f t="shared" si="108"/>
        <v>0</v>
      </c>
      <c r="Q655" s="7">
        <f t="shared" si="117"/>
        <v>1158107.3500000001</v>
      </c>
      <c r="R655" s="44" t="str">
        <f>VLOOKUP(F655,'Set up'!$A$2:$E$48,5,FALSE)</f>
        <v>PD Chq</v>
      </c>
      <c r="S655" s="1" t="s">
        <v>753</v>
      </c>
    </row>
    <row r="656" spans="1:19" hidden="1" x14ac:dyDescent="0.3">
      <c r="A656" s="4">
        <v>44652</v>
      </c>
      <c r="B656" s="5">
        <f t="shared" si="113"/>
        <v>4</v>
      </c>
      <c r="C656" s="5">
        <f t="shared" si="114"/>
        <v>2022</v>
      </c>
      <c r="D656" s="5" t="s">
        <v>681</v>
      </c>
      <c r="E656" s="5" t="str">
        <f>VLOOKUP(F656,'Set up'!$A$2:$C$48,2,FALSE)</f>
        <v>C00000021</v>
      </c>
      <c r="F656" s="1" t="s">
        <v>492</v>
      </c>
      <c r="G656" s="11" t="s">
        <v>682</v>
      </c>
      <c r="H656" s="5">
        <v>1</v>
      </c>
      <c r="I656" s="5" t="str">
        <f>VLOOKUP(F656,'Set up'!$A$2:$C$48,3,FALSE)</f>
        <v>Cash</v>
      </c>
      <c r="J656" s="5">
        <f>VLOOKUP(F656,'Set up'!$A$2:$D$48,4,FALSE)</f>
        <v>0</v>
      </c>
      <c r="K656" s="4">
        <f t="shared" si="109"/>
        <v>44652</v>
      </c>
      <c r="L656" s="5">
        <f t="shared" si="110"/>
        <v>4</v>
      </c>
      <c r="M656" s="5">
        <f t="shared" si="111"/>
        <v>2022</v>
      </c>
      <c r="N656" s="6">
        <v>347.5</v>
      </c>
      <c r="O656" s="6">
        <f t="shared" si="118"/>
        <v>-347.5</v>
      </c>
      <c r="P656" s="6">
        <f t="shared" si="108"/>
        <v>0</v>
      </c>
      <c r="Q656" s="7">
        <f t="shared" si="117"/>
        <v>1158454.8500000001</v>
      </c>
      <c r="R656" s="44" t="str">
        <f>VLOOKUP(F656,'Set up'!$A$2:$E$48,5,FALSE)</f>
        <v>PD Chq</v>
      </c>
      <c r="S656" s="1" t="s">
        <v>753</v>
      </c>
    </row>
    <row r="657" spans="1:19" x14ac:dyDescent="0.3">
      <c r="A657" s="4">
        <v>44652</v>
      </c>
      <c r="B657" s="5">
        <f t="shared" si="113"/>
        <v>4</v>
      </c>
      <c r="C657" s="5">
        <f t="shared" si="114"/>
        <v>2022</v>
      </c>
      <c r="D657" s="5" t="s">
        <v>684</v>
      </c>
      <c r="E657" s="5" t="str">
        <f>VLOOKUP(F657,'Set up'!$A$2:$C$48,2,FALSE)</f>
        <v>C00000020</v>
      </c>
      <c r="F657" s="1" t="s">
        <v>410</v>
      </c>
      <c r="G657" s="11" t="s">
        <v>67</v>
      </c>
      <c r="H657" s="5">
        <v>1</v>
      </c>
      <c r="I657" s="5" t="str">
        <f>VLOOKUP(F657,'Set up'!$A$2:$C$48,3,FALSE)</f>
        <v>Cash</v>
      </c>
      <c r="J657" s="5">
        <f>VLOOKUP(F657,'Set up'!$A$2:$D$48,4,FALSE)</f>
        <v>0</v>
      </c>
      <c r="K657" s="4">
        <f t="shared" si="109"/>
        <v>44652</v>
      </c>
      <c r="L657" s="5">
        <f t="shared" si="110"/>
        <v>4</v>
      </c>
      <c r="M657" s="5">
        <f t="shared" si="111"/>
        <v>2022</v>
      </c>
      <c r="N657" s="6">
        <v>2090</v>
      </c>
      <c r="O657" s="6">
        <f>-N657</f>
        <v>-2090</v>
      </c>
      <c r="P657" s="6">
        <f t="shared" si="108"/>
        <v>0</v>
      </c>
      <c r="Q657" s="7">
        <f t="shared" si="117"/>
        <v>1160544.8500000001</v>
      </c>
      <c r="R657" s="44" t="str">
        <f>VLOOKUP(F657,'Set up'!$A$2:$E$48,5,FALSE)</f>
        <v>Trsf</v>
      </c>
      <c r="S657" s="1" t="s">
        <v>886</v>
      </c>
    </row>
    <row r="658" spans="1:19" x14ac:dyDescent="0.3">
      <c r="A658" s="4">
        <v>44652</v>
      </c>
      <c r="B658" s="5">
        <f t="shared" si="113"/>
        <v>4</v>
      </c>
      <c r="C658" s="5">
        <f t="shared" si="114"/>
        <v>2022</v>
      </c>
      <c r="D658" s="5" t="s">
        <v>684</v>
      </c>
      <c r="E658" s="5" t="str">
        <f>VLOOKUP(F658,'Set up'!$A$2:$C$48,2,FALSE)</f>
        <v>C00000020</v>
      </c>
      <c r="F658" s="1" t="s">
        <v>410</v>
      </c>
      <c r="G658" s="11" t="s">
        <v>95</v>
      </c>
      <c r="H658" s="5">
        <v>2</v>
      </c>
      <c r="I658" s="5" t="str">
        <f>VLOOKUP(F658,'Set up'!$A$2:$C$48,3,FALSE)</f>
        <v>Cash</v>
      </c>
      <c r="J658" s="5">
        <f>VLOOKUP(F658,'Set up'!$A$2:$D$48,4,FALSE)</f>
        <v>0</v>
      </c>
      <c r="K658" s="4">
        <f t="shared" si="109"/>
        <v>44652</v>
      </c>
      <c r="L658" s="5">
        <f t="shared" si="110"/>
        <v>4</v>
      </c>
      <c r="M658" s="5">
        <f t="shared" si="111"/>
        <v>2022</v>
      </c>
      <c r="N658" s="6">
        <v>4180</v>
      </c>
      <c r="O658" s="6">
        <f>-N658</f>
        <v>-4180</v>
      </c>
      <c r="P658" s="6">
        <f t="shared" si="108"/>
        <v>0</v>
      </c>
      <c r="Q658" s="7">
        <f t="shared" si="117"/>
        <v>1164724.8500000001</v>
      </c>
      <c r="R658" s="44" t="str">
        <f>VLOOKUP(F658,'Set up'!$A$2:$E$48,5,FALSE)</f>
        <v>Trsf</v>
      </c>
      <c r="S658" s="1" t="s">
        <v>887</v>
      </c>
    </row>
    <row r="659" spans="1:19" x14ac:dyDescent="0.3">
      <c r="A659" s="4">
        <v>44652</v>
      </c>
      <c r="B659" s="5">
        <f t="shared" si="113"/>
        <v>4</v>
      </c>
      <c r="C659" s="5">
        <f t="shared" si="114"/>
        <v>2022</v>
      </c>
      <c r="D659" s="5" t="s">
        <v>684</v>
      </c>
      <c r="E659" s="5" t="str">
        <f>VLOOKUP(F659,'Set up'!$A$2:$C$48,2,FALSE)</f>
        <v>C00000020</v>
      </c>
      <c r="F659" s="1" t="s">
        <v>410</v>
      </c>
      <c r="G659" s="11" t="s">
        <v>683</v>
      </c>
      <c r="H659" s="5">
        <v>3</v>
      </c>
      <c r="I659" s="5" t="str">
        <f>VLOOKUP(F659,'Set up'!$A$2:$C$48,3,FALSE)</f>
        <v>Cash</v>
      </c>
      <c r="J659" s="5">
        <f>VLOOKUP(F659,'Set up'!$A$2:$D$48,4,FALSE)</f>
        <v>0</v>
      </c>
      <c r="K659" s="4">
        <f t="shared" si="109"/>
        <v>44652</v>
      </c>
      <c r="L659" s="5">
        <f t="shared" si="110"/>
        <v>4</v>
      </c>
      <c r="M659" s="5">
        <f t="shared" si="111"/>
        <v>2022</v>
      </c>
      <c r="N659" s="6">
        <v>1764</v>
      </c>
      <c r="O659" s="6">
        <f>-N659</f>
        <v>-1764</v>
      </c>
      <c r="P659" s="6">
        <f t="shared" si="108"/>
        <v>0</v>
      </c>
      <c r="Q659" s="7">
        <f t="shared" si="117"/>
        <v>1166488.8500000001</v>
      </c>
      <c r="R659" s="44" t="str">
        <f>VLOOKUP(F659,'Set up'!$A$2:$E$48,5,FALSE)</f>
        <v>Trsf</v>
      </c>
      <c r="S659" s="1" t="s">
        <v>888</v>
      </c>
    </row>
    <row r="660" spans="1:19" x14ac:dyDescent="0.3">
      <c r="A660" s="4">
        <v>44652</v>
      </c>
      <c r="B660" s="5">
        <f t="shared" si="113"/>
        <v>4</v>
      </c>
      <c r="C660" s="5">
        <f t="shared" si="114"/>
        <v>2022</v>
      </c>
      <c r="D660" s="5" t="s">
        <v>684</v>
      </c>
      <c r="E660" s="5" t="str">
        <f>VLOOKUP(F660,'Set up'!$A$2:$C$48,2,FALSE)</f>
        <v>C00000020</v>
      </c>
      <c r="F660" s="1" t="s">
        <v>410</v>
      </c>
      <c r="G660" s="11" t="s">
        <v>656</v>
      </c>
      <c r="H660" s="5">
        <v>3</v>
      </c>
      <c r="I660" s="5" t="str">
        <f>VLOOKUP(F660,'Set up'!$A$2:$C$48,3,FALSE)</f>
        <v>Cash</v>
      </c>
      <c r="J660" s="5">
        <f>VLOOKUP(F660,'Set up'!$A$2:$D$48,4,FALSE)</f>
        <v>0</v>
      </c>
      <c r="K660" s="4">
        <f t="shared" si="109"/>
        <v>44652</v>
      </c>
      <c r="L660" s="5">
        <f t="shared" si="110"/>
        <v>4</v>
      </c>
      <c r="M660" s="5">
        <f t="shared" si="111"/>
        <v>2022</v>
      </c>
      <c r="N660" s="6">
        <v>936</v>
      </c>
      <c r="O660" s="6">
        <f>-N660</f>
        <v>-936</v>
      </c>
      <c r="P660" s="6">
        <f t="shared" si="108"/>
        <v>0</v>
      </c>
      <c r="Q660" s="7">
        <f t="shared" si="117"/>
        <v>1167424.8500000001</v>
      </c>
      <c r="R660" s="44" t="str">
        <f>VLOOKUP(F660,'Set up'!$A$2:$E$48,5,FALSE)</f>
        <v>Trsf</v>
      </c>
      <c r="S660" s="1" t="s">
        <v>884</v>
      </c>
    </row>
    <row r="661" spans="1:19" x14ac:dyDescent="0.3">
      <c r="A661" s="4">
        <v>44652</v>
      </c>
      <c r="B661" s="5">
        <f t="shared" si="113"/>
        <v>4</v>
      </c>
      <c r="C661" s="5">
        <f t="shared" si="114"/>
        <v>2022</v>
      </c>
      <c r="D661" s="5" t="s">
        <v>684</v>
      </c>
      <c r="E661" s="5" t="str">
        <f>VLOOKUP(F661,'Set up'!$A$2:$C$48,2,FALSE)</f>
        <v>C00000020</v>
      </c>
      <c r="F661" s="1" t="s">
        <v>410</v>
      </c>
      <c r="G661" s="11" t="s">
        <v>64</v>
      </c>
      <c r="H661" s="5">
        <v>3</v>
      </c>
      <c r="I661" s="5" t="str">
        <f>VLOOKUP(F661,'Set up'!$A$2:$C$48,3,FALSE)</f>
        <v>Cash</v>
      </c>
      <c r="J661" s="5">
        <f>VLOOKUP(F661,'Set up'!$A$2:$D$48,4,FALSE)</f>
        <v>0</v>
      </c>
      <c r="K661" s="4">
        <f t="shared" si="109"/>
        <v>44652</v>
      </c>
      <c r="L661" s="5">
        <f t="shared" si="110"/>
        <v>4</v>
      </c>
      <c r="M661" s="5">
        <f t="shared" si="111"/>
        <v>2022</v>
      </c>
      <c r="N661" s="6">
        <v>187.5</v>
      </c>
      <c r="O661" s="6">
        <f>-64.3-123.2</f>
        <v>-187.5</v>
      </c>
      <c r="P661" s="6">
        <f t="shared" ref="P661:P724" si="119">SUM(N661+O661)</f>
        <v>0</v>
      </c>
      <c r="Q661" s="7">
        <f t="shared" si="117"/>
        <v>1167612.3500000001</v>
      </c>
      <c r="R661" s="44" t="str">
        <f>VLOOKUP(F661,'Set up'!$A$2:$E$48,5,FALSE)</f>
        <v>Trsf</v>
      </c>
      <c r="S661" s="1" t="s">
        <v>922</v>
      </c>
    </row>
    <row r="662" spans="1:19" hidden="1" x14ac:dyDescent="0.3">
      <c r="A662" s="4">
        <v>44652</v>
      </c>
      <c r="B662" s="5">
        <f t="shared" si="113"/>
        <v>4</v>
      </c>
      <c r="C662" s="5">
        <f t="shared" si="114"/>
        <v>2022</v>
      </c>
      <c r="D662" s="5" t="s">
        <v>685</v>
      </c>
      <c r="E662" s="5" t="str">
        <f>VLOOKUP(F662,'Set up'!$A$2:$C$48,2,FALSE)</f>
        <v>C00000022</v>
      </c>
      <c r="F662" s="1" t="s">
        <v>638</v>
      </c>
      <c r="G662" s="11" t="s">
        <v>95</v>
      </c>
      <c r="H662" s="5">
        <v>1</v>
      </c>
      <c r="I662" s="5" t="str">
        <f>VLOOKUP(F662,'Set up'!$A$2:$C$48,3,FALSE)</f>
        <v>Cash</v>
      </c>
      <c r="J662" s="5">
        <f>VLOOKUP(F662,'Set up'!$A$2:$D$48,4,FALSE)</f>
        <v>0</v>
      </c>
      <c r="K662" s="4">
        <f t="shared" si="109"/>
        <v>44652</v>
      </c>
      <c r="L662" s="5">
        <f t="shared" si="110"/>
        <v>4</v>
      </c>
      <c r="M662" s="5">
        <f t="shared" si="111"/>
        <v>2022</v>
      </c>
      <c r="N662" s="6">
        <v>2112</v>
      </c>
      <c r="O662" s="6">
        <f>-N662</f>
        <v>-2112</v>
      </c>
      <c r="P662" s="6">
        <f t="shared" si="119"/>
        <v>0</v>
      </c>
      <c r="Q662" s="7">
        <f t="shared" si="117"/>
        <v>1169724.3500000001</v>
      </c>
      <c r="R662" s="44" t="str">
        <f>VLOOKUP(F662,'Set up'!$A$2:$E$48,5,FALSE)</f>
        <v>Trsf</v>
      </c>
      <c r="S662" s="1" t="s">
        <v>808</v>
      </c>
    </row>
    <row r="663" spans="1:19" hidden="1" x14ac:dyDescent="0.3">
      <c r="A663" s="4">
        <v>44652</v>
      </c>
      <c r="B663" s="5">
        <f t="shared" si="113"/>
        <v>4</v>
      </c>
      <c r="C663" s="5">
        <f t="shared" si="114"/>
        <v>2022</v>
      </c>
      <c r="D663" s="5" t="s">
        <v>685</v>
      </c>
      <c r="E663" s="5" t="str">
        <f>VLOOKUP(F663,'Set up'!$A$2:$C$48,2,FALSE)</f>
        <v>C00000022</v>
      </c>
      <c r="F663" s="1" t="s">
        <v>638</v>
      </c>
      <c r="G663" s="11" t="s">
        <v>552</v>
      </c>
      <c r="H663" s="5">
        <v>2</v>
      </c>
      <c r="I663" s="5" t="str">
        <f>VLOOKUP(F663,'Set up'!$A$2:$C$48,3,FALSE)</f>
        <v>Cash</v>
      </c>
      <c r="J663" s="5">
        <f>VLOOKUP(F663,'Set up'!$A$2:$D$48,4,FALSE)</f>
        <v>0</v>
      </c>
      <c r="K663" s="4">
        <f t="shared" si="109"/>
        <v>44652</v>
      </c>
      <c r="L663" s="5">
        <f t="shared" si="110"/>
        <v>4</v>
      </c>
      <c r="M663" s="5">
        <f t="shared" si="111"/>
        <v>2022</v>
      </c>
      <c r="N663" s="6">
        <v>588</v>
      </c>
      <c r="O663" s="6">
        <f>-N663</f>
        <v>-588</v>
      </c>
      <c r="P663" s="6">
        <f t="shared" si="119"/>
        <v>0</v>
      </c>
      <c r="Q663" s="7">
        <f t="shared" si="117"/>
        <v>1170312.3500000001</v>
      </c>
      <c r="R663" s="44" t="str">
        <f>VLOOKUP(F663,'Set up'!$A$2:$E$48,5,FALSE)</f>
        <v>Trsf</v>
      </c>
      <c r="S663" s="1" t="s">
        <v>808</v>
      </c>
    </row>
    <row r="664" spans="1:19" hidden="1" x14ac:dyDescent="0.3">
      <c r="A664" s="4">
        <v>44652</v>
      </c>
      <c r="B664" s="5">
        <f t="shared" si="113"/>
        <v>4</v>
      </c>
      <c r="C664" s="5">
        <f t="shared" si="114"/>
        <v>2022</v>
      </c>
      <c r="D664" s="5" t="s">
        <v>685</v>
      </c>
      <c r="E664" s="5" t="str">
        <f>VLOOKUP(F664,'Set up'!$A$2:$C$48,2,FALSE)</f>
        <v>C00000022</v>
      </c>
      <c r="F664" s="1" t="s">
        <v>638</v>
      </c>
      <c r="G664" s="11" t="s">
        <v>656</v>
      </c>
      <c r="H664" s="5">
        <v>1</v>
      </c>
      <c r="I664" s="5" t="str">
        <f>VLOOKUP(F664,'Set up'!$A$2:$C$48,3,FALSE)</f>
        <v>Cash</v>
      </c>
      <c r="J664" s="5">
        <f>VLOOKUP(F664,'Set up'!$A$2:$D$48,4,FALSE)</f>
        <v>0</v>
      </c>
      <c r="K664" s="4">
        <f t="shared" ref="K664:K727" si="120">A664+J664</f>
        <v>44652</v>
      </c>
      <c r="L664" s="5">
        <f t="shared" si="110"/>
        <v>4</v>
      </c>
      <c r="M664" s="5">
        <f t="shared" si="111"/>
        <v>2022</v>
      </c>
      <c r="N664" s="6">
        <v>300</v>
      </c>
      <c r="O664" s="6">
        <f>-N664</f>
        <v>-300</v>
      </c>
      <c r="P664" s="6">
        <f t="shared" si="119"/>
        <v>0</v>
      </c>
      <c r="Q664" s="7">
        <f t="shared" si="117"/>
        <v>1170612.3500000001</v>
      </c>
      <c r="R664" s="44" t="str">
        <f>VLOOKUP(F664,'Set up'!$A$2:$E$48,5,FALSE)</f>
        <v>Trsf</v>
      </c>
      <c r="S664" s="1" t="s">
        <v>808</v>
      </c>
    </row>
    <row r="665" spans="1:19" hidden="1" x14ac:dyDescent="0.3">
      <c r="A665" s="4">
        <v>44652</v>
      </c>
      <c r="B665" s="5">
        <f t="shared" si="113"/>
        <v>4</v>
      </c>
      <c r="C665" s="5">
        <f t="shared" si="114"/>
        <v>2022</v>
      </c>
      <c r="D665" s="5" t="s">
        <v>685</v>
      </c>
      <c r="E665" s="5" t="str">
        <f>VLOOKUP(F665,'Set up'!$A$2:$C$48,2,FALSE)</f>
        <v>C00000022</v>
      </c>
      <c r="F665" s="1" t="s">
        <v>638</v>
      </c>
      <c r="G665" s="11" t="s">
        <v>641</v>
      </c>
      <c r="H665" s="5">
        <v>2</v>
      </c>
      <c r="I665" s="5" t="str">
        <f>VLOOKUP(F665,'Set up'!$A$2:$C$48,3,FALSE)</f>
        <v>Cash</v>
      </c>
      <c r="J665" s="5">
        <f>VLOOKUP(F665,'Set up'!$A$2:$D$48,4,FALSE)</f>
        <v>0</v>
      </c>
      <c r="K665" s="4">
        <f t="shared" si="120"/>
        <v>44652</v>
      </c>
      <c r="L665" s="5">
        <f t="shared" si="110"/>
        <v>4</v>
      </c>
      <c r="M665" s="5">
        <f t="shared" si="111"/>
        <v>2022</v>
      </c>
      <c r="N665" s="6">
        <v>480</v>
      </c>
      <c r="O665" s="6">
        <f>-N665</f>
        <v>-480</v>
      </c>
      <c r="P665" s="6">
        <f t="shared" si="119"/>
        <v>0</v>
      </c>
      <c r="Q665" s="7">
        <f t="shared" si="117"/>
        <v>1171092.3500000001</v>
      </c>
      <c r="R665" s="44" t="str">
        <f>VLOOKUP(F665,'Set up'!$A$2:$E$48,5,FALSE)</f>
        <v>Trsf</v>
      </c>
      <c r="S665" s="1" t="s">
        <v>808</v>
      </c>
    </row>
    <row r="666" spans="1:19" x14ac:dyDescent="0.3">
      <c r="A666" s="4">
        <v>44656</v>
      </c>
      <c r="B666" s="5">
        <f t="shared" si="113"/>
        <v>4</v>
      </c>
      <c r="C666" s="5">
        <f t="shared" si="114"/>
        <v>2022</v>
      </c>
      <c r="D666" s="5" t="s">
        <v>686</v>
      </c>
      <c r="E666" s="5" t="str">
        <f>VLOOKUP(F666,'Set up'!$A$2:$C$48,2,FALSE)</f>
        <v>C00000020</v>
      </c>
      <c r="F666" s="1" t="s">
        <v>410</v>
      </c>
      <c r="G666" s="11" t="s">
        <v>95</v>
      </c>
      <c r="H666" s="5">
        <v>3</v>
      </c>
      <c r="I666" s="5" t="str">
        <f>VLOOKUP(F666,'Set up'!$A$2:$C$48,3,FALSE)</f>
        <v>Cash</v>
      </c>
      <c r="J666" s="5">
        <f>VLOOKUP(F666,'Set up'!$A$2:$D$48,4,FALSE)</f>
        <v>0</v>
      </c>
      <c r="K666" s="4">
        <f t="shared" si="120"/>
        <v>44656</v>
      </c>
      <c r="L666" s="5">
        <f t="shared" si="110"/>
        <v>4</v>
      </c>
      <c r="M666" s="5">
        <f t="shared" si="111"/>
        <v>2022</v>
      </c>
      <c r="N666" s="6">
        <v>6270</v>
      </c>
      <c r="O666" s="6">
        <f>-2876.8-3393.2</f>
        <v>-6270</v>
      </c>
      <c r="P666" s="6">
        <f t="shared" si="119"/>
        <v>0</v>
      </c>
      <c r="Q666" s="7">
        <f t="shared" si="117"/>
        <v>1177362.3500000001</v>
      </c>
      <c r="R666" s="44" t="str">
        <f>VLOOKUP(F666,'Set up'!$A$2:$E$48,5,FALSE)</f>
        <v>Trsf</v>
      </c>
      <c r="S666" s="1" t="s">
        <v>960</v>
      </c>
    </row>
    <row r="667" spans="1:19" x14ac:dyDescent="0.3">
      <c r="A667" s="4">
        <v>44656</v>
      </c>
      <c r="B667" s="5">
        <f t="shared" si="113"/>
        <v>4</v>
      </c>
      <c r="C667" s="5">
        <f t="shared" si="114"/>
        <v>2022</v>
      </c>
      <c r="D667" s="5" t="s">
        <v>686</v>
      </c>
      <c r="E667" s="5" t="str">
        <f>VLOOKUP(F667,'Set up'!$A$2:$C$48,2,FALSE)</f>
        <v>C00000020</v>
      </c>
      <c r="F667" s="1" t="s">
        <v>410</v>
      </c>
      <c r="G667" s="11" t="s">
        <v>655</v>
      </c>
      <c r="H667" s="5">
        <v>6</v>
      </c>
      <c r="I667" s="5" t="str">
        <f>VLOOKUP(F667,'Set up'!$A$2:$C$48,3,FALSE)</f>
        <v>Cash</v>
      </c>
      <c r="J667" s="5">
        <f>VLOOKUP(F667,'Set up'!$A$2:$D$48,4,FALSE)</f>
        <v>0</v>
      </c>
      <c r="K667" s="4">
        <f t="shared" si="120"/>
        <v>44656</v>
      </c>
      <c r="L667" s="5">
        <f t="shared" si="110"/>
        <v>4</v>
      </c>
      <c r="M667" s="5">
        <f t="shared" si="111"/>
        <v>2022</v>
      </c>
      <c r="N667" s="6">
        <v>1764</v>
      </c>
      <c r="O667" s="6">
        <f t="shared" ref="O667:O676" si="121">-N667</f>
        <v>-1764</v>
      </c>
      <c r="P667" s="6">
        <f t="shared" si="119"/>
        <v>0</v>
      </c>
      <c r="Q667" s="7">
        <f t="shared" si="117"/>
        <v>1179126.3500000001</v>
      </c>
      <c r="R667" s="44" t="str">
        <f>VLOOKUP(F667,'Set up'!$A$2:$E$48,5,FALSE)</f>
        <v>Trsf</v>
      </c>
      <c r="S667" s="1" t="s">
        <v>961</v>
      </c>
    </row>
    <row r="668" spans="1:19" x14ac:dyDescent="0.3">
      <c r="A668" s="4">
        <v>44656</v>
      </c>
      <c r="B668" s="5">
        <f t="shared" si="113"/>
        <v>4</v>
      </c>
      <c r="C668" s="5">
        <f t="shared" si="114"/>
        <v>2022</v>
      </c>
      <c r="D668" s="5" t="s">
        <v>686</v>
      </c>
      <c r="E668" s="5" t="str">
        <f>VLOOKUP(F668,'Set up'!$A$2:$C$48,2,FALSE)</f>
        <v>C00000020</v>
      </c>
      <c r="F668" s="1" t="s">
        <v>410</v>
      </c>
      <c r="G668" s="11" t="s">
        <v>656</v>
      </c>
      <c r="H668" s="5">
        <v>3</v>
      </c>
      <c r="I668" s="5" t="str">
        <f>VLOOKUP(F668,'Set up'!$A$2:$C$48,3,FALSE)</f>
        <v>Cash</v>
      </c>
      <c r="J668" s="5">
        <f>VLOOKUP(F668,'Set up'!$A$2:$D$48,4,FALSE)</f>
        <v>0</v>
      </c>
      <c r="K668" s="4">
        <f t="shared" si="120"/>
        <v>44656</v>
      </c>
      <c r="L668" s="5">
        <f t="shared" si="110"/>
        <v>4</v>
      </c>
      <c r="M668" s="5">
        <f t="shared" si="111"/>
        <v>2022</v>
      </c>
      <c r="N668" s="6">
        <v>936</v>
      </c>
      <c r="O668" s="6">
        <f t="shared" si="121"/>
        <v>-936</v>
      </c>
      <c r="P668" s="6">
        <f t="shared" si="119"/>
        <v>0</v>
      </c>
      <c r="Q668" s="7">
        <f t="shared" si="117"/>
        <v>1180062.3500000001</v>
      </c>
      <c r="R668" s="44" t="str">
        <f>VLOOKUP(F668,'Set up'!$A$2:$E$48,5,FALSE)</f>
        <v>Trsf</v>
      </c>
      <c r="S668" s="1" t="s">
        <v>963</v>
      </c>
    </row>
    <row r="669" spans="1:19" x14ac:dyDescent="0.3">
      <c r="A669" s="4">
        <v>44656</v>
      </c>
      <c r="B669" s="5">
        <f t="shared" si="113"/>
        <v>4</v>
      </c>
      <c r="C669" s="5">
        <f t="shared" si="114"/>
        <v>2022</v>
      </c>
      <c r="D669" s="5" t="s">
        <v>686</v>
      </c>
      <c r="E669" s="5" t="str">
        <f>VLOOKUP(F669,'Set up'!$A$2:$C$48,2,FALSE)</f>
        <v>C00000020</v>
      </c>
      <c r="F669" s="1" t="s">
        <v>410</v>
      </c>
      <c r="G669" s="11" t="s">
        <v>64</v>
      </c>
      <c r="H669" s="5">
        <v>3</v>
      </c>
      <c r="I669" s="5" t="str">
        <f>VLOOKUP(F669,'Set up'!$A$2:$C$48,3,FALSE)</f>
        <v>Cash</v>
      </c>
      <c r="J669" s="5">
        <f>VLOOKUP(F669,'Set up'!$A$2:$D$48,4,FALSE)</f>
        <v>0</v>
      </c>
      <c r="K669" s="4">
        <f t="shared" si="120"/>
        <v>44656</v>
      </c>
      <c r="L669" s="5">
        <f t="shared" si="110"/>
        <v>4</v>
      </c>
      <c r="M669" s="5">
        <f t="shared" si="111"/>
        <v>2022</v>
      </c>
      <c r="N669" s="6">
        <v>187.5</v>
      </c>
      <c r="O669" s="6">
        <f t="shared" si="121"/>
        <v>-187.5</v>
      </c>
      <c r="P669" s="6">
        <f t="shared" si="119"/>
        <v>0</v>
      </c>
      <c r="Q669" s="7">
        <f t="shared" si="117"/>
        <v>1180249.8500000001</v>
      </c>
      <c r="R669" s="44" t="str">
        <f>VLOOKUP(F669,'Set up'!$A$2:$E$48,5,FALSE)</f>
        <v>Trsf</v>
      </c>
      <c r="S669" s="1" t="s">
        <v>964</v>
      </c>
    </row>
    <row r="670" spans="1:19" x14ac:dyDescent="0.3">
      <c r="A670" s="4">
        <v>44656</v>
      </c>
      <c r="B670" s="5">
        <f t="shared" si="113"/>
        <v>4</v>
      </c>
      <c r="C670" s="5">
        <f t="shared" si="114"/>
        <v>2022</v>
      </c>
      <c r="D670" s="5" t="s">
        <v>686</v>
      </c>
      <c r="E670" s="5" t="str">
        <f>VLOOKUP(F670,'Set up'!$A$2:$C$48,2,FALSE)</f>
        <v>C00000020</v>
      </c>
      <c r="F670" s="1" t="s">
        <v>410</v>
      </c>
      <c r="G670" s="11" t="s">
        <v>660</v>
      </c>
      <c r="H670" s="5">
        <v>1</v>
      </c>
      <c r="I670" s="5" t="str">
        <f>VLOOKUP(F670,'Set up'!$A$2:$C$48,3,FALSE)</f>
        <v>Cash</v>
      </c>
      <c r="J670" s="5">
        <f>VLOOKUP(F670,'Set up'!$A$2:$D$48,4,FALSE)</f>
        <v>0</v>
      </c>
      <c r="K670" s="4">
        <f t="shared" si="120"/>
        <v>44656</v>
      </c>
      <c r="L670" s="5">
        <f t="shared" si="110"/>
        <v>4</v>
      </c>
      <c r="M670" s="5">
        <f t="shared" si="111"/>
        <v>2022</v>
      </c>
      <c r="N670" s="6">
        <v>1000</v>
      </c>
      <c r="O670" s="6">
        <f t="shared" si="121"/>
        <v>-1000</v>
      </c>
      <c r="P670" s="6">
        <f t="shared" si="119"/>
        <v>0</v>
      </c>
      <c r="Q670" s="7">
        <f t="shared" si="117"/>
        <v>1181249.8500000001</v>
      </c>
      <c r="R670" s="44" t="str">
        <f>VLOOKUP(F670,'Set up'!$A$2:$E$48,5,FALSE)</f>
        <v>Trsf</v>
      </c>
      <c r="S670" s="1" t="s">
        <v>962</v>
      </c>
    </row>
    <row r="671" spans="1:19" x14ac:dyDescent="0.3">
      <c r="A671" s="4">
        <v>44656</v>
      </c>
      <c r="B671" s="5">
        <f t="shared" si="113"/>
        <v>4</v>
      </c>
      <c r="C671" s="5">
        <f t="shared" si="114"/>
        <v>2022</v>
      </c>
      <c r="D671" s="5" t="s">
        <v>686</v>
      </c>
      <c r="E671" s="5" t="str">
        <f>VLOOKUP(F671,'Set up'!$A$2:$C$48,2,FALSE)</f>
        <v>C00000020</v>
      </c>
      <c r="F671" s="1" t="s">
        <v>410</v>
      </c>
      <c r="G671" s="11" t="s">
        <v>667</v>
      </c>
      <c r="H671" s="5">
        <v>4</v>
      </c>
      <c r="I671" s="5" t="str">
        <f>VLOOKUP(F671,'Set up'!$A$2:$C$48,3,FALSE)</f>
        <v>Cash</v>
      </c>
      <c r="J671" s="5">
        <f>VLOOKUP(F671,'Set up'!$A$2:$D$48,4,FALSE)</f>
        <v>0</v>
      </c>
      <c r="K671" s="4">
        <f t="shared" si="120"/>
        <v>44656</v>
      </c>
      <c r="L671" s="5">
        <f t="shared" ref="L671:L734" si="122">MONTH(K671)</f>
        <v>4</v>
      </c>
      <c r="M671" s="5">
        <f t="shared" ref="M671:M734" si="123">YEAR(K671)</f>
        <v>2022</v>
      </c>
      <c r="N671" s="6">
        <v>340</v>
      </c>
      <c r="O671" s="6">
        <f t="shared" si="121"/>
        <v>-340</v>
      </c>
      <c r="P671" s="6">
        <f t="shared" si="119"/>
        <v>0</v>
      </c>
      <c r="Q671" s="7">
        <f t="shared" si="117"/>
        <v>1181589.8500000001</v>
      </c>
      <c r="R671" s="44" t="str">
        <f>VLOOKUP(F671,'Set up'!$A$2:$E$48,5,FALSE)</f>
        <v>Trsf</v>
      </c>
      <c r="S671" s="1" t="s">
        <v>965</v>
      </c>
    </row>
    <row r="672" spans="1:19" hidden="1" x14ac:dyDescent="0.3">
      <c r="A672" s="4">
        <v>44659</v>
      </c>
      <c r="B672" s="5">
        <f t="shared" si="113"/>
        <v>4</v>
      </c>
      <c r="C672" s="5">
        <f t="shared" si="114"/>
        <v>2022</v>
      </c>
      <c r="D672" s="5" t="s">
        <v>687</v>
      </c>
      <c r="E672" s="5" t="str">
        <f>VLOOKUP(F672,'Set up'!$A$2:$C$48,2,FALSE)</f>
        <v>C00000019</v>
      </c>
      <c r="F672" s="1" t="s">
        <v>401</v>
      </c>
      <c r="G672" s="11" t="s">
        <v>95</v>
      </c>
      <c r="H672" s="5">
        <v>2</v>
      </c>
      <c r="I672" s="5" t="str">
        <f>VLOOKUP(F672,'Set up'!$A$2:$C$48,3,FALSE)</f>
        <v>Cash</v>
      </c>
      <c r="J672" s="5">
        <f>VLOOKUP(F672,'Set up'!$A$2:$D$48,4,FALSE)</f>
        <v>0</v>
      </c>
      <c r="K672" s="4">
        <f t="shared" si="120"/>
        <v>44659</v>
      </c>
      <c r="L672" s="5">
        <f t="shared" si="122"/>
        <v>4</v>
      </c>
      <c r="M672" s="5">
        <f t="shared" si="123"/>
        <v>2022</v>
      </c>
      <c r="N672" s="6">
        <v>4136</v>
      </c>
      <c r="O672" s="6">
        <f t="shared" si="121"/>
        <v>-4136</v>
      </c>
      <c r="P672" s="6">
        <f t="shared" si="119"/>
        <v>0</v>
      </c>
      <c r="Q672" s="7">
        <f t="shared" si="117"/>
        <v>1185725.8500000001</v>
      </c>
      <c r="R672" s="44" t="str">
        <f>VLOOKUP(F672,'Set up'!$A$2:$E$48,5,FALSE)</f>
        <v>Trsf</v>
      </c>
      <c r="S672" s="1" t="s">
        <v>805</v>
      </c>
    </row>
    <row r="673" spans="1:19" hidden="1" x14ac:dyDescent="0.3">
      <c r="A673" s="4">
        <v>44659</v>
      </c>
      <c r="B673" s="5">
        <f t="shared" si="113"/>
        <v>4</v>
      </c>
      <c r="C673" s="5">
        <f t="shared" si="114"/>
        <v>2022</v>
      </c>
      <c r="D673" s="5" t="s">
        <v>687</v>
      </c>
      <c r="E673" s="5" t="str">
        <f>VLOOKUP(F673,'Set up'!$A$2:$C$48,2,FALSE)</f>
        <v>C00000019</v>
      </c>
      <c r="F673" s="1" t="s">
        <v>401</v>
      </c>
      <c r="G673" s="11" t="s">
        <v>479</v>
      </c>
      <c r="H673" s="5">
        <v>2</v>
      </c>
      <c r="I673" s="5" t="str">
        <f>VLOOKUP(F673,'Set up'!$A$2:$C$48,3,FALSE)</f>
        <v>Cash</v>
      </c>
      <c r="J673" s="5">
        <f>VLOOKUP(F673,'Set up'!$A$2:$D$48,4,FALSE)</f>
        <v>0</v>
      </c>
      <c r="K673" s="4">
        <f t="shared" si="120"/>
        <v>44659</v>
      </c>
      <c r="L673" s="5">
        <f t="shared" si="122"/>
        <v>4</v>
      </c>
      <c r="M673" s="5">
        <f t="shared" si="123"/>
        <v>2022</v>
      </c>
      <c r="N673" s="6">
        <v>1047.5999999999999</v>
      </c>
      <c r="O673" s="6">
        <f t="shared" si="121"/>
        <v>-1047.5999999999999</v>
      </c>
      <c r="P673" s="6">
        <f t="shared" si="119"/>
        <v>0</v>
      </c>
      <c r="Q673" s="7">
        <f t="shared" si="117"/>
        <v>1186773.4500000002</v>
      </c>
      <c r="R673" s="44" t="str">
        <f>VLOOKUP(F673,'Set up'!$A$2:$E$48,5,FALSE)</f>
        <v>Trsf</v>
      </c>
      <c r="S673" s="1" t="s">
        <v>805</v>
      </c>
    </row>
    <row r="674" spans="1:19" hidden="1" x14ac:dyDescent="0.3">
      <c r="A674" s="4">
        <v>44659</v>
      </c>
      <c r="B674" s="5">
        <f t="shared" si="113"/>
        <v>4</v>
      </c>
      <c r="C674" s="5">
        <f t="shared" si="114"/>
        <v>2022</v>
      </c>
      <c r="D674" s="5" t="s">
        <v>687</v>
      </c>
      <c r="E674" s="5" t="str">
        <f>VLOOKUP(F674,'Set up'!$A$2:$C$48,2,FALSE)</f>
        <v>C00000019</v>
      </c>
      <c r="F674" s="1" t="s">
        <v>401</v>
      </c>
      <c r="G674" s="11" t="s">
        <v>64</v>
      </c>
      <c r="H674" s="5">
        <v>3</v>
      </c>
      <c r="I674" s="5" t="str">
        <f>VLOOKUP(F674,'Set up'!$A$2:$C$48,3,FALSE)</f>
        <v>Cash</v>
      </c>
      <c r="J674" s="5">
        <f>VLOOKUP(F674,'Set up'!$A$2:$D$48,4,FALSE)</f>
        <v>0</v>
      </c>
      <c r="K674" s="4">
        <f t="shared" si="120"/>
        <v>44659</v>
      </c>
      <c r="L674" s="5">
        <f t="shared" si="122"/>
        <v>4</v>
      </c>
      <c r="M674" s="5">
        <f t="shared" si="123"/>
        <v>2022</v>
      </c>
      <c r="N674" s="6">
        <v>187.5</v>
      </c>
      <c r="O674" s="6">
        <f t="shared" si="121"/>
        <v>-187.5</v>
      </c>
      <c r="P674" s="6">
        <f t="shared" si="119"/>
        <v>0</v>
      </c>
      <c r="Q674" s="7">
        <f t="shared" si="117"/>
        <v>1186960.9500000002</v>
      </c>
      <c r="R674" s="44" t="str">
        <f>VLOOKUP(F674,'Set up'!$A$2:$E$48,5,FALSE)</f>
        <v>Trsf</v>
      </c>
      <c r="S674" s="1" t="s">
        <v>805</v>
      </c>
    </row>
    <row r="675" spans="1:19" hidden="1" x14ac:dyDescent="0.3">
      <c r="A675" s="4">
        <v>44659</v>
      </c>
      <c r="B675" s="5">
        <f t="shared" si="113"/>
        <v>4</v>
      </c>
      <c r="C675" s="5">
        <f t="shared" si="114"/>
        <v>2022</v>
      </c>
      <c r="D675" s="5" t="s">
        <v>687</v>
      </c>
      <c r="E675" s="5" t="str">
        <f>VLOOKUP(F675,'Set up'!$A$2:$C$48,2,FALSE)</f>
        <v>C00000019</v>
      </c>
      <c r="F675" s="1" t="s">
        <v>401</v>
      </c>
      <c r="G675" s="11" t="s">
        <v>293</v>
      </c>
      <c r="H675" s="5">
        <v>2</v>
      </c>
      <c r="I675" s="5" t="str">
        <f>VLOOKUP(F675,'Set up'!$A$2:$C$48,3,FALSE)</f>
        <v>Cash</v>
      </c>
      <c r="J675" s="5">
        <f>VLOOKUP(F675,'Set up'!$A$2:$D$48,4,FALSE)</f>
        <v>0</v>
      </c>
      <c r="K675" s="4">
        <f t="shared" si="120"/>
        <v>44659</v>
      </c>
      <c r="L675" s="5">
        <f t="shared" si="122"/>
        <v>4</v>
      </c>
      <c r="M675" s="5">
        <f t="shared" si="123"/>
        <v>2022</v>
      </c>
      <c r="N675" s="6">
        <v>780</v>
      </c>
      <c r="O675" s="6">
        <f t="shared" si="121"/>
        <v>-780</v>
      </c>
      <c r="P675" s="6">
        <f t="shared" si="119"/>
        <v>0</v>
      </c>
      <c r="Q675" s="7">
        <f t="shared" si="117"/>
        <v>1187740.9500000002</v>
      </c>
      <c r="R675" s="44" t="str">
        <f>VLOOKUP(F675,'Set up'!$A$2:$E$48,5,FALSE)</f>
        <v>Trsf</v>
      </c>
      <c r="S675" s="1" t="s">
        <v>805</v>
      </c>
    </row>
    <row r="676" spans="1:19" hidden="1" x14ac:dyDescent="0.3">
      <c r="A676" s="4">
        <v>44659</v>
      </c>
      <c r="B676" s="5">
        <f t="shared" si="113"/>
        <v>4</v>
      </c>
      <c r="C676" s="5">
        <f t="shared" si="114"/>
        <v>2022</v>
      </c>
      <c r="D676" s="5" t="s">
        <v>687</v>
      </c>
      <c r="E676" s="5" t="str">
        <f>VLOOKUP(F676,'Set up'!$A$2:$C$48,2,FALSE)</f>
        <v>C00000019</v>
      </c>
      <c r="F676" s="1" t="s">
        <v>401</v>
      </c>
      <c r="G676" s="11" t="s">
        <v>567</v>
      </c>
      <c r="H676" s="5">
        <v>2</v>
      </c>
      <c r="I676" s="5" t="str">
        <f>VLOOKUP(F676,'Set up'!$A$2:$C$48,3,FALSE)</f>
        <v>Cash</v>
      </c>
      <c r="J676" s="5">
        <f>VLOOKUP(F676,'Set up'!$A$2:$D$48,4,FALSE)</f>
        <v>0</v>
      </c>
      <c r="K676" s="4">
        <f t="shared" si="120"/>
        <v>44659</v>
      </c>
      <c r="L676" s="5">
        <f t="shared" si="122"/>
        <v>4</v>
      </c>
      <c r="M676" s="5">
        <f t="shared" si="123"/>
        <v>2022</v>
      </c>
      <c r="N676" s="6">
        <v>210</v>
      </c>
      <c r="O676" s="6">
        <f t="shared" si="121"/>
        <v>-210</v>
      </c>
      <c r="P676" s="6">
        <f t="shared" si="119"/>
        <v>0</v>
      </c>
      <c r="Q676" s="7">
        <f t="shared" si="117"/>
        <v>1187950.9500000002</v>
      </c>
      <c r="R676" s="44" t="str">
        <f>VLOOKUP(F676,'Set up'!$A$2:$E$48,5,FALSE)</f>
        <v>Trsf</v>
      </c>
      <c r="S676" s="1" t="s">
        <v>805</v>
      </c>
    </row>
    <row r="677" spans="1:19" ht="93.6" hidden="1" x14ac:dyDescent="0.3">
      <c r="A677" s="4">
        <v>44659</v>
      </c>
      <c r="B677" s="5">
        <f t="shared" si="113"/>
        <v>4</v>
      </c>
      <c r="C677" s="5">
        <f t="shared" si="114"/>
        <v>2022</v>
      </c>
      <c r="D677" s="5" t="s">
        <v>688</v>
      </c>
      <c r="E677" s="5" t="str">
        <f>VLOOKUP(F677,'Set up'!$A$2:$C$48,2,FALSE)</f>
        <v>C00000003</v>
      </c>
      <c r="F677" s="1" t="s">
        <v>20</v>
      </c>
      <c r="G677" s="11" t="s">
        <v>67</v>
      </c>
      <c r="H677" s="5">
        <v>3</v>
      </c>
      <c r="I677" s="5">
        <f>VLOOKUP(F677,'Set up'!$A$2:$C$48,3,FALSE)</f>
        <v>45</v>
      </c>
      <c r="J677" s="5">
        <f>VLOOKUP(F677,'Set up'!$A$2:$D$48,4,FALSE)</f>
        <v>45</v>
      </c>
      <c r="K677" s="4">
        <f t="shared" si="120"/>
        <v>44704</v>
      </c>
      <c r="L677" s="5">
        <f t="shared" si="122"/>
        <v>5</v>
      </c>
      <c r="M677" s="5">
        <f t="shared" si="123"/>
        <v>2022</v>
      </c>
      <c r="N677" s="6">
        <v>6336</v>
      </c>
      <c r="O677" s="6">
        <f>-1500-1500-1500-816-1020</f>
        <v>-6336</v>
      </c>
      <c r="P677" s="6">
        <f t="shared" si="119"/>
        <v>0</v>
      </c>
      <c r="Q677" s="7">
        <f t="shared" si="117"/>
        <v>1194286.9500000002</v>
      </c>
      <c r="R677" s="44" t="str">
        <f>VLOOKUP(F677,'Set up'!$A$2:$E$48,5,FALSE)</f>
        <v>PD Chq</v>
      </c>
      <c r="S677" s="40" t="s">
        <v>850</v>
      </c>
    </row>
    <row r="678" spans="1:19" hidden="1" x14ac:dyDescent="0.3">
      <c r="A678" s="4">
        <v>44659</v>
      </c>
      <c r="B678" s="5">
        <f t="shared" si="113"/>
        <v>4</v>
      </c>
      <c r="C678" s="5">
        <f t="shared" si="114"/>
        <v>2022</v>
      </c>
      <c r="D678" s="5" t="s">
        <v>688</v>
      </c>
      <c r="E678" s="5" t="str">
        <f>VLOOKUP(F678,'Set up'!$A$2:$C$48,2,FALSE)</f>
        <v>C00000003</v>
      </c>
      <c r="F678" s="1" t="s">
        <v>20</v>
      </c>
      <c r="G678" s="11" t="s">
        <v>64</v>
      </c>
      <c r="H678" s="5">
        <v>4</v>
      </c>
      <c r="I678" s="5">
        <f>VLOOKUP(F678,'Set up'!$A$2:$C$48,3,FALSE)</f>
        <v>45</v>
      </c>
      <c r="J678" s="5">
        <f>VLOOKUP(F678,'Set up'!$A$2:$D$48,4,FALSE)</f>
        <v>45</v>
      </c>
      <c r="K678" s="4">
        <f t="shared" si="120"/>
        <v>44704</v>
      </c>
      <c r="L678" s="5">
        <f t="shared" si="122"/>
        <v>5</v>
      </c>
      <c r="M678" s="5">
        <f t="shared" si="123"/>
        <v>2022</v>
      </c>
      <c r="N678" s="6">
        <v>260</v>
      </c>
      <c r="O678" s="6">
        <f>-N678</f>
        <v>-260</v>
      </c>
      <c r="P678" s="6">
        <f t="shared" si="119"/>
        <v>0</v>
      </c>
      <c r="Q678" s="7">
        <f t="shared" si="117"/>
        <v>1194546.9500000002</v>
      </c>
      <c r="R678" s="44" t="str">
        <f>VLOOKUP(F678,'Set up'!$A$2:$E$48,5,FALSE)</f>
        <v>PD Chq</v>
      </c>
      <c r="S678" s="1" t="s">
        <v>851</v>
      </c>
    </row>
    <row r="679" spans="1:19" hidden="1" x14ac:dyDescent="0.3">
      <c r="A679" s="4">
        <v>44659</v>
      </c>
      <c r="B679" s="5">
        <f t="shared" si="113"/>
        <v>4</v>
      </c>
      <c r="C679" s="5">
        <f t="shared" si="114"/>
        <v>2022</v>
      </c>
      <c r="D679" s="5" t="s">
        <v>688</v>
      </c>
      <c r="E679" s="5" t="str">
        <f>VLOOKUP(F679,'Set up'!$A$2:$C$48,2,FALSE)</f>
        <v>C00000003</v>
      </c>
      <c r="F679" s="1" t="s">
        <v>20</v>
      </c>
      <c r="G679" s="11" t="s">
        <v>17</v>
      </c>
      <c r="H679" s="5">
        <v>6</v>
      </c>
      <c r="I679" s="5">
        <f>VLOOKUP(F679,'Set up'!$A$2:$C$48,3,FALSE)</f>
        <v>45</v>
      </c>
      <c r="J679" s="5">
        <f>VLOOKUP(F679,'Set up'!$A$2:$D$48,4,FALSE)</f>
        <v>45</v>
      </c>
      <c r="K679" s="4">
        <f t="shared" si="120"/>
        <v>44704</v>
      </c>
      <c r="L679" s="5">
        <f t="shared" si="122"/>
        <v>5</v>
      </c>
      <c r="M679" s="5">
        <f t="shared" si="123"/>
        <v>2022</v>
      </c>
      <c r="N679" s="6">
        <v>630</v>
      </c>
      <c r="O679" s="6">
        <f>-N679</f>
        <v>-630</v>
      </c>
      <c r="P679" s="6">
        <f t="shared" si="119"/>
        <v>0</v>
      </c>
      <c r="Q679" s="7">
        <f t="shared" si="117"/>
        <v>1195176.9500000002</v>
      </c>
      <c r="R679" s="44" t="str">
        <f>VLOOKUP(F679,'Set up'!$A$2:$E$48,5,FALSE)</f>
        <v>PD Chq</v>
      </c>
      <c r="S679" s="1" t="s">
        <v>851</v>
      </c>
    </row>
    <row r="680" spans="1:19" hidden="1" x14ac:dyDescent="0.3">
      <c r="A680" s="4">
        <v>44659</v>
      </c>
      <c r="B680" s="5">
        <f t="shared" si="113"/>
        <v>4</v>
      </c>
      <c r="C680" s="5">
        <f t="shared" si="114"/>
        <v>2022</v>
      </c>
      <c r="D680" s="5" t="s">
        <v>688</v>
      </c>
      <c r="E680" s="5" t="str">
        <f>VLOOKUP(F680,'Set up'!$A$2:$C$48,2,FALSE)</f>
        <v>C00000003</v>
      </c>
      <c r="F680" s="1" t="s">
        <v>20</v>
      </c>
      <c r="G680" s="11" t="s">
        <v>179</v>
      </c>
      <c r="H680" s="5">
        <v>2</v>
      </c>
      <c r="I680" s="5">
        <f>VLOOKUP(F680,'Set up'!$A$2:$C$48,3,FALSE)</f>
        <v>45</v>
      </c>
      <c r="J680" s="5">
        <f>VLOOKUP(F680,'Set up'!$A$2:$D$48,4,FALSE)</f>
        <v>45</v>
      </c>
      <c r="K680" s="4">
        <f t="shared" si="120"/>
        <v>44704</v>
      </c>
      <c r="L680" s="5">
        <f t="shared" si="122"/>
        <v>5</v>
      </c>
      <c r="M680" s="5">
        <f t="shared" si="123"/>
        <v>2022</v>
      </c>
      <c r="N680" s="6">
        <v>90</v>
      </c>
      <c r="O680" s="6">
        <f>-N680</f>
        <v>-90</v>
      </c>
      <c r="P680" s="6">
        <f t="shared" si="119"/>
        <v>0</v>
      </c>
      <c r="Q680" s="7">
        <f t="shared" si="117"/>
        <v>1195266.9500000002</v>
      </c>
      <c r="R680" s="44" t="str">
        <f>VLOOKUP(F680,'Set up'!$A$2:$E$48,5,FALSE)</f>
        <v>PD Chq</v>
      </c>
      <c r="S680" s="1" t="s">
        <v>851</v>
      </c>
    </row>
    <row r="681" spans="1:19" hidden="1" x14ac:dyDescent="0.3">
      <c r="A681" s="4">
        <v>44660</v>
      </c>
      <c r="B681" s="5">
        <f t="shared" si="113"/>
        <v>4</v>
      </c>
      <c r="C681" s="5">
        <f t="shared" si="114"/>
        <v>2022</v>
      </c>
      <c r="D681" s="5" t="s">
        <v>689</v>
      </c>
      <c r="E681" s="5" t="str">
        <f>VLOOKUP(F681,'Set up'!$A$2:$C$48,2,FALSE)</f>
        <v>C00000009</v>
      </c>
      <c r="F681" s="1" t="s">
        <v>58</v>
      </c>
      <c r="G681" s="11" t="s">
        <v>95</v>
      </c>
      <c r="H681" s="5">
        <v>2</v>
      </c>
      <c r="I681" s="5">
        <f>VLOOKUP(F681,'Set up'!$A$2:$C$48,3,FALSE)</f>
        <v>60</v>
      </c>
      <c r="J681" s="5">
        <f>VLOOKUP(F681,'Set up'!$A$2:$D$48,4,FALSE)</f>
        <v>60</v>
      </c>
      <c r="K681" s="4">
        <f t="shared" si="120"/>
        <v>44720</v>
      </c>
      <c r="L681" s="5">
        <f t="shared" si="122"/>
        <v>6</v>
      </c>
      <c r="M681" s="5">
        <f t="shared" si="123"/>
        <v>2022</v>
      </c>
      <c r="N681" s="6">
        <v>3960</v>
      </c>
      <c r="O681" s="6">
        <f t="shared" ref="O681:O682" si="124">-N681</f>
        <v>-3960</v>
      </c>
      <c r="P681" s="6">
        <f t="shared" si="119"/>
        <v>0</v>
      </c>
      <c r="Q681" s="7">
        <f t="shared" si="117"/>
        <v>1199226.9500000002</v>
      </c>
      <c r="R681" s="44" t="str">
        <f>VLOOKUP(F681,'Set up'!$A$2:$E$48,5,FALSE)</f>
        <v>Chq</v>
      </c>
      <c r="S681" s="1" t="s">
        <v>924</v>
      </c>
    </row>
    <row r="682" spans="1:19" hidden="1" x14ac:dyDescent="0.3">
      <c r="A682" s="4">
        <v>44660</v>
      </c>
      <c r="B682" s="5">
        <f t="shared" si="113"/>
        <v>4</v>
      </c>
      <c r="C682" s="5">
        <f t="shared" si="114"/>
        <v>2022</v>
      </c>
      <c r="D682" s="5" t="s">
        <v>689</v>
      </c>
      <c r="E682" s="5" t="str">
        <f>VLOOKUP(F682,'Set up'!$A$2:$C$48,2,FALSE)</f>
        <v>C00000009</v>
      </c>
      <c r="F682" s="1" t="s">
        <v>58</v>
      </c>
      <c r="G682" s="11" t="s">
        <v>683</v>
      </c>
      <c r="H682" s="5">
        <v>1</v>
      </c>
      <c r="I682" s="5">
        <f>VLOOKUP(F682,'Set up'!$A$2:$C$48,3,FALSE)</f>
        <v>60</v>
      </c>
      <c r="J682" s="5">
        <f>VLOOKUP(F682,'Set up'!$A$2:$D$48,4,FALSE)</f>
        <v>60</v>
      </c>
      <c r="K682" s="4">
        <f t="shared" si="120"/>
        <v>44720</v>
      </c>
      <c r="L682" s="5">
        <f t="shared" si="122"/>
        <v>6</v>
      </c>
      <c r="M682" s="5">
        <f t="shared" si="123"/>
        <v>2022</v>
      </c>
      <c r="N682" s="6">
        <v>570</v>
      </c>
      <c r="O682" s="6">
        <f t="shared" si="124"/>
        <v>-570</v>
      </c>
      <c r="P682" s="6">
        <f t="shared" si="119"/>
        <v>0</v>
      </c>
      <c r="Q682" s="7">
        <f t="shared" si="117"/>
        <v>1199796.9500000002</v>
      </c>
      <c r="R682" s="44" t="str">
        <f>VLOOKUP(F682,'Set up'!$A$2:$E$48,5,FALSE)</f>
        <v>Chq</v>
      </c>
      <c r="S682" s="1" t="s">
        <v>924</v>
      </c>
    </row>
    <row r="683" spans="1:19" hidden="1" x14ac:dyDescent="0.3">
      <c r="A683" s="4">
        <v>44660</v>
      </c>
      <c r="B683" s="5">
        <f t="shared" si="113"/>
        <v>4</v>
      </c>
      <c r="C683" s="5">
        <f t="shared" si="114"/>
        <v>2022</v>
      </c>
      <c r="D683" s="5" t="s">
        <v>689</v>
      </c>
      <c r="E683" s="5" t="str">
        <f>VLOOKUP(F683,'Set up'!$A$2:$C$48,2,FALSE)</f>
        <v>C00000009</v>
      </c>
      <c r="F683" s="1" t="s">
        <v>58</v>
      </c>
      <c r="G683" s="11" t="s">
        <v>704</v>
      </c>
      <c r="H683" s="5">
        <v>1</v>
      </c>
      <c r="I683" s="5">
        <f>VLOOKUP(F683,'Set up'!$A$2:$C$48,3,FALSE)</f>
        <v>60</v>
      </c>
      <c r="J683" s="5">
        <f>VLOOKUP(F683,'Set up'!$A$2:$D$48,4,FALSE)</f>
        <v>60</v>
      </c>
      <c r="K683" s="4">
        <f t="shared" si="120"/>
        <v>44720</v>
      </c>
      <c r="L683" s="5">
        <f t="shared" si="122"/>
        <v>6</v>
      </c>
      <c r="M683" s="5">
        <f t="shared" si="123"/>
        <v>2022</v>
      </c>
      <c r="N683" s="6">
        <v>513</v>
      </c>
      <c r="O683" s="6">
        <f>-N683</f>
        <v>-513</v>
      </c>
      <c r="P683" s="6">
        <f t="shared" si="119"/>
        <v>0</v>
      </c>
      <c r="Q683" s="7">
        <f t="shared" si="117"/>
        <v>1200309.9500000002</v>
      </c>
      <c r="R683" s="44" t="str">
        <f>VLOOKUP(F683,'Set up'!$A$2:$E$48,5,FALSE)</f>
        <v>Chq</v>
      </c>
      <c r="S683" s="1" t="s">
        <v>924</v>
      </c>
    </row>
    <row r="684" spans="1:19" x14ac:dyDescent="0.3">
      <c r="A684" s="4">
        <v>44660</v>
      </c>
      <c r="B684" s="5">
        <f t="shared" si="113"/>
        <v>4</v>
      </c>
      <c r="C684" s="5">
        <f t="shared" si="114"/>
        <v>2022</v>
      </c>
      <c r="D684" s="5" t="s">
        <v>690</v>
      </c>
      <c r="E684" s="5" t="str">
        <f>VLOOKUP(F684,'Set up'!$A$2:$C$48,2,FALSE)</f>
        <v>C00000020</v>
      </c>
      <c r="F684" s="1" t="s">
        <v>410</v>
      </c>
      <c r="G684" s="11" t="s">
        <v>67</v>
      </c>
      <c r="H684" s="5">
        <v>3</v>
      </c>
      <c r="I684" s="5" t="str">
        <f>VLOOKUP(F684,'Set up'!$A$2:$C$48,3,FALSE)</f>
        <v>Cash</v>
      </c>
      <c r="J684" s="5">
        <f>VLOOKUP(F684,'Set up'!$A$2:$D$48,4,FALSE)</f>
        <v>0</v>
      </c>
      <c r="K684" s="4">
        <f t="shared" si="120"/>
        <v>44660</v>
      </c>
      <c r="L684" s="5">
        <f t="shared" si="122"/>
        <v>4</v>
      </c>
      <c r="M684" s="5">
        <f t="shared" si="123"/>
        <v>2022</v>
      </c>
      <c r="N684" s="6">
        <v>6270</v>
      </c>
      <c r="O684" s="6">
        <f>-2379.3-3890.7</f>
        <v>-6270</v>
      </c>
      <c r="P684" s="6">
        <f t="shared" si="119"/>
        <v>0</v>
      </c>
      <c r="Q684" s="7">
        <f t="shared" si="117"/>
        <v>1206579.9500000002</v>
      </c>
      <c r="R684" s="44" t="str">
        <f>VLOOKUP(F684,'Set up'!$A$2:$E$48,5,FALSE)</f>
        <v>Trsf</v>
      </c>
      <c r="S684" s="1" t="s">
        <v>966</v>
      </c>
    </row>
    <row r="685" spans="1:19" x14ac:dyDescent="0.3">
      <c r="A685" s="4">
        <v>44660</v>
      </c>
      <c r="B685" s="5">
        <f t="shared" ref="B685:B748" si="125">MONTH(A685)</f>
        <v>4</v>
      </c>
      <c r="C685" s="5">
        <f t="shared" ref="C685:C748" si="126">YEAR(A685)</f>
        <v>2022</v>
      </c>
      <c r="D685" s="5" t="s">
        <v>690</v>
      </c>
      <c r="E685" s="5" t="str">
        <f>VLOOKUP(F685,'Set up'!$A$2:$C$48,2,FALSE)</f>
        <v>C00000020</v>
      </c>
      <c r="F685" s="1" t="s">
        <v>410</v>
      </c>
      <c r="G685" s="11" t="s">
        <v>655</v>
      </c>
      <c r="H685" s="5">
        <v>4</v>
      </c>
      <c r="I685" s="5" t="str">
        <f>VLOOKUP(F685,'Set up'!$A$2:$C$48,3,FALSE)</f>
        <v>Cash</v>
      </c>
      <c r="J685" s="5">
        <f>VLOOKUP(F685,'Set up'!$A$2:$D$48,4,FALSE)</f>
        <v>0</v>
      </c>
      <c r="K685" s="4">
        <f t="shared" si="120"/>
        <v>44660</v>
      </c>
      <c r="L685" s="5">
        <f t="shared" si="122"/>
        <v>4</v>
      </c>
      <c r="M685" s="5">
        <f t="shared" si="123"/>
        <v>2022</v>
      </c>
      <c r="N685" s="6">
        <v>1176</v>
      </c>
      <c r="O685" s="6">
        <f>-N685</f>
        <v>-1176</v>
      </c>
      <c r="P685" s="6">
        <f t="shared" si="119"/>
        <v>0</v>
      </c>
      <c r="Q685" s="7">
        <f t="shared" si="117"/>
        <v>1207755.9500000002</v>
      </c>
      <c r="R685" s="44" t="str">
        <f>VLOOKUP(F685,'Set up'!$A$2:$E$48,5,FALSE)</f>
        <v>Trsf</v>
      </c>
      <c r="S685" s="1" t="s">
        <v>967</v>
      </c>
    </row>
    <row r="686" spans="1:19" x14ac:dyDescent="0.3">
      <c r="A686" s="4">
        <v>44660</v>
      </c>
      <c r="B686" s="5">
        <f t="shared" si="125"/>
        <v>4</v>
      </c>
      <c r="C686" s="5">
        <f t="shared" si="126"/>
        <v>2022</v>
      </c>
      <c r="D686" s="5" t="s">
        <v>690</v>
      </c>
      <c r="E686" s="5" t="str">
        <f>VLOOKUP(F686,'Set up'!$A$2:$C$48,2,FALSE)</f>
        <v>C00000020</v>
      </c>
      <c r="F686" s="1" t="s">
        <v>410</v>
      </c>
      <c r="G686" s="11" t="s">
        <v>656</v>
      </c>
      <c r="H686" s="5">
        <v>3</v>
      </c>
      <c r="I686" s="5" t="str">
        <f>VLOOKUP(F686,'Set up'!$A$2:$C$48,3,FALSE)</f>
        <v>Cash</v>
      </c>
      <c r="J686" s="5">
        <f>VLOOKUP(F686,'Set up'!$A$2:$D$48,4,FALSE)</f>
        <v>0</v>
      </c>
      <c r="K686" s="4">
        <f t="shared" si="120"/>
        <v>44660</v>
      </c>
      <c r="L686" s="5">
        <f t="shared" si="122"/>
        <v>4</v>
      </c>
      <c r="M686" s="5">
        <f t="shared" si="123"/>
        <v>2022</v>
      </c>
      <c r="N686" s="6">
        <v>936</v>
      </c>
      <c r="O686" s="6">
        <f>-N686</f>
        <v>-936</v>
      </c>
      <c r="P686" s="6">
        <f t="shared" si="119"/>
        <v>0</v>
      </c>
      <c r="Q686" s="7">
        <f t="shared" si="117"/>
        <v>1208691.9500000002</v>
      </c>
      <c r="R686" s="44" t="str">
        <f>VLOOKUP(F686,'Set up'!$A$2:$E$48,5,FALSE)</f>
        <v>Trsf</v>
      </c>
      <c r="S686" s="1" t="s">
        <v>968</v>
      </c>
    </row>
    <row r="687" spans="1:19" x14ac:dyDescent="0.3">
      <c r="A687" s="4">
        <v>44660</v>
      </c>
      <c r="B687" s="5">
        <f t="shared" si="125"/>
        <v>4</v>
      </c>
      <c r="C687" s="5">
        <f t="shared" si="126"/>
        <v>2022</v>
      </c>
      <c r="D687" s="5" t="s">
        <v>690</v>
      </c>
      <c r="E687" s="5" t="str">
        <f>VLOOKUP(F687,'Set up'!$A$2:$C$48,2,FALSE)</f>
        <v>C00000020</v>
      </c>
      <c r="F687" s="1" t="s">
        <v>410</v>
      </c>
      <c r="G687" s="11" t="s">
        <v>64</v>
      </c>
      <c r="H687" s="5">
        <v>3</v>
      </c>
      <c r="I687" s="5" t="str">
        <f>VLOOKUP(F687,'Set up'!$A$2:$C$48,3,FALSE)</f>
        <v>Cash</v>
      </c>
      <c r="J687" s="5">
        <f>VLOOKUP(F687,'Set up'!$A$2:$D$48,4,FALSE)</f>
        <v>0</v>
      </c>
      <c r="K687" s="4">
        <f t="shared" si="120"/>
        <v>44660</v>
      </c>
      <c r="L687" s="5">
        <f t="shared" si="122"/>
        <v>4</v>
      </c>
      <c r="M687" s="5">
        <f t="shared" si="123"/>
        <v>2022</v>
      </c>
      <c r="N687" s="6">
        <v>187.5</v>
      </c>
      <c r="O687" s="6">
        <f>-N687</f>
        <v>-187.5</v>
      </c>
      <c r="P687" s="6">
        <f t="shared" si="119"/>
        <v>0</v>
      </c>
      <c r="Q687" s="7">
        <f t="shared" si="117"/>
        <v>1208879.4500000002</v>
      </c>
      <c r="R687" s="44" t="str">
        <f>VLOOKUP(F687,'Set up'!$A$2:$E$48,5,FALSE)</f>
        <v>Trsf</v>
      </c>
      <c r="S687" s="1" t="s">
        <v>969</v>
      </c>
    </row>
    <row r="688" spans="1:19" hidden="1" x14ac:dyDescent="0.3">
      <c r="A688" s="4">
        <v>44660</v>
      </c>
      <c r="B688" s="5">
        <f t="shared" si="125"/>
        <v>4</v>
      </c>
      <c r="C688" s="5">
        <f t="shared" si="126"/>
        <v>2022</v>
      </c>
      <c r="D688" s="5" t="s">
        <v>691</v>
      </c>
      <c r="E688" s="5" t="str">
        <f>VLOOKUP(F688,'Set up'!$A$2:$C$48,2,FALSE)</f>
        <v>C00000024</v>
      </c>
      <c r="F688" s="1" t="s">
        <v>774</v>
      </c>
      <c r="G688" s="11" t="s">
        <v>67</v>
      </c>
      <c r="H688" s="5">
        <v>1</v>
      </c>
      <c r="I688" s="5" t="str">
        <f>VLOOKUP(F688,'Set up'!$A$2:$C$48,3,FALSE)</f>
        <v>Cash</v>
      </c>
      <c r="J688" s="5">
        <f>VLOOKUP(F688,'Set up'!$A$2:$D$48,4,FALSE)</f>
        <v>0</v>
      </c>
      <c r="K688" s="4">
        <f t="shared" si="120"/>
        <v>44660</v>
      </c>
      <c r="L688" s="5">
        <f t="shared" si="122"/>
        <v>4</v>
      </c>
      <c r="M688" s="5">
        <f t="shared" si="123"/>
        <v>2022</v>
      </c>
      <c r="N688" s="6">
        <v>2090</v>
      </c>
      <c r="O688" s="6">
        <f t="shared" ref="O688:O696" si="127">-N688</f>
        <v>-2090</v>
      </c>
      <c r="P688" s="6">
        <f t="shared" si="119"/>
        <v>0</v>
      </c>
      <c r="Q688" s="7">
        <f t="shared" si="117"/>
        <v>1210969.4500000002</v>
      </c>
      <c r="R688" s="44" t="str">
        <f>VLOOKUP(F688,'Set up'!$A$2:$E$48,5,FALSE)</f>
        <v>Trsf</v>
      </c>
      <c r="S688" s="1" t="s">
        <v>809</v>
      </c>
    </row>
    <row r="689" spans="1:19" hidden="1" x14ac:dyDescent="0.3">
      <c r="A689" s="4">
        <v>44660</v>
      </c>
      <c r="B689" s="5">
        <f t="shared" si="125"/>
        <v>4</v>
      </c>
      <c r="C689" s="5">
        <f t="shared" si="126"/>
        <v>2022</v>
      </c>
      <c r="D689" s="5" t="s">
        <v>691</v>
      </c>
      <c r="E689" s="5" t="str">
        <f>VLOOKUP(F689,'Set up'!$A$2:$C$48,2,FALSE)</f>
        <v>C00000024</v>
      </c>
      <c r="F689" s="1" t="s">
        <v>774</v>
      </c>
      <c r="G689" s="11" t="s">
        <v>706</v>
      </c>
      <c r="H689" s="5">
        <v>1</v>
      </c>
      <c r="I689" s="5" t="str">
        <f>VLOOKUP(F689,'Set up'!$A$2:$C$48,3,FALSE)</f>
        <v>Cash</v>
      </c>
      <c r="J689" s="5">
        <f>VLOOKUP(F689,'Set up'!$A$2:$D$48,4,FALSE)</f>
        <v>0</v>
      </c>
      <c r="K689" s="4">
        <f t="shared" si="120"/>
        <v>44660</v>
      </c>
      <c r="L689" s="5">
        <f t="shared" si="122"/>
        <v>4</v>
      </c>
      <c r="M689" s="5">
        <f t="shared" si="123"/>
        <v>2022</v>
      </c>
      <c r="N689" s="6">
        <v>350</v>
      </c>
      <c r="O689" s="6">
        <f t="shared" si="127"/>
        <v>-350</v>
      </c>
      <c r="P689" s="6">
        <f t="shared" si="119"/>
        <v>0</v>
      </c>
      <c r="Q689" s="7">
        <f t="shared" si="117"/>
        <v>1211319.4500000002</v>
      </c>
      <c r="R689" s="44" t="str">
        <f>VLOOKUP(F689,'Set up'!$A$2:$E$48,5,FALSE)</f>
        <v>Trsf</v>
      </c>
      <c r="S689" s="1" t="s">
        <v>809</v>
      </c>
    </row>
    <row r="690" spans="1:19" hidden="1" x14ac:dyDescent="0.3">
      <c r="A690" s="4">
        <v>44660</v>
      </c>
      <c r="B690" s="5">
        <f t="shared" si="125"/>
        <v>4</v>
      </c>
      <c r="C690" s="5">
        <f t="shared" si="126"/>
        <v>2022</v>
      </c>
      <c r="D690" s="5" t="s">
        <v>691</v>
      </c>
      <c r="E690" s="5" t="str">
        <f>VLOOKUP(F690,'Set up'!$A$2:$C$48,2,FALSE)</f>
        <v>C00000024</v>
      </c>
      <c r="F690" s="1" t="s">
        <v>774</v>
      </c>
      <c r="G690" s="11" t="s">
        <v>655</v>
      </c>
      <c r="H690" s="5">
        <v>1</v>
      </c>
      <c r="I690" s="5" t="str">
        <f>VLOOKUP(F690,'Set up'!$A$2:$C$48,3,FALSE)</f>
        <v>Cash</v>
      </c>
      <c r="J690" s="5">
        <f>VLOOKUP(F690,'Set up'!$A$2:$D$48,4,FALSE)</f>
        <v>0</v>
      </c>
      <c r="K690" s="4">
        <f t="shared" si="120"/>
        <v>44660</v>
      </c>
      <c r="L690" s="5">
        <f t="shared" si="122"/>
        <v>4</v>
      </c>
      <c r="M690" s="5">
        <f t="shared" si="123"/>
        <v>2022</v>
      </c>
      <c r="N690" s="6">
        <v>294</v>
      </c>
      <c r="O690" s="6">
        <f t="shared" si="127"/>
        <v>-294</v>
      </c>
      <c r="P690" s="6">
        <f t="shared" si="119"/>
        <v>0</v>
      </c>
      <c r="Q690" s="7">
        <f t="shared" si="117"/>
        <v>1211613.4500000002</v>
      </c>
      <c r="R690" s="44" t="str">
        <f>VLOOKUP(F690,'Set up'!$A$2:$E$48,5,FALSE)</f>
        <v>Trsf</v>
      </c>
      <c r="S690" s="1" t="s">
        <v>809</v>
      </c>
    </row>
    <row r="691" spans="1:19" hidden="1" x14ac:dyDescent="0.3">
      <c r="A691" s="4">
        <v>44660</v>
      </c>
      <c r="B691" s="5">
        <f t="shared" si="125"/>
        <v>4</v>
      </c>
      <c r="C691" s="5">
        <f t="shared" si="126"/>
        <v>2022</v>
      </c>
      <c r="D691" s="5" t="s">
        <v>691</v>
      </c>
      <c r="E691" s="5" t="str">
        <f>VLOOKUP(F691,'Set up'!$A$2:$C$48,2,FALSE)</f>
        <v>C00000024</v>
      </c>
      <c r="F691" s="1" t="s">
        <v>774</v>
      </c>
      <c r="G691" s="11" t="s">
        <v>64</v>
      </c>
      <c r="H691" s="5">
        <v>1</v>
      </c>
      <c r="I691" s="5" t="str">
        <f>VLOOKUP(F691,'Set up'!$A$2:$C$48,3,FALSE)</f>
        <v>Cash</v>
      </c>
      <c r="J691" s="5">
        <f>VLOOKUP(F691,'Set up'!$A$2:$D$48,4,FALSE)</f>
        <v>0</v>
      </c>
      <c r="K691" s="4">
        <f t="shared" si="120"/>
        <v>44660</v>
      </c>
      <c r="L691" s="5">
        <f t="shared" si="122"/>
        <v>4</v>
      </c>
      <c r="M691" s="5">
        <f t="shared" si="123"/>
        <v>2022</v>
      </c>
      <c r="N691" s="6">
        <v>62.5</v>
      </c>
      <c r="O691" s="6">
        <f t="shared" si="127"/>
        <v>-62.5</v>
      </c>
      <c r="P691" s="6">
        <f t="shared" si="119"/>
        <v>0</v>
      </c>
      <c r="Q691" s="7">
        <f t="shared" si="117"/>
        <v>1211675.9500000002</v>
      </c>
      <c r="R691" s="44" t="str">
        <f>VLOOKUP(F691,'Set up'!$A$2:$E$48,5,FALSE)</f>
        <v>Trsf</v>
      </c>
      <c r="S691" s="1" t="s">
        <v>809</v>
      </c>
    </row>
    <row r="692" spans="1:19" hidden="1" x14ac:dyDescent="0.3">
      <c r="A692" s="4">
        <v>44660</v>
      </c>
      <c r="B692" s="5">
        <f t="shared" si="125"/>
        <v>4</v>
      </c>
      <c r="C692" s="5">
        <f t="shared" si="126"/>
        <v>2022</v>
      </c>
      <c r="D692" s="5" t="s">
        <v>691</v>
      </c>
      <c r="E692" s="5" t="str">
        <f>VLOOKUP(F692,'Set up'!$A$2:$C$48,2,FALSE)</f>
        <v>C00000024</v>
      </c>
      <c r="F692" s="1" t="s">
        <v>774</v>
      </c>
      <c r="G692" s="11" t="s">
        <v>660</v>
      </c>
      <c r="H692" s="5">
        <v>1</v>
      </c>
      <c r="I692" s="5" t="str">
        <f>VLOOKUP(F692,'Set up'!$A$2:$C$48,3,FALSE)</f>
        <v>Cash</v>
      </c>
      <c r="J692" s="5">
        <f>VLOOKUP(F692,'Set up'!$A$2:$D$48,4,FALSE)</f>
        <v>0</v>
      </c>
      <c r="K692" s="4">
        <f t="shared" si="120"/>
        <v>44660</v>
      </c>
      <c r="L692" s="5">
        <f t="shared" si="122"/>
        <v>4</v>
      </c>
      <c r="M692" s="5">
        <f t="shared" si="123"/>
        <v>2022</v>
      </c>
      <c r="N692" s="6">
        <v>1000</v>
      </c>
      <c r="O692" s="6">
        <f t="shared" si="127"/>
        <v>-1000</v>
      </c>
      <c r="P692" s="6">
        <f t="shared" si="119"/>
        <v>0</v>
      </c>
      <c r="Q692" s="7">
        <f t="shared" si="117"/>
        <v>1212675.9500000002</v>
      </c>
      <c r="R692" s="44" t="str">
        <f>VLOOKUP(F692,'Set up'!$A$2:$E$48,5,FALSE)</f>
        <v>Trsf</v>
      </c>
      <c r="S692" s="1" t="s">
        <v>809</v>
      </c>
    </row>
    <row r="693" spans="1:19" hidden="1" x14ac:dyDescent="0.3">
      <c r="A693" s="4">
        <v>44660</v>
      </c>
      <c r="B693" s="5">
        <f t="shared" si="125"/>
        <v>4</v>
      </c>
      <c r="C693" s="5">
        <f t="shared" si="126"/>
        <v>2022</v>
      </c>
      <c r="D693" s="5" t="s">
        <v>691</v>
      </c>
      <c r="E693" s="5" t="str">
        <f>VLOOKUP(F693,'Set up'!$A$2:$C$48,2,FALSE)</f>
        <v>C00000024</v>
      </c>
      <c r="F693" s="1" t="s">
        <v>774</v>
      </c>
      <c r="G693" s="11" t="s">
        <v>667</v>
      </c>
      <c r="H693" s="5">
        <v>1</v>
      </c>
      <c r="I693" s="5" t="str">
        <f>VLOOKUP(F693,'Set up'!$A$2:$C$48,3,FALSE)</f>
        <v>Cash</v>
      </c>
      <c r="J693" s="5">
        <f>VLOOKUP(F693,'Set up'!$A$2:$D$48,4,FALSE)</f>
        <v>0</v>
      </c>
      <c r="K693" s="4">
        <f t="shared" si="120"/>
        <v>44660</v>
      </c>
      <c r="L693" s="5">
        <f t="shared" si="122"/>
        <v>4</v>
      </c>
      <c r="M693" s="5">
        <f t="shared" si="123"/>
        <v>2022</v>
      </c>
      <c r="N693" s="6">
        <v>85</v>
      </c>
      <c r="O693" s="6">
        <f t="shared" si="127"/>
        <v>-85</v>
      </c>
      <c r="P693" s="6">
        <f t="shared" si="119"/>
        <v>0</v>
      </c>
      <c r="Q693" s="7">
        <f t="shared" si="117"/>
        <v>1212760.9500000002</v>
      </c>
      <c r="R693" s="44" t="str">
        <f>VLOOKUP(F693,'Set up'!$A$2:$E$48,5,FALSE)</f>
        <v>Trsf</v>
      </c>
      <c r="S693" s="1" t="s">
        <v>809</v>
      </c>
    </row>
    <row r="694" spans="1:19" hidden="1" x14ac:dyDescent="0.3">
      <c r="A694" s="4">
        <v>44663</v>
      </c>
      <c r="B694" s="5">
        <f t="shared" si="125"/>
        <v>4</v>
      </c>
      <c r="C694" s="5">
        <f t="shared" si="126"/>
        <v>2022</v>
      </c>
      <c r="D694" s="5" t="s">
        <v>692</v>
      </c>
      <c r="E694" s="5" t="str">
        <f>VLOOKUP(F694,'Set up'!$A$2:$C$48,2,FALSE)</f>
        <v>C00000022</v>
      </c>
      <c r="F694" s="1" t="s">
        <v>638</v>
      </c>
      <c r="G694" s="11" t="s">
        <v>707</v>
      </c>
      <c r="H694" s="5">
        <v>2</v>
      </c>
      <c r="I694" s="5" t="str">
        <f>VLOOKUP(F694,'Set up'!$A$2:$C$48,3,FALSE)</f>
        <v>Cash</v>
      </c>
      <c r="J694" s="5">
        <f>VLOOKUP(F694,'Set up'!$A$2:$D$48,4,FALSE)</f>
        <v>0</v>
      </c>
      <c r="K694" s="4">
        <f t="shared" si="120"/>
        <v>44663</v>
      </c>
      <c r="L694" s="5">
        <f t="shared" si="122"/>
        <v>4</v>
      </c>
      <c r="M694" s="5">
        <f t="shared" si="123"/>
        <v>2022</v>
      </c>
      <c r="N694" s="6">
        <v>200</v>
      </c>
      <c r="O694" s="6">
        <f t="shared" si="127"/>
        <v>-200</v>
      </c>
      <c r="P694" s="6">
        <f t="shared" si="119"/>
        <v>0</v>
      </c>
      <c r="Q694" s="7">
        <f t="shared" si="117"/>
        <v>1212960.9500000002</v>
      </c>
      <c r="R694" s="44" t="str">
        <f>VLOOKUP(F694,'Set up'!$A$2:$E$48,5,FALSE)</f>
        <v>Trsf</v>
      </c>
      <c r="S694" s="1" t="s">
        <v>808</v>
      </c>
    </row>
    <row r="695" spans="1:19" hidden="1" x14ac:dyDescent="0.3">
      <c r="A695" s="4">
        <v>44663</v>
      </c>
      <c r="B695" s="5">
        <f t="shared" si="125"/>
        <v>4</v>
      </c>
      <c r="C695" s="5">
        <f t="shared" si="126"/>
        <v>2022</v>
      </c>
      <c r="D695" s="5" t="s">
        <v>692</v>
      </c>
      <c r="E695" s="5" t="str">
        <f>VLOOKUP(F695,'Set up'!$A$2:$C$48,2,FALSE)</f>
        <v>C00000022</v>
      </c>
      <c r="F695" s="1" t="s">
        <v>638</v>
      </c>
      <c r="G695" s="11" t="s">
        <v>293</v>
      </c>
      <c r="H695" s="5">
        <v>1</v>
      </c>
      <c r="I695" s="5" t="str">
        <f>VLOOKUP(F695,'Set up'!$A$2:$C$48,3,FALSE)</f>
        <v>Cash</v>
      </c>
      <c r="J695" s="5">
        <f>VLOOKUP(F695,'Set up'!$A$2:$D$48,4,FALSE)</f>
        <v>0</v>
      </c>
      <c r="K695" s="4">
        <f t="shared" si="120"/>
        <v>44663</v>
      </c>
      <c r="L695" s="5">
        <f t="shared" si="122"/>
        <v>4</v>
      </c>
      <c r="M695" s="5">
        <f t="shared" si="123"/>
        <v>2022</v>
      </c>
      <c r="N695" s="6">
        <v>390</v>
      </c>
      <c r="O695" s="6">
        <f t="shared" si="127"/>
        <v>-390</v>
      </c>
      <c r="P695" s="6">
        <f t="shared" si="119"/>
        <v>0</v>
      </c>
      <c r="Q695" s="7">
        <f t="shared" si="117"/>
        <v>1213350.9500000002</v>
      </c>
      <c r="R695" s="44" t="str">
        <f>VLOOKUP(F695,'Set up'!$A$2:$E$48,5,FALSE)</f>
        <v>Trsf</v>
      </c>
      <c r="S695" s="1" t="s">
        <v>808</v>
      </c>
    </row>
    <row r="696" spans="1:19" hidden="1" x14ac:dyDescent="0.3">
      <c r="A696" s="4">
        <v>44664</v>
      </c>
      <c r="B696" s="5">
        <f t="shared" si="125"/>
        <v>4</v>
      </c>
      <c r="C696" s="5">
        <f t="shared" si="126"/>
        <v>2022</v>
      </c>
      <c r="D696" s="5" t="s">
        <v>693</v>
      </c>
      <c r="E696" s="5" t="str">
        <f>VLOOKUP(F696,'Set up'!$A$2:$C$48,2,FALSE)</f>
        <v>C00000024</v>
      </c>
      <c r="F696" s="1" t="s">
        <v>774</v>
      </c>
      <c r="G696" s="11" t="s">
        <v>655</v>
      </c>
      <c r="H696" s="5">
        <v>2</v>
      </c>
      <c r="I696" s="5" t="str">
        <f>VLOOKUP(F696,'Set up'!$A$2:$C$48,3,FALSE)</f>
        <v>Cash</v>
      </c>
      <c r="J696" s="5">
        <f>VLOOKUP(F696,'Set up'!$A$2:$D$48,4,FALSE)</f>
        <v>0</v>
      </c>
      <c r="K696" s="4">
        <f t="shared" si="120"/>
        <v>44664</v>
      </c>
      <c r="L696" s="5">
        <f t="shared" si="122"/>
        <v>4</v>
      </c>
      <c r="M696" s="5">
        <f t="shared" si="123"/>
        <v>2022</v>
      </c>
      <c r="N696" s="6">
        <v>588</v>
      </c>
      <c r="O696" s="6">
        <f t="shared" si="127"/>
        <v>-588</v>
      </c>
      <c r="P696" s="6">
        <f t="shared" si="119"/>
        <v>0</v>
      </c>
      <c r="Q696" s="7">
        <f t="shared" si="117"/>
        <v>1213938.9500000002</v>
      </c>
      <c r="R696" s="44" t="str">
        <f>VLOOKUP(F696,'Set up'!$A$2:$E$48,5,FALSE)</f>
        <v>Trsf</v>
      </c>
      <c r="S696" s="1" t="s">
        <v>746</v>
      </c>
    </row>
    <row r="697" spans="1:19" x14ac:dyDescent="0.3">
      <c r="A697" s="4">
        <v>44664</v>
      </c>
      <c r="B697" s="5">
        <f t="shared" si="125"/>
        <v>4</v>
      </c>
      <c r="C697" s="5">
        <f t="shared" si="126"/>
        <v>2022</v>
      </c>
      <c r="D697" s="5" t="s">
        <v>694</v>
      </c>
      <c r="E697" s="5" t="str">
        <f>VLOOKUP(F697,'Set up'!$A$2:$C$48,2,FALSE)</f>
        <v>C00000020</v>
      </c>
      <c r="F697" s="1" t="s">
        <v>410</v>
      </c>
      <c r="G697" s="11" t="s">
        <v>95</v>
      </c>
      <c r="H697" s="5">
        <v>3</v>
      </c>
      <c r="I697" s="5" t="str">
        <f>VLOOKUP(F697,'Set up'!$A$2:$C$48,3,FALSE)</f>
        <v>Cash</v>
      </c>
      <c r="J697" s="5">
        <f>VLOOKUP(F697,'Set up'!$A$2:$D$48,4,FALSE)</f>
        <v>0</v>
      </c>
      <c r="K697" s="4">
        <f t="shared" si="120"/>
        <v>44664</v>
      </c>
      <c r="L697" s="5">
        <f t="shared" si="122"/>
        <v>4</v>
      </c>
      <c r="M697" s="5">
        <f t="shared" si="123"/>
        <v>2022</v>
      </c>
      <c r="N697" s="6">
        <v>6270</v>
      </c>
      <c r="O697" s="6">
        <f>-3809.8-2460.2</f>
        <v>-6270</v>
      </c>
      <c r="P697" s="6">
        <f t="shared" si="119"/>
        <v>0</v>
      </c>
      <c r="Q697" s="7">
        <f t="shared" si="117"/>
        <v>1220208.9500000002</v>
      </c>
      <c r="R697" s="44" t="str">
        <f>VLOOKUP(F697,'Set up'!$A$2:$E$48,5,FALSE)</f>
        <v>Trsf</v>
      </c>
      <c r="S697" s="1" t="s">
        <v>970</v>
      </c>
    </row>
    <row r="698" spans="1:19" x14ac:dyDescent="0.3">
      <c r="A698" s="4">
        <v>44664</v>
      </c>
      <c r="B698" s="5">
        <f t="shared" si="125"/>
        <v>4</v>
      </c>
      <c r="C698" s="5">
        <f t="shared" si="126"/>
        <v>2022</v>
      </c>
      <c r="D698" s="5" t="s">
        <v>694</v>
      </c>
      <c r="E698" s="5" t="str">
        <f>VLOOKUP(F698,'Set up'!$A$2:$C$48,2,FALSE)</f>
        <v>C00000020</v>
      </c>
      <c r="F698" s="1" t="s">
        <v>410</v>
      </c>
      <c r="G698" s="11" t="s">
        <v>708</v>
      </c>
      <c r="H698" s="5">
        <v>5</v>
      </c>
      <c r="I698" s="5" t="str">
        <f>VLOOKUP(F698,'Set up'!$A$2:$C$48,3,FALSE)</f>
        <v>Cash</v>
      </c>
      <c r="J698" s="5">
        <f>VLOOKUP(F698,'Set up'!$A$2:$D$48,4,FALSE)</f>
        <v>0</v>
      </c>
      <c r="K698" s="4">
        <f t="shared" si="120"/>
        <v>44664</v>
      </c>
      <c r="L698" s="5">
        <f t="shared" si="122"/>
        <v>4</v>
      </c>
      <c r="M698" s="5">
        <f t="shared" si="123"/>
        <v>2022</v>
      </c>
      <c r="N698" s="6">
        <v>2646</v>
      </c>
      <c r="O698" s="6">
        <f>-1539.8-1106.2</f>
        <v>-2646</v>
      </c>
      <c r="P698" s="6">
        <f t="shared" si="119"/>
        <v>0</v>
      </c>
      <c r="Q698" s="7">
        <f t="shared" si="117"/>
        <v>1222854.9500000002</v>
      </c>
      <c r="R698" s="44" t="str">
        <f>VLOOKUP(F698,'Set up'!$A$2:$E$48,5,FALSE)</f>
        <v>Trsf</v>
      </c>
      <c r="S698" s="1" t="s">
        <v>972</v>
      </c>
    </row>
    <row r="699" spans="1:19" x14ac:dyDescent="0.3">
      <c r="A699" s="4">
        <v>44664</v>
      </c>
      <c r="B699" s="5">
        <f t="shared" si="125"/>
        <v>4</v>
      </c>
      <c r="C699" s="5">
        <f t="shared" si="126"/>
        <v>2022</v>
      </c>
      <c r="D699" s="5" t="s">
        <v>694</v>
      </c>
      <c r="E699" s="5" t="str">
        <f>VLOOKUP(F699,'Set up'!$A$2:$C$48,2,FALSE)</f>
        <v>C00000020</v>
      </c>
      <c r="F699" s="1" t="s">
        <v>410</v>
      </c>
      <c r="G699" s="11" t="s">
        <v>656</v>
      </c>
      <c r="H699" s="5">
        <v>6</v>
      </c>
      <c r="I699" s="5" t="str">
        <f>VLOOKUP(F699,'Set up'!$A$2:$C$48,3,FALSE)</f>
        <v>Cash</v>
      </c>
      <c r="J699" s="5">
        <f>VLOOKUP(F699,'Set up'!$A$2:$D$48,4,FALSE)</f>
        <v>0</v>
      </c>
      <c r="K699" s="4">
        <f t="shared" si="120"/>
        <v>44664</v>
      </c>
      <c r="L699" s="5">
        <f t="shared" si="122"/>
        <v>4</v>
      </c>
      <c r="M699" s="5">
        <f t="shared" si="123"/>
        <v>2022</v>
      </c>
      <c r="N699" s="6">
        <v>1872</v>
      </c>
      <c r="O699" s="6">
        <f t="shared" ref="O699:O700" si="128">-N699</f>
        <v>-1872</v>
      </c>
      <c r="P699" s="6">
        <f t="shared" si="119"/>
        <v>0</v>
      </c>
      <c r="Q699" s="7">
        <f t="shared" si="117"/>
        <v>1224726.9500000002</v>
      </c>
      <c r="R699" s="44" t="str">
        <f>VLOOKUP(F699,'Set up'!$A$2:$E$48,5,FALSE)</f>
        <v>Trsf</v>
      </c>
      <c r="S699" s="1" t="s">
        <v>971</v>
      </c>
    </row>
    <row r="700" spans="1:19" x14ac:dyDescent="0.3">
      <c r="A700" s="4">
        <v>44664</v>
      </c>
      <c r="B700" s="5">
        <f t="shared" si="125"/>
        <v>4</v>
      </c>
      <c r="C700" s="5">
        <f t="shared" si="126"/>
        <v>2022</v>
      </c>
      <c r="D700" s="5" t="s">
        <v>694</v>
      </c>
      <c r="E700" s="5" t="str">
        <f>VLOOKUP(F700,'Set up'!$A$2:$C$48,2,FALSE)</f>
        <v>C00000020</v>
      </c>
      <c r="F700" s="1" t="s">
        <v>410</v>
      </c>
      <c r="G700" s="11" t="s">
        <v>64</v>
      </c>
      <c r="H700" s="5">
        <v>3</v>
      </c>
      <c r="I700" s="5" t="str">
        <f>VLOOKUP(F700,'Set up'!$A$2:$C$48,3,FALSE)</f>
        <v>Cash</v>
      </c>
      <c r="J700" s="5">
        <f>VLOOKUP(F700,'Set up'!$A$2:$D$48,4,FALSE)</f>
        <v>0</v>
      </c>
      <c r="K700" s="4">
        <f t="shared" si="120"/>
        <v>44664</v>
      </c>
      <c r="L700" s="5">
        <f t="shared" si="122"/>
        <v>4</v>
      </c>
      <c r="M700" s="5">
        <f t="shared" si="123"/>
        <v>2022</v>
      </c>
      <c r="N700" s="6">
        <v>187.5</v>
      </c>
      <c r="O700" s="6">
        <f t="shared" si="128"/>
        <v>-187.5</v>
      </c>
      <c r="P700" s="6">
        <f t="shared" si="119"/>
        <v>0</v>
      </c>
      <c r="Q700" s="7">
        <f t="shared" si="117"/>
        <v>1224914.4500000002</v>
      </c>
      <c r="R700" s="44" t="str">
        <f>VLOOKUP(F700,'Set up'!$A$2:$E$48,5,FALSE)</f>
        <v>Trsf</v>
      </c>
      <c r="S700" s="1" t="s">
        <v>971</v>
      </c>
    </row>
    <row r="701" spans="1:19" hidden="1" x14ac:dyDescent="0.3">
      <c r="A701" s="4">
        <v>44665</v>
      </c>
      <c r="B701" s="5">
        <f t="shared" si="125"/>
        <v>4</v>
      </c>
      <c r="C701" s="5">
        <f t="shared" si="126"/>
        <v>2022</v>
      </c>
      <c r="D701" s="5" t="s">
        <v>695</v>
      </c>
      <c r="E701" s="5" t="str">
        <f>VLOOKUP(F701,'Set up'!$A$2:$C$48,2,FALSE)</f>
        <v>C00000021</v>
      </c>
      <c r="F701" s="1" t="s">
        <v>492</v>
      </c>
      <c r="G701" s="11" t="s">
        <v>67</v>
      </c>
      <c r="H701" s="5">
        <v>2</v>
      </c>
      <c r="I701" s="5" t="str">
        <f>VLOOKUP(F701,'Set up'!$A$2:$C$48,3,FALSE)</f>
        <v>Cash</v>
      </c>
      <c r="J701" s="5">
        <f>VLOOKUP(F701,'Set up'!$A$2:$D$48,4,FALSE)</f>
        <v>0</v>
      </c>
      <c r="K701" s="4">
        <f t="shared" si="120"/>
        <v>44665</v>
      </c>
      <c r="L701" s="5">
        <f t="shared" si="122"/>
        <v>4</v>
      </c>
      <c r="M701" s="5">
        <f t="shared" si="123"/>
        <v>2022</v>
      </c>
      <c r="N701" s="6">
        <v>4136</v>
      </c>
      <c r="O701" s="6">
        <f>-N701</f>
        <v>-4136</v>
      </c>
      <c r="P701" s="6">
        <f t="shared" si="119"/>
        <v>0</v>
      </c>
      <c r="Q701" s="7">
        <f t="shared" si="117"/>
        <v>1229050.4500000002</v>
      </c>
      <c r="R701" s="44" t="str">
        <f>VLOOKUP(F701,'Set up'!$A$2:$E$48,5,FALSE)</f>
        <v>PD Chq</v>
      </c>
      <c r="S701" s="1" t="s">
        <v>856</v>
      </c>
    </row>
    <row r="702" spans="1:19" hidden="1" x14ac:dyDescent="0.3">
      <c r="A702" s="4">
        <v>44665</v>
      </c>
      <c r="B702" s="5">
        <f t="shared" si="125"/>
        <v>4</v>
      </c>
      <c r="C702" s="5">
        <f t="shared" si="126"/>
        <v>2022</v>
      </c>
      <c r="D702" s="5" t="s">
        <v>695</v>
      </c>
      <c r="E702" s="5" t="str">
        <f>VLOOKUP(F702,'Set up'!$A$2:$C$48,2,FALSE)</f>
        <v>C00000021</v>
      </c>
      <c r="F702" s="1" t="s">
        <v>492</v>
      </c>
      <c r="G702" s="11" t="s">
        <v>655</v>
      </c>
      <c r="H702" s="5">
        <v>5</v>
      </c>
      <c r="I702" s="5" t="str">
        <f>VLOOKUP(F702,'Set up'!$A$2:$C$48,3,FALSE)</f>
        <v>Cash</v>
      </c>
      <c r="J702" s="5">
        <f>VLOOKUP(F702,'Set up'!$A$2:$D$48,4,FALSE)</f>
        <v>0</v>
      </c>
      <c r="K702" s="4">
        <f t="shared" si="120"/>
        <v>44665</v>
      </c>
      <c r="L702" s="5">
        <f t="shared" si="122"/>
        <v>4</v>
      </c>
      <c r="M702" s="5">
        <f t="shared" si="123"/>
        <v>2022</v>
      </c>
      <c r="N702" s="6">
        <v>1440</v>
      </c>
      <c r="O702" s="6">
        <f>-N702</f>
        <v>-1440</v>
      </c>
      <c r="P702" s="6">
        <f t="shared" si="119"/>
        <v>0</v>
      </c>
      <c r="Q702" s="7">
        <f t="shared" si="117"/>
        <v>1230490.4500000002</v>
      </c>
      <c r="R702" s="44" t="str">
        <f>VLOOKUP(F702,'Set up'!$A$2:$E$48,5,FALSE)</f>
        <v>PD Chq</v>
      </c>
      <c r="S702" s="1" t="s">
        <v>856</v>
      </c>
    </row>
    <row r="703" spans="1:19" hidden="1" x14ac:dyDescent="0.3">
      <c r="A703" s="4">
        <v>44665</v>
      </c>
      <c r="B703" s="5">
        <f t="shared" si="125"/>
        <v>4</v>
      </c>
      <c r="C703" s="5">
        <f t="shared" si="126"/>
        <v>2022</v>
      </c>
      <c r="D703" s="5" t="s">
        <v>695</v>
      </c>
      <c r="E703" s="5" t="str">
        <f>VLOOKUP(F703,'Set up'!$A$2:$C$48,2,FALSE)</f>
        <v>C00000021</v>
      </c>
      <c r="F703" s="1" t="s">
        <v>492</v>
      </c>
      <c r="G703" s="11" t="s">
        <v>667</v>
      </c>
      <c r="H703" s="5">
        <v>2</v>
      </c>
      <c r="I703" s="5" t="str">
        <f>VLOOKUP(F703,'Set up'!$A$2:$C$48,3,FALSE)</f>
        <v>Cash</v>
      </c>
      <c r="J703" s="5">
        <f>VLOOKUP(F703,'Set up'!$A$2:$D$48,4,FALSE)</f>
        <v>0</v>
      </c>
      <c r="K703" s="4">
        <f t="shared" si="120"/>
        <v>44665</v>
      </c>
      <c r="L703" s="5">
        <f t="shared" si="122"/>
        <v>4</v>
      </c>
      <c r="M703" s="5">
        <f t="shared" si="123"/>
        <v>2022</v>
      </c>
      <c r="N703" s="6">
        <v>170</v>
      </c>
      <c r="O703" s="6">
        <f>-N703</f>
        <v>-170</v>
      </c>
      <c r="P703" s="6">
        <f t="shared" si="119"/>
        <v>0</v>
      </c>
      <c r="Q703" s="7">
        <f t="shared" si="117"/>
        <v>1230660.4500000002</v>
      </c>
      <c r="R703" s="44" t="str">
        <f>VLOOKUP(F703,'Set up'!$A$2:$E$48,5,FALSE)</f>
        <v>PD Chq</v>
      </c>
      <c r="S703" s="1" t="s">
        <v>856</v>
      </c>
    </row>
    <row r="704" spans="1:19" hidden="1" x14ac:dyDescent="0.3">
      <c r="A704" s="4">
        <v>44666</v>
      </c>
      <c r="B704" s="5">
        <f t="shared" si="125"/>
        <v>4</v>
      </c>
      <c r="C704" s="5">
        <f t="shared" si="126"/>
        <v>2022</v>
      </c>
      <c r="D704" s="5" t="s">
        <v>696</v>
      </c>
      <c r="E704" s="5" t="str">
        <f>VLOOKUP(F704,'Set up'!$A$2:$C$48,2,FALSE)</f>
        <v>C00000024</v>
      </c>
      <c r="F704" s="1" t="s">
        <v>774</v>
      </c>
      <c r="G704" s="11" t="s">
        <v>67</v>
      </c>
      <c r="H704" s="5">
        <v>1</v>
      </c>
      <c r="I704" s="5" t="str">
        <f>VLOOKUP(F704,'Set up'!$A$2:$C$48,3,FALSE)</f>
        <v>Cash</v>
      </c>
      <c r="J704" s="5">
        <f>VLOOKUP(F704,'Set up'!$A$2:$D$48,4,FALSE)</f>
        <v>0</v>
      </c>
      <c r="K704" s="4">
        <f t="shared" si="120"/>
        <v>44666</v>
      </c>
      <c r="L704" s="5">
        <f t="shared" si="122"/>
        <v>4</v>
      </c>
      <c r="M704" s="5">
        <f t="shared" si="123"/>
        <v>2022</v>
      </c>
      <c r="N704" s="6">
        <v>2090</v>
      </c>
      <c r="O704" s="6">
        <f>-N704</f>
        <v>-2090</v>
      </c>
      <c r="P704" s="6">
        <f t="shared" si="119"/>
        <v>0</v>
      </c>
      <c r="Q704" s="7">
        <f t="shared" si="117"/>
        <v>1232750.4500000002</v>
      </c>
      <c r="R704" s="44" t="str">
        <f>VLOOKUP(F704,'Set up'!$A$2:$E$48,5,FALSE)</f>
        <v>Trsf</v>
      </c>
      <c r="S704" s="1" t="s">
        <v>810</v>
      </c>
    </row>
    <row r="705" spans="1:19" hidden="1" x14ac:dyDescent="0.3">
      <c r="A705" s="4">
        <v>44666</v>
      </c>
      <c r="B705" s="5">
        <f t="shared" si="125"/>
        <v>4</v>
      </c>
      <c r="C705" s="5">
        <f t="shared" si="126"/>
        <v>2022</v>
      </c>
      <c r="D705" s="5" t="s">
        <v>696</v>
      </c>
      <c r="E705" s="5" t="str">
        <f>VLOOKUP(F705,'Set up'!$A$2:$C$48,2,FALSE)</f>
        <v>C00000024</v>
      </c>
      <c r="F705" s="1" t="s">
        <v>774</v>
      </c>
      <c r="G705" s="11" t="s">
        <v>667</v>
      </c>
      <c r="H705" s="5">
        <v>1</v>
      </c>
      <c r="I705" s="5" t="str">
        <f>VLOOKUP(F705,'Set up'!$A$2:$C$48,3,FALSE)</f>
        <v>Cash</v>
      </c>
      <c r="J705" s="5">
        <f>VLOOKUP(F705,'Set up'!$A$2:$D$48,4,FALSE)</f>
        <v>0</v>
      </c>
      <c r="K705" s="4">
        <f t="shared" si="120"/>
        <v>44666</v>
      </c>
      <c r="L705" s="5">
        <f t="shared" si="122"/>
        <v>4</v>
      </c>
      <c r="M705" s="5">
        <f t="shared" si="123"/>
        <v>2022</v>
      </c>
      <c r="N705" s="6">
        <v>85</v>
      </c>
      <c r="O705" s="6">
        <f>-N705</f>
        <v>-85</v>
      </c>
      <c r="P705" s="6">
        <f t="shared" si="119"/>
        <v>0</v>
      </c>
      <c r="Q705" s="7">
        <f t="shared" si="117"/>
        <v>1232835.4500000002</v>
      </c>
      <c r="R705" s="44" t="str">
        <f>VLOOKUP(F705,'Set up'!$A$2:$E$48,5,FALSE)</f>
        <v>Trsf</v>
      </c>
      <c r="S705" s="1" t="s">
        <v>810</v>
      </c>
    </row>
    <row r="706" spans="1:19" x14ac:dyDescent="0.3">
      <c r="A706" s="4">
        <v>44667</v>
      </c>
      <c r="B706" s="5">
        <f t="shared" si="125"/>
        <v>4</v>
      </c>
      <c r="C706" s="5">
        <f t="shared" si="126"/>
        <v>2022</v>
      </c>
      <c r="D706" s="5" t="s">
        <v>697</v>
      </c>
      <c r="E706" s="5" t="str">
        <f>VLOOKUP(F706,'Set up'!$A$2:$C$48,2,FALSE)</f>
        <v>C00000020</v>
      </c>
      <c r="F706" s="1" t="s">
        <v>410</v>
      </c>
      <c r="G706" s="11" t="s">
        <v>95</v>
      </c>
      <c r="H706" s="5">
        <v>3</v>
      </c>
      <c r="I706" s="5" t="str">
        <f>VLOOKUP(F706,'Set up'!$A$2:$C$48,3,FALSE)</f>
        <v>Cash</v>
      </c>
      <c r="J706" s="5">
        <f>VLOOKUP(F706,'Set up'!$A$2:$D$48,4,FALSE)</f>
        <v>0</v>
      </c>
      <c r="K706" s="4">
        <f t="shared" si="120"/>
        <v>44667</v>
      </c>
      <c r="L706" s="5">
        <f t="shared" si="122"/>
        <v>4</v>
      </c>
      <c r="M706" s="5">
        <f t="shared" si="123"/>
        <v>2022</v>
      </c>
      <c r="N706" s="6">
        <v>6270</v>
      </c>
      <c r="O706" s="6">
        <f t="shared" ref="O706:O709" si="129">-N706</f>
        <v>-6270</v>
      </c>
      <c r="P706" s="6">
        <f t="shared" si="119"/>
        <v>0</v>
      </c>
      <c r="Q706" s="7">
        <f t="shared" si="117"/>
        <v>1239105.4500000002</v>
      </c>
      <c r="R706" s="44" t="str">
        <f>VLOOKUP(F706,'Set up'!$A$2:$E$48,5,FALSE)</f>
        <v>Trsf</v>
      </c>
      <c r="S706" s="1" t="s">
        <v>971</v>
      </c>
    </row>
    <row r="707" spans="1:19" x14ac:dyDescent="0.3">
      <c r="A707" s="4">
        <v>44667</v>
      </c>
      <c r="B707" s="5">
        <f t="shared" si="125"/>
        <v>4</v>
      </c>
      <c r="C707" s="5">
        <f t="shared" si="126"/>
        <v>2022</v>
      </c>
      <c r="D707" s="5" t="s">
        <v>697</v>
      </c>
      <c r="E707" s="5" t="str">
        <f>VLOOKUP(F707,'Set up'!$A$2:$C$48,2,FALSE)</f>
        <v>C00000020</v>
      </c>
      <c r="F707" s="1" t="s">
        <v>410</v>
      </c>
      <c r="G707" s="11" t="s">
        <v>655</v>
      </c>
      <c r="H707" s="5">
        <v>7</v>
      </c>
      <c r="I707" s="5" t="str">
        <f>VLOOKUP(F707,'Set up'!$A$2:$C$48,3,FALSE)</f>
        <v>Cash</v>
      </c>
      <c r="J707" s="5">
        <f>VLOOKUP(F707,'Set up'!$A$2:$D$48,4,FALSE)</f>
        <v>0</v>
      </c>
      <c r="K707" s="4">
        <f t="shared" si="120"/>
        <v>44667</v>
      </c>
      <c r="L707" s="5">
        <f t="shared" si="122"/>
        <v>4</v>
      </c>
      <c r="M707" s="5">
        <f t="shared" si="123"/>
        <v>2022</v>
      </c>
      <c r="N707" s="6">
        <v>2058</v>
      </c>
      <c r="O707" s="6">
        <f>-N707</f>
        <v>-2058</v>
      </c>
      <c r="P707" s="6">
        <f t="shared" si="119"/>
        <v>0</v>
      </c>
      <c r="Q707" s="7">
        <f t="shared" ref="Q707:Q770" si="130">SUM(Q706+N707)</f>
        <v>1241163.4500000002</v>
      </c>
      <c r="R707" s="44" t="str">
        <f>VLOOKUP(F707,'Set up'!$A$2:$E$48,5,FALSE)</f>
        <v>Trsf</v>
      </c>
      <c r="S707" s="1" t="s">
        <v>971</v>
      </c>
    </row>
    <row r="708" spans="1:19" x14ac:dyDescent="0.3">
      <c r="A708" s="4">
        <v>44667</v>
      </c>
      <c r="B708" s="5">
        <f t="shared" si="125"/>
        <v>4</v>
      </c>
      <c r="C708" s="5">
        <f t="shared" si="126"/>
        <v>2022</v>
      </c>
      <c r="D708" s="5" t="s">
        <v>697</v>
      </c>
      <c r="E708" s="5" t="str">
        <f>VLOOKUP(F708,'Set up'!$A$2:$C$48,2,FALSE)</f>
        <v>C00000020</v>
      </c>
      <c r="F708" s="1" t="s">
        <v>410</v>
      </c>
      <c r="G708" s="11" t="s">
        <v>656</v>
      </c>
      <c r="H708" s="5">
        <v>4</v>
      </c>
      <c r="I708" s="5" t="str">
        <f>VLOOKUP(F708,'Set up'!$A$2:$C$48,3,FALSE)</f>
        <v>Cash</v>
      </c>
      <c r="J708" s="5">
        <f>VLOOKUP(F708,'Set up'!$A$2:$D$48,4,FALSE)</f>
        <v>0</v>
      </c>
      <c r="K708" s="4">
        <f t="shared" si="120"/>
        <v>44667</v>
      </c>
      <c r="L708" s="5">
        <f t="shared" si="122"/>
        <v>4</v>
      </c>
      <c r="M708" s="5">
        <f t="shared" si="123"/>
        <v>2022</v>
      </c>
      <c r="N708" s="6">
        <v>1248</v>
      </c>
      <c r="O708" s="6">
        <f t="shared" si="129"/>
        <v>-1248</v>
      </c>
      <c r="P708" s="6">
        <f t="shared" si="119"/>
        <v>0</v>
      </c>
      <c r="Q708" s="7">
        <f t="shared" si="130"/>
        <v>1242411.4500000002</v>
      </c>
      <c r="R708" s="44" t="str">
        <f>VLOOKUP(F708,'Set up'!$A$2:$E$48,5,FALSE)</f>
        <v>Trsf</v>
      </c>
      <c r="S708" s="1" t="s">
        <v>971</v>
      </c>
    </row>
    <row r="709" spans="1:19" x14ac:dyDescent="0.3">
      <c r="A709" s="4">
        <v>44667</v>
      </c>
      <c r="B709" s="5">
        <f t="shared" si="125"/>
        <v>4</v>
      </c>
      <c r="C709" s="5">
        <f t="shared" si="126"/>
        <v>2022</v>
      </c>
      <c r="D709" s="5" t="s">
        <v>697</v>
      </c>
      <c r="E709" s="5" t="str">
        <f>VLOOKUP(F709,'Set up'!$A$2:$C$48,2,FALSE)</f>
        <v>C00000020</v>
      </c>
      <c r="F709" s="1" t="s">
        <v>410</v>
      </c>
      <c r="G709" s="11" t="s">
        <v>64</v>
      </c>
      <c r="H709" s="5">
        <v>3</v>
      </c>
      <c r="I709" s="5" t="str">
        <f>VLOOKUP(F709,'Set up'!$A$2:$C$48,3,FALSE)</f>
        <v>Cash</v>
      </c>
      <c r="J709" s="5">
        <f>VLOOKUP(F709,'Set up'!$A$2:$D$48,4,FALSE)</f>
        <v>0</v>
      </c>
      <c r="K709" s="4">
        <f t="shared" si="120"/>
        <v>44667</v>
      </c>
      <c r="L709" s="5">
        <f t="shared" si="122"/>
        <v>4</v>
      </c>
      <c r="M709" s="5">
        <f t="shared" si="123"/>
        <v>2022</v>
      </c>
      <c r="N709" s="6">
        <v>187.5</v>
      </c>
      <c r="O709" s="6">
        <f t="shared" si="129"/>
        <v>-187.5</v>
      </c>
      <c r="P709" s="6">
        <f t="shared" si="119"/>
        <v>0</v>
      </c>
      <c r="Q709" s="7">
        <f t="shared" si="130"/>
        <v>1242598.9500000002</v>
      </c>
      <c r="R709" s="44" t="str">
        <f>VLOOKUP(F709,'Set up'!$A$2:$E$48,5,FALSE)</f>
        <v>Trsf</v>
      </c>
      <c r="S709" s="1" t="s">
        <v>971</v>
      </c>
    </row>
    <row r="710" spans="1:19" x14ac:dyDescent="0.3">
      <c r="A710" s="4">
        <v>44667</v>
      </c>
      <c r="B710" s="5">
        <f t="shared" si="125"/>
        <v>4</v>
      </c>
      <c r="C710" s="5">
        <f t="shared" si="126"/>
        <v>2022</v>
      </c>
      <c r="D710" s="5" t="s">
        <v>697</v>
      </c>
      <c r="E710" s="5" t="str">
        <f>VLOOKUP(F710,'Set up'!$A$2:$C$48,2,FALSE)</f>
        <v>C00000020</v>
      </c>
      <c r="F710" s="1" t="s">
        <v>410</v>
      </c>
      <c r="G710" s="11" t="s">
        <v>667</v>
      </c>
      <c r="H710" s="5">
        <v>4</v>
      </c>
      <c r="I710" s="5" t="str">
        <f>VLOOKUP(F710,'Set up'!$A$2:$C$48,3,FALSE)</f>
        <v>Cash</v>
      </c>
      <c r="J710" s="5">
        <f>VLOOKUP(F710,'Set up'!$A$2:$D$48,4,FALSE)</f>
        <v>0</v>
      </c>
      <c r="K710" s="4">
        <f t="shared" si="120"/>
        <v>44667</v>
      </c>
      <c r="L710" s="5">
        <f t="shared" si="122"/>
        <v>4</v>
      </c>
      <c r="M710" s="5">
        <f t="shared" si="123"/>
        <v>2022</v>
      </c>
      <c r="N710" s="6">
        <v>340</v>
      </c>
      <c r="O710" s="6">
        <f>-70.8-269.2</f>
        <v>-340</v>
      </c>
      <c r="P710" s="6">
        <f t="shared" si="119"/>
        <v>0</v>
      </c>
      <c r="Q710" s="7">
        <f t="shared" si="130"/>
        <v>1242938.9500000002</v>
      </c>
      <c r="R710" s="44" t="str">
        <f>VLOOKUP(F710,'Set up'!$A$2:$E$48,5,FALSE)</f>
        <v>Trsf</v>
      </c>
      <c r="S710" s="1" t="s">
        <v>1038</v>
      </c>
    </row>
    <row r="711" spans="1:19" hidden="1" x14ac:dyDescent="0.3">
      <c r="A711" s="4">
        <v>44667</v>
      </c>
      <c r="B711" s="5">
        <f t="shared" si="125"/>
        <v>4</v>
      </c>
      <c r="C711" s="5">
        <f t="shared" si="126"/>
        <v>2022</v>
      </c>
      <c r="D711" s="5" t="s">
        <v>698</v>
      </c>
      <c r="E711" s="5" t="str">
        <f>VLOOKUP(F711,'Set up'!$A$2:$C$48,2,FALSE)</f>
        <v>C00000023</v>
      </c>
      <c r="F711" s="1" t="s">
        <v>666</v>
      </c>
      <c r="G711" s="11" t="s">
        <v>709</v>
      </c>
      <c r="H711" s="5">
        <v>5</v>
      </c>
      <c r="I711" s="5" t="str">
        <f>VLOOKUP(F711,'Set up'!$A$2:$C$48,3,FALSE)</f>
        <v>Cash</v>
      </c>
      <c r="J711" s="5">
        <f>VLOOKUP(F711,'Set up'!$A$2:$D$48,4,FALSE)</f>
        <v>0</v>
      </c>
      <c r="K711" s="4">
        <f t="shared" si="120"/>
        <v>44667</v>
      </c>
      <c r="L711" s="5">
        <f t="shared" si="122"/>
        <v>4</v>
      </c>
      <c r="M711" s="5">
        <f t="shared" si="123"/>
        <v>2022</v>
      </c>
      <c r="N711" s="6">
        <v>10450</v>
      </c>
      <c r="O711" s="6">
        <f>-N711</f>
        <v>-10450</v>
      </c>
      <c r="P711" s="6">
        <f t="shared" si="119"/>
        <v>0</v>
      </c>
      <c r="Q711" s="7">
        <f t="shared" si="130"/>
        <v>1253388.9500000002</v>
      </c>
      <c r="R711" s="44" t="str">
        <f>VLOOKUP(F711,'Set up'!$A$2:$E$48,5,FALSE)</f>
        <v>Trsf</v>
      </c>
      <c r="S711" s="1" t="s">
        <v>813</v>
      </c>
    </row>
    <row r="712" spans="1:19" hidden="1" x14ac:dyDescent="0.3">
      <c r="A712" s="4">
        <v>44667</v>
      </c>
      <c r="B712" s="5">
        <f t="shared" si="125"/>
        <v>4</v>
      </c>
      <c r="C712" s="5">
        <f t="shared" si="126"/>
        <v>2022</v>
      </c>
      <c r="D712" s="5" t="s">
        <v>698</v>
      </c>
      <c r="E712" s="5" t="str">
        <f>VLOOKUP(F712,'Set up'!$A$2:$C$48,2,FALSE)</f>
        <v>C00000023</v>
      </c>
      <c r="F712" s="1" t="s">
        <v>666</v>
      </c>
      <c r="G712" s="11" t="s">
        <v>655</v>
      </c>
      <c r="H712" s="5">
        <v>9</v>
      </c>
      <c r="I712" s="5" t="str">
        <f>VLOOKUP(F712,'Set up'!$A$2:$C$48,3,FALSE)</f>
        <v>Cash</v>
      </c>
      <c r="J712" s="5">
        <f>VLOOKUP(F712,'Set up'!$A$2:$D$48,4,FALSE)</f>
        <v>0</v>
      </c>
      <c r="K712" s="4">
        <f t="shared" si="120"/>
        <v>44667</v>
      </c>
      <c r="L712" s="5">
        <f t="shared" si="122"/>
        <v>4</v>
      </c>
      <c r="M712" s="5">
        <f t="shared" si="123"/>
        <v>2022</v>
      </c>
      <c r="N712" s="6">
        <v>2646</v>
      </c>
      <c r="O712" s="6">
        <f>-N712</f>
        <v>-2646</v>
      </c>
      <c r="P712" s="6">
        <f t="shared" si="119"/>
        <v>0</v>
      </c>
      <c r="Q712" s="7">
        <f t="shared" si="130"/>
        <v>1256034.9500000002</v>
      </c>
      <c r="R712" s="44" t="str">
        <f>VLOOKUP(F712,'Set up'!$A$2:$E$48,5,FALSE)</f>
        <v>Trsf</v>
      </c>
      <c r="S712" s="1" t="s">
        <v>813</v>
      </c>
    </row>
    <row r="713" spans="1:19" ht="15.45" hidden="1" customHeight="1" x14ac:dyDescent="0.3">
      <c r="A713" s="4">
        <v>44667</v>
      </c>
      <c r="B713" s="5">
        <f t="shared" si="125"/>
        <v>4</v>
      </c>
      <c r="C713" s="5">
        <f t="shared" si="126"/>
        <v>2022</v>
      </c>
      <c r="D713" s="5" t="s">
        <v>698</v>
      </c>
      <c r="E713" s="5" t="str">
        <f>VLOOKUP(F713,'Set up'!$A$2:$C$48,2,FALSE)</f>
        <v>C00000023</v>
      </c>
      <c r="F713" s="1" t="s">
        <v>666</v>
      </c>
      <c r="G713" s="11" t="s">
        <v>667</v>
      </c>
      <c r="H713" s="5">
        <v>8</v>
      </c>
      <c r="I713" s="5" t="str">
        <f>VLOOKUP(F713,'Set up'!$A$2:$C$48,3,FALSE)</f>
        <v>Cash</v>
      </c>
      <c r="J713" s="5">
        <f>VLOOKUP(F713,'Set up'!$A$2:$D$48,4,FALSE)</f>
        <v>0</v>
      </c>
      <c r="K713" s="4">
        <f t="shared" si="120"/>
        <v>44667</v>
      </c>
      <c r="L713" s="5">
        <f t="shared" si="122"/>
        <v>4</v>
      </c>
      <c r="M713" s="5">
        <f t="shared" si="123"/>
        <v>2022</v>
      </c>
      <c r="N713" s="6">
        <v>680</v>
      </c>
      <c r="O713" s="6">
        <f>-N713</f>
        <v>-680</v>
      </c>
      <c r="P713" s="6">
        <f t="shared" si="119"/>
        <v>0</v>
      </c>
      <c r="Q713" s="7">
        <f t="shared" si="130"/>
        <v>1256714.9500000002</v>
      </c>
      <c r="R713" s="44" t="str">
        <f>VLOOKUP(F713,'Set up'!$A$2:$E$48,5,FALSE)</f>
        <v>Trsf</v>
      </c>
      <c r="S713" s="1" t="s">
        <v>813</v>
      </c>
    </row>
    <row r="714" spans="1:19" hidden="1" x14ac:dyDescent="0.3">
      <c r="A714" s="4">
        <v>44667</v>
      </c>
      <c r="B714" s="5">
        <f t="shared" si="125"/>
        <v>4</v>
      </c>
      <c r="C714" s="5">
        <f t="shared" si="126"/>
        <v>2022</v>
      </c>
      <c r="D714" s="5" t="s">
        <v>698</v>
      </c>
      <c r="E714" s="5" t="str">
        <f>VLOOKUP(F714,'Set up'!$A$2:$C$48,2,FALSE)</f>
        <v>C00000023</v>
      </c>
      <c r="F714" s="1" t="s">
        <v>666</v>
      </c>
      <c r="G714" s="11" t="s">
        <v>64</v>
      </c>
      <c r="H714" s="5">
        <v>5</v>
      </c>
      <c r="I714" s="5" t="str">
        <f>VLOOKUP(F714,'Set up'!$A$2:$C$48,3,FALSE)</f>
        <v>Cash</v>
      </c>
      <c r="J714" s="5">
        <f>VLOOKUP(F714,'Set up'!$A$2:$D$48,4,FALSE)</f>
        <v>0</v>
      </c>
      <c r="K714" s="4">
        <f t="shared" si="120"/>
        <v>44667</v>
      </c>
      <c r="L714" s="5">
        <f t="shared" si="122"/>
        <v>4</v>
      </c>
      <c r="M714" s="5">
        <f t="shared" si="123"/>
        <v>2022</v>
      </c>
      <c r="N714" s="6">
        <v>312.5</v>
      </c>
      <c r="O714" s="6">
        <f>-N714</f>
        <v>-312.5</v>
      </c>
      <c r="P714" s="6">
        <f t="shared" si="119"/>
        <v>0</v>
      </c>
      <c r="Q714" s="7">
        <f t="shared" si="130"/>
        <v>1257027.4500000002</v>
      </c>
      <c r="R714" s="44" t="str">
        <f>VLOOKUP(F714,'Set up'!$A$2:$E$48,5,FALSE)</f>
        <v>Trsf</v>
      </c>
      <c r="S714" s="1" t="s">
        <v>813</v>
      </c>
    </row>
    <row r="715" spans="1:19" x14ac:dyDescent="0.3">
      <c r="A715" s="4">
        <v>44670</v>
      </c>
      <c r="B715" s="5">
        <f t="shared" si="125"/>
        <v>4</v>
      </c>
      <c r="C715" s="5">
        <f t="shared" si="126"/>
        <v>2022</v>
      </c>
      <c r="D715" s="5" t="s">
        <v>699</v>
      </c>
      <c r="E715" s="5" t="str">
        <f>VLOOKUP(F715,'Set up'!$A$2:$C$48,2,FALSE)</f>
        <v>C00000020</v>
      </c>
      <c r="F715" s="1" t="s">
        <v>410</v>
      </c>
      <c r="G715" s="11" t="s">
        <v>660</v>
      </c>
      <c r="H715" s="5">
        <v>1</v>
      </c>
      <c r="I715" s="5" t="str">
        <f>VLOOKUP(F715,'Set up'!$A$2:$C$48,3,FALSE)</f>
        <v>Cash</v>
      </c>
      <c r="J715" s="5">
        <f>VLOOKUP(F715,'Set up'!$A$2:$D$48,4,FALSE)</f>
        <v>0</v>
      </c>
      <c r="K715" s="4">
        <f t="shared" si="120"/>
        <v>44670</v>
      </c>
      <c r="L715" s="5">
        <f t="shared" si="122"/>
        <v>4</v>
      </c>
      <c r="M715" s="5">
        <f t="shared" si="123"/>
        <v>2022</v>
      </c>
      <c r="N715" s="6">
        <v>1000</v>
      </c>
      <c r="O715" s="6">
        <f t="shared" ref="O715:O717" si="131">-N715</f>
        <v>-1000</v>
      </c>
      <c r="P715" s="6">
        <f t="shared" si="119"/>
        <v>0</v>
      </c>
      <c r="Q715" s="7">
        <f t="shared" si="130"/>
        <v>1258027.4500000002</v>
      </c>
      <c r="R715" s="44" t="str">
        <f>VLOOKUP(F715,'Set up'!$A$2:$E$48,5,FALSE)</f>
        <v>Trsf</v>
      </c>
      <c r="S715" s="1" t="s">
        <v>1039</v>
      </c>
    </row>
    <row r="716" spans="1:19" x14ac:dyDescent="0.3">
      <c r="A716" s="4">
        <v>44670</v>
      </c>
      <c r="B716" s="5">
        <f t="shared" si="125"/>
        <v>4</v>
      </c>
      <c r="C716" s="5">
        <f t="shared" si="126"/>
        <v>2022</v>
      </c>
      <c r="D716" s="5" t="s">
        <v>699</v>
      </c>
      <c r="E716" s="5" t="str">
        <f>VLOOKUP(F716,'Set up'!$A$2:$C$48,2,FALSE)</f>
        <v>C00000020</v>
      </c>
      <c r="F716" s="1" t="s">
        <v>410</v>
      </c>
      <c r="G716" s="11" t="s">
        <v>655</v>
      </c>
      <c r="H716" s="5">
        <v>6</v>
      </c>
      <c r="I716" s="5" t="str">
        <f>VLOOKUP(F716,'Set up'!$A$2:$C$48,3,FALSE)</f>
        <v>Cash</v>
      </c>
      <c r="J716" s="5">
        <f>VLOOKUP(F716,'Set up'!$A$2:$D$48,4,FALSE)</f>
        <v>0</v>
      </c>
      <c r="K716" s="4">
        <f t="shared" si="120"/>
        <v>44670</v>
      </c>
      <c r="L716" s="5">
        <f t="shared" si="122"/>
        <v>4</v>
      </c>
      <c r="M716" s="5">
        <f t="shared" si="123"/>
        <v>2022</v>
      </c>
      <c r="N716" s="6">
        <v>1764</v>
      </c>
      <c r="O716" s="6">
        <f t="shared" si="131"/>
        <v>-1764</v>
      </c>
      <c r="P716" s="6">
        <f t="shared" si="119"/>
        <v>0</v>
      </c>
      <c r="Q716" s="7">
        <f t="shared" si="130"/>
        <v>1259791.4500000002</v>
      </c>
      <c r="R716" s="44" t="str">
        <f>VLOOKUP(F716,'Set up'!$A$2:$E$48,5,FALSE)</f>
        <v>Trsf</v>
      </c>
      <c r="S716" s="1" t="s">
        <v>1039</v>
      </c>
    </row>
    <row r="717" spans="1:19" x14ac:dyDescent="0.3">
      <c r="A717" s="4">
        <v>44670</v>
      </c>
      <c r="B717" s="5">
        <f t="shared" si="125"/>
        <v>4</v>
      </c>
      <c r="C717" s="5">
        <f t="shared" si="126"/>
        <v>2022</v>
      </c>
      <c r="D717" s="5" t="s">
        <v>699</v>
      </c>
      <c r="E717" s="5" t="str">
        <f>VLOOKUP(F717,'Set up'!$A$2:$C$48,2,FALSE)</f>
        <v>C00000020</v>
      </c>
      <c r="F717" s="1" t="s">
        <v>410</v>
      </c>
      <c r="G717" s="11" t="s">
        <v>259</v>
      </c>
      <c r="H717" s="5">
        <v>1</v>
      </c>
      <c r="I717" s="5" t="str">
        <f>VLOOKUP(F717,'Set up'!$A$2:$C$48,3,FALSE)</f>
        <v>Cash</v>
      </c>
      <c r="J717" s="5">
        <f>VLOOKUP(F717,'Set up'!$A$2:$D$48,4,FALSE)</f>
        <v>0</v>
      </c>
      <c r="K717" s="4">
        <f t="shared" si="120"/>
        <v>44670</v>
      </c>
      <c r="L717" s="5">
        <f t="shared" si="122"/>
        <v>4</v>
      </c>
      <c r="M717" s="5">
        <f t="shared" si="123"/>
        <v>2022</v>
      </c>
      <c r="N717" s="6">
        <v>312</v>
      </c>
      <c r="O717" s="6">
        <f t="shared" si="131"/>
        <v>-312</v>
      </c>
      <c r="P717" s="6">
        <f t="shared" si="119"/>
        <v>0</v>
      </c>
      <c r="Q717" s="7">
        <f t="shared" si="130"/>
        <v>1260103.4500000002</v>
      </c>
      <c r="R717" s="44" t="str">
        <f>VLOOKUP(F717,'Set up'!$A$2:$E$48,5,FALSE)</f>
        <v>Trsf</v>
      </c>
      <c r="S717" s="1" t="s">
        <v>1039</v>
      </c>
    </row>
    <row r="718" spans="1:19" hidden="1" x14ac:dyDescent="0.3">
      <c r="A718" s="4">
        <v>44671</v>
      </c>
      <c r="B718" s="5">
        <f t="shared" si="125"/>
        <v>4</v>
      </c>
      <c r="C718" s="5">
        <f t="shared" si="126"/>
        <v>2022</v>
      </c>
      <c r="D718" s="5" t="s">
        <v>700</v>
      </c>
      <c r="E718" s="5" t="str">
        <f>VLOOKUP(F718,'Set up'!$A$2:$C$48,2,FALSE)</f>
        <v>C00000025</v>
      </c>
      <c r="F718" s="1" t="s">
        <v>710</v>
      </c>
      <c r="G718" s="11" t="s">
        <v>712</v>
      </c>
      <c r="H718" s="5">
        <v>2</v>
      </c>
      <c r="I718" s="5" t="str">
        <f>VLOOKUP(F718,'Set up'!$A$2:$C$48,3,FALSE)</f>
        <v>Cash</v>
      </c>
      <c r="J718" s="5">
        <f>VLOOKUP(F718,'Set up'!$A$2:$D$48,4,FALSE)</f>
        <v>0</v>
      </c>
      <c r="K718" s="4">
        <f t="shared" si="120"/>
        <v>44671</v>
      </c>
      <c r="L718" s="5">
        <f t="shared" si="122"/>
        <v>4</v>
      </c>
      <c r="M718" s="5">
        <f t="shared" si="123"/>
        <v>2022</v>
      </c>
      <c r="N718" s="6">
        <v>700</v>
      </c>
      <c r="O718" s="6">
        <f>-N718</f>
        <v>-700</v>
      </c>
      <c r="P718" s="6">
        <f t="shared" si="119"/>
        <v>0</v>
      </c>
      <c r="Q718" s="7">
        <f t="shared" si="130"/>
        <v>1260803.4500000002</v>
      </c>
      <c r="R718" s="44" t="str">
        <f>VLOOKUP(F718,'Set up'!$A$2:$E$48,5,FALSE)</f>
        <v>Trsf</v>
      </c>
      <c r="S718" s="1" t="s">
        <v>748</v>
      </c>
    </row>
    <row r="719" spans="1:19" hidden="1" x14ac:dyDescent="0.3">
      <c r="A719" s="4">
        <v>44671</v>
      </c>
      <c r="B719" s="5">
        <f t="shared" si="125"/>
        <v>4</v>
      </c>
      <c r="C719" s="5">
        <f t="shared" si="126"/>
        <v>2022</v>
      </c>
      <c r="D719" s="5" t="s">
        <v>700</v>
      </c>
      <c r="E719" s="5" t="str">
        <f>VLOOKUP(F719,'Set up'!$A$2:$C$48,2,FALSE)</f>
        <v>C00000025</v>
      </c>
      <c r="F719" s="1" t="s">
        <v>710</v>
      </c>
      <c r="G719" s="11" t="s">
        <v>713</v>
      </c>
      <c r="H719" s="5">
        <v>1</v>
      </c>
      <c r="I719" s="5" t="str">
        <f>VLOOKUP(F719,'Set up'!$A$2:$C$48,3,FALSE)</f>
        <v>Cash</v>
      </c>
      <c r="J719" s="5">
        <f>VLOOKUP(F719,'Set up'!$A$2:$D$48,4,FALSE)</f>
        <v>0</v>
      </c>
      <c r="K719" s="4">
        <f t="shared" si="120"/>
        <v>44671</v>
      </c>
      <c r="L719" s="5">
        <f t="shared" si="122"/>
        <v>4</v>
      </c>
      <c r="M719" s="5">
        <f t="shared" si="123"/>
        <v>2022</v>
      </c>
      <c r="N719" s="6">
        <v>315</v>
      </c>
      <c r="O719" s="6">
        <f>-N719</f>
        <v>-315</v>
      </c>
      <c r="P719" s="6">
        <f t="shared" si="119"/>
        <v>0</v>
      </c>
      <c r="Q719" s="7">
        <f t="shared" si="130"/>
        <v>1261118.4500000002</v>
      </c>
      <c r="R719" s="44" t="str">
        <f>VLOOKUP(F719,'Set up'!$A$2:$E$48,5,FALSE)</f>
        <v>Trsf</v>
      </c>
      <c r="S719" s="1" t="s">
        <v>748</v>
      </c>
    </row>
    <row r="720" spans="1:19" hidden="1" x14ac:dyDescent="0.3">
      <c r="A720" s="4">
        <v>44671</v>
      </c>
      <c r="B720" s="5">
        <f t="shared" si="125"/>
        <v>4</v>
      </c>
      <c r="C720" s="5">
        <f t="shared" si="126"/>
        <v>2022</v>
      </c>
      <c r="D720" s="5" t="s">
        <v>700</v>
      </c>
      <c r="E720" s="5" t="str">
        <f>VLOOKUP(F720,'Set up'!$A$2:$C$48,2,FALSE)</f>
        <v>C00000025</v>
      </c>
      <c r="F720" s="1" t="s">
        <v>710</v>
      </c>
      <c r="G720" s="11" t="s">
        <v>714</v>
      </c>
      <c r="H720" s="5">
        <v>1</v>
      </c>
      <c r="I720" s="5" t="str">
        <f>VLOOKUP(F720,'Set up'!$A$2:$C$48,3,FALSE)</f>
        <v>Cash</v>
      </c>
      <c r="J720" s="5">
        <f>VLOOKUP(F720,'Set up'!$A$2:$D$48,4,FALSE)</f>
        <v>0</v>
      </c>
      <c r="K720" s="4">
        <f t="shared" si="120"/>
        <v>44671</v>
      </c>
      <c r="L720" s="5">
        <f t="shared" si="122"/>
        <v>4</v>
      </c>
      <c r="M720" s="5">
        <f t="shared" si="123"/>
        <v>2022</v>
      </c>
      <c r="N720" s="6">
        <v>90</v>
      </c>
      <c r="O720" s="6">
        <f>-N720</f>
        <v>-90</v>
      </c>
      <c r="P720" s="6">
        <f t="shared" si="119"/>
        <v>0</v>
      </c>
      <c r="Q720" s="7">
        <f t="shared" si="130"/>
        <v>1261208.4500000002</v>
      </c>
      <c r="R720" s="44" t="str">
        <f>VLOOKUP(F720,'Set up'!$A$2:$E$48,5,FALSE)</f>
        <v>Trsf</v>
      </c>
      <c r="S720" s="1" t="s">
        <v>748</v>
      </c>
    </row>
    <row r="721" spans="1:19" hidden="1" x14ac:dyDescent="0.3">
      <c r="A721" s="4">
        <v>44671</v>
      </c>
      <c r="B721" s="5">
        <f t="shared" si="125"/>
        <v>4</v>
      </c>
      <c r="C721" s="5">
        <f t="shared" si="126"/>
        <v>2022</v>
      </c>
      <c r="D721" s="5" t="s">
        <v>700</v>
      </c>
      <c r="E721" s="5" t="str">
        <f>VLOOKUP(F721,'Set up'!$A$2:$C$48,2,FALSE)</f>
        <v>C00000025</v>
      </c>
      <c r="F721" s="1" t="s">
        <v>710</v>
      </c>
      <c r="G721" s="11" t="s">
        <v>715</v>
      </c>
      <c r="H721" s="5">
        <v>1</v>
      </c>
      <c r="I721" s="5" t="str">
        <f>VLOOKUP(F721,'Set up'!$A$2:$C$48,3,FALSE)</f>
        <v>Cash</v>
      </c>
      <c r="J721" s="5">
        <f>VLOOKUP(F721,'Set up'!$A$2:$D$48,4,FALSE)</f>
        <v>0</v>
      </c>
      <c r="K721" s="4">
        <f t="shared" si="120"/>
        <v>44671</v>
      </c>
      <c r="L721" s="5">
        <f t="shared" si="122"/>
        <v>4</v>
      </c>
      <c r="M721" s="5">
        <f t="shared" si="123"/>
        <v>2022</v>
      </c>
      <c r="N721" s="6">
        <v>65</v>
      </c>
      <c r="O721" s="6">
        <f>-N721</f>
        <v>-65</v>
      </c>
      <c r="P721" s="6">
        <f t="shared" si="119"/>
        <v>0</v>
      </c>
      <c r="Q721" s="7">
        <f t="shared" si="130"/>
        <v>1261273.4500000002</v>
      </c>
      <c r="R721" s="44" t="str">
        <f>VLOOKUP(F721,'Set up'!$A$2:$E$48,5,FALSE)</f>
        <v>Trsf</v>
      </c>
      <c r="S721" s="1" t="s">
        <v>748</v>
      </c>
    </row>
    <row r="722" spans="1:19" hidden="1" x14ac:dyDescent="0.3">
      <c r="A722" s="4">
        <v>44672</v>
      </c>
      <c r="B722" s="5">
        <f t="shared" si="125"/>
        <v>4</v>
      </c>
      <c r="C722" s="5">
        <f t="shared" si="126"/>
        <v>2022</v>
      </c>
      <c r="D722" s="5" t="s">
        <v>701</v>
      </c>
      <c r="E722" s="5" t="str">
        <f>VLOOKUP(F722,'Set up'!$A$2:$C$48,2,FALSE)</f>
        <v>C00000004</v>
      </c>
      <c r="F722" s="1" t="s">
        <v>23</v>
      </c>
      <c r="G722" s="11" t="s">
        <v>561</v>
      </c>
      <c r="H722" s="5">
        <v>5</v>
      </c>
      <c r="I722" s="5">
        <f>VLOOKUP(F722,'Set up'!$A$2:$C$48,3,FALSE)</f>
        <v>120</v>
      </c>
      <c r="J722" s="5">
        <f>VLOOKUP(F722,'Set up'!$A$2:$D$48,4,FALSE)</f>
        <v>120</v>
      </c>
      <c r="K722" s="4">
        <f t="shared" si="120"/>
        <v>44792</v>
      </c>
      <c r="L722" s="5">
        <f t="shared" si="122"/>
        <v>8</v>
      </c>
      <c r="M722" s="5">
        <f t="shared" si="123"/>
        <v>2022</v>
      </c>
      <c r="N722" s="6">
        <v>10120</v>
      </c>
      <c r="O722" s="6">
        <f t="shared" ref="O722:O725" si="132">-N722</f>
        <v>-10120</v>
      </c>
      <c r="P722" s="6">
        <f t="shared" si="119"/>
        <v>0</v>
      </c>
      <c r="Q722" s="7">
        <f t="shared" si="130"/>
        <v>1271393.4500000002</v>
      </c>
      <c r="R722" s="44" t="str">
        <f>VLOOKUP(F722,'Set up'!$A$2:$E$48,5,FALSE)</f>
        <v>Chq</v>
      </c>
      <c r="S722" s="1" t="s">
        <v>917</v>
      </c>
    </row>
    <row r="723" spans="1:19" hidden="1" x14ac:dyDescent="0.3">
      <c r="A723" s="4">
        <v>44672</v>
      </c>
      <c r="B723" s="5">
        <f t="shared" si="125"/>
        <v>4</v>
      </c>
      <c r="C723" s="5">
        <f t="shared" si="126"/>
        <v>2022</v>
      </c>
      <c r="D723" s="5" t="s">
        <v>701</v>
      </c>
      <c r="E723" s="5" t="str">
        <f>VLOOKUP(F723,'Set up'!$A$2:$C$48,2,FALSE)</f>
        <v>C00000004</v>
      </c>
      <c r="F723" s="1" t="s">
        <v>23</v>
      </c>
      <c r="G723" s="11" t="s">
        <v>571</v>
      </c>
      <c r="H723" s="5">
        <v>1</v>
      </c>
      <c r="I723" s="5">
        <f>VLOOKUP(F723,'Set up'!$A$2:$C$48,3,FALSE)</f>
        <v>120</v>
      </c>
      <c r="J723" s="5">
        <f>VLOOKUP(F723,'Set up'!$A$2:$D$48,4,FALSE)</f>
        <v>120</v>
      </c>
      <c r="K723" s="4">
        <f t="shared" si="120"/>
        <v>44792</v>
      </c>
      <c r="L723" s="5">
        <f t="shared" si="122"/>
        <v>8</v>
      </c>
      <c r="M723" s="5">
        <f t="shared" si="123"/>
        <v>2022</v>
      </c>
      <c r="N723" s="6">
        <v>2024</v>
      </c>
      <c r="O723" s="6">
        <f t="shared" si="132"/>
        <v>-2024</v>
      </c>
      <c r="P723" s="6">
        <f t="shared" si="119"/>
        <v>0</v>
      </c>
      <c r="Q723" s="7">
        <f t="shared" si="130"/>
        <v>1273417.4500000002</v>
      </c>
      <c r="R723" s="44" t="str">
        <f>VLOOKUP(F723,'Set up'!$A$2:$E$48,5,FALSE)</f>
        <v>Chq</v>
      </c>
      <c r="S723" s="1" t="s">
        <v>917</v>
      </c>
    </row>
    <row r="724" spans="1:19" hidden="1" x14ac:dyDescent="0.3">
      <c r="A724" s="4">
        <v>44672</v>
      </c>
      <c r="B724" s="5">
        <f t="shared" si="125"/>
        <v>4</v>
      </c>
      <c r="C724" s="5">
        <f t="shared" si="126"/>
        <v>2022</v>
      </c>
      <c r="D724" s="5" t="s">
        <v>701</v>
      </c>
      <c r="E724" s="5" t="str">
        <f>VLOOKUP(F724,'Set up'!$A$2:$C$48,2,FALSE)</f>
        <v>C00000004</v>
      </c>
      <c r="F724" s="1" t="s">
        <v>23</v>
      </c>
      <c r="G724" s="11" t="s">
        <v>708</v>
      </c>
      <c r="H724" s="5">
        <v>3</v>
      </c>
      <c r="I724" s="5">
        <f>VLOOKUP(F724,'Set up'!$A$2:$C$48,3,FALSE)</f>
        <v>120</v>
      </c>
      <c r="J724" s="5">
        <f>VLOOKUP(F724,'Set up'!$A$2:$D$48,4,FALSE)</f>
        <v>120</v>
      </c>
      <c r="K724" s="4">
        <f t="shared" si="120"/>
        <v>44792</v>
      </c>
      <c r="L724" s="5">
        <f t="shared" si="122"/>
        <v>8</v>
      </c>
      <c r="M724" s="5">
        <f t="shared" si="123"/>
        <v>2022</v>
      </c>
      <c r="N724" s="6">
        <v>1539</v>
      </c>
      <c r="O724" s="6">
        <f t="shared" si="132"/>
        <v>-1539</v>
      </c>
      <c r="P724" s="6">
        <f t="shared" si="119"/>
        <v>0</v>
      </c>
      <c r="Q724" s="7">
        <f t="shared" si="130"/>
        <v>1274956.4500000002</v>
      </c>
      <c r="R724" s="44" t="str">
        <f>VLOOKUP(F724,'Set up'!$A$2:$E$48,5,FALSE)</f>
        <v>Chq</v>
      </c>
      <c r="S724" s="1" t="s">
        <v>917</v>
      </c>
    </row>
    <row r="725" spans="1:19" hidden="1" x14ac:dyDescent="0.3">
      <c r="A725" s="4">
        <v>44672</v>
      </c>
      <c r="B725" s="5">
        <f t="shared" si="125"/>
        <v>4</v>
      </c>
      <c r="C725" s="5">
        <f t="shared" si="126"/>
        <v>2022</v>
      </c>
      <c r="D725" s="5" t="s">
        <v>701</v>
      </c>
      <c r="E725" s="5" t="str">
        <f>VLOOKUP(F725,'Set up'!$A$2:$C$48,2,FALSE)</f>
        <v>C00000004</v>
      </c>
      <c r="F725" s="1" t="s">
        <v>23</v>
      </c>
      <c r="G725" s="11" t="s">
        <v>704</v>
      </c>
      <c r="H725" s="5">
        <v>3</v>
      </c>
      <c r="I725" s="5">
        <f>VLOOKUP(F725,'Set up'!$A$2:$C$48,3,FALSE)</f>
        <v>120</v>
      </c>
      <c r="J725" s="5">
        <f>VLOOKUP(F725,'Set up'!$A$2:$D$48,4,FALSE)</f>
        <v>120</v>
      </c>
      <c r="K725" s="4">
        <f t="shared" si="120"/>
        <v>44792</v>
      </c>
      <c r="L725" s="5">
        <f t="shared" si="122"/>
        <v>8</v>
      </c>
      <c r="M725" s="5">
        <f t="shared" si="123"/>
        <v>2022</v>
      </c>
      <c r="N725" s="6">
        <v>1539</v>
      </c>
      <c r="O725" s="6">
        <f t="shared" si="132"/>
        <v>-1539</v>
      </c>
      <c r="P725" s="6">
        <f t="shared" ref="P725:P788" si="133">SUM(N725+O725)</f>
        <v>0</v>
      </c>
      <c r="Q725" s="7">
        <f t="shared" si="130"/>
        <v>1276495.4500000002</v>
      </c>
      <c r="R725" s="44" t="str">
        <f>VLOOKUP(F725,'Set up'!$A$2:$E$48,5,FALSE)</f>
        <v>Chq</v>
      </c>
      <c r="S725" s="1" t="s">
        <v>917</v>
      </c>
    </row>
    <row r="726" spans="1:19" hidden="1" x14ac:dyDescent="0.3">
      <c r="A726" s="4">
        <v>44672</v>
      </c>
      <c r="B726" s="5">
        <f t="shared" si="125"/>
        <v>4</v>
      </c>
      <c r="C726" s="5">
        <f t="shared" si="126"/>
        <v>2022</v>
      </c>
      <c r="D726" s="5" t="s">
        <v>702</v>
      </c>
      <c r="E726" s="5" t="str">
        <f>VLOOKUP(F726,'Set up'!$A$2:$C$48,2,FALSE)</f>
        <v>C00000025</v>
      </c>
      <c r="F726" s="1" t="s">
        <v>710</v>
      </c>
      <c r="G726" s="11" t="s">
        <v>294</v>
      </c>
      <c r="H726" s="5">
        <v>1</v>
      </c>
      <c r="I726" s="5" t="str">
        <f>VLOOKUP(F726,'Set up'!$A$2:$C$48,3,FALSE)</f>
        <v>Cash</v>
      </c>
      <c r="J726" s="5">
        <f>VLOOKUP(F726,'Set up'!$A$2:$D$48,4,FALSE)</f>
        <v>0</v>
      </c>
      <c r="K726" s="4">
        <f t="shared" si="120"/>
        <v>44672</v>
      </c>
      <c r="L726" s="5">
        <f t="shared" si="122"/>
        <v>4</v>
      </c>
      <c r="M726" s="5">
        <f t="shared" si="123"/>
        <v>2022</v>
      </c>
      <c r="N726" s="6">
        <v>68</v>
      </c>
      <c r="O726" s="6">
        <f>-N726</f>
        <v>-68</v>
      </c>
      <c r="P726" s="6">
        <f t="shared" si="133"/>
        <v>0</v>
      </c>
      <c r="Q726" s="7">
        <f t="shared" si="130"/>
        <v>1276563.4500000002</v>
      </c>
      <c r="R726" s="44" t="str">
        <f>VLOOKUP(F726,'Set up'!$A$2:$E$48,5,FALSE)</f>
        <v>Trsf</v>
      </c>
      <c r="S726" s="1" t="s">
        <v>749</v>
      </c>
    </row>
    <row r="727" spans="1:19" hidden="1" x14ac:dyDescent="0.3">
      <c r="A727" s="4">
        <v>44672</v>
      </c>
      <c r="B727" s="5">
        <f t="shared" si="125"/>
        <v>4</v>
      </c>
      <c r="C727" s="5">
        <f t="shared" si="126"/>
        <v>2022</v>
      </c>
      <c r="D727" s="5" t="s">
        <v>716</v>
      </c>
      <c r="E727" s="5" t="str">
        <f>VLOOKUP(F727,'Set up'!$A$2:$C$48,2,FALSE)</f>
        <v>C00000001</v>
      </c>
      <c r="F727" s="1" t="s">
        <v>7</v>
      </c>
      <c r="G727" s="11" t="s">
        <v>717</v>
      </c>
      <c r="H727" s="5">
        <v>1</v>
      </c>
      <c r="I727" s="5" t="str">
        <f>VLOOKUP(F727,'Set up'!$A$2:$C$48,3,FALSE)</f>
        <v>Cash</v>
      </c>
      <c r="J727" s="5">
        <f>VLOOKUP(F727,'Set up'!$A$2:$D$48,4,FALSE)</f>
        <v>0</v>
      </c>
      <c r="K727" s="4">
        <f t="shared" si="120"/>
        <v>44672</v>
      </c>
      <c r="L727" s="5">
        <f t="shared" si="122"/>
        <v>4</v>
      </c>
      <c r="M727" s="5">
        <f t="shared" si="123"/>
        <v>2022</v>
      </c>
      <c r="N727" s="6">
        <v>2068</v>
      </c>
      <c r="O727" s="6">
        <f>-N727</f>
        <v>-2068</v>
      </c>
      <c r="P727" s="6">
        <f t="shared" si="133"/>
        <v>0</v>
      </c>
      <c r="Q727" s="7">
        <f t="shared" si="130"/>
        <v>1278631.4500000002</v>
      </c>
      <c r="R727" s="44" t="str">
        <f>VLOOKUP(F727,'Set up'!$A$2:$E$48,5,FALSE)</f>
        <v>Trsf</v>
      </c>
      <c r="S727" s="1" t="s">
        <v>754</v>
      </c>
    </row>
    <row r="728" spans="1:19" hidden="1" x14ac:dyDescent="0.3">
      <c r="A728" s="4">
        <v>44673</v>
      </c>
      <c r="B728" s="5">
        <f t="shared" si="125"/>
        <v>4</v>
      </c>
      <c r="C728" s="5">
        <f t="shared" si="126"/>
        <v>2022</v>
      </c>
      <c r="D728" s="5" t="s">
        <v>716</v>
      </c>
      <c r="E728" s="5" t="str">
        <f>VLOOKUP(F728,'Set up'!$A$2:$C$48,2,FALSE)</f>
        <v>C00000001</v>
      </c>
      <c r="F728" s="1" t="s">
        <v>7</v>
      </c>
      <c r="G728" s="11" t="s">
        <v>718</v>
      </c>
      <c r="H728" s="5">
        <v>4</v>
      </c>
      <c r="I728" s="5" t="str">
        <f>VLOOKUP(F728,'Set up'!$A$2:$C$48,3,FALSE)</f>
        <v>Cash</v>
      </c>
      <c r="J728" s="5">
        <f>VLOOKUP(F728,'Set up'!$A$2:$D$48,4,FALSE)</f>
        <v>0</v>
      </c>
      <c r="K728" s="4">
        <f t="shared" ref="K728:K791" si="134">A728+J728</f>
        <v>44673</v>
      </c>
      <c r="L728" s="5">
        <f t="shared" si="122"/>
        <v>4</v>
      </c>
      <c r="M728" s="5">
        <f t="shared" si="123"/>
        <v>2022</v>
      </c>
      <c r="N728" s="6">
        <v>420</v>
      </c>
      <c r="O728" s="6">
        <f>-N728</f>
        <v>-420</v>
      </c>
      <c r="P728" s="6">
        <f t="shared" si="133"/>
        <v>0</v>
      </c>
      <c r="Q728" s="7">
        <f t="shared" si="130"/>
        <v>1279051.4500000002</v>
      </c>
      <c r="R728" s="44" t="str">
        <f>VLOOKUP(F728,'Set up'!$A$2:$E$48,5,FALSE)</f>
        <v>Trsf</v>
      </c>
      <c r="S728" s="1" t="s">
        <v>754</v>
      </c>
    </row>
    <row r="729" spans="1:19" x14ac:dyDescent="0.3">
      <c r="A729" s="4">
        <v>44674</v>
      </c>
      <c r="B729" s="5">
        <f t="shared" si="125"/>
        <v>4</v>
      </c>
      <c r="C729" s="5">
        <f t="shared" si="126"/>
        <v>2022</v>
      </c>
      <c r="D729" s="5" t="s">
        <v>719</v>
      </c>
      <c r="E729" s="5" t="str">
        <f>VLOOKUP(F729,'Set up'!$A$2:$C$48,2,FALSE)</f>
        <v>C00000020</v>
      </c>
      <c r="F729" s="1" t="s">
        <v>410</v>
      </c>
      <c r="G729" s="11" t="s">
        <v>720</v>
      </c>
      <c r="H729" s="5">
        <v>3</v>
      </c>
      <c r="I729" s="5" t="str">
        <f>VLOOKUP(F729,'Set up'!$A$2:$C$48,3,FALSE)</f>
        <v>Cash</v>
      </c>
      <c r="J729" s="5">
        <f>VLOOKUP(F729,'Set up'!$A$2:$D$48,4,FALSE)</f>
        <v>0</v>
      </c>
      <c r="K729" s="4">
        <f t="shared" si="134"/>
        <v>44674</v>
      </c>
      <c r="L729" s="5">
        <f t="shared" si="122"/>
        <v>4</v>
      </c>
      <c r="M729" s="5">
        <f t="shared" si="123"/>
        <v>2022</v>
      </c>
      <c r="N729" s="6">
        <v>6270</v>
      </c>
      <c r="O729" s="6">
        <f>-1654.8-4000-615.2</f>
        <v>-6270</v>
      </c>
      <c r="P729" s="6">
        <f t="shared" si="133"/>
        <v>0</v>
      </c>
      <c r="Q729" s="7">
        <f t="shared" si="130"/>
        <v>1285321.4500000002</v>
      </c>
      <c r="R729" s="44" t="str">
        <f>VLOOKUP(F729,'Set up'!$A$2:$E$48,5,FALSE)</f>
        <v>Trsf</v>
      </c>
      <c r="S729" s="1" t="s">
        <v>1042</v>
      </c>
    </row>
    <row r="730" spans="1:19" x14ac:dyDescent="0.3">
      <c r="A730" s="4">
        <v>44674</v>
      </c>
      <c r="B730" s="5">
        <f t="shared" si="125"/>
        <v>4</v>
      </c>
      <c r="C730" s="5">
        <f t="shared" si="126"/>
        <v>2022</v>
      </c>
      <c r="D730" s="5" t="s">
        <v>719</v>
      </c>
      <c r="E730" s="5" t="str">
        <f>VLOOKUP(F730,'Set up'!$A$2:$C$48,2,FALSE)</f>
        <v>C00000020</v>
      </c>
      <c r="F730" s="1" t="s">
        <v>410</v>
      </c>
      <c r="G730" s="11" t="s">
        <v>655</v>
      </c>
      <c r="H730" s="5">
        <v>8</v>
      </c>
      <c r="I730" s="5" t="str">
        <f>VLOOKUP(F730,'Set up'!$A$2:$C$48,3,FALSE)</f>
        <v>Cash</v>
      </c>
      <c r="J730" s="5">
        <f>VLOOKUP(F730,'Set up'!$A$2:$D$48,4,FALSE)</f>
        <v>0</v>
      </c>
      <c r="K730" s="4">
        <f t="shared" si="134"/>
        <v>44674</v>
      </c>
      <c r="L730" s="5">
        <f t="shared" si="122"/>
        <v>4</v>
      </c>
      <c r="M730" s="5">
        <f t="shared" si="123"/>
        <v>2022</v>
      </c>
      <c r="N730" s="6">
        <v>2352</v>
      </c>
      <c r="O730" s="6">
        <f t="shared" ref="O730" si="135">-N730</f>
        <v>-2352</v>
      </c>
      <c r="P730" s="6">
        <f t="shared" si="133"/>
        <v>0</v>
      </c>
      <c r="Q730" s="7">
        <f t="shared" si="130"/>
        <v>1287673.4500000002</v>
      </c>
      <c r="R730" s="44" t="str">
        <f>VLOOKUP(F730,'Set up'!$A$2:$E$48,5,FALSE)</f>
        <v>Trsf</v>
      </c>
      <c r="S730" s="1" t="s">
        <v>1040</v>
      </c>
    </row>
    <row r="731" spans="1:19" x14ac:dyDescent="0.3">
      <c r="A731" s="4">
        <v>44674</v>
      </c>
      <c r="B731" s="5">
        <f t="shared" si="125"/>
        <v>4</v>
      </c>
      <c r="C731" s="5">
        <f t="shared" si="126"/>
        <v>2022</v>
      </c>
      <c r="D731" s="5" t="s">
        <v>719</v>
      </c>
      <c r="E731" s="5" t="str">
        <f>VLOOKUP(F731,'Set up'!$A$2:$C$48,2,FALSE)</f>
        <v>C00000020</v>
      </c>
      <c r="F731" s="1" t="s">
        <v>410</v>
      </c>
      <c r="G731" s="11" t="s">
        <v>415</v>
      </c>
      <c r="H731" s="5">
        <v>4</v>
      </c>
      <c r="I731" s="5" t="str">
        <f>VLOOKUP(F731,'Set up'!$A$2:$C$48,3,FALSE)</f>
        <v>Cash</v>
      </c>
      <c r="J731" s="5">
        <f>VLOOKUP(F731,'Set up'!$A$2:$D$48,4,FALSE)</f>
        <v>0</v>
      </c>
      <c r="K731" s="4">
        <f t="shared" si="134"/>
        <v>44674</v>
      </c>
      <c r="L731" s="5">
        <f t="shared" si="122"/>
        <v>4</v>
      </c>
      <c r="M731" s="5">
        <f t="shared" si="123"/>
        <v>2022</v>
      </c>
      <c r="N731" s="6">
        <v>1404</v>
      </c>
      <c r="O731" s="6">
        <f>-1032.8-371.2</f>
        <v>-1404</v>
      </c>
      <c r="Q731" s="7">
        <f t="shared" si="130"/>
        <v>1289077.4500000002</v>
      </c>
      <c r="R731" s="44" t="str">
        <f>VLOOKUP(F731,'Set up'!$A$2:$E$48,5,FALSE)</f>
        <v>Trsf</v>
      </c>
      <c r="S731" s="1" t="s">
        <v>1043</v>
      </c>
    </row>
    <row r="732" spans="1:19" x14ac:dyDescent="0.3">
      <c r="A732" s="4">
        <v>44674</v>
      </c>
      <c r="B732" s="5">
        <f t="shared" si="125"/>
        <v>4</v>
      </c>
      <c r="C732" s="5">
        <f t="shared" si="126"/>
        <v>2022</v>
      </c>
      <c r="D732" s="5" t="s">
        <v>719</v>
      </c>
      <c r="E732" s="5" t="str">
        <f>VLOOKUP(F732,'Set up'!$A$2:$C$48,2,FALSE)</f>
        <v>C00000020</v>
      </c>
      <c r="F732" s="1" t="s">
        <v>410</v>
      </c>
      <c r="G732" s="11" t="s">
        <v>64</v>
      </c>
      <c r="H732" s="5">
        <v>2</v>
      </c>
      <c r="I732" s="5" t="str">
        <f>VLOOKUP(F732,'Set up'!$A$2:$C$48,3,FALSE)</f>
        <v>Cash</v>
      </c>
      <c r="J732" s="5">
        <f>VLOOKUP(F732,'Set up'!$A$2:$D$48,4,FALSE)</f>
        <v>0</v>
      </c>
      <c r="K732" s="4">
        <f t="shared" si="134"/>
        <v>44674</v>
      </c>
      <c r="L732" s="5">
        <f t="shared" si="122"/>
        <v>4</v>
      </c>
      <c r="M732" s="5">
        <f t="shared" si="123"/>
        <v>2022</v>
      </c>
      <c r="N732" s="6">
        <v>125</v>
      </c>
      <c r="O732" s="6">
        <f t="shared" ref="O732:O733" si="136">-N732</f>
        <v>-125</v>
      </c>
      <c r="P732" s="6">
        <f t="shared" si="133"/>
        <v>0</v>
      </c>
      <c r="Q732" s="7">
        <f t="shared" si="130"/>
        <v>1289202.4500000002</v>
      </c>
      <c r="R732" s="44" t="str">
        <f>VLOOKUP(F732,'Set up'!$A$2:$E$48,5,FALSE)</f>
        <v>Trsf</v>
      </c>
      <c r="S732" s="1" t="s">
        <v>1036</v>
      </c>
    </row>
    <row r="733" spans="1:19" x14ac:dyDescent="0.3">
      <c r="A733" s="4">
        <v>44674</v>
      </c>
      <c r="B733" s="5">
        <f t="shared" si="125"/>
        <v>4</v>
      </c>
      <c r="C733" s="5">
        <f t="shared" si="126"/>
        <v>2022</v>
      </c>
      <c r="D733" s="5" t="s">
        <v>719</v>
      </c>
      <c r="E733" s="5" t="str">
        <f>VLOOKUP(F733,'Set up'!$A$2:$C$48,2,FALSE)</f>
        <v>C00000020</v>
      </c>
      <c r="F733" s="1" t="s">
        <v>410</v>
      </c>
      <c r="G733" s="11" t="s">
        <v>660</v>
      </c>
      <c r="H733" s="5">
        <v>1</v>
      </c>
      <c r="I733" s="5" t="str">
        <f>VLOOKUP(F733,'Set up'!$A$2:$C$48,3,FALSE)</f>
        <v>Cash</v>
      </c>
      <c r="J733" s="5">
        <f>VLOOKUP(F733,'Set up'!$A$2:$D$48,4,FALSE)</f>
        <v>0</v>
      </c>
      <c r="K733" s="4">
        <f t="shared" si="134"/>
        <v>44674</v>
      </c>
      <c r="L733" s="5">
        <f t="shared" si="122"/>
        <v>4</v>
      </c>
      <c r="M733" s="5">
        <f t="shared" si="123"/>
        <v>2022</v>
      </c>
      <c r="N733" s="6">
        <v>1000</v>
      </c>
      <c r="O733" s="6">
        <f t="shared" si="136"/>
        <v>-1000</v>
      </c>
      <c r="P733" s="6">
        <f t="shared" si="133"/>
        <v>0</v>
      </c>
      <c r="Q733" s="7">
        <f t="shared" si="130"/>
        <v>1290202.4500000002</v>
      </c>
      <c r="R733" s="44" t="str">
        <f>VLOOKUP(F733,'Set up'!$A$2:$E$48,5,FALSE)</f>
        <v>Trsf</v>
      </c>
      <c r="S733" s="1" t="s">
        <v>1036</v>
      </c>
    </row>
    <row r="734" spans="1:19" hidden="1" x14ac:dyDescent="0.3">
      <c r="A734" s="4" t="s">
        <v>722</v>
      </c>
      <c r="B734" s="5">
        <f t="shared" si="125"/>
        <v>4</v>
      </c>
      <c r="C734" s="5">
        <f t="shared" si="126"/>
        <v>2022</v>
      </c>
      <c r="D734" s="5" t="s">
        <v>721</v>
      </c>
      <c r="E734" s="5" t="str">
        <f>VLOOKUP(F734,'Set up'!$A$2:$C$48,2,FALSE)</f>
        <v>C00000023</v>
      </c>
      <c r="F734" s="1" t="s">
        <v>666</v>
      </c>
      <c r="G734" s="11" t="s">
        <v>720</v>
      </c>
      <c r="H734" s="5">
        <v>1</v>
      </c>
      <c r="I734" s="5" t="str">
        <f>VLOOKUP(F734,'Set up'!$A$2:$C$48,3,FALSE)</f>
        <v>Cash</v>
      </c>
      <c r="J734" s="5">
        <f>VLOOKUP(F734,'Set up'!$A$2:$D$48,4,FALSE)</f>
        <v>0</v>
      </c>
      <c r="K734" s="4">
        <f t="shared" si="134"/>
        <v>44677</v>
      </c>
      <c r="L734" s="5">
        <f t="shared" si="122"/>
        <v>4</v>
      </c>
      <c r="M734" s="5">
        <f t="shared" si="123"/>
        <v>2022</v>
      </c>
      <c r="N734" s="6">
        <v>2090</v>
      </c>
      <c r="O734" s="6">
        <f>-N734</f>
        <v>-2090</v>
      </c>
      <c r="P734" s="6">
        <f t="shared" si="133"/>
        <v>0</v>
      </c>
      <c r="Q734" s="7">
        <f t="shared" si="130"/>
        <v>1292292.4500000002</v>
      </c>
      <c r="R734" s="44" t="str">
        <f>VLOOKUP(F734,'Set up'!$A$2:$E$48,5,FALSE)</f>
        <v>Trsf</v>
      </c>
      <c r="S734" s="1" t="s">
        <v>752</v>
      </c>
    </row>
    <row r="735" spans="1:19" hidden="1" x14ac:dyDescent="0.3">
      <c r="A735" s="4" t="s">
        <v>722</v>
      </c>
      <c r="B735" s="5">
        <f t="shared" si="125"/>
        <v>4</v>
      </c>
      <c r="C735" s="5">
        <f t="shared" si="126"/>
        <v>2022</v>
      </c>
      <c r="D735" s="5" t="s">
        <v>721</v>
      </c>
      <c r="E735" s="5" t="str">
        <f>VLOOKUP(F735,'Set up'!$A$2:$C$48,2,FALSE)</f>
        <v>C00000023</v>
      </c>
      <c r="F735" s="1" t="s">
        <v>666</v>
      </c>
      <c r="G735" s="11" t="s">
        <v>655</v>
      </c>
      <c r="H735" s="5">
        <v>3</v>
      </c>
      <c r="I735" s="5" t="str">
        <f>VLOOKUP(F735,'Set up'!$A$2:$C$48,3,FALSE)</f>
        <v>Cash</v>
      </c>
      <c r="J735" s="5">
        <f>VLOOKUP(F735,'Set up'!$A$2:$D$48,4,FALSE)</f>
        <v>0</v>
      </c>
      <c r="K735" s="4">
        <f t="shared" si="134"/>
        <v>44677</v>
      </c>
      <c r="L735" s="5">
        <f t="shared" ref="L735:L798" si="137">MONTH(K735)</f>
        <v>4</v>
      </c>
      <c r="M735" s="5">
        <f t="shared" ref="M735:M798" si="138">YEAR(K735)</f>
        <v>2022</v>
      </c>
      <c r="N735" s="6">
        <v>882</v>
      </c>
      <c r="O735" s="6">
        <f>-N735</f>
        <v>-882</v>
      </c>
      <c r="P735" s="6">
        <f t="shared" si="133"/>
        <v>0</v>
      </c>
      <c r="Q735" s="7">
        <f t="shared" si="130"/>
        <v>1293174.4500000002</v>
      </c>
      <c r="R735" s="44" t="str">
        <f>VLOOKUP(F735,'Set up'!$A$2:$E$48,5,FALSE)</f>
        <v>Trsf</v>
      </c>
      <c r="S735" s="1" t="s">
        <v>752</v>
      </c>
    </row>
    <row r="736" spans="1:19" hidden="1" x14ac:dyDescent="0.3">
      <c r="A736" s="4" t="s">
        <v>722</v>
      </c>
      <c r="B736" s="5">
        <f t="shared" si="125"/>
        <v>4</v>
      </c>
      <c r="C736" s="5">
        <f t="shared" si="126"/>
        <v>2022</v>
      </c>
      <c r="D736" s="5" t="s">
        <v>721</v>
      </c>
      <c r="E736" s="5" t="str">
        <f>VLOOKUP(F736,'Set up'!$A$2:$C$48,2,FALSE)</f>
        <v>C00000023</v>
      </c>
      <c r="F736" s="1" t="s">
        <v>666</v>
      </c>
      <c r="G736" s="11" t="s">
        <v>415</v>
      </c>
      <c r="H736" s="5">
        <v>2</v>
      </c>
      <c r="I736" s="5" t="str">
        <f>VLOOKUP(F736,'Set up'!$A$2:$C$48,3,FALSE)</f>
        <v>Cash</v>
      </c>
      <c r="J736" s="5">
        <f>VLOOKUP(F736,'Set up'!$A$2:$D$48,4,FALSE)</f>
        <v>0</v>
      </c>
      <c r="K736" s="4">
        <f t="shared" si="134"/>
        <v>44677</v>
      </c>
      <c r="L736" s="5">
        <f t="shared" si="137"/>
        <v>4</v>
      </c>
      <c r="M736" s="5">
        <f t="shared" si="138"/>
        <v>2022</v>
      </c>
      <c r="N736" s="6">
        <v>702</v>
      </c>
      <c r="O736" s="6">
        <f>-N736</f>
        <v>-702</v>
      </c>
      <c r="P736" s="6">
        <f t="shared" si="133"/>
        <v>0</v>
      </c>
      <c r="Q736" s="7">
        <f t="shared" si="130"/>
        <v>1293876.4500000002</v>
      </c>
      <c r="R736" s="44" t="str">
        <f>VLOOKUP(F736,'Set up'!$A$2:$E$48,5,FALSE)</f>
        <v>Trsf</v>
      </c>
      <c r="S736" s="1" t="s">
        <v>752</v>
      </c>
    </row>
    <row r="737" spans="1:19" hidden="1" x14ac:dyDescent="0.3">
      <c r="A737" s="4" t="s">
        <v>722</v>
      </c>
      <c r="B737" s="5">
        <f t="shared" si="125"/>
        <v>4</v>
      </c>
      <c r="C737" s="5">
        <f t="shared" si="126"/>
        <v>2022</v>
      </c>
      <c r="D737" s="5" t="s">
        <v>721</v>
      </c>
      <c r="E737" s="5" t="str">
        <f>VLOOKUP(F737,'Set up'!$A$2:$C$48,2,FALSE)</f>
        <v>C00000023</v>
      </c>
      <c r="F737" s="1" t="s">
        <v>666</v>
      </c>
      <c r="G737" s="11" t="s">
        <v>64</v>
      </c>
      <c r="H737" s="5">
        <v>2</v>
      </c>
      <c r="I737" s="5" t="str">
        <f>VLOOKUP(F737,'Set up'!$A$2:$C$48,3,FALSE)</f>
        <v>Cash</v>
      </c>
      <c r="J737" s="5">
        <f>VLOOKUP(F737,'Set up'!$A$2:$D$48,4,FALSE)</f>
        <v>0</v>
      </c>
      <c r="K737" s="4">
        <f t="shared" si="134"/>
        <v>44677</v>
      </c>
      <c r="L737" s="5">
        <f t="shared" si="137"/>
        <v>4</v>
      </c>
      <c r="M737" s="5">
        <f t="shared" si="138"/>
        <v>2022</v>
      </c>
      <c r="N737" s="6">
        <v>125</v>
      </c>
      <c r="O737" s="6">
        <f>-N737</f>
        <v>-125</v>
      </c>
      <c r="P737" s="6">
        <f t="shared" si="133"/>
        <v>0</v>
      </c>
      <c r="Q737" s="7">
        <f t="shared" si="130"/>
        <v>1294001.4500000002</v>
      </c>
      <c r="R737" s="44" t="str">
        <f>VLOOKUP(F737,'Set up'!$A$2:$E$48,5,FALSE)</f>
        <v>Trsf</v>
      </c>
      <c r="S737" s="1" t="s">
        <v>752</v>
      </c>
    </row>
    <row r="738" spans="1:19" hidden="1" x14ac:dyDescent="0.3">
      <c r="A738" s="4">
        <v>44678</v>
      </c>
      <c r="B738" s="5">
        <f t="shared" si="125"/>
        <v>4</v>
      </c>
      <c r="C738" s="5">
        <f t="shared" si="126"/>
        <v>2022</v>
      </c>
      <c r="D738" s="5" t="s">
        <v>724</v>
      </c>
      <c r="E738" s="5" t="str">
        <f>VLOOKUP(F738,'Set up'!$A$2:$C$48,2,FALSE)</f>
        <v>C00000010</v>
      </c>
      <c r="F738" s="1" t="s">
        <v>62</v>
      </c>
      <c r="G738" s="11" t="s">
        <v>723</v>
      </c>
      <c r="H738" s="5">
        <v>5</v>
      </c>
      <c r="I738" s="5">
        <f>VLOOKUP(F738,'Set up'!$A$2:$C$48,3,FALSE)</f>
        <v>120</v>
      </c>
      <c r="J738" s="5">
        <f>VLOOKUP(F738,'Set up'!$A$2:$D$48,4,FALSE)</f>
        <v>120</v>
      </c>
      <c r="K738" s="4">
        <f t="shared" si="134"/>
        <v>44798</v>
      </c>
      <c r="L738" s="5">
        <f t="shared" si="137"/>
        <v>8</v>
      </c>
      <c r="M738" s="5">
        <f t="shared" si="138"/>
        <v>2022</v>
      </c>
      <c r="N738" s="6">
        <v>9900</v>
      </c>
      <c r="O738" s="6">
        <f t="shared" ref="O738:O739" si="139">-N738</f>
        <v>-9900</v>
      </c>
      <c r="P738" s="6">
        <f t="shared" si="133"/>
        <v>0</v>
      </c>
      <c r="Q738" s="7">
        <f t="shared" si="130"/>
        <v>1303901.4500000002</v>
      </c>
      <c r="R738" s="44" t="str">
        <f>VLOOKUP(F738,'Set up'!$A$2:$E$48,5,FALSE)</f>
        <v>Trsf</v>
      </c>
      <c r="S738" s="1" t="s">
        <v>889</v>
      </c>
    </row>
    <row r="739" spans="1:19" hidden="1" x14ac:dyDescent="0.3">
      <c r="A739" s="4">
        <v>44678</v>
      </c>
      <c r="B739" s="5">
        <f t="shared" si="125"/>
        <v>4</v>
      </c>
      <c r="C739" s="5">
        <f t="shared" si="126"/>
        <v>2022</v>
      </c>
      <c r="D739" s="5" t="s">
        <v>724</v>
      </c>
      <c r="E739" s="5" t="str">
        <f>VLOOKUP(F739,'Set up'!$A$2:$C$48,2,FALSE)</f>
        <v>C00000010</v>
      </c>
      <c r="F739" s="1" t="s">
        <v>62</v>
      </c>
      <c r="G739" s="11" t="s">
        <v>567</v>
      </c>
      <c r="H739" s="5">
        <v>12</v>
      </c>
      <c r="I739" s="5">
        <f>VLOOKUP(F739,'Set up'!$A$2:$C$48,3,FALSE)</f>
        <v>120</v>
      </c>
      <c r="J739" s="5">
        <f>VLOOKUP(F739,'Set up'!$A$2:$D$48,4,FALSE)</f>
        <v>120</v>
      </c>
      <c r="K739" s="4">
        <f t="shared" si="134"/>
        <v>44798</v>
      </c>
      <c r="L739" s="5">
        <f t="shared" si="137"/>
        <v>8</v>
      </c>
      <c r="M739" s="5">
        <f t="shared" si="138"/>
        <v>2022</v>
      </c>
      <c r="N739" s="6">
        <v>1260</v>
      </c>
      <c r="O739" s="6">
        <f t="shared" si="139"/>
        <v>-1260</v>
      </c>
      <c r="P739" s="6">
        <f t="shared" si="133"/>
        <v>0</v>
      </c>
      <c r="Q739" s="7">
        <f t="shared" si="130"/>
        <v>1305161.4500000002</v>
      </c>
      <c r="R739" s="44" t="str">
        <f>VLOOKUP(F739,'Set up'!$A$2:$E$48,5,FALSE)</f>
        <v>Trsf</v>
      </c>
      <c r="S739" s="1" t="s">
        <v>889</v>
      </c>
    </row>
    <row r="740" spans="1:19" hidden="1" x14ac:dyDescent="0.3">
      <c r="A740" s="4">
        <v>44679</v>
      </c>
      <c r="B740" s="5">
        <f t="shared" si="125"/>
        <v>4</v>
      </c>
      <c r="C740" s="5">
        <f t="shared" si="126"/>
        <v>2022</v>
      </c>
      <c r="D740" s="5" t="s">
        <v>725</v>
      </c>
      <c r="E740" s="5" t="str">
        <f>VLOOKUP(F740,'Set up'!$A$2:$C$48,2,FALSE)</f>
        <v>C00000021</v>
      </c>
      <c r="F740" s="1" t="s">
        <v>492</v>
      </c>
      <c r="G740" s="11" t="s">
        <v>67</v>
      </c>
      <c r="H740" s="5">
        <v>2</v>
      </c>
      <c r="I740" s="5" t="str">
        <f>VLOOKUP(F740,'Set up'!$A$2:$C$48,3,FALSE)</f>
        <v>Cash</v>
      </c>
      <c r="J740" s="5">
        <f>VLOOKUP(F740,'Set up'!$A$2:$D$48,4,FALSE)</f>
        <v>0</v>
      </c>
      <c r="K740" s="4">
        <f t="shared" si="134"/>
        <v>44679</v>
      </c>
      <c r="L740" s="5">
        <f t="shared" si="137"/>
        <v>4</v>
      </c>
      <c r="M740" s="5">
        <f t="shared" si="138"/>
        <v>2022</v>
      </c>
      <c r="N740" s="6">
        <v>4136</v>
      </c>
      <c r="O740" s="6">
        <f>-N740</f>
        <v>-4136</v>
      </c>
      <c r="P740" s="6">
        <f t="shared" si="133"/>
        <v>0</v>
      </c>
      <c r="Q740" s="7">
        <f t="shared" si="130"/>
        <v>1309297.4500000002</v>
      </c>
      <c r="R740" s="44" t="str">
        <f>VLOOKUP(F740,'Set up'!$A$2:$E$48,5,FALSE)</f>
        <v>PD Chq</v>
      </c>
      <c r="S740" s="1" t="s">
        <v>880</v>
      </c>
    </row>
    <row r="741" spans="1:19" hidden="1" x14ac:dyDescent="0.3">
      <c r="A741" s="4">
        <v>44679</v>
      </c>
      <c r="B741" s="5">
        <f t="shared" si="125"/>
        <v>4</v>
      </c>
      <c r="C741" s="5">
        <f t="shared" si="126"/>
        <v>2022</v>
      </c>
      <c r="D741" s="5" t="s">
        <v>725</v>
      </c>
      <c r="E741" s="5" t="str">
        <f>VLOOKUP(F741,'Set up'!$A$2:$C$48,2,FALSE)</f>
        <v>C00000021</v>
      </c>
      <c r="F741" s="1" t="s">
        <v>492</v>
      </c>
      <c r="G741" s="11" t="s">
        <v>655</v>
      </c>
      <c r="H741" s="5">
        <v>4</v>
      </c>
      <c r="I741" s="5" t="str">
        <f>VLOOKUP(F741,'Set up'!$A$2:$C$48,3,FALSE)</f>
        <v>Cash</v>
      </c>
      <c r="J741" s="5">
        <f>VLOOKUP(F741,'Set up'!$A$2:$D$48,4,FALSE)</f>
        <v>0</v>
      </c>
      <c r="K741" s="4">
        <f t="shared" si="134"/>
        <v>44679</v>
      </c>
      <c r="L741" s="5">
        <f t="shared" si="137"/>
        <v>4</v>
      </c>
      <c r="M741" s="5">
        <f t="shared" si="138"/>
        <v>2022</v>
      </c>
      <c r="N741" s="6">
        <v>1152</v>
      </c>
      <c r="O741" s="6">
        <f>-N741</f>
        <v>-1152</v>
      </c>
      <c r="P741" s="6">
        <f t="shared" si="133"/>
        <v>0</v>
      </c>
      <c r="Q741" s="7">
        <f t="shared" si="130"/>
        <v>1310449.4500000002</v>
      </c>
      <c r="R741" s="44" t="str">
        <f>VLOOKUP(F741,'Set up'!$A$2:$E$48,5,FALSE)</f>
        <v>PD Chq</v>
      </c>
      <c r="S741" s="1" t="s">
        <v>880</v>
      </c>
    </row>
    <row r="742" spans="1:19" hidden="1" x14ac:dyDescent="0.3">
      <c r="A742" s="4">
        <v>44679</v>
      </c>
      <c r="B742" s="5">
        <f t="shared" si="125"/>
        <v>4</v>
      </c>
      <c r="C742" s="5">
        <f t="shared" si="126"/>
        <v>2022</v>
      </c>
      <c r="D742" s="5" t="s">
        <v>725</v>
      </c>
      <c r="E742" s="5" t="str">
        <f>VLOOKUP(F742,'Set up'!$A$2:$C$48,2,FALSE)</f>
        <v>C00000021</v>
      </c>
      <c r="F742" s="1" t="s">
        <v>492</v>
      </c>
      <c r="G742" s="11" t="s">
        <v>667</v>
      </c>
      <c r="H742" s="5">
        <v>2</v>
      </c>
      <c r="I742" s="5" t="str">
        <f>VLOOKUP(F742,'Set up'!$A$2:$C$48,3,FALSE)</f>
        <v>Cash</v>
      </c>
      <c r="J742" s="5">
        <f>VLOOKUP(F742,'Set up'!$A$2:$D$48,4,FALSE)</f>
        <v>0</v>
      </c>
      <c r="K742" s="4">
        <f t="shared" si="134"/>
        <v>44679</v>
      </c>
      <c r="L742" s="5">
        <f t="shared" si="137"/>
        <v>4</v>
      </c>
      <c r="M742" s="5">
        <f t="shared" si="138"/>
        <v>2022</v>
      </c>
      <c r="N742" s="6">
        <v>170</v>
      </c>
      <c r="O742" s="6">
        <f>-N742</f>
        <v>-170</v>
      </c>
      <c r="P742" s="6">
        <f t="shared" si="133"/>
        <v>0</v>
      </c>
      <c r="Q742" s="7">
        <f t="shared" si="130"/>
        <v>1310619.4500000002</v>
      </c>
      <c r="R742" s="44" t="str">
        <f>VLOOKUP(F742,'Set up'!$A$2:$E$48,5,FALSE)</f>
        <v>PD Chq</v>
      </c>
      <c r="S742" s="1" t="s">
        <v>880</v>
      </c>
    </row>
    <row r="743" spans="1:19" x14ac:dyDescent="0.3">
      <c r="A743" s="4">
        <v>44679</v>
      </c>
      <c r="B743" s="5">
        <f t="shared" si="125"/>
        <v>4</v>
      </c>
      <c r="C743" s="5">
        <f t="shared" si="126"/>
        <v>2022</v>
      </c>
      <c r="D743" s="5" t="s">
        <v>726</v>
      </c>
      <c r="E743" s="5" t="str">
        <f>VLOOKUP(F743,'Set up'!$A$2:$C$48,2,FALSE)</f>
        <v>C00000020</v>
      </c>
      <c r="F743" s="1" t="s">
        <v>410</v>
      </c>
      <c r="G743" s="11" t="s">
        <v>720</v>
      </c>
      <c r="H743" s="5">
        <v>3</v>
      </c>
      <c r="I743" s="5" t="str">
        <f>VLOOKUP(F743,'Set up'!$A$2:$C$48,3,FALSE)</f>
        <v>Cash</v>
      </c>
      <c r="J743" s="5">
        <f>VLOOKUP(F743,'Set up'!$A$2:$D$48,4,FALSE)</f>
        <v>0</v>
      </c>
      <c r="K743" s="4">
        <f t="shared" si="134"/>
        <v>44679</v>
      </c>
      <c r="L743" s="5">
        <f t="shared" si="137"/>
        <v>4</v>
      </c>
      <c r="M743" s="5">
        <f t="shared" si="138"/>
        <v>2022</v>
      </c>
      <c r="N743" s="6">
        <v>6270</v>
      </c>
      <c r="O743" s="6">
        <f t="shared" ref="O743:O747" si="140">-N743</f>
        <v>-6270</v>
      </c>
      <c r="P743" s="6">
        <f t="shared" si="133"/>
        <v>0</v>
      </c>
      <c r="Q743" s="7">
        <f t="shared" si="130"/>
        <v>1316889.4500000002</v>
      </c>
      <c r="R743" s="44" t="str">
        <f>VLOOKUP(F743,'Set up'!$A$2:$E$48,5,FALSE)</f>
        <v>Trsf</v>
      </c>
      <c r="S743" s="1" t="s">
        <v>1036</v>
      </c>
    </row>
    <row r="744" spans="1:19" x14ac:dyDescent="0.3">
      <c r="A744" s="4">
        <v>44679</v>
      </c>
      <c r="B744" s="5">
        <f t="shared" si="125"/>
        <v>4</v>
      </c>
      <c r="C744" s="5">
        <f t="shared" si="126"/>
        <v>2022</v>
      </c>
      <c r="D744" s="5" t="s">
        <v>726</v>
      </c>
      <c r="E744" s="5" t="str">
        <f>VLOOKUP(F744,'Set up'!$A$2:$C$48,2,FALSE)</f>
        <v>C00000020</v>
      </c>
      <c r="F744" s="1" t="s">
        <v>410</v>
      </c>
      <c r="G744" s="11" t="s">
        <v>655</v>
      </c>
      <c r="H744" s="5">
        <v>9</v>
      </c>
      <c r="I744" s="5" t="str">
        <f>VLOOKUP(F744,'Set up'!$A$2:$C$48,3,FALSE)</f>
        <v>Cash</v>
      </c>
      <c r="J744" s="5">
        <f>VLOOKUP(F744,'Set up'!$A$2:$D$48,4,FALSE)</f>
        <v>0</v>
      </c>
      <c r="K744" s="4">
        <f t="shared" si="134"/>
        <v>44679</v>
      </c>
      <c r="L744" s="5">
        <f t="shared" si="137"/>
        <v>4</v>
      </c>
      <c r="M744" s="5">
        <f t="shared" si="138"/>
        <v>2022</v>
      </c>
      <c r="N744" s="6">
        <v>2646</v>
      </c>
      <c r="O744" s="6">
        <f t="shared" si="140"/>
        <v>-2646</v>
      </c>
      <c r="P744" s="6">
        <f t="shared" si="133"/>
        <v>0</v>
      </c>
      <c r="Q744" s="7">
        <f t="shared" si="130"/>
        <v>1319535.4500000002</v>
      </c>
      <c r="R744" s="44" t="str">
        <f>VLOOKUP(F744,'Set up'!$A$2:$E$48,5,FALSE)</f>
        <v>Trsf</v>
      </c>
      <c r="S744" s="1" t="s">
        <v>1036</v>
      </c>
    </row>
    <row r="745" spans="1:19" x14ac:dyDescent="0.3">
      <c r="A745" s="4">
        <v>44679</v>
      </c>
      <c r="B745" s="5">
        <f t="shared" si="125"/>
        <v>4</v>
      </c>
      <c r="C745" s="5">
        <f t="shared" si="126"/>
        <v>2022</v>
      </c>
      <c r="D745" s="5" t="s">
        <v>726</v>
      </c>
      <c r="E745" s="5" t="str">
        <f>VLOOKUP(F745,'Set up'!$A$2:$C$48,2,FALSE)</f>
        <v>C00000020</v>
      </c>
      <c r="F745" s="1" t="s">
        <v>410</v>
      </c>
      <c r="G745" s="11" t="s">
        <v>415</v>
      </c>
      <c r="H745" s="5">
        <v>5</v>
      </c>
      <c r="I745" s="5" t="str">
        <f>VLOOKUP(F745,'Set up'!$A$2:$C$48,3,FALSE)</f>
        <v>Cash</v>
      </c>
      <c r="J745" s="5">
        <f>VLOOKUP(F745,'Set up'!$A$2:$D$48,4,FALSE)</f>
        <v>0</v>
      </c>
      <c r="K745" s="4">
        <f t="shared" si="134"/>
        <v>44679</v>
      </c>
      <c r="L745" s="5">
        <f t="shared" si="137"/>
        <v>4</v>
      </c>
      <c r="M745" s="5">
        <f t="shared" si="138"/>
        <v>2022</v>
      </c>
      <c r="N745" s="6">
        <v>1755</v>
      </c>
      <c r="O745" s="6">
        <f t="shared" si="140"/>
        <v>-1755</v>
      </c>
      <c r="P745" s="6">
        <f t="shared" si="133"/>
        <v>0</v>
      </c>
      <c r="Q745" s="7">
        <f t="shared" si="130"/>
        <v>1321290.4500000002</v>
      </c>
      <c r="R745" s="44" t="str">
        <f>VLOOKUP(F745,'Set up'!$A$2:$E$48,5,FALSE)</f>
        <v>Trsf</v>
      </c>
      <c r="S745" s="1" t="s">
        <v>1036</v>
      </c>
    </row>
    <row r="746" spans="1:19" x14ac:dyDescent="0.3">
      <c r="A746" s="4">
        <v>44679</v>
      </c>
      <c r="B746" s="5">
        <f t="shared" si="125"/>
        <v>4</v>
      </c>
      <c r="C746" s="5">
        <f t="shared" si="126"/>
        <v>2022</v>
      </c>
      <c r="D746" s="5" t="s">
        <v>726</v>
      </c>
      <c r="E746" s="5" t="str">
        <f>VLOOKUP(F746,'Set up'!$A$2:$C$48,2,FALSE)</f>
        <v>C00000020</v>
      </c>
      <c r="F746" s="1" t="s">
        <v>410</v>
      </c>
      <c r="G746" s="11" t="s">
        <v>64</v>
      </c>
      <c r="H746" s="5">
        <v>3</v>
      </c>
      <c r="I746" s="5" t="str">
        <f>VLOOKUP(F746,'Set up'!$A$2:$C$48,3,FALSE)</f>
        <v>Cash</v>
      </c>
      <c r="J746" s="5">
        <f>VLOOKUP(F746,'Set up'!$A$2:$D$48,4,FALSE)</f>
        <v>0</v>
      </c>
      <c r="K746" s="4">
        <f t="shared" si="134"/>
        <v>44679</v>
      </c>
      <c r="L746" s="5">
        <f t="shared" si="137"/>
        <v>4</v>
      </c>
      <c r="M746" s="5">
        <f t="shared" si="138"/>
        <v>2022</v>
      </c>
      <c r="N746" s="6">
        <v>187.5</v>
      </c>
      <c r="O746" s="6">
        <f t="shared" si="140"/>
        <v>-187.5</v>
      </c>
      <c r="P746" s="6">
        <f t="shared" si="133"/>
        <v>0</v>
      </c>
      <c r="Q746" s="7">
        <f t="shared" si="130"/>
        <v>1321477.9500000002</v>
      </c>
      <c r="R746" s="44" t="str">
        <f>VLOOKUP(F746,'Set up'!$A$2:$E$48,5,FALSE)</f>
        <v>Trsf</v>
      </c>
      <c r="S746" s="1" t="s">
        <v>1036</v>
      </c>
    </row>
    <row r="747" spans="1:19" x14ac:dyDescent="0.3">
      <c r="A747" s="4">
        <v>44679</v>
      </c>
      <c r="B747" s="5">
        <f t="shared" si="125"/>
        <v>4</v>
      </c>
      <c r="C747" s="5">
        <f t="shared" si="126"/>
        <v>2022</v>
      </c>
      <c r="D747" s="5" t="s">
        <v>726</v>
      </c>
      <c r="E747" s="5" t="str">
        <f>VLOOKUP(F747,'Set up'!$A$2:$C$48,2,FALSE)</f>
        <v>C00000020</v>
      </c>
      <c r="F747" s="1" t="s">
        <v>410</v>
      </c>
      <c r="G747" s="11" t="s">
        <v>660</v>
      </c>
      <c r="H747" s="5">
        <v>1</v>
      </c>
      <c r="I747" s="5" t="str">
        <f>VLOOKUP(F747,'Set up'!$A$2:$C$48,3,FALSE)</f>
        <v>Cash</v>
      </c>
      <c r="J747" s="5">
        <f>VLOOKUP(F747,'Set up'!$A$2:$D$48,4,FALSE)</f>
        <v>0</v>
      </c>
      <c r="K747" s="4">
        <f t="shared" si="134"/>
        <v>44679</v>
      </c>
      <c r="L747" s="5">
        <f t="shared" si="137"/>
        <v>4</v>
      </c>
      <c r="M747" s="5">
        <f t="shared" si="138"/>
        <v>2022</v>
      </c>
      <c r="N747" s="6">
        <v>1000</v>
      </c>
      <c r="O747" s="6">
        <f t="shared" si="140"/>
        <v>-1000</v>
      </c>
      <c r="P747" s="6">
        <f t="shared" si="133"/>
        <v>0</v>
      </c>
      <c r="Q747" s="7">
        <f t="shared" si="130"/>
        <v>1322477.9500000002</v>
      </c>
      <c r="R747" s="44" t="str">
        <f>VLOOKUP(F747,'Set up'!$A$2:$E$48,5,FALSE)</f>
        <v>Trsf</v>
      </c>
      <c r="S747" s="1" t="s">
        <v>1036</v>
      </c>
    </row>
    <row r="748" spans="1:19" hidden="1" x14ac:dyDescent="0.3">
      <c r="A748" s="4">
        <v>44679</v>
      </c>
      <c r="B748" s="5">
        <f t="shared" si="125"/>
        <v>4</v>
      </c>
      <c r="C748" s="5">
        <f t="shared" si="126"/>
        <v>2022</v>
      </c>
      <c r="D748" s="5" t="s">
        <v>727</v>
      </c>
      <c r="E748" s="5" t="str">
        <f>VLOOKUP(F748,'Set up'!$A$2:$C$48,2,FALSE)</f>
        <v>C00000019</v>
      </c>
      <c r="F748" s="1" t="s">
        <v>401</v>
      </c>
      <c r="G748" s="11" t="s">
        <v>95</v>
      </c>
      <c r="H748" s="5">
        <v>2</v>
      </c>
      <c r="I748" s="5" t="str">
        <f>VLOOKUP(F748,'Set up'!$A$2:$C$48,3,FALSE)</f>
        <v>Cash</v>
      </c>
      <c r="J748" s="5">
        <f>VLOOKUP(F748,'Set up'!$A$2:$D$48,4,FALSE)</f>
        <v>0</v>
      </c>
      <c r="K748" s="4">
        <f t="shared" si="134"/>
        <v>44679</v>
      </c>
      <c r="L748" s="5">
        <f t="shared" si="137"/>
        <v>4</v>
      </c>
      <c r="M748" s="5">
        <f t="shared" si="138"/>
        <v>2022</v>
      </c>
      <c r="N748" s="6">
        <v>4136</v>
      </c>
      <c r="O748" s="6">
        <f t="shared" ref="O748:O754" si="141">-N748</f>
        <v>-4136</v>
      </c>
      <c r="P748" s="6">
        <f t="shared" si="133"/>
        <v>0</v>
      </c>
      <c r="Q748" s="7">
        <f t="shared" si="130"/>
        <v>1326613.9500000002</v>
      </c>
      <c r="R748" s="44" t="str">
        <f>VLOOKUP(F748,'Set up'!$A$2:$E$48,5,FALSE)</f>
        <v>Trsf</v>
      </c>
      <c r="S748" s="1" t="s">
        <v>802</v>
      </c>
    </row>
    <row r="749" spans="1:19" hidden="1" x14ac:dyDescent="0.3">
      <c r="A749" s="4">
        <v>44679</v>
      </c>
      <c r="B749" s="5">
        <f t="shared" ref="B749:B812" si="142">MONTH(A749)</f>
        <v>4</v>
      </c>
      <c r="C749" s="5">
        <f t="shared" ref="C749:C812" si="143">YEAR(A749)</f>
        <v>2022</v>
      </c>
      <c r="D749" s="5" t="s">
        <v>727</v>
      </c>
      <c r="E749" s="5" t="str">
        <f>VLOOKUP(F749,'Set up'!$A$2:$C$48,2,FALSE)</f>
        <v>C00000019</v>
      </c>
      <c r="F749" s="1" t="s">
        <v>401</v>
      </c>
      <c r="G749" s="11" t="s">
        <v>479</v>
      </c>
      <c r="H749" s="5">
        <v>2</v>
      </c>
      <c r="I749" s="5" t="str">
        <f>VLOOKUP(F749,'Set up'!$A$2:$C$48,3,FALSE)</f>
        <v>Cash</v>
      </c>
      <c r="J749" s="5">
        <f>VLOOKUP(F749,'Set up'!$A$2:$D$48,4,FALSE)</f>
        <v>0</v>
      </c>
      <c r="K749" s="4">
        <f t="shared" si="134"/>
        <v>44679</v>
      </c>
      <c r="L749" s="5">
        <f t="shared" si="137"/>
        <v>4</v>
      </c>
      <c r="M749" s="5">
        <f t="shared" si="138"/>
        <v>2022</v>
      </c>
      <c r="N749" s="6">
        <v>1047.5999999999999</v>
      </c>
      <c r="O749" s="6">
        <f t="shared" si="141"/>
        <v>-1047.5999999999999</v>
      </c>
      <c r="P749" s="6">
        <f t="shared" si="133"/>
        <v>0</v>
      </c>
      <c r="Q749" s="7">
        <f t="shared" si="130"/>
        <v>1327661.5500000003</v>
      </c>
      <c r="R749" s="44" t="str">
        <f>VLOOKUP(F749,'Set up'!$A$2:$E$48,5,FALSE)</f>
        <v>Trsf</v>
      </c>
      <c r="S749" s="1" t="s">
        <v>802</v>
      </c>
    </row>
    <row r="750" spans="1:19" hidden="1" x14ac:dyDescent="0.3">
      <c r="A750" s="4">
        <v>44679</v>
      </c>
      <c r="B750" s="5">
        <f t="shared" si="142"/>
        <v>4</v>
      </c>
      <c r="C750" s="5">
        <f t="shared" si="143"/>
        <v>2022</v>
      </c>
      <c r="D750" s="5" t="s">
        <v>727</v>
      </c>
      <c r="E750" s="5" t="str">
        <f>VLOOKUP(F750,'Set up'!$A$2:$C$48,2,FALSE)</f>
        <v>C00000019</v>
      </c>
      <c r="F750" s="1" t="s">
        <v>401</v>
      </c>
      <c r="G750" s="11" t="s">
        <v>64</v>
      </c>
      <c r="H750" s="5">
        <v>5</v>
      </c>
      <c r="I750" s="5" t="str">
        <f>VLOOKUP(F750,'Set up'!$A$2:$C$48,3,FALSE)</f>
        <v>Cash</v>
      </c>
      <c r="J750" s="5">
        <f>VLOOKUP(F750,'Set up'!$A$2:$D$48,4,FALSE)</f>
        <v>0</v>
      </c>
      <c r="K750" s="4">
        <f t="shared" si="134"/>
        <v>44679</v>
      </c>
      <c r="L750" s="5">
        <f t="shared" si="137"/>
        <v>4</v>
      </c>
      <c r="M750" s="5">
        <f t="shared" si="138"/>
        <v>2022</v>
      </c>
      <c r="N750" s="6">
        <v>312.5</v>
      </c>
      <c r="O750" s="6">
        <f t="shared" si="141"/>
        <v>-312.5</v>
      </c>
      <c r="P750" s="6">
        <f t="shared" si="133"/>
        <v>0</v>
      </c>
      <c r="Q750" s="7">
        <f t="shared" si="130"/>
        <v>1327974.0500000003</v>
      </c>
      <c r="R750" s="44" t="str">
        <f>VLOOKUP(F750,'Set up'!$A$2:$E$48,5,FALSE)</f>
        <v>Trsf</v>
      </c>
      <c r="S750" s="1" t="s">
        <v>802</v>
      </c>
    </row>
    <row r="751" spans="1:19" hidden="1" x14ac:dyDescent="0.3">
      <c r="A751" s="4">
        <v>44679</v>
      </c>
      <c r="B751" s="5">
        <f t="shared" si="142"/>
        <v>4</v>
      </c>
      <c r="C751" s="5">
        <f t="shared" si="143"/>
        <v>2022</v>
      </c>
      <c r="D751" s="5" t="s">
        <v>727</v>
      </c>
      <c r="E751" s="5" t="str">
        <f>VLOOKUP(F751,'Set up'!$A$2:$C$48,2,FALSE)</f>
        <v>C00000019</v>
      </c>
      <c r="F751" s="1" t="s">
        <v>401</v>
      </c>
      <c r="G751" s="11" t="s">
        <v>293</v>
      </c>
      <c r="H751" s="5">
        <v>1</v>
      </c>
      <c r="I751" s="5" t="str">
        <f>VLOOKUP(F751,'Set up'!$A$2:$C$48,3,FALSE)</f>
        <v>Cash</v>
      </c>
      <c r="J751" s="5">
        <f>VLOOKUP(F751,'Set up'!$A$2:$D$48,4,FALSE)</f>
        <v>0</v>
      </c>
      <c r="K751" s="4">
        <f t="shared" si="134"/>
        <v>44679</v>
      </c>
      <c r="L751" s="5">
        <f t="shared" si="137"/>
        <v>4</v>
      </c>
      <c r="M751" s="5">
        <f t="shared" si="138"/>
        <v>2022</v>
      </c>
      <c r="N751" s="6">
        <v>390</v>
      </c>
      <c r="O751" s="6">
        <f t="shared" si="141"/>
        <v>-390</v>
      </c>
      <c r="P751" s="6">
        <f t="shared" si="133"/>
        <v>0</v>
      </c>
      <c r="Q751" s="7">
        <f t="shared" si="130"/>
        <v>1328364.0500000003</v>
      </c>
      <c r="R751" s="44" t="str">
        <f>VLOOKUP(F751,'Set up'!$A$2:$E$48,5,FALSE)</f>
        <v>Trsf</v>
      </c>
      <c r="S751" s="1" t="s">
        <v>802</v>
      </c>
    </row>
    <row r="752" spans="1:19" hidden="1" x14ac:dyDescent="0.3">
      <c r="A752" s="4">
        <v>44679</v>
      </c>
      <c r="B752" s="5">
        <f t="shared" si="142"/>
        <v>4</v>
      </c>
      <c r="C752" s="5">
        <f t="shared" si="143"/>
        <v>2022</v>
      </c>
      <c r="D752" s="5" t="s">
        <v>727</v>
      </c>
      <c r="E752" s="5" t="str">
        <f>VLOOKUP(F752,'Set up'!$A$2:$C$48,2,FALSE)</f>
        <v>C00000019</v>
      </c>
      <c r="F752" s="1" t="s">
        <v>401</v>
      </c>
      <c r="G752" s="11" t="s">
        <v>567</v>
      </c>
      <c r="H752" s="5">
        <v>2</v>
      </c>
      <c r="I752" s="5" t="str">
        <f>VLOOKUP(F752,'Set up'!$A$2:$C$48,3,FALSE)</f>
        <v>Cash</v>
      </c>
      <c r="J752" s="5">
        <f>VLOOKUP(F752,'Set up'!$A$2:$D$48,4,FALSE)</f>
        <v>0</v>
      </c>
      <c r="K752" s="4">
        <f t="shared" si="134"/>
        <v>44679</v>
      </c>
      <c r="L752" s="5">
        <f t="shared" si="137"/>
        <v>4</v>
      </c>
      <c r="M752" s="5">
        <f t="shared" si="138"/>
        <v>2022</v>
      </c>
      <c r="N752" s="6">
        <v>210</v>
      </c>
      <c r="O752" s="6">
        <f t="shared" si="141"/>
        <v>-210</v>
      </c>
      <c r="P752" s="6">
        <f t="shared" si="133"/>
        <v>0</v>
      </c>
      <c r="Q752" s="7">
        <f t="shared" si="130"/>
        <v>1328574.0500000003</v>
      </c>
      <c r="R752" s="44" t="str">
        <f>VLOOKUP(F752,'Set up'!$A$2:$E$48,5,FALSE)</f>
        <v>Trsf</v>
      </c>
      <c r="S752" s="1" t="s">
        <v>802</v>
      </c>
    </row>
    <row r="753" spans="1:19" hidden="1" x14ac:dyDescent="0.3">
      <c r="A753" s="4">
        <v>44680</v>
      </c>
      <c r="B753" s="5">
        <f t="shared" si="142"/>
        <v>4</v>
      </c>
      <c r="C753" s="5">
        <f t="shared" si="143"/>
        <v>2022</v>
      </c>
      <c r="D753" s="5" t="s">
        <v>729</v>
      </c>
      <c r="E753" s="5" t="str">
        <f>VLOOKUP(F753,'Set up'!$A$2:$C$48,2,FALSE)</f>
        <v>C00000023</v>
      </c>
      <c r="F753" s="1" t="s">
        <v>666</v>
      </c>
      <c r="G753" s="11" t="s">
        <v>728</v>
      </c>
      <c r="H753" s="5">
        <v>1</v>
      </c>
      <c r="I753" s="5" t="str">
        <f>VLOOKUP(F753,'Set up'!$A$2:$C$48,3,FALSE)</f>
        <v>Cash</v>
      </c>
      <c r="J753" s="5">
        <f>VLOOKUP(F753,'Set up'!$A$2:$D$48,4,FALSE)</f>
        <v>0</v>
      </c>
      <c r="K753" s="4">
        <f t="shared" si="134"/>
        <v>44680</v>
      </c>
      <c r="L753" s="5">
        <f t="shared" si="137"/>
        <v>4</v>
      </c>
      <c r="M753" s="5">
        <f t="shared" si="138"/>
        <v>2022</v>
      </c>
      <c r="N753" s="6">
        <v>1350</v>
      </c>
      <c r="O753" s="6">
        <f t="shared" si="141"/>
        <v>-1350</v>
      </c>
      <c r="P753" s="6">
        <f t="shared" si="133"/>
        <v>0</v>
      </c>
      <c r="Q753" s="7">
        <f t="shared" si="130"/>
        <v>1329924.0500000003</v>
      </c>
      <c r="R753" s="44" t="str">
        <f>VLOOKUP(F753,'Set up'!$A$2:$E$48,5,FALSE)</f>
        <v>Trsf</v>
      </c>
      <c r="S753" s="1" t="s">
        <v>807</v>
      </c>
    </row>
    <row r="754" spans="1:19" x14ac:dyDescent="0.3">
      <c r="A754" s="4">
        <v>44681</v>
      </c>
      <c r="B754" s="5">
        <f t="shared" si="142"/>
        <v>4</v>
      </c>
      <c r="C754" s="5">
        <f t="shared" si="143"/>
        <v>2022</v>
      </c>
      <c r="D754" s="5" t="s">
        <v>730</v>
      </c>
      <c r="E754" s="5" t="str">
        <f>VLOOKUP(F754,'Set up'!$A$2:$C$48,2,FALSE)</f>
        <v>C00000020</v>
      </c>
      <c r="F754" s="1" t="s">
        <v>410</v>
      </c>
      <c r="G754" s="11" t="s">
        <v>720</v>
      </c>
      <c r="H754" s="5">
        <v>4</v>
      </c>
      <c r="I754" s="5" t="str">
        <f>VLOOKUP(F754,'Set up'!$A$2:$C$48,3,FALSE)</f>
        <v>Cash</v>
      </c>
      <c r="J754" s="5">
        <f>VLOOKUP(F754,'Set up'!$A$2:$D$48,4,FALSE)</f>
        <v>0</v>
      </c>
      <c r="K754" s="4">
        <f t="shared" si="134"/>
        <v>44681</v>
      </c>
      <c r="L754" s="5">
        <f t="shared" si="137"/>
        <v>4</v>
      </c>
      <c r="M754" s="5">
        <f t="shared" si="138"/>
        <v>2022</v>
      </c>
      <c r="N754" s="6">
        <v>8360</v>
      </c>
      <c r="O754" s="6">
        <f t="shared" si="141"/>
        <v>-8360</v>
      </c>
      <c r="P754" s="6">
        <f t="shared" si="133"/>
        <v>0</v>
      </c>
      <c r="Q754" s="7">
        <f t="shared" si="130"/>
        <v>1338284.0500000003</v>
      </c>
      <c r="R754" s="44" t="str">
        <f>VLOOKUP(F754,'Set up'!$A$2:$E$48,5,FALSE)</f>
        <v>Trsf</v>
      </c>
      <c r="S754" s="1" t="s">
        <v>1036</v>
      </c>
    </row>
    <row r="755" spans="1:19" x14ac:dyDescent="0.3">
      <c r="A755" s="4">
        <v>44681</v>
      </c>
      <c r="B755" s="5">
        <f t="shared" si="142"/>
        <v>4</v>
      </c>
      <c r="C755" s="5">
        <f t="shared" si="143"/>
        <v>2022</v>
      </c>
      <c r="D755" s="5" t="s">
        <v>730</v>
      </c>
      <c r="E755" s="5" t="str">
        <f>VLOOKUP(F755,'Set up'!$A$2:$C$48,2,FALSE)</f>
        <v>C00000020</v>
      </c>
      <c r="F755" s="1" t="s">
        <v>410</v>
      </c>
      <c r="G755" s="11" t="s">
        <v>655</v>
      </c>
      <c r="H755" s="5">
        <v>12</v>
      </c>
      <c r="I755" s="5" t="str">
        <f>VLOOKUP(F755,'Set up'!$A$2:$C$48,3,FALSE)</f>
        <v>Cash</v>
      </c>
      <c r="J755" s="5">
        <f>VLOOKUP(F755,'Set up'!$A$2:$D$48,4,FALSE)</f>
        <v>0</v>
      </c>
      <c r="K755" s="4">
        <f t="shared" si="134"/>
        <v>44681</v>
      </c>
      <c r="L755" s="5">
        <f t="shared" si="137"/>
        <v>4</v>
      </c>
      <c r="M755" s="5">
        <f t="shared" si="138"/>
        <v>2022</v>
      </c>
      <c r="N755" s="6">
        <v>3528</v>
      </c>
      <c r="O755" s="6">
        <f>-3285.3-242.7</f>
        <v>-3528</v>
      </c>
      <c r="P755" s="6">
        <f t="shared" si="133"/>
        <v>0</v>
      </c>
      <c r="Q755" s="7">
        <f t="shared" si="130"/>
        <v>1341812.0500000003</v>
      </c>
      <c r="R755" s="44" t="str">
        <f>VLOOKUP(F755,'Set up'!$A$2:$E$48,5,FALSE)</f>
        <v>Trsf</v>
      </c>
      <c r="S755" s="1" t="s">
        <v>1044</v>
      </c>
    </row>
    <row r="756" spans="1:19" x14ac:dyDescent="0.3">
      <c r="A756" s="4">
        <v>44681</v>
      </c>
      <c r="B756" s="5">
        <f t="shared" si="142"/>
        <v>4</v>
      </c>
      <c r="C756" s="5">
        <f t="shared" si="143"/>
        <v>2022</v>
      </c>
      <c r="D756" s="5" t="s">
        <v>730</v>
      </c>
      <c r="E756" s="5" t="str">
        <f>VLOOKUP(F756,'Set up'!$A$2:$C$48,2,FALSE)</f>
        <v>C00000020</v>
      </c>
      <c r="F756" s="1" t="s">
        <v>410</v>
      </c>
      <c r="G756" s="11" t="s">
        <v>415</v>
      </c>
      <c r="H756" s="5">
        <v>6</v>
      </c>
      <c r="I756" s="5" t="str">
        <f>VLOOKUP(F756,'Set up'!$A$2:$C$48,3,FALSE)</f>
        <v>Cash</v>
      </c>
      <c r="J756" s="5">
        <f>VLOOKUP(F756,'Set up'!$A$2:$D$48,4,FALSE)</f>
        <v>0</v>
      </c>
      <c r="K756" s="4">
        <f t="shared" si="134"/>
        <v>44681</v>
      </c>
      <c r="L756" s="5">
        <f t="shared" si="137"/>
        <v>4</v>
      </c>
      <c r="M756" s="5">
        <f t="shared" si="138"/>
        <v>2022</v>
      </c>
      <c r="N756" s="6">
        <v>2106</v>
      </c>
      <c r="O756" s="6">
        <f t="shared" ref="O756:O763" si="144">-N756</f>
        <v>-2106</v>
      </c>
      <c r="P756" s="6">
        <f t="shared" si="133"/>
        <v>0</v>
      </c>
      <c r="Q756" s="7">
        <f t="shared" si="130"/>
        <v>1343918.0500000003</v>
      </c>
      <c r="R756" s="44" t="str">
        <f>VLOOKUP(F756,'Set up'!$A$2:$E$48,5,FALSE)</f>
        <v>Trsf</v>
      </c>
      <c r="S756" s="1" t="s">
        <v>1037</v>
      </c>
    </row>
    <row r="757" spans="1:19" x14ac:dyDescent="0.3">
      <c r="A757" s="4">
        <v>44681</v>
      </c>
      <c r="B757" s="5">
        <f t="shared" si="142"/>
        <v>4</v>
      </c>
      <c r="C757" s="5">
        <f t="shared" si="143"/>
        <v>2022</v>
      </c>
      <c r="D757" s="5" t="s">
        <v>730</v>
      </c>
      <c r="E757" s="5" t="str">
        <f>VLOOKUP(F757,'Set up'!$A$2:$C$48,2,FALSE)</f>
        <v>C00000020</v>
      </c>
      <c r="F757" s="1" t="s">
        <v>410</v>
      </c>
      <c r="G757" s="11" t="s">
        <v>64</v>
      </c>
      <c r="H757" s="5">
        <v>4</v>
      </c>
      <c r="I757" s="5" t="str">
        <f>VLOOKUP(F757,'Set up'!$A$2:$C$48,3,FALSE)</f>
        <v>Cash</v>
      </c>
      <c r="J757" s="5">
        <f>VLOOKUP(F757,'Set up'!$A$2:$D$48,4,FALSE)</f>
        <v>0</v>
      </c>
      <c r="K757" s="4">
        <f t="shared" si="134"/>
        <v>44681</v>
      </c>
      <c r="L757" s="5">
        <f t="shared" si="137"/>
        <v>4</v>
      </c>
      <c r="M757" s="5">
        <f t="shared" si="138"/>
        <v>2022</v>
      </c>
      <c r="N757" s="6">
        <v>250</v>
      </c>
      <c r="O757" s="6">
        <f t="shared" si="144"/>
        <v>-250</v>
      </c>
      <c r="P757" s="6">
        <f t="shared" si="133"/>
        <v>0</v>
      </c>
      <c r="Q757" s="7">
        <f t="shared" si="130"/>
        <v>1344168.0500000003</v>
      </c>
      <c r="R757" s="44" t="str">
        <f>VLOOKUP(F757,'Set up'!$A$2:$E$48,5,FALSE)</f>
        <v>Trsf</v>
      </c>
      <c r="S757" s="1" t="s">
        <v>1036</v>
      </c>
    </row>
    <row r="758" spans="1:19" x14ac:dyDescent="0.3">
      <c r="A758" s="4">
        <v>44681</v>
      </c>
      <c r="B758" s="5">
        <f t="shared" si="142"/>
        <v>4</v>
      </c>
      <c r="C758" s="5">
        <f t="shared" si="143"/>
        <v>2022</v>
      </c>
      <c r="D758" s="5" t="s">
        <v>730</v>
      </c>
      <c r="E758" s="5" t="str">
        <f>VLOOKUP(F758,'Set up'!$A$2:$C$48,2,FALSE)</f>
        <v>C00000020</v>
      </c>
      <c r="F758" s="1" t="s">
        <v>410</v>
      </c>
      <c r="G758" s="11" t="s">
        <v>660</v>
      </c>
      <c r="H758" s="5">
        <v>1</v>
      </c>
      <c r="I758" s="5" t="str">
        <f>VLOOKUP(F758,'Set up'!$A$2:$C$48,3,FALSE)</f>
        <v>Cash</v>
      </c>
      <c r="J758" s="5">
        <f>VLOOKUP(F758,'Set up'!$A$2:$D$48,4,FALSE)</f>
        <v>0</v>
      </c>
      <c r="K758" s="4">
        <f t="shared" si="134"/>
        <v>44681</v>
      </c>
      <c r="L758" s="5">
        <f t="shared" si="137"/>
        <v>4</v>
      </c>
      <c r="M758" s="5">
        <f t="shared" si="138"/>
        <v>2022</v>
      </c>
      <c r="N758" s="6">
        <v>1000</v>
      </c>
      <c r="O758" s="6">
        <f t="shared" si="144"/>
        <v>-1000</v>
      </c>
      <c r="P758" s="6">
        <f t="shared" si="133"/>
        <v>0</v>
      </c>
      <c r="Q758" s="7">
        <f t="shared" si="130"/>
        <v>1345168.0500000003</v>
      </c>
      <c r="R758" s="44" t="str">
        <f>VLOOKUP(F758,'Set up'!$A$2:$E$48,5,FALSE)</f>
        <v>Trsf</v>
      </c>
      <c r="S758" s="1" t="s">
        <v>1036</v>
      </c>
    </row>
    <row r="759" spans="1:19" x14ac:dyDescent="0.3">
      <c r="A759" s="4">
        <v>44687</v>
      </c>
      <c r="B759" s="5">
        <f t="shared" si="142"/>
        <v>5</v>
      </c>
      <c r="C759" s="5">
        <f t="shared" si="143"/>
        <v>2022</v>
      </c>
      <c r="D759" s="5" t="s">
        <v>763</v>
      </c>
      <c r="E759" s="5" t="str">
        <f>VLOOKUP(F759,'Set up'!$A$2:$C$48,2,FALSE)</f>
        <v>C00000020</v>
      </c>
      <c r="F759" s="1" t="s">
        <v>410</v>
      </c>
      <c r="G759" s="95" t="s">
        <v>720</v>
      </c>
      <c r="H759" s="5">
        <v>4</v>
      </c>
      <c r="I759" s="5" t="str">
        <f>VLOOKUP(F759,'Set up'!$A$2:$C$48,3,FALSE)</f>
        <v>Cash</v>
      </c>
      <c r="J759" s="5">
        <f>VLOOKUP(F759,'Set up'!$A$2:$D$48,4,FALSE)</f>
        <v>0</v>
      </c>
      <c r="K759" s="4">
        <f t="shared" si="134"/>
        <v>44687</v>
      </c>
      <c r="L759" s="5">
        <f t="shared" si="137"/>
        <v>5</v>
      </c>
      <c r="M759" s="5">
        <f t="shared" si="138"/>
        <v>2022</v>
      </c>
      <c r="N759" s="6">
        <v>8360</v>
      </c>
      <c r="O759" s="6">
        <f t="shared" si="144"/>
        <v>-8360</v>
      </c>
      <c r="P759" s="6">
        <f t="shared" si="133"/>
        <v>0</v>
      </c>
      <c r="Q759" s="7">
        <f t="shared" si="130"/>
        <v>1353528.0500000003</v>
      </c>
      <c r="R759" s="44" t="str">
        <f>VLOOKUP(F759,'Set up'!$A$2:$E$48,5,FALSE)</f>
        <v>Trsf</v>
      </c>
      <c r="S759" s="1" t="s">
        <v>1036</v>
      </c>
    </row>
    <row r="760" spans="1:19" x14ac:dyDescent="0.3">
      <c r="A760" s="4">
        <v>44687</v>
      </c>
      <c r="B760" s="5">
        <f t="shared" si="142"/>
        <v>5</v>
      </c>
      <c r="C760" s="5">
        <f t="shared" si="143"/>
        <v>2022</v>
      </c>
      <c r="D760" s="5" t="s">
        <v>763</v>
      </c>
      <c r="E760" s="5" t="str">
        <f>VLOOKUP(F760,'Set up'!$A$2:$C$48,2,FALSE)</f>
        <v>C00000020</v>
      </c>
      <c r="F760" s="1" t="s">
        <v>410</v>
      </c>
      <c r="G760" s="90" t="s">
        <v>655</v>
      </c>
      <c r="H760" s="5">
        <v>4</v>
      </c>
      <c r="I760" s="5" t="str">
        <f>VLOOKUP(F760,'Set up'!$A$2:$C$48,3,FALSE)</f>
        <v>Cash</v>
      </c>
      <c r="J760" s="5">
        <f>VLOOKUP(F760,'Set up'!$A$2:$D$48,4,FALSE)</f>
        <v>0</v>
      </c>
      <c r="K760" s="4">
        <f t="shared" si="134"/>
        <v>44687</v>
      </c>
      <c r="L760" s="5">
        <f t="shared" si="137"/>
        <v>5</v>
      </c>
      <c r="M760" s="5">
        <f t="shared" si="138"/>
        <v>2022</v>
      </c>
      <c r="N760" s="6">
        <v>1176</v>
      </c>
      <c r="O760" s="6">
        <f t="shared" si="144"/>
        <v>-1176</v>
      </c>
      <c r="P760" s="6">
        <f t="shared" si="133"/>
        <v>0</v>
      </c>
      <c r="Q760" s="7">
        <f t="shared" si="130"/>
        <v>1354704.0500000003</v>
      </c>
      <c r="R760" s="44" t="str">
        <f>VLOOKUP(F760,'Set up'!$A$2:$E$48,5,FALSE)</f>
        <v>Trsf</v>
      </c>
      <c r="S760" s="1" t="s">
        <v>1036</v>
      </c>
    </row>
    <row r="761" spans="1:19" x14ac:dyDescent="0.3">
      <c r="A761" s="4">
        <v>44687</v>
      </c>
      <c r="B761" s="5">
        <f t="shared" si="142"/>
        <v>5</v>
      </c>
      <c r="C761" s="5">
        <f t="shared" si="143"/>
        <v>2022</v>
      </c>
      <c r="D761" s="5" t="s">
        <v>763</v>
      </c>
      <c r="E761" s="5" t="str">
        <f>VLOOKUP(F761,'Set up'!$A$2:$C$48,2,FALSE)</f>
        <v>C00000020</v>
      </c>
      <c r="F761" s="1" t="s">
        <v>410</v>
      </c>
      <c r="G761" s="90" t="s">
        <v>415</v>
      </c>
      <c r="H761" s="5">
        <v>4</v>
      </c>
      <c r="I761" s="5" t="str">
        <f>VLOOKUP(F761,'Set up'!$A$2:$C$48,3,FALSE)</f>
        <v>Cash</v>
      </c>
      <c r="J761" s="5">
        <f>VLOOKUP(F761,'Set up'!$A$2:$D$48,4,FALSE)</f>
        <v>0</v>
      </c>
      <c r="K761" s="4">
        <f t="shared" si="134"/>
        <v>44687</v>
      </c>
      <c r="L761" s="5">
        <f t="shared" si="137"/>
        <v>5</v>
      </c>
      <c r="M761" s="5">
        <f t="shared" si="138"/>
        <v>2022</v>
      </c>
      <c r="N761" s="6">
        <v>1404</v>
      </c>
      <c r="O761" s="6">
        <f t="shared" si="144"/>
        <v>-1404</v>
      </c>
      <c r="P761" s="6">
        <f t="shared" si="133"/>
        <v>0</v>
      </c>
      <c r="Q761" s="7">
        <f t="shared" si="130"/>
        <v>1356108.0500000003</v>
      </c>
      <c r="R761" s="44" t="str">
        <f>VLOOKUP(F761,'Set up'!$A$2:$E$48,5,FALSE)</f>
        <v>Trsf</v>
      </c>
      <c r="S761" s="1" t="s">
        <v>1036</v>
      </c>
    </row>
    <row r="762" spans="1:19" x14ac:dyDescent="0.3">
      <c r="A762" s="4">
        <v>44687</v>
      </c>
      <c r="B762" s="5">
        <f t="shared" si="142"/>
        <v>5</v>
      </c>
      <c r="C762" s="5">
        <f t="shared" si="143"/>
        <v>2022</v>
      </c>
      <c r="D762" s="5" t="s">
        <v>763</v>
      </c>
      <c r="E762" s="5" t="str">
        <f>VLOOKUP(F762,'Set up'!$A$2:$C$48,2,FALSE)</f>
        <v>C00000020</v>
      </c>
      <c r="F762" s="1" t="s">
        <v>410</v>
      </c>
      <c r="G762" s="90" t="s">
        <v>64</v>
      </c>
      <c r="H762" s="5">
        <v>4</v>
      </c>
      <c r="I762" s="5" t="str">
        <f>VLOOKUP(F762,'Set up'!$A$2:$C$48,3,FALSE)</f>
        <v>Cash</v>
      </c>
      <c r="J762" s="5">
        <f>VLOOKUP(F762,'Set up'!$A$2:$D$48,4,FALSE)</f>
        <v>0</v>
      </c>
      <c r="K762" s="4">
        <f t="shared" si="134"/>
        <v>44687</v>
      </c>
      <c r="L762" s="5">
        <f t="shared" si="137"/>
        <v>5</v>
      </c>
      <c r="M762" s="5">
        <f t="shared" si="138"/>
        <v>2022</v>
      </c>
      <c r="N762" s="6">
        <v>250</v>
      </c>
      <c r="O762" s="6">
        <f t="shared" si="144"/>
        <v>-250</v>
      </c>
      <c r="P762" s="6">
        <f t="shared" si="133"/>
        <v>0</v>
      </c>
      <c r="Q762" s="7">
        <f t="shared" si="130"/>
        <v>1356358.0500000003</v>
      </c>
      <c r="R762" s="44" t="str">
        <f>VLOOKUP(F762,'Set up'!$A$2:$E$48,5,FALSE)</f>
        <v>Trsf</v>
      </c>
      <c r="S762" s="1" t="s">
        <v>1036</v>
      </c>
    </row>
    <row r="763" spans="1:19" x14ac:dyDescent="0.3">
      <c r="A763" s="4">
        <v>44687</v>
      </c>
      <c r="B763" s="5">
        <f t="shared" si="142"/>
        <v>5</v>
      </c>
      <c r="C763" s="5">
        <f t="shared" si="143"/>
        <v>2022</v>
      </c>
      <c r="D763" s="5" t="s">
        <v>763</v>
      </c>
      <c r="E763" s="5" t="str">
        <f>VLOOKUP(F763,'Set up'!$A$2:$C$48,2,FALSE)</f>
        <v>C00000020</v>
      </c>
      <c r="F763" s="1" t="s">
        <v>410</v>
      </c>
      <c r="G763" s="90" t="s">
        <v>667</v>
      </c>
      <c r="H763" s="5">
        <v>4</v>
      </c>
      <c r="I763" s="5" t="str">
        <f>VLOOKUP(F763,'Set up'!$A$2:$C$48,3,FALSE)</f>
        <v>Cash</v>
      </c>
      <c r="J763" s="5">
        <f>VLOOKUP(F763,'Set up'!$A$2:$D$48,4,FALSE)</f>
        <v>0</v>
      </c>
      <c r="K763" s="4">
        <f t="shared" si="134"/>
        <v>44687</v>
      </c>
      <c r="L763" s="5">
        <f t="shared" si="137"/>
        <v>5</v>
      </c>
      <c r="M763" s="5">
        <f t="shared" si="138"/>
        <v>2022</v>
      </c>
      <c r="N763" s="6">
        <v>340</v>
      </c>
      <c r="O763" s="6">
        <f t="shared" si="144"/>
        <v>-340</v>
      </c>
      <c r="P763" s="6">
        <f t="shared" si="133"/>
        <v>0</v>
      </c>
      <c r="Q763" s="7">
        <f t="shared" si="130"/>
        <v>1356698.0500000003</v>
      </c>
      <c r="R763" s="44" t="str">
        <f>VLOOKUP(F763,'Set up'!$A$2:$E$48,5,FALSE)</f>
        <v>Trsf</v>
      </c>
      <c r="S763" s="1" t="s">
        <v>1036</v>
      </c>
    </row>
    <row r="764" spans="1:19" hidden="1" x14ac:dyDescent="0.3">
      <c r="A764" s="4">
        <v>44687</v>
      </c>
      <c r="B764" s="5">
        <f t="shared" si="142"/>
        <v>5</v>
      </c>
      <c r="C764" s="5">
        <f t="shared" si="143"/>
        <v>2022</v>
      </c>
      <c r="D764" s="5" t="s">
        <v>764</v>
      </c>
      <c r="E764" s="5" t="str">
        <f>VLOOKUP(F764,'Set up'!$A$2:$C$48,2,FALSE)</f>
        <v>C00000023</v>
      </c>
      <c r="F764" s="1" t="s">
        <v>666</v>
      </c>
      <c r="G764" s="11" t="s">
        <v>728</v>
      </c>
      <c r="H764" s="5">
        <v>1</v>
      </c>
      <c r="I764" s="5" t="str">
        <f>VLOOKUP(F764,'Set up'!$A$2:$C$48,3,FALSE)</f>
        <v>Cash</v>
      </c>
      <c r="J764" s="5">
        <f>VLOOKUP(F764,'Set up'!$A$2:$D$48,4,FALSE)</f>
        <v>0</v>
      </c>
      <c r="K764" s="4">
        <f t="shared" si="134"/>
        <v>44687</v>
      </c>
      <c r="L764" s="5">
        <f t="shared" si="137"/>
        <v>5</v>
      </c>
      <c r="M764" s="5">
        <f t="shared" si="138"/>
        <v>2022</v>
      </c>
      <c r="N764" s="6">
        <v>1350</v>
      </c>
      <c r="O764" s="6">
        <f>-N764</f>
        <v>-1350</v>
      </c>
      <c r="P764" s="6">
        <f t="shared" si="133"/>
        <v>0</v>
      </c>
      <c r="Q764" s="7">
        <f t="shared" si="130"/>
        <v>1358048.0500000003</v>
      </c>
      <c r="R764" s="44" t="str">
        <f>VLOOKUP(F764,'Set up'!$A$2:$E$48,5,FALSE)</f>
        <v>Trsf</v>
      </c>
      <c r="S764" s="1" t="s">
        <v>812</v>
      </c>
    </row>
    <row r="765" spans="1:19" x14ac:dyDescent="0.3">
      <c r="A765" s="4">
        <v>44688</v>
      </c>
      <c r="B765" s="5">
        <f t="shared" si="142"/>
        <v>5</v>
      </c>
      <c r="C765" s="5">
        <f t="shared" si="143"/>
        <v>2022</v>
      </c>
      <c r="D765" s="5" t="s">
        <v>765</v>
      </c>
      <c r="E765" s="5" t="str">
        <f>VLOOKUP(F765,'Set up'!$A$2:$C$48,2,FALSE)</f>
        <v>C00000020</v>
      </c>
      <c r="F765" s="1" t="s">
        <v>410</v>
      </c>
      <c r="G765" s="11" t="s">
        <v>720</v>
      </c>
      <c r="H765" s="5">
        <v>4</v>
      </c>
      <c r="I765" s="5" t="str">
        <f>VLOOKUP(F765,'Set up'!$A$2:$C$48,3,FALSE)</f>
        <v>Cash</v>
      </c>
      <c r="J765" s="5">
        <f>VLOOKUP(F765,'Set up'!$A$2:$D$48,4,FALSE)</f>
        <v>0</v>
      </c>
      <c r="K765" s="4">
        <f t="shared" si="134"/>
        <v>44688</v>
      </c>
      <c r="L765" s="5">
        <f t="shared" si="137"/>
        <v>5</v>
      </c>
      <c r="M765" s="5">
        <f t="shared" si="138"/>
        <v>2022</v>
      </c>
      <c r="N765" s="6">
        <v>8360</v>
      </c>
      <c r="O765" s="6">
        <f t="shared" ref="O765" si="145">-N765</f>
        <v>-8360</v>
      </c>
      <c r="P765" s="6">
        <f t="shared" si="133"/>
        <v>0</v>
      </c>
      <c r="Q765" s="7">
        <f t="shared" si="130"/>
        <v>1366408.0500000003</v>
      </c>
      <c r="R765" s="44" t="str">
        <f>VLOOKUP(F765,'Set up'!$A$2:$E$48,5,FALSE)</f>
        <v>Trsf</v>
      </c>
      <c r="S765" s="1" t="s">
        <v>1036</v>
      </c>
    </row>
    <row r="766" spans="1:19" x14ac:dyDescent="0.3">
      <c r="A766" s="4">
        <v>44688</v>
      </c>
      <c r="B766" s="5">
        <f t="shared" si="142"/>
        <v>5</v>
      </c>
      <c r="C766" s="5">
        <f t="shared" si="143"/>
        <v>2022</v>
      </c>
      <c r="D766" s="5" t="s">
        <v>765</v>
      </c>
      <c r="E766" s="5" t="str">
        <f>VLOOKUP(F766,'Set up'!$A$2:$C$48,2,FALSE)</f>
        <v>C00000020</v>
      </c>
      <c r="F766" s="1" t="s">
        <v>410</v>
      </c>
      <c r="G766" s="11" t="s">
        <v>655</v>
      </c>
      <c r="H766" s="5">
        <v>20</v>
      </c>
      <c r="I766" s="5" t="str">
        <f>VLOOKUP(F766,'Set up'!$A$2:$C$48,3,FALSE)</f>
        <v>Cash</v>
      </c>
      <c r="J766" s="5">
        <f>VLOOKUP(F766,'Set up'!$A$2:$D$48,4,FALSE)</f>
        <v>0</v>
      </c>
      <c r="K766" s="4">
        <f t="shared" si="134"/>
        <v>44688</v>
      </c>
      <c r="L766" s="5">
        <f t="shared" si="137"/>
        <v>5</v>
      </c>
      <c r="M766" s="5">
        <f t="shared" si="138"/>
        <v>2022</v>
      </c>
      <c r="N766" s="6">
        <v>5880</v>
      </c>
      <c r="O766" s="6">
        <f>-1511.3-3000-1368.7</f>
        <v>-5880</v>
      </c>
      <c r="P766" s="6">
        <f t="shared" si="133"/>
        <v>0</v>
      </c>
      <c r="Q766" s="7">
        <f t="shared" si="130"/>
        <v>1372288.0500000003</v>
      </c>
      <c r="R766" s="44" t="str">
        <f>VLOOKUP(F766,'Set up'!$A$2:$E$48,5,FALSE)</f>
        <v>Trsf</v>
      </c>
      <c r="S766" s="1" t="s">
        <v>1080</v>
      </c>
    </row>
    <row r="767" spans="1:19" x14ac:dyDescent="0.3">
      <c r="A767" s="4">
        <v>44688</v>
      </c>
      <c r="B767" s="5">
        <f t="shared" si="142"/>
        <v>5</v>
      </c>
      <c r="C767" s="5">
        <f t="shared" si="143"/>
        <v>2022</v>
      </c>
      <c r="D767" s="5" t="s">
        <v>765</v>
      </c>
      <c r="E767" s="5" t="str">
        <f>VLOOKUP(F767,'Set up'!$A$2:$C$48,2,FALSE)</f>
        <v>C00000020</v>
      </c>
      <c r="F767" s="1" t="s">
        <v>410</v>
      </c>
      <c r="G767" s="11" t="s">
        <v>415</v>
      </c>
      <c r="H767" s="5">
        <v>5</v>
      </c>
      <c r="I767" s="5" t="str">
        <f>VLOOKUP(F767,'Set up'!$A$2:$C$48,3,FALSE)</f>
        <v>Cash</v>
      </c>
      <c r="J767" s="5">
        <f>VLOOKUP(F767,'Set up'!$A$2:$D$48,4,FALSE)</f>
        <v>0</v>
      </c>
      <c r="K767" s="4">
        <f t="shared" si="134"/>
        <v>44688</v>
      </c>
      <c r="L767" s="5">
        <f t="shared" si="137"/>
        <v>5</v>
      </c>
      <c r="M767" s="5">
        <f t="shared" si="138"/>
        <v>2022</v>
      </c>
      <c r="N767" s="6">
        <v>1755</v>
      </c>
      <c r="O767" s="6">
        <f t="shared" ref="O767:O768" si="146">-N767</f>
        <v>-1755</v>
      </c>
      <c r="P767" s="6">
        <f t="shared" si="133"/>
        <v>0</v>
      </c>
      <c r="Q767" s="7">
        <f t="shared" si="130"/>
        <v>1374043.0500000003</v>
      </c>
      <c r="R767" s="44" t="str">
        <f>VLOOKUP(F767,'Set up'!$A$2:$E$48,5,FALSE)</f>
        <v>Trsf</v>
      </c>
      <c r="S767" s="1" t="s">
        <v>1082</v>
      </c>
    </row>
    <row r="768" spans="1:19" x14ac:dyDescent="0.3">
      <c r="A768" s="4">
        <v>44688</v>
      </c>
      <c r="B768" s="5">
        <f t="shared" si="142"/>
        <v>5</v>
      </c>
      <c r="C768" s="5">
        <f t="shared" si="143"/>
        <v>2022</v>
      </c>
      <c r="D768" s="5" t="s">
        <v>765</v>
      </c>
      <c r="E768" s="5" t="str">
        <f>VLOOKUP(F768,'Set up'!$A$2:$C$48,2,FALSE)</f>
        <v>C00000020</v>
      </c>
      <c r="F768" s="1" t="s">
        <v>410</v>
      </c>
      <c r="G768" s="11" t="s">
        <v>64</v>
      </c>
      <c r="H768" s="5">
        <v>4</v>
      </c>
      <c r="I768" s="5" t="str">
        <f>VLOOKUP(F768,'Set up'!$A$2:$C$48,3,FALSE)</f>
        <v>Cash</v>
      </c>
      <c r="J768" s="5">
        <f>VLOOKUP(F768,'Set up'!$A$2:$D$48,4,FALSE)</f>
        <v>0</v>
      </c>
      <c r="K768" s="4">
        <f t="shared" si="134"/>
        <v>44688</v>
      </c>
      <c r="L768" s="5">
        <f t="shared" si="137"/>
        <v>5</v>
      </c>
      <c r="M768" s="5">
        <f t="shared" si="138"/>
        <v>2022</v>
      </c>
      <c r="N768" s="6">
        <v>250</v>
      </c>
      <c r="O768" s="6">
        <f t="shared" si="146"/>
        <v>-250</v>
      </c>
      <c r="P768" s="6">
        <f t="shared" si="133"/>
        <v>0</v>
      </c>
      <c r="Q768" s="7">
        <f t="shared" si="130"/>
        <v>1374293.0500000003</v>
      </c>
      <c r="R768" s="44" t="str">
        <f>VLOOKUP(F768,'Set up'!$A$2:$E$48,5,FALSE)</f>
        <v>Trsf</v>
      </c>
      <c r="S768" s="1" t="s">
        <v>1081</v>
      </c>
    </row>
    <row r="769" spans="1:19" hidden="1" x14ac:dyDescent="0.3">
      <c r="A769" s="4">
        <v>44691</v>
      </c>
      <c r="B769" s="5">
        <f t="shared" si="142"/>
        <v>5</v>
      </c>
      <c r="C769" s="5">
        <f t="shared" si="143"/>
        <v>2022</v>
      </c>
      <c r="D769" s="5" t="s">
        <v>766</v>
      </c>
      <c r="E769" s="5" t="str">
        <f>VLOOKUP(F769,'Set up'!$A$2:$C$48,2,FALSE)</f>
        <v>C00000009</v>
      </c>
      <c r="F769" s="1" t="s">
        <v>58</v>
      </c>
      <c r="G769" s="11" t="s">
        <v>720</v>
      </c>
      <c r="H769" s="5">
        <v>1</v>
      </c>
      <c r="I769" s="5">
        <f>VLOOKUP(F769,'Set up'!$A$2:$C$48,3,FALSE)</f>
        <v>60</v>
      </c>
      <c r="J769" s="5">
        <f>VLOOKUP(F769,'Set up'!$A$2:$D$48,4,FALSE)</f>
        <v>60</v>
      </c>
      <c r="K769" s="4">
        <f t="shared" si="134"/>
        <v>44751</v>
      </c>
      <c r="L769" s="5">
        <f t="shared" si="137"/>
        <v>7</v>
      </c>
      <c r="M769" s="5">
        <f t="shared" si="138"/>
        <v>2022</v>
      </c>
      <c r="N769" s="6">
        <v>1980</v>
      </c>
      <c r="O769" s="6">
        <f>-N769</f>
        <v>-1980</v>
      </c>
      <c r="P769" s="6">
        <f t="shared" si="133"/>
        <v>0</v>
      </c>
      <c r="Q769" s="7">
        <f t="shared" si="130"/>
        <v>1376273.0500000003</v>
      </c>
      <c r="R769" s="44" t="str">
        <f>VLOOKUP(F769,'Set up'!$A$2:$E$48,5,FALSE)</f>
        <v>Chq</v>
      </c>
      <c r="S769" s="1" t="s">
        <v>985</v>
      </c>
    </row>
    <row r="770" spans="1:19" hidden="1" x14ac:dyDescent="0.3">
      <c r="A770" s="4">
        <v>44691</v>
      </c>
      <c r="B770" s="5">
        <f t="shared" si="142"/>
        <v>5</v>
      </c>
      <c r="C770" s="5">
        <f t="shared" si="143"/>
        <v>2022</v>
      </c>
      <c r="D770" s="5" t="s">
        <v>766</v>
      </c>
      <c r="E770" s="5" t="str">
        <f>VLOOKUP(F770,'Set up'!$A$2:$C$48,2,FALSE)</f>
        <v>C00000009</v>
      </c>
      <c r="F770" s="1" t="s">
        <v>58</v>
      </c>
      <c r="G770" s="11" t="s">
        <v>617</v>
      </c>
      <c r="H770" s="5">
        <v>1</v>
      </c>
      <c r="I770" s="5">
        <f>VLOOKUP(F770,'Set up'!$A$2:$C$48,3,FALSE)</f>
        <v>60</v>
      </c>
      <c r="J770" s="5">
        <f>VLOOKUP(F770,'Set up'!$A$2:$D$48,4,FALSE)</f>
        <v>60</v>
      </c>
      <c r="K770" s="4">
        <f t="shared" si="134"/>
        <v>44751</v>
      </c>
      <c r="L770" s="5">
        <f t="shared" si="137"/>
        <v>7</v>
      </c>
      <c r="M770" s="5">
        <f t="shared" si="138"/>
        <v>2022</v>
      </c>
      <c r="N770" s="6">
        <v>1980</v>
      </c>
      <c r="O770" s="6">
        <f>-N770</f>
        <v>-1980</v>
      </c>
      <c r="P770" s="6">
        <f t="shared" si="133"/>
        <v>0</v>
      </c>
      <c r="Q770" s="7">
        <f t="shared" si="130"/>
        <v>1378253.0500000003</v>
      </c>
      <c r="R770" s="44" t="str">
        <f>VLOOKUP(F770,'Set up'!$A$2:$E$48,5,FALSE)</f>
        <v>Chq</v>
      </c>
      <c r="S770" s="1" t="s">
        <v>985</v>
      </c>
    </row>
    <row r="771" spans="1:19" hidden="1" x14ac:dyDescent="0.3">
      <c r="A771" s="4">
        <v>44691</v>
      </c>
      <c r="B771" s="5">
        <f t="shared" si="142"/>
        <v>5</v>
      </c>
      <c r="C771" s="5">
        <f t="shared" si="143"/>
        <v>2022</v>
      </c>
      <c r="D771" s="5" t="s">
        <v>766</v>
      </c>
      <c r="E771" s="5" t="str">
        <f>VLOOKUP(F771,'Set up'!$A$2:$C$48,2,FALSE)</f>
        <v>C00000009</v>
      </c>
      <c r="F771" s="1" t="s">
        <v>58</v>
      </c>
      <c r="G771" s="11" t="s">
        <v>683</v>
      </c>
      <c r="H771" s="5">
        <v>2</v>
      </c>
      <c r="I771" s="5">
        <f>VLOOKUP(F771,'Set up'!$A$2:$C$48,3,FALSE)</f>
        <v>60</v>
      </c>
      <c r="J771" s="5">
        <f>VLOOKUP(F771,'Set up'!$A$2:$D$48,4,FALSE)</f>
        <v>60</v>
      </c>
      <c r="K771" s="4">
        <f t="shared" si="134"/>
        <v>44751</v>
      </c>
      <c r="L771" s="5">
        <f t="shared" si="137"/>
        <v>7</v>
      </c>
      <c r="M771" s="5">
        <f t="shared" si="138"/>
        <v>2022</v>
      </c>
      <c r="N771" s="6">
        <v>1140</v>
      </c>
      <c r="O771" s="6">
        <f>-N771</f>
        <v>-1140</v>
      </c>
      <c r="P771" s="6">
        <f t="shared" si="133"/>
        <v>0</v>
      </c>
      <c r="Q771" s="7">
        <f t="shared" ref="Q771:Q834" si="147">SUM(Q770+N771)</f>
        <v>1379393.0500000003</v>
      </c>
      <c r="R771" s="44" t="str">
        <f>VLOOKUP(F771,'Set up'!$A$2:$E$48,5,FALSE)</f>
        <v>Chq</v>
      </c>
      <c r="S771" s="1" t="s">
        <v>985</v>
      </c>
    </row>
    <row r="772" spans="1:19" hidden="1" x14ac:dyDescent="0.3">
      <c r="A772" s="4" t="s">
        <v>768</v>
      </c>
      <c r="B772" s="5">
        <f t="shared" si="142"/>
        <v>5</v>
      </c>
      <c r="C772" s="5">
        <f t="shared" si="143"/>
        <v>2022</v>
      </c>
      <c r="D772" s="5" t="s">
        <v>767</v>
      </c>
      <c r="E772" s="5" t="str">
        <f>VLOOKUP(F772,'Set up'!$A$2:$C$48,2,FALSE)</f>
        <v>C00000006</v>
      </c>
      <c r="F772" s="1" t="s">
        <v>43</v>
      </c>
      <c r="G772" s="11" t="s">
        <v>304</v>
      </c>
      <c r="H772" s="5">
        <v>1</v>
      </c>
      <c r="I772" s="5" t="str">
        <f>VLOOKUP(F772,'Set up'!$A$2:$C$48,3,FALSE)</f>
        <v>Cash</v>
      </c>
      <c r="J772" s="5">
        <f>VLOOKUP(F772,'Set up'!$A$2:$D$48,4,FALSE)</f>
        <v>0</v>
      </c>
      <c r="K772" s="4">
        <f t="shared" si="134"/>
        <v>44692</v>
      </c>
      <c r="L772" s="5">
        <f t="shared" si="137"/>
        <v>5</v>
      </c>
      <c r="M772" s="5">
        <f t="shared" si="138"/>
        <v>2022</v>
      </c>
      <c r="N772" s="6">
        <v>2068</v>
      </c>
      <c r="O772" s="6">
        <f t="shared" ref="O772:O774" si="148">SUM(-N772)</f>
        <v>-2068</v>
      </c>
      <c r="P772" s="6">
        <f t="shared" si="133"/>
        <v>0</v>
      </c>
      <c r="Q772" s="7">
        <f t="shared" si="147"/>
        <v>1381461.0500000003</v>
      </c>
      <c r="R772" s="44" t="str">
        <f>VLOOKUP(F772,'Set up'!$A$2:$E$48,5,FALSE)</f>
        <v>Chq</v>
      </c>
      <c r="S772" s="1" t="s">
        <v>881</v>
      </c>
    </row>
    <row r="773" spans="1:19" hidden="1" x14ac:dyDescent="0.3">
      <c r="A773" s="4" t="s">
        <v>768</v>
      </c>
      <c r="B773" s="5">
        <f t="shared" si="142"/>
        <v>5</v>
      </c>
      <c r="C773" s="5">
        <f t="shared" si="143"/>
        <v>2022</v>
      </c>
      <c r="D773" s="5" t="s">
        <v>767</v>
      </c>
      <c r="E773" s="5" t="str">
        <f>VLOOKUP(F773,'Set up'!$A$2:$C$48,2,FALSE)</f>
        <v>C00000006</v>
      </c>
      <c r="F773" s="1" t="s">
        <v>43</v>
      </c>
      <c r="G773" s="11" t="s">
        <v>552</v>
      </c>
      <c r="H773" s="5">
        <v>1</v>
      </c>
      <c r="I773" s="5" t="str">
        <f>VLOOKUP(F773,'Set up'!$A$2:$C$48,3,FALSE)</f>
        <v>Cash</v>
      </c>
      <c r="J773" s="5">
        <f>VLOOKUP(F773,'Set up'!$A$2:$D$48,4,FALSE)</f>
        <v>0</v>
      </c>
      <c r="K773" s="4">
        <f t="shared" si="134"/>
        <v>44692</v>
      </c>
      <c r="L773" s="5">
        <f t="shared" si="137"/>
        <v>5</v>
      </c>
      <c r="M773" s="5">
        <f t="shared" si="138"/>
        <v>2022</v>
      </c>
      <c r="N773" s="6">
        <v>291</v>
      </c>
      <c r="O773" s="6">
        <f t="shared" si="148"/>
        <v>-291</v>
      </c>
      <c r="P773" s="6">
        <f t="shared" si="133"/>
        <v>0</v>
      </c>
      <c r="Q773" s="7">
        <f t="shared" si="147"/>
        <v>1381752.0500000003</v>
      </c>
      <c r="R773" s="44" t="str">
        <f>VLOOKUP(F773,'Set up'!$A$2:$E$48,5,FALSE)</f>
        <v>Chq</v>
      </c>
      <c r="S773" s="1" t="s">
        <v>881</v>
      </c>
    </row>
    <row r="774" spans="1:19" hidden="1" x14ac:dyDescent="0.3">
      <c r="A774" s="4" t="s">
        <v>768</v>
      </c>
      <c r="B774" s="5">
        <f t="shared" si="142"/>
        <v>5</v>
      </c>
      <c r="C774" s="5">
        <f t="shared" si="143"/>
        <v>2022</v>
      </c>
      <c r="D774" s="5" t="s">
        <v>767</v>
      </c>
      <c r="E774" s="5" t="str">
        <f>VLOOKUP(F774,'Set up'!$A$2:$C$48,2,FALSE)</f>
        <v>C00000006</v>
      </c>
      <c r="F774" s="1" t="s">
        <v>43</v>
      </c>
      <c r="G774" s="11" t="s">
        <v>769</v>
      </c>
      <c r="H774" s="5">
        <v>1</v>
      </c>
      <c r="I774" s="5" t="str">
        <f>VLOOKUP(F774,'Set up'!$A$2:$C$48,3,FALSE)</f>
        <v>Cash</v>
      </c>
      <c r="J774" s="5">
        <f>VLOOKUP(F774,'Set up'!$A$2:$D$48,4,FALSE)</f>
        <v>0</v>
      </c>
      <c r="K774" s="4">
        <f t="shared" si="134"/>
        <v>44692</v>
      </c>
      <c r="L774" s="5">
        <f t="shared" si="137"/>
        <v>5</v>
      </c>
      <c r="M774" s="5">
        <f t="shared" si="138"/>
        <v>2022</v>
      </c>
      <c r="N774" s="6">
        <v>175</v>
      </c>
      <c r="O774" s="6">
        <f t="shared" si="148"/>
        <v>-175</v>
      </c>
      <c r="P774" s="6">
        <f t="shared" si="133"/>
        <v>0</v>
      </c>
      <c r="Q774" s="7">
        <f t="shared" si="147"/>
        <v>1381927.0500000003</v>
      </c>
      <c r="R774" s="44" t="str">
        <f>VLOOKUP(F774,'Set up'!$A$2:$E$48,5,FALSE)</f>
        <v>Chq</v>
      </c>
      <c r="S774" s="1" t="s">
        <v>881</v>
      </c>
    </row>
    <row r="775" spans="1:19" hidden="1" x14ac:dyDescent="0.3">
      <c r="A775" s="4">
        <v>44693</v>
      </c>
      <c r="B775" s="5">
        <f t="shared" si="142"/>
        <v>5</v>
      </c>
      <c r="C775" s="5">
        <f t="shared" si="143"/>
        <v>2022</v>
      </c>
      <c r="D775" s="5" t="s">
        <v>770</v>
      </c>
      <c r="E775" s="5" t="str">
        <f>VLOOKUP(F775,'Set up'!$A$2:$C$48,2,FALSE)</f>
        <v>C00000022</v>
      </c>
      <c r="F775" s="1" t="s">
        <v>638</v>
      </c>
      <c r="G775" s="11" t="s">
        <v>95</v>
      </c>
      <c r="H775" s="5">
        <v>1</v>
      </c>
      <c r="I775" s="5" t="str">
        <f>VLOOKUP(F775,'Set up'!$A$2:$C$48,3,FALSE)</f>
        <v>Cash</v>
      </c>
      <c r="J775" s="5">
        <f>VLOOKUP(F775,'Set up'!$A$2:$D$48,4,FALSE)</f>
        <v>0</v>
      </c>
      <c r="K775" s="4">
        <f t="shared" si="134"/>
        <v>44693</v>
      </c>
      <c r="L775" s="5">
        <f t="shared" si="137"/>
        <v>5</v>
      </c>
      <c r="M775" s="5">
        <f t="shared" si="138"/>
        <v>2022</v>
      </c>
      <c r="N775" s="6">
        <v>2112</v>
      </c>
      <c r="O775" s="6">
        <f t="shared" ref="O775" si="149">-N775</f>
        <v>-2112</v>
      </c>
      <c r="P775" s="6">
        <f t="shared" si="133"/>
        <v>0</v>
      </c>
      <c r="Q775" s="7">
        <f t="shared" si="147"/>
        <v>1384039.0500000003</v>
      </c>
      <c r="R775" s="44" t="str">
        <f>VLOOKUP(F775,'Set up'!$A$2:$E$48,5,FALSE)</f>
        <v>Trsf</v>
      </c>
      <c r="S775" s="1" t="s">
        <v>890</v>
      </c>
    </row>
    <row r="776" spans="1:19" hidden="1" x14ac:dyDescent="0.3">
      <c r="A776" s="4">
        <v>44693</v>
      </c>
      <c r="B776" s="5">
        <f t="shared" si="142"/>
        <v>5</v>
      </c>
      <c r="C776" s="5">
        <f t="shared" si="143"/>
        <v>2022</v>
      </c>
      <c r="D776" s="5" t="s">
        <v>770</v>
      </c>
      <c r="E776" s="5" t="str">
        <f>VLOOKUP(F776,'Set up'!$A$2:$C$48,2,FALSE)</f>
        <v>C00000022</v>
      </c>
      <c r="F776" s="1" t="s">
        <v>638</v>
      </c>
      <c r="G776" s="11" t="s">
        <v>704</v>
      </c>
      <c r="H776" s="5">
        <v>2</v>
      </c>
      <c r="I776" s="5" t="str">
        <f>VLOOKUP(F776,'Set up'!$A$2:$C$48,3,FALSE)</f>
        <v>Cash</v>
      </c>
      <c r="J776" s="5">
        <f>VLOOKUP(F776,'Set up'!$A$2:$D$48,4,FALSE)</f>
        <v>0</v>
      </c>
      <c r="K776" s="4">
        <f t="shared" si="134"/>
        <v>44693</v>
      </c>
      <c r="L776" s="5">
        <f t="shared" si="137"/>
        <v>5</v>
      </c>
      <c r="M776" s="5">
        <f t="shared" si="138"/>
        <v>2022</v>
      </c>
      <c r="N776" s="6">
        <v>1058.4000000000001</v>
      </c>
      <c r="O776" s="6">
        <f>-888-170.4</f>
        <v>-1058.4000000000001</v>
      </c>
      <c r="P776" s="6">
        <f t="shared" si="133"/>
        <v>0</v>
      </c>
      <c r="Q776" s="7">
        <f t="shared" si="147"/>
        <v>1385097.4500000002</v>
      </c>
      <c r="R776" s="44" t="str">
        <f>VLOOKUP(F776,'Set up'!$A$2:$E$48,5,FALSE)</f>
        <v>Trsf</v>
      </c>
      <c r="S776" s="1" t="s">
        <v>979</v>
      </c>
    </row>
    <row r="777" spans="1:19" hidden="1" x14ac:dyDescent="0.3">
      <c r="A777" s="4">
        <v>44693</v>
      </c>
      <c r="B777" s="5">
        <f t="shared" si="142"/>
        <v>5</v>
      </c>
      <c r="C777" s="5">
        <f t="shared" si="143"/>
        <v>2022</v>
      </c>
      <c r="D777" s="5" t="s">
        <v>770</v>
      </c>
      <c r="E777" s="5" t="str">
        <f>VLOOKUP(F777,'Set up'!$A$2:$C$48,2,FALSE)</f>
        <v>C00000022</v>
      </c>
      <c r="F777" s="1" t="s">
        <v>638</v>
      </c>
      <c r="G777" s="11" t="s">
        <v>415</v>
      </c>
      <c r="H777" s="5">
        <v>1</v>
      </c>
      <c r="I777" s="5" t="str">
        <f>VLOOKUP(F777,'Set up'!$A$2:$C$48,3,FALSE)</f>
        <v>Cash</v>
      </c>
      <c r="J777" s="5">
        <f>VLOOKUP(F777,'Set up'!$A$2:$D$48,4,FALSE)</f>
        <v>0</v>
      </c>
      <c r="K777" s="4">
        <f t="shared" si="134"/>
        <v>44693</v>
      </c>
      <c r="L777" s="5">
        <f t="shared" si="137"/>
        <v>5</v>
      </c>
      <c r="M777" s="5">
        <f t="shared" si="138"/>
        <v>2022</v>
      </c>
      <c r="N777" s="6">
        <v>337.5</v>
      </c>
      <c r="O777" s="6">
        <f t="shared" ref="O777:O780" si="150">-N777</f>
        <v>-337.5</v>
      </c>
      <c r="P777" s="6">
        <f t="shared" si="133"/>
        <v>0</v>
      </c>
      <c r="Q777" s="7">
        <f t="shared" si="147"/>
        <v>1385434.9500000002</v>
      </c>
      <c r="R777" s="44" t="str">
        <f>VLOOKUP(F777,'Set up'!$A$2:$E$48,5,FALSE)</f>
        <v>Trsf</v>
      </c>
      <c r="S777" s="1" t="s">
        <v>981</v>
      </c>
    </row>
    <row r="778" spans="1:19" hidden="1" x14ac:dyDescent="0.3">
      <c r="A778" s="4">
        <v>44693</v>
      </c>
      <c r="B778" s="5">
        <f t="shared" si="142"/>
        <v>5</v>
      </c>
      <c r="C778" s="5">
        <f t="shared" si="143"/>
        <v>2022</v>
      </c>
      <c r="D778" s="5" t="s">
        <v>770</v>
      </c>
      <c r="E778" s="5" t="str">
        <f>VLOOKUP(F778,'Set up'!$A$2:$C$48,2,FALSE)</f>
        <v>C00000022</v>
      </c>
      <c r="F778" s="1" t="s">
        <v>638</v>
      </c>
      <c r="G778" s="11" t="s">
        <v>771</v>
      </c>
      <c r="H778" s="5">
        <v>1</v>
      </c>
      <c r="I778" s="5" t="str">
        <f>VLOOKUP(F778,'Set up'!$A$2:$C$48,3,FALSE)</f>
        <v>Cash</v>
      </c>
      <c r="J778" s="5">
        <f>VLOOKUP(F778,'Set up'!$A$2:$D$48,4,FALSE)</f>
        <v>0</v>
      </c>
      <c r="K778" s="4">
        <f t="shared" si="134"/>
        <v>44693</v>
      </c>
      <c r="L778" s="5">
        <f t="shared" si="137"/>
        <v>5</v>
      </c>
      <c r="M778" s="5">
        <f t="shared" si="138"/>
        <v>2022</v>
      </c>
      <c r="N778" s="6">
        <v>450</v>
      </c>
      <c r="O778" s="6">
        <f t="shared" si="150"/>
        <v>-450</v>
      </c>
      <c r="P778" s="6">
        <f t="shared" si="133"/>
        <v>0</v>
      </c>
      <c r="Q778" s="7">
        <f t="shared" si="147"/>
        <v>1385884.9500000002</v>
      </c>
      <c r="R778" s="44" t="str">
        <f>VLOOKUP(F778,'Set up'!$A$2:$E$48,5,FALSE)</f>
        <v>Trsf</v>
      </c>
      <c r="S778" s="1" t="s">
        <v>980</v>
      </c>
    </row>
    <row r="779" spans="1:19" hidden="1" x14ac:dyDescent="0.3">
      <c r="A779" s="4">
        <v>44693</v>
      </c>
      <c r="B779" s="5">
        <f t="shared" si="142"/>
        <v>5</v>
      </c>
      <c r="C779" s="5">
        <f t="shared" si="143"/>
        <v>2022</v>
      </c>
      <c r="D779" s="5" t="s">
        <v>770</v>
      </c>
      <c r="E779" s="5" t="str">
        <f>VLOOKUP(F779,'Set up'!$A$2:$C$48,2,FALSE)</f>
        <v>C00000022</v>
      </c>
      <c r="F779" s="1" t="s">
        <v>638</v>
      </c>
      <c r="G779" s="11" t="s">
        <v>772</v>
      </c>
      <c r="H779" s="5">
        <v>1</v>
      </c>
      <c r="I779" s="5" t="str">
        <f>VLOOKUP(F779,'Set up'!$A$2:$C$48,3,FALSE)</f>
        <v>Cash</v>
      </c>
      <c r="J779" s="5">
        <f>VLOOKUP(F779,'Set up'!$A$2:$D$48,4,FALSE)</f>
        <v>0</v>
      </c>
      <c r="K779" s="4">
        <f t="shared" si="134"/>
        <v>44693</v>
      </c>
      <c r="L779" s="5">
        <f t="shared" si="137"/>
        <v>5</v>
      </c>
      <c r="M779" s="5">
        <f t="shared" si="138"/>
        <v>2022</v>
      </c>
      <c r="N779" s="6">
        <v>270</v>
      </c>
      <c r="O779" s="6">
        <f t="shared" si="150"/>
        <v>-270</v>
      </c>
      <c r="P779" s="6">
        <f t="shared" si="133"/>
        <v>0</v>
      </c>
      <c r="Q779" s="7">
        <f t="shared" si="147"/>
        <v>1386154.9500000002</v>
      </c>
      <c r="R779" s="44" t="str">
        <f>VLOOKUP(F779,'Set up'!$A$2:$E$48,5,FALSE)</f>
        <v>Trsf</v>
      </c>
      <c r="S779" s="1" t="s">
        <v>980</v>
      </c>
    </row>
    <row r="780" spans="1:19" hidden="1" x14ac:dyDescent="0.3">
      <c r="A780" s="4">
        <v>44693</v>
      </c>
      <c r="B780" s="5">
        <f t="shared" si="142"/>
        <v>5</v>
      </c>
      <c r="C780" s="5">
        <f t="shared" si="143"/>
        <v>2022</v>
      </c>
      <c r="D780" s="5" t="s">
        <v>770</v>
      </c>
      <c r="E780" s="5" t="str">
        <f>VLOOKUP(F780,'Set up'!$A$2:$C$48,2,FALSE)</f>
        <v>C00000022</v>
      </c>
      <c r="F780" s="1" t="s">
        <v>638</v>
      </c>
      <c r="G780" s="11" t="s">
        <v>773</v>
      </c>
      <c r="H780" s="5">
        <v>2</v>
      </c>
      <c r="I780" s="5" t="str">
        <f>VLOOKUP(F780,'Set up'!$A$2:$C$48,3,FALSE)</f>
        <v>Cash</v>
      </c>
      <c r="J780" s="5">
        <f>VLOOKUP(F780,'Set up'!$A$2:$D$48,4,FALSE)</f>
        <v>0</v>
      </c>
      <c r="K780" s="4">
        <f t="shared" si="134"/>
        <v>44693</v>
      </c>
      <c r="L780" s="5">
        <f t="shared" si="137"/>
        <v>5</v>
      </c>
      <c r="M780" s="5">
        <f t="shared" si="138"/>
        <v>2022</v>
      </c>
      <c r="N780" s="6">
        <v>90</v>
      </c>
      <c r="O780" s="6">
        <f t="shared" si="150"/>
        <v>-90</v>
      </c>
      <c r="P780" s="6">
        <f t="shared" si="133"/>
        <v>0</v>
      </c>
      <c r="Q780" s="7">
        <f t="shared" si="147"/>
        <v>1386244.9500000002</v>
      </c>
      <c r="R780" s="44" t="str">
        <f>VLOOKUP(F780,'Set up'!$A$2:$E$48,5,FALSE)</f>
        <v>Trsf</v>
      </c>
      <c r="S780" s="1" t="s">
        <v>980</v>
      </c>
    </row>
    <row r="781" spans="1:19" hidden="1" x14ac:dyDescent="0.3">
      <c r="A781" s="4">
        <v>44693</v>
      </c>
      <c r="B781" s="5">
        <f t="shared" si="142"/>
        <v>5</v>
      </c>
      <c r="C781" s="5">
        <f t="shared" si="143"/>
        <v>2022</v>
      </c>
      <c r="D781" s="5" t="s">
        <v>775</v>
      </c>
      <c r="E781" s="5" t="str">
        <f>VLOOKUP(F781,'Set up'!$A$2:$C$48,2,FALSE)</f>
        <v>C00000024</v>
      </c>
      <c r="F781" s="1" t="s">
        <v>774</v>
      </c>
      <c r="G781" s="11" t="s">
        <v>776</v>
      </c>
      <c r="H781" s="5">
        <v>2</v>
      </c>
      <c r="I781" s="5" t="str">
        <f>VLOOKUP(F781,'Set up'!$A$2:$C$48,3,FALSE)</f>
        <v>Cash</v>
      </c>
      <c r="J781" s="5">
        <f>VLOOKUP(F781,'Set up'!$A$2:$D$48,4,FALSE)</f>
        <v>0</v>
      </c>
      <c r="K781" s="4">
        <f t="shared" si="134"/>
        <v>44693</v>
      </c>
      <c r="L781" s="5">
        <f t="shared" si="137"/>
        <v>5</v>
      </c>
      <c r="M781" s="5">
        <f t="shared" si="138"/>
        <v>2022</v>
      </c>
      <c r="N781" s="6">
        <v>4180</v>
      </c>
      <c r="O781" s="6">
        <f t="shared" ref="O781:O786" si="151">-N781</f>
        <v>-4180</v>
      </c>
      <c r="P781" s="6">
        <f t="shared" si="133"/>
        <v>0</v>
      </c>
      <c r="Q781" s="7">
        <f t="shared" si="147"/>
        <v>1390424.9500000002</v>
      </c>
      <c r="R781" s="44" t="str">
        <f>VLOOKUP(F781,'Set up'!$A$2:$E$48,5,FALSE)</f>
        <v>Trsf</v>
      </c>
      <c r="S781" s="1" t="s">
        <v>811</v>
      </c>
    </row>
    <row r="782" spans="1:19" hidden="1" x14ac:dyDescent="0.3">
      <c r="A782" s="4">
        <v>44693</v>
      </c>
      <c r="B782" s="5">
        <f t="shared" si="142"/>
        <v>5</v>
      </c>
      <c r="C782" s="5">
        <f t="shared" si="143"/>
        <v>2022</v>
      </c>
      <c r="D782" s="5" t="s">
        <v>775</v>
      </c>
      <c r="E782" s="5" t="str">
        <f>VLOOKUP(F782,'Set up'!$A$2:$C$48,2,FALSE)</f>
        <v>C00000024</v>
      </c>
      <c r="F782" s="1" t="s">
        <v>774</v>
      </c>
      <c r="G782" s="11" t="s">
        <v>683</v>
      </c>
      <c r="H782" s="5">
        <v>3</v>
      </c>
      <c r="I782" s="5" t="str">
        <f>VLOOKUP(F782,'Set up'!$A$2:$C$48,3,FALSE)</f>
        <v>Cash</v>
      </c>
      <c r="J782" s="5">
        <f>VLOOKUP(F782,'Set up'!$A$2:$D$48,4,FALSE)</f>
        <v>0</v>
      </c>
      <c r="K782" s="4">
        <f t="shared" si="134"/>
        <v>44693</v>
      </c>
      <c r="L782" s="5">
        <f t="shared" si="137"/>
        <v>5</v>
      </c>
      <c r="M782" s="5">
        <f t="shared" si="138"/>
        <v>2022</v>
      </c>
      <c r="N782" s="6">
        <v>1764</v>
      </c>
      <c r="O782" s="6">
        <f t="shared" si="151"/>
        <v>-1764</v>
      </c>
      <c r="P782" s="6">
        <f t="shared" si="133"/>
        <v>0</v>
      </c>
      <c r="Q782" s="7">
        <f t="shared" si="147"/>
        <v>1392188.9500000002</v>
      </c>
      <c r="R782" s="44" t="str">
        <f>VLOOKUP(F782,'Set up'!$A$2:$E$48,5,FALSE)</f>
        <v>Trsf</v>
      </c>
      <c r="S782" s="1" t="s">
        <v>811</v>
      </c>
    </row>
    <row r="783" spans="1:19" hidden="1" x14ac:dyDescent="0.3">
      <c r="A783" s="4">
        <v>44693</v>
      </c>
      <c r="B783" s="5">
        <f t="shared" si="142"/>
        <v>5</v>
      </c>
      <c r="C783" s="5">
        <f t="shared" si="143"/>
        <v>2022</v>
      </c>
      <c r="D783" s="5" t="s">
        <v>775</v>
      </c>
      <c r="E783" s="5" t="str">
        <f>VLOOKUP(F783,'Set up'!$A$2:$C$48,2,FALSE)</f>
        <v>C00000024</v>
      </c>
      <c r="F783" s="1" t="s">
        <v>774</v>
      </c>
      <c r="G783" s="11" t="s">
        <v>415</v>
      </c>
      <c r="H783" s="5">
        <v>3</v>
      </c>
      <c r="I783" s="5" t="str">
        <f>VLOOKUP(F783,'Set up'!$A$2:$C$48,3,FALSE)</f>
        <v>Cash</v>
      </c>
      <c r="J783" s="5">
        <f>VLOOKUP(F783,'Set up'!$A$2:$D$48,4,FALSE)</f>
        <v>0</v>
      </c>
      <c r="K783" s="4">
        <f t="shared" si="134"/>
        <v>44693</v>
      </c>
      <c r="L783" s="5">
        <f t="shared" si="137"/>
        <v>5</v>
      </c>
      <c r="M783" s="5">
        <f t="shared" si="138"/>
        <v>2022</v>
      </c>
      <c r="N783" s="6">
        <v>1053</v>
      </c>
      <c r="O783" s="6">
        <f t="shared" si="151"/>
        <v>-1053</v>
      </c>
      <c r="P783" s="6">
        <f t="shared" si="133"/>
        <v>0</v>
      </c>
      <c r="Q783" s="7">
        <f t="shared" si="147"/>
        <v>1393241.9500000002</v>
      </c>
      <c r="R783" s="44" t="str">
        <f>VLOOKUP(F783,'Set up'!$A$2:$E$48,5,FALSE)</f>
        <v>Trsf</v>
      </c>
      <c r="S783" s="1" t="s">
        <v>811</v>
      </c>
    </row>
    <row r="784" spans="1:19" hidden="1" x14ac:dyDescent="0.3">
      <c r="A784" s="4">
        <v>44693</v>
      </c>
      <c r="B784" s="5">
        <f t="shared" si="142"/>
        <v>5</v>
      </c>
      <c r="C784" s="5">
        <f t="shared" si="143"/>
        <v>2022</v>
      </c>
      <c r="D784" s="5" t="s">
        <v>775</v>
      </c>
      <c r="E784" s="5" t="str">
        <f>VLOOKUP(F784,'Set up'!$A$2:$C$48,2,FALSE)</f>
        <v>C00000024</v>
      </c>
      <c r="F784" s="1" t="s">
        <v>774</v>
      </c>
      <c r="G784" s="11" t="s">
        <v>64</v>
      </c>
      <c r="H784" s="5">
        <v>3</v>
      </c>
      <c r="I784" s="5" t="str">
        <f>VLOOKUP(F784,'Set up'!$A$2:$C$48,3,FALSE)</f>
        <v>Cash</v>
      </c>
      <c r="J784" s="5">
        <f>VLOOKUP(F784,'Set up'!$A$2:$D$48,4,FALSE)</f>
        <v>0</v>
      </c>
      <c r="K784" s="4">
        <f t="shared" si="134"/>
        <v>44693</v>
      </c>
      <c r="L784" s="5">
        <f t="shared" si="137"/>
        <v>5</v>
      </c>
      <c r="M784" s="5">
        <f t="shared" si="138"/>
        <v>2022</v>
      </c>
      <c r="N784" s="6">
        <v>187.5</v>
      </c>
      <c r="O784" s="6">
        <f t="shared" si="151"/>
        <v>-187.5</v>
      </c>
      <c r="P784" s="6">
        <f t="shared" si="133"/>
        <v>0</v>
      </c>
      <c r="Q784" s="7">
        <f t="shared" si="147"/>
        <v>1393429.4500000002</v>
      </c>
      <c r="R784" s="44" t="str">
        <f>VLOOKUP(F784,'Set up'!$A$2:$E$48,5,FALSE)</f>
        <v>Trsf</v>
      </c>
      <c r="S784" s="1" t="s">
        <v>811</v>
      </c>
    </row>
    <row r="785" spans="1:19" hidden="1" x14ac:dyDescent="0.3">
      <c r="A785" s="4">
        <v>44693</v>
      </c>
      <c r="B785" s="5">
        <f t="shared" si="142"/>
        <v>5</v>
      </c>
      <c r="C785" s="5">
        <f t="shared" si="143"/>
        <v>2022</v>
      </c>
      <c r="D785" s="5" t="s">
        <v>775</v>
      </c>
      <c r="E785" s="5" t="str">
        <f>VLOOKUP(F785,'Set up'!$A$2:$C$48,2,FALSE)</f>
        <v>C00000024</v>
      </c>
      <c r="F785" s="1" t="s">
        <v>774</v>
      </c>
      <c r="G785" s="11" t="s">
        <v>667</v>
      </c>
      <c r="H785" s="5">
        <v>4</v>
      </c>
      <c r="I785" s="5" t="str">
        <f>VLOOKUP(F785,'Set up'!$A$2:$C$48,3,FALSE)</f>
        <v>Cash</v>
      </c>
      <c r="J785" s="5">
        <f>VLOOKUP(F785,'Set up'!$A$2:$D$48,4,FALSE)</f>
        <v>0</v>
      </c>
      <c r="K785" s="4">
        <f t="shared" si="134"/>
        <v>44693</v>
      </c>
      <c r="L785" s="5">
        <f t="shared" si="137"/>
        <v>5</v>
      </c>
      <c r="M785" s="5">
        <f t="shared" si="138"/>
        <v>2022</v>
      </c>
      <c r="N785" s="6">
        <v>340</v>
      </c>
      <c r="O785" s="6">
        <f t="shared" si="151"/>
        <v>-340</v>
      </c>
      <c r="P785" s="6">
        <f t="shared" si="133"/>
        <v>0</v>
      </c>
      <c r="Q785" s="7">
        <f t="shared" si="147"/>
        <v>1393769.4500000002</v>
      </c>
      <c r="R785" s="44" t="str">
        <f>VLOOKUP(F785,'Set up'!$A$2:$E$48,5,FALSE)</f>
        <v>Trsf</v>
      </c>
      <c r="S785" s="1" t="s">
        <v>811</v>
      </c>
    </row>
    <row r="786" spans="1:19" hidden="1" x14ac:dyDescent="0.3">
      <c r="A786" s="4">
        <v>44693</v>
      </c>
      <c r="B786" s="5">
        <f t="shared" si="142"/>
        <v>5</v>
      </c>
      <c r="C786" s="5">
        <f t="shared" si="143"/>
        <v>2022</v>
      </c>
      <c r="D786" s="5" t="s">
        <v>775</v>
      </c>
      <c r="E786" s="5" t="str">
        <f>VLOOKUP(F786,'Set up'!$A$2:$C$48,2,FALSE)</f>
        <v>C00000024</v>
      </c>
      <c r="F786" s="1" t="s">
        <v>774</v>
      </c>
      <c r="G786" s="11" t="s">
        <v>660</v>
      </c>
      <c r="H786" s="5">
        <v>1</v>
      </c>
      <c r="I786" s="5" t="str">
        <f>VLOOKUP(F786,'Set up'!$A$2:$C$48,3,FALSE)</f>
        <v>Cash</v>
      </c>
      <c r="J786" s="5">
        <f>VLOOKUP(F786,'Set up'!$A$2:$D$48,4,FALSE)</f>
        <v>0</v>
      </c>
      <c r="K786" s="4">
        <f t="shared" si="134"/>
        <v>44693</v>
      </c>
      <c r="L786" s="5">
        <f t="shared" si="137"/>
        <v>5</v>
      </c>
      <c r="M786" s="5">
        <f t="shared" si="138"/>
        <v>2022</v>
      </c>
      <c r="N786" s="6">
        <v>1000</v>
      </c>
      <c r="O786" s="6">
        <f t="shared" si="151"/>
        <v>-1000</v>
      </c>
      <c r="P786" s="6">
        <f t="shared" si="133"/>
        <v>0</v>
      </c>
      <c r="Q786" s="7">
        <f t="shared" si="147"/>
        <v>1394769.4500000002</v>
      </c>
      <c r="R786" s="44" t="str">
        <f>VLOOKUP(F786,'Set up'!$A$2:$E$48,5,FALSE)</f>
        <v>Trsf</v>
      </c>
      <c r="S786" s="1" t="s">
        <v>811</v>
      </c>
    </row>
    <row r="787" spans="1:19" hidden="1" x14ac:dyDescent="0.3">
      <c r="A787" s="4">
        <v>44695</v>
      </c>
      <c r="B787" s="5">
        <f t="shared" si="142"/>
        <v>5</v>
      </c>
      <c r="C787" s="5">
        <f t="shared" si="143"/>
        <v>2022</v>
      </c>
      <c r="D787" s="5" t="s">
        <v>777</v>
      </c>
      <c r="E787" s="5" t="str">
        <f>VLOOKUP(F787,'Set up'!$A$2:$C$48,2,FALSE)</f>
        <v>C00000006</v>
      </c>
      <c r="F787" s="1" t="s">
        <v>43</v>
      </c>
      <c r="G787" s="11" t="s">
        <v>616</v>
      </c>
      <c r="H787" s="5">
        <v>2</v>
      </c>
      <c r="I787" s="5" t="str">
        <f>VLOOKUP(F787,'Set up'!$A$2:$C$48,3,FALSE)</f>
        <v>Cash</v>
      </c>
      <c r="J787" s="5">
        <f>VLOOKUP(F787,'Set up'!$A$2:$D$48,4,FALSE)</f>
        <v>0</v>
      </c>
      <c r="K787" s="4">
        <f t="shared" si="134"/>
        <v>44695</v>
      </c>
      <c r="L787" s="5">
        <f t="shared" si="137"/>
        <v>5</v>
      </c>
      <c r="M787" s="5">
        <f t="shared" si="138"/>
        <v>2022</v>
      </c>
      <c r="N787" s="6">
        <v>100</v>
      </c>
      <c r="O787" s="6">
        <f t="shared" ref="O787" si="152">SUM(-N787)</f>
        <v>-100</v>
      </c>
      <c r="P787" s="6">
        <f t="shared" si="133"/>
        <v>0</v>
      </c>
      <c r="Q787" s="7">
        <f t="shared" si="147"/>
        <v>1394869.4500000002</v>
      </c>
      <c r="R787" s="44" t="str">
        <f>VLOOKUP(F787,'Set up'!$A$2:$E$48,5,FALSE)</f>
        <v>Chq</v>
      </c>
      <c r="S787" s="1" t="s">
        <v>881</v>
      </c>
    </row>
    <row r="788" spans="1:19" x14ac:dyDescent="0.3">
      <c r="A788" s="4">
        <v>44695</v>
      </c>
      <c r="B788" s="5">
        <f t="shared" si="142"/>
        <v>5</v>
      </c>
      <c r="C788" s="5">
        <f t="shared" si="143"/>
        <v>2022</v>
      </c>
      <c r="D788" s="5" t="s">
        <v>778</v>
      </c>
      <c r="E788" s="5" t="str">
        <f>VLOOKUP(F788,'Set up'!$A$2:$C$48,2,FALSE)</f>
        <v>C00000020</v>
      </c>
      <c r="F788" s="1" t="s">
        <v>410</v>
      </c>
      <c r="G788" s="11" t="s">
        <v>776</v>
      </c>
      <c r="H788" s="5">
        <v>3</v>
      </c>
      <c r="I788" s="5" t="str">
        <f>VLOOKUP(F788,'Set up'!$A$2:$C$48,3,FALSE)</f>
        <v>Cash</v>
      </c>
      <c r="J788" s="5">
        <f>VLOOKUP(F788,'Set up'!$A$2:$D$48,4,FALSE)</f>
        <v>0</v>
      </c>
      <c r="K788" s="4">
        <f t="shared" si="134"/>
        <v>44695</v>
      </c>
      <c r="L788" s="5">
        <f t="shared" si="137"/>
        <v>5</v>
      </c>
      <c r="M788" s="5">
        <f t="shared" si="138"/>
        <v>2022</v>
      </c>
      <c r="N788" s="6">
        <v>6270</v>
      </c>
      <c r="O788" s="6">
        <f>-2626.3-2500-1000-143.7</f>
        <v>-6270</v>
      </c>
      <c r="P788" s="6">
        <f t="shared" si="133"/>
        <v>0</v>
      </c>
      <c r="Q788" s="7">
        <f t="shared" si="147"/>
        <v>1401139.4500000002</v>
      </c>
      <c r="R788" s="44" t="str">
        <f>VLOOKUP(F788,'Set up'!$A$2:$E$48,5,FALSE)</f>
        <v>Trsf</v>
      </c>
      <c r="S788" s="1" t="s">
        <v>1153</v>
      </c>
    </row>
    <row r="789" spans="1:19" x14ac:dyDescent="0.3">
      <c r="A789" s="4">
        <v>44695</v>
      </c>
      <c r="B789" s="5">
        <f t="shared" si="142"/>
        <v>5</v>
      </c>
      <c r="C789" s="5">
        <f t="shared" si="143"/>
        <v>2022</v>
      </c>
      <c r="D789" s="5" t="s">
        <v>778</v>
      </c>
      <c r="E789" s="5" t="str">
        <f>VLOOKUP(F789,'Set up'!$A$2:$C$48,2,FALSE)</f>
        <v>C00000020</v>
      </c>
      <c r="F789" s="1" t="s">
        <v>410</v>
      </c>
      <c r="G789" s="11" t="s">
        <v>683</v>
      </c>
      <c r="H789" s="5">
        <v>4</v>
      </c>
      <c r="I789" s="5" t="str">
        <f>VLOOKUP(F789,'Set up'!$A$2:$C$48,3,FALSE)</f>
        <v>Cash</v>
      </c>
      <c r="J789" s="5">
        <f>VLOOKUP(F789,'Set up'!$A$2:$D$48,4,FALSE)</f>
        <v>0</v>
      </c>
      <c r="K789" s="4">
        <f t="shared" si="134"/>
        <v>44695</v>
      </c>
      <c r="L789" s="5">
        <f t="shared" si="137"/>
        <v>5</v>
      </c>
      <c r="M789" s="5">
        <f t="shared" si="138"/>
        <v>2022</v>
      </c>
      <c r="N789" s="6">
        <v>2352</v>
      </c>
      <c r="O789" s="6">
        <f t="shared" ref="O789:O791" si="153">-N789</f>
        <v>-2352</v>
      </c>
      <c r="P789" s="6">
        <f t="shared" ref="P789:P852" si="154">SUM(N789+O789)</f>
        <v>0</v>
      </c>
      <c r="Q789" s="7">
        <f t="shared" si="147"/>
        <v>1403491.4500000002</v>
      </c>
      <c r="R789" s="44" t="str">
        <f>VLOOKUP(F789,'Set up'!$A$2:$E$48,5,FALSE)</f>
        <v>Trsf</v>
      </c>
      <c r="S789" s="1" t="s">
        <v>1154</v>
      </c>
    </row>
    <row r="790" spans="1:19" x14ac:dyDescent="0.3">
      <c r="A790" s="4">
        <v>44695</v>
      </c>
      <c r="B790" s="5">
        <f t="shared" si="142"/>
        <v>5</v>
      </c>
      <c r="C790" s="5">
        <f t="shared" si="143"/>
        <v>2022</v>
      </c>
      <c r="D790" s="5" t="s">
        <v>778</v>
      </c>
      <c r="E790" s="5" t="str">
        <f>VLOOKUP(F790,'Set up'!$A$2:$C$48,2,FALSE)</f>
        <v>C00000020</v>
      </c>
      <c r="F790" s="1" t="s">
        <v>410</v>
      </c>
      <c r="G790" s="11" t="s">
        <v>779</v>
      </c>
      <c r="H790" s="5">
        <v>5</v>
      </c>
      <c r="I790" s="5" t="str">
        <f>VLOOKUP(F790,'Set up'!$A$2:$C$48,3,FALSE)</f>
        <v>Cash</v>
      </c>
      <c r="J790" s="5">
        <f>VLOOKUP(F790,'Set up'!$A$2:$D$48,4,FALSE)</f>
        <v>0</v>
      </c>
      <c r="K790" s="4">
        <f t="shared" si="134"/>
        <v>44695</v>
      </c>
      <c r="L790" s="5">
        <f t="shared" si="137"/>
        <v>5</v>
      </c>
      <c r="M790" s="5">
        <f t="shared" si="138"/>
        <v>2022</v>
      </c>
      <c r="N790" s="6">
        <v>1560</v>
      </c>
      <c r="O790" s="6">
        <f t="shared" si="153"/>
        <v>-1560</v>
      </c>
      <c r="P790" s="6">
        <f t="shared" si="154"/>
        <v>0</v>
      </c>
      <c r="Q790" s="7">
        <f t="shared" si="147"/>
        <v>1405051.4500000002</v>
      </c>
      <c r="R790" s="44" t="str">
        <f>VLOOKUP(F790,'Set up'!$A$2:$E$48,5,FALSE)</f>
        <v>Trsf</v>
      </c>
      <c r="S790" s="1" t="s">
        <v>1154</v>
      </c>
    </row>
    <row r="791" spans="1:19" x14ac:dyDescent="0.3">
      <c r="A791" s="4">
        <v>44695</v>
      </c>
      <c r="B791" s="5">
        <f t="shared" si="142"/>
        <v>5</v>
      </c>
      <c r="C791" s="5">
        <f t="shared" si="143"/>
        <v>2022</v>
      </c>
      <c r="D791" s="5" t="s">
        <v>778</v>
      </c>
      <c r="E791" s="5" t="str">
        <f>VLOOKUP(F791,'Set up'!$A$2:$C$48,2,FALSE)</f>
        <v>C00000020</v>
      </c>
      <c r="F791" s="1" t="s">
        <v>410</v>
      </c>
      <c r="G791" s="11" t="s">
        <v>64</v>
      </c>
      <c r="H791" s="5">
        <v>3</v>
      </c>
      <c r="I791" s="5" t="str">
        <f>VLOOKUP(F791,'Set up'!$A$2:$C$48,3,FALSE)</f>
        <v>Cash</v>
      </c>
      <c r="J791" s="5">
        <f>VLOOKUP(F791,'Set up'!$A$2:$D$48,4,FALSE)</f>
        <v>0</v>
      </c>
      <c r="K791" s="4">
        <f t="shared" si="134"/>
        <v>44695</v>
      </c>
      <c r="L791" s="5">
        <f t="shared" si="137"/>
        <v>5</v>
      </c>
      <c r="M791" s="5">
        <f t="shared" si="138"/>
        <v>2022</v>
      </c>
      <c r="N791" s="6">
        <v>187.5</v>
      </c>
      <c r="O791" s="6">
        <f t="shared" si="153"/>
        <v>-187.5</v>
      </c>
      <c r="P791" s="6">
        <f t="shared" si="154"/>
        <v>0</v>
      </c>
      <c r="Q791" s="7">
        <f t="shared" si="147"/>
        <v>1405238.9500000002</v>
      </c>
      <c r="R791" s="44" t="str">
        <f>VLOOKUP(F791,'Set up'!$A$2:$E$48,5,FALSE)</f>
        <v>Trsf</v>
      </c>
      <c r="S791" s="1" t="s">
        <v>1154</v>
      </c>
    </row>
    <row r="792" spans="1:19" ht="109.2" hidden="1" x14ac:dyDescent="0.3">
      <c r="A792" s="4">
        <v>44697</v>
      </c>
      <c r="B792" s="5">
        <f t="shared" si="142"/>
        <v>5</v>
      </c>
      <c r="C792" s="5">
        <f t="shared" si="143"/>
        <v>2022</v>
      </c>
      <c r="D792" s="5" t="s">
        <v>780</v>
      </c>
      <c r="E792" s="5" t="str">
        <f>VLOOKUP(F792,'Set up'!$A$2:$C$48,2,FALSE)</f>
        <v>C00000003</v>
      </c>
      <c r="F792" s="1" t="s">
        <v>20</v>
      </c>
      <c r="G792" s="11" t="s">
        <v>67</v>
      </c>
      <c r="H792" s="5">
        <v>3</v>
      </c>
      <c r="I792" s="5">
        <f>VLOOKUP(F792,'Set up'!$A$2:$C$48,3,FALSE)</f>
        <v>45</v>
      </c>
      <c r="J792" s="5">
        <f>VLOOKUP(F792,'Set up'!$A$2:$D$48,4,FALSE)</f>
        <v>45</v>
      </c>
      <c r="K792" s="4">
        <f t="shared" ref="K792:K855" si="155">A792+J792</f>
        <v>44742</v>
      </c>
      <c r="L792" s="5">
        <f t="shared" si="137"/>
        <v>6</v>
      </c>
      <c r="M792" s="5">
        <f t="shared" si="138"/>
        <v>2022</v>
      </c>
      <c r="N792" s="6">
        <v>6336</v>
      </c>
      <c r="O792" s="6">
        <f>-2000-2000-1336-1000</f>
        <v>-6336</v>
      </c>
      <c r="P792" s="6">
        <f t="shared" si="154"/>
        <v>0</v>
      </c>
      <c r="Q792" s="7">
        <f t="shared" si="147"/>
        <v>1411574.9500000002</v>
      </c>
      <c r="R792" s="44" t="str">
        <f>VLOOKUP(F792,'Set up'!$A$2:$E$48,5,FALSE)</f>
        <v>PD Chq</v>
      </c>
      <c r="S792" s="40" t="s">
        <v>876</v>
      </c>
    </row>
    <row r="793" spans="1:19" ht="46.8" hidden="1" x14ac:dyDescent="0.3">
      <c r="A793" s="4">
        <v>44697</v>
      </c>
      <c r="B793" s="5">
        <f t="shared" si="142"/>
        <v>5</v>
      </c>
      <c r="C793" s="5">
        <f t="shared" si="143"/>
        <v>2022</v>
      </c>
      <c r="D793" s="5" t="s">
        <v>780</v>
      </c>
      <c r="E793" s="5" t="str">
        <f>VLOOKUP(F793,'Set up'!$A$2:$C$48,2,FALSE)</f>
        <v>C00000003</v>
      </c>
      <c r="F793" s="1" t="s">
        <v>20</v>
      </c>
      <c r="G793" s="11" t="s">
        <v>64</v>
      </c>
      <c r="H793" s="5">
        <v>5</v>
      </c>
      <c r="I793" s="5">
        <f>VLOOKUP(F793,'Set up'!$A$2:$C$48,3,FALSE)</f>
        <v>45</v>
      </c>
      <c r="J793" s="5">
        <f>VLOOKUP(F793,'Set up'!$A$2:$D$48,4,FALSE)</f>
        <v>45</v>
      </c>
      <c r="K793" s="4">
        <f t="shared" si="155"/>
        <v>44742</v>
      </c>
      <c r="L793" s="5">
        <f t="shared" si="137"/>
        <v>6</v>
      </c>
      <c r="M793" s="5">
        <f t="shared" si="138"/>
        <v>2022</v>
      </c>
      <c r="N793" s="6">
        <v>325</v>
      </c>
      <c r="O793" s="6">
        <f>-N793</f>
        <v>-325</v>
      </c>
      <c r="P793" s="6">
        <f t="shared" si="154"/>
        <v>0</v>
      </c>
      <c r="Q793" s="7">
        <f t="shared" si="147"/>
        <v>1411899.9500000002</v>
      </c>
      <c r="R793" s="44" t="str">
        <f>VLOOKUP(F793,'Set up'!$A$2:$E$48,5,FALSE)</f>
        <v>PD Chq</v>
      </c>
      <c r="S793" s="40" t="s">
        <v>877</v>
      </c>
    </row>
    <row r="794" spans="1:19" hidden="1" x14ac:dyDescent="0.3">
      <c r="A794" s="4">
        <v>44697</v>
      </c>
      <c r="B794" s="5">
        <f t="shared" si="142"/>
        <v>5</v>
      </c>
      <c r="C794" s="5">
        <f t="shared" si="143"/>
        <v>2022</v>
      </c>
      <c r="D794" s="5" t="s">
        <v>780</v>
      </c>
      <c r="E794" s="5" t="str">
        <f>VLOOKUP(F794,'Set up'!$A$2:$C$48,2,FALSE)</f>
        <v>C00000003</v>
      </c>
      <c r="F794" s="1" t="s">
        <v>20</v>
      </c>
      <c r="G794" s="11" t="s">
        <v>17</v>
      </c>
      <c r="H794" s="5">
        <v>6</v>
      </c>
      <c r="I794" s="5">
        <f>VLOOKUP(F794,'Set up'!$A$2:$C$48,3,FALSE)</f>
        <v>45</v>
      </c>
      <c r="J794" s="5">
        <f>VLOOKUP(F794,'Set up'!$A$2:$D$48,4,FALSE)</f>
        <v>45</v>
      </c>
      <c r="K794" s="4">
        <f t="shared" si="155"/>
        <v>44742</v>
      </c>
      <c r="L794" s="5">
        <f t="shared" si="137"/>
        <v>6</v>
      </c>
      <c r="M794" s="5">
        <f t="shared" si="138"/>
        <v>2022</v>
      </c>
      <c r="N794" s="6">
        <v>630</v>
      </c>
      <c r="O794" s="6">
        <f>-N794</f>
        <v>-630</v>
      </c>
      <c r="P794" s="6">
        <f t="shared" si="154"/>
        <v>0</v>
      </c>
      <c r="Q794" s="7">
        <f t="shared" si="147"/>
        <v>1412529.9500000002</v>
      </c>
      <c r="R794" s="44" t="str">
        <f>VLOOKUP(F794,'Set up'!$A$2:$E$48,5,FALSE)</f>
        <v>PD Chq</v>
      </c>
      <c r="S794" s="1" t="s">
        <v>878</v>
      </c>
    </row>
    <row r="795" spans="1:19" hidden="1" x14ac:dyDescent="0.3">
      <c r="A795" s="4">
        <v>44697</v>
      </c>
      <c r="B795" s="5">
        <f t="shared" si="142"/>
        <v>5</v>
      </c>
      <c r="C795" s="5">
        <f t="shared" si="143"/>
        <v>2022</v>
      </c>
      <c r="D795" s="5" t="s">
        <v>780</v>
      </c>
      <c r="E795" s="5" t="str">
        <f>VLOOKUP(F795,'Set up'!$A$2:$C$48,2,FALSE)</f>
        <v>C00000003</v>
      </c>
      <c r="F795" s="1" t="s">
        <v>20</v>
      </c>
      <c r="G795" s="11" t="s">
        <v>179</v>
      </c>
      <c r="H795" s="5">
        <v>1</v>
      </c>
      <c r="I795" s="5">
        <f>VLOOKUP(F795,'Set up'!$A$2:$C$48,3,FALSE)</f>
        <v>45</v>
      </c>
      <c r="J795" s="5">
        <f>VLOOKUP(F795,'Set up'!$A$2:$D$48,4,FALSE)</f>
        <v>45</v>
      </c>
      <c r="K795" s="4">
        <f t="shared" si="155"/>
        <v>44742</v>
      </c>
      <c r="L795" s="5">
        <f t="shared" si="137"/>
        <v>6</v>
      </c>
      <c r="M795" s="5">
        <f t="shared" si="138"/>
        <v>2022</v>
      </c>
      <c r="N795" s="6">
        <v>45</v>
      </c>
      <c r="O795" s="6">
        <f>-N795</f>
        <v>-45</v>
      </c>
      <c r="P795" s="6">
        <f t="shared" si="154"/>
        <v>0</v>
      </c>
      <c r="Q795" s="7">
        <f t="shared" si="147"/>
        <v>1412574.9500000002</v>
      </c>
      <c r="R795" s="44" t="str">
        <f>VLOOKUP(F795,'Set up'!$A$2:$E$48,5,FALSE)</f>
        <v>PD Chq</v>
      </c>
      <c r="S795" s="1" t="s">
        <v>878</v>
      </c>
    </row>
    <row r="796" spans="1:19" x14ac:dyDescent="0.3">
      <c r="A796" s="4">
        <v>44699</v>
      </c>
      <c r="B796" s="5">
        <f t="shared" si="142"/>
        <v>5</v>
      </c>
      <c r="C796" s="5">
        <f t="shared" si="143"/>
        <v>2022</v>
      </c>
      <c r="D796" s="5" t="s">
        <v>781</v>
      </c>
      <c r="E796" s="5" t="str">
        <f>VLOOKUP(F796,'Set up'!$A$2:$C$48,2,FALSE)</f>
        <v>C00000020</v>
      </c>
      <c r="F796" s="1" t="s">
        <v>410</v>
      </c>
      <c r="G796" s="11" t="s">
        <v>776</v>
      </c>
      <c r="H796" s="5">
        <v>2</v>
      </c>
      <c r="I796" s="5" t="str">
        <f>VLOOKUP(F796,'Set up'!$A$2:$C$48,3,FALSE)</f>
        <v>Cash</v>
      </c>
      <c r="J796" s="5">
        <f>VLOOKUP(F796,'Set up'!$A$2:$D$48,4,FALSE)</f>
        <v>0</v>
      </c>
      <c r="K796" s="4">
        <f t="shared" si="155"/>
        <v>44699</v>
      </c>
      <c r="L796" s="5">
        <f t="shared" si="137"/>
        <v>5</v>
      </c>
      <c r="M796" s="5">
        <f t="shared" si="138"/>
        <v>2022</v>
      </c>
      <c r="N796" s="6">
        <v>4180</v>
      </c>
      <c r="O796" s="6">
        <f t="shared" ref="O796:O799" si="156">-N796</f>
        <v>-4180</v>
      </c>
      <c r="P796" s="6">
        <f t="shared" si="154"/>
        <v>0</v>
      </c>
      <c r="Q796" s="7">
        <f t="shared" si="147"/>
        <v>1416754.9500000002</v>
      </c>
      <c r="R796" s="44" t="str">
        <f>VLOOKUP(F796,'Set up'!$A$2:$E$48,5,FALSE)</f>
        <v>Trsf</v>
      </c>
      <c r="S796" s="1" t="s">
        <v>1154</v>
      </c>
    </row>
    <row r="797" spans="1:19" x14ac:dyDescent="0.3">
      <c r="A797" s="4">
        <v>44699</v>
      </c>
      <c r="B797" s="5">
        <f t="shared" si="142"/>
        <v>5</v>
      </c>
      <c r="C797" s="5">
        <f t="shared" si="143"/>
        <v>2022</v>
      </c>
      <c r="D797" s="5" t="s">
        <v>781</v>
      </c>
      <c r="E797" s="5" t="str">
        <f>VLOOKUP(F797,'Set up'!$A$2:$C$48,2,FALSE)</f>
        <v>C00000020</v>
      </c>
      <c r="F797" s="1" t="s">
        <v>410</v>
      </c>
      <c r="G797" s="11" t="s">
        <v>683</v>
      </c>
      <c r="H797" s="5">
        <v>2</v>
      </c>
      <c r="I797" s="5" t="str">
        <f>VLOOKUP(F797,'Set up'!$A$2:$C$48,3,FALSE)</f>
        <v>Cash</v>
      </c>
      <c r="J797" s="5">
        <f>VLOOKUP(F797,'Set up'!$A$2:$D$48,4,FALSE)</f>
        <v>0</v>
      </c>
      <c r="K797" s="4">
        <f t="shared" si="155"/>
        <v>44699</v>
      </c>
      <c r="L797" s="5">
        <f t="shared" si="137"/>
        <v>5</v>
      </c>
      <c r="M797" s="5">
        <f t="shared" si="138"/>
        <v>2022</v>
      </c>
      <c r="N797" s="6">
        <v>1176</v>
      </c>
      <c r="O797" s="6">
        <f t="shared" si="156"/>
        <v>-1176</v>
      </c>
      <c r="P797" s="6">
        <f t="shared" si="154"/>
        <v>0</v>
      </c>
      <c r="Q797" s="7">
        <f t="shared" si="147"/>
        <v>1417930.9500000002</v>
      </c>
      <c r="R797" s="44" t="str">
        <f>VLOOKUP(F797,'Set up'!$A$2:$E$48,5,FALSE)</f>
        <v>Trsf</v>
      </c>
      <c r="S797" s="1" t="s">
        <v>1154</v>
      </c>
    </row>
    <row r="798" spans="1:19" x14ac:dyDescent="0.3">
      <c r="A798" s="4">
        <v>44699</v>
      </c>
      <c r="B798" s="5">
        <f t="shared" si="142"/>
        <v>5</v>
      </c>
      <c r="C798" s="5">
        <f t="shared" si="143"/>
        <v>2022</v>
      </c>
      <c r="D798" s="5" t="s">
        <v>781</v>
      </c>
      <c r="E798" s="5" t="str">
        <f>VLOOKUP(F798,'Set up'!$A$2:$C$48,2,FALSE)</f>
        <v>C00000020</v>
      </c>
      <c r="F798" s="1" t="s">
        <v>410</v>
      </c>
      <c r="G798" s="11" t="s">
        <v>779</v>
      </c>
      <c r="H798" s="5">
        <v>3</v>
      </c>
      <c r="I798" s="5" t="str">
        <f>VLOOKUP(F798,'Set up'!$A$2:$C$48,3,FALSE)</f>
        <v>Cash</v>
      </c>
      <c r="J798" s="5">
        <f>VLOOKUP(F798,'Set up'!$A$2:$D$48,4,FALSE)</f>
        <v>0</v>
      </c>
      <c r="K798" s="4">
        <f t="shared" si="155"/>
        <v>44699</v>
      </c>
      <c r="L798" s="5">
        <f t="shared" si="137"/>
        <v>5</v>
      </c>
      <c r="M798" s="5">
        <f t="shared" si="138"/>
        <v>2022</v>
      </c>
      <c r="N798" s="6">
        <v>936</v>
      </c>
      <c r="O798" s="6">
        <f t="shared" si="156"/>
        <v>-936</v>
      </c>
      <c r="P798" s="6">
        <f t="shared" si="154"/>
        <v>0</v>
      </c>
      <c r="Q798" s="7">
        <f t="shared" si="147"/>
        <v>1418866.9500000002</v>
      </c>
      <c r="R798" s="44" t="str">
        <f>VLOOKUP(F798,'Set up'!$A$2:$E$48,5,FALSE)</f>
        <v>Trsf</v>
      </c>
      <c r="S798" s="1" t="s">
        <v>1154</v>
      </c>
    </row>
    <row r="799" spans="1:19" x14ac:dyDescent="0.3">
      <c r="A799" s="4">
        <v>44699</v>
      </c>
      <c r="B799" s="5">
        <f t="shared" si="142"/>
        <v>5</v>
      </c>
      <c r="C799" s="5">
        <f t="shared" si="143"/>
        <v>2022</v>
      </c>
      <c r="D799" s="5" t="s">
        <v>781</v>
      </c>
      <c r="E799" s="5" t="str">
        <f>VLOOKUP(F799,'Set up'!$A$2:$C$48,2,FALSE)</f>
        <v>C00000020</v>
      </c>
      <c r="F799" s="1" t="s">
        <v>410</v>
      </c>
      <c r="G799" s="11" t="s">
        <v>64</v>
      </c>
      <c r="H799" s="5">
        <v>2</v>
      </c>
      <c r="I799" s="5" t="str">
        <f>VLOOKUP(F799,'Set up'!$A$2:$C$48,3,FALSE)</f>
        <v>Cash</v>
      </c>
      <c r="J799" s="5">
        <f>VLOOKUP(F799,'Set up'!$A$2:$D$48,4,FALSE)</f>
        <v>0</v>
      </c>
      <c r="K799" s="4">
        <f t="shared" si="155"/>
        <v>44699</v>
      </c>
      <c r="L799" s="5">
        <f t="shared" ref="L799:L862" si="157">MONTH(K799)</f>
        <v>5</v>
      </c>
      <c r="M799" s="5">
        <f t="shared" ref="M799:M862" si="158">YEAR(K799)</f>
        <v>2022</v>
      </c>
      <c r="N799" s="6">
        <v>125</v>
      </c>
      <c r="O799" s="6">
        <f t="shared" si="156"/>
        <v>-125</v>
      </c>
      <c r="P799" s="6">
        <f t="shared" si="154"/>
        <v>0</v>
      </c>
      <c r="Q799" s="7">
        <f t="shared" si="147"/>
        <v>1418991.9500000002</v>
      </c>
      <c r="R799" s="44" t="str">
        <f>VLOOKUP(F799,'Set up'!$A$2:$E$48,5,FALSE)</f>
        <v>Trsf</v>
      </c>
      <c r="S799" s="1" t="s">
        <v>1154</v>
      </c>
    </row>
    <row r="800" spans="1:19" x14ac:dyDescent="0.3">
      <c r="A800" s="4">
        <v>44699</v>
      </c>
      <c r="B800" s="5">
        <f t="shared" si="142"/>
        <v>5</v>
      </c>
      <c r="C800" s="5">
        <f t="shared" si="143"/>
        <v>2022</v>
      </c>
      <c r="D800" s="5" t="s">
        <v>781</v>
      </c>
      <c r="E800" s="5" t="str">
        <f>VLOOKUP(F800,'Set up'!$A$2:$C$48,2,FALSE)</f>
        <v>C00000020</v>
      </c>
      <c r="F800" s="1" t="s">
        <v>410</v>
      </c>
      <c r="G800" s="11" t="s">
        <v>660</v>
      </c>
      <c r="H800" s="5">
        <v>2</v>
      </c>
      <c r="I800" s="5" t="str">
        <f>VLOOKUP(F800,'Set up'!$A$2:$C$48,3,FALSE)</f>
        <v>Cash</v>
      </c>
      <c r="J800" s="5">
        <f>VLOOKUP(F800,'Set up'!$A$2:$D$48,4,FALSE)</f>
        <v>0</v>
      </c>
      <c r="K800" s="4">
        <f t="shared" si="155"/>
        <v>44699</v>
      </c>
      <c r="L800" s="5">
        <f t="shared" si="157"/>
        <v>5</v>
      </c>
      <c r="M800" s="5">
        <f t="shared" si="158"/>
        <v>2022</v>
      </c>
      <c r="N800" s="6">
        <v>2000</v>
      </c>
      <c r="O800" s="6">
        <f>-339.8-1660.2</f>
        <v>-2000</v>
      </c>
      <c r="P800" s="6">
        <f t="shared" si="154"/>
        <v>0</v>
      </c>
      <c r="Q800" s="7">
        <f t="shared" si="147"/>
        <v>1420991.9500000002</v>
      </c>
      <c r="R800" s="44" t="str">
        <f>VLOOKUP(F800,'Set up'!$A$2:$E$48,5,FALSE)</f>
        <v>Trsf</v>
      </c>
      <c r="S800" s="1" t="s">
        <v>1155</v>
      </c>
    </row>
    <row r="801" spans="1:19" hidden="1" x14ac:dyDescent="0.3">
      <c r="A801" s="4">
        <v>44700</v>
      </c>
      <c r="B801" s="5">
        <f t="shared" si="142"/>
        <v>5</v>
      </c>
      <c r="C801" s="5">
        <f t="shared" si="143"/>
        <v>2022</v>
      </c>
      <c r="D801" s="5" t="s">
        <v>782</v>
      </c>
      <c r="E801" s="5" t="str">
        <f>VLOOKUP(F801,'Set up'!$A$2:$C$48,2,FALSE)</f>
        <v>C00000021</v>
      </c>
      <c r="F801" s="1" t="s">
        <v>492</v>
      </c>
      <c r="G801" s="11" t="s">
        <v>717</v>
      </c>
      <c r="H801" s="5">
        <v>1</v>
      </c>
      <c r="I801" s="5" t="str">
        <f>VLOOKUP(F801,'Set up'!$A$2:$C$48,3,FALSE)</f>
        <v>Cash</v>
      </c>
      <c r="J801" s="5">
        <f>VLOOKUP(F801,'Set up'!$A$2:$D$48,4,FALSE)</f>
        <v>0</v>
      </c>
      <c r="K801" s="4">
        <f t="shared" si="155"/>
        <v>44700</v>
      </c>
      <c r="L801" s="5">
        <f t="shared" si="157"/>
        <v>5</v>
      </c>
      <c r="M801" s="5">
        <f t="shared" si="158"/>
        <v>2022</v>
      </c>
      <c r="N801" s="6">
        <v>2068</v>
      </c>
      <c r="O801" s="6">
        <f t="shared" ref="O801:O807" si="159">-N801</f>
        <v>-2068</v>
      </c>
      <c r="P801" s="6">
        <f t="shared" si="154"/>
        <v>0</v>
      </c>
      <c r="Q801" s="7">
        <f t="shared" si="147"/>
        <v>1423059.9500000002</v>
      </c>
      <c r="R801" s="44" t="str">
        <f>VLOOKUP(F801,'Set up'!$A$2:$E$48,5,FALSE)</f>
        <v>PD Chq</v>
      </c>
      <c r="S801" s="1" t="s">
        <v>920</v>
      </c>
    </row>
    <row r="802" spans="1:19" hidden="1" x14ac:dyDescent="0.3">
      <c r="A802" s="4">
        <v>44700</v>
      </c>
      <c r="B802" s="5">
        <f t="shared" si="142"/>
        <v>5</v>
      </c>
      <c r="C802" s="5">
        <f t="shared" si="143"/>
        <v>2022</v>
      </c>
      <c r="D802" s="5" t="s">
        <v>782</v>
      </c>
      <c r="E802" s="5" t="str">
        <f>VLOOKUP(F802,'Set up'!$A$2:$C$48,2,FALSE)</f>
        <v>C00000021</v>
      </c>
      <c r="F802" s="1" t="s">
        <v>492</v>
      </c>
      <c r="G802" s="11" t="s">
        <v>655</v>
      </c>
      <c r="H802" s="5">
        <v>3</v>
      </c>
      <c r="I802" s="5" t="str">
        <f>VLOOKUP(F802,'Set up'!$A$2:$C$48,3,FALSE)</f>
        <v>Cash</v>
      </c>
      <c r="J802" s="5">
        <f>VLOOKUP(F802,'Set up'!$A$2:$D$48,4,FALSE)</f>
        <v>0</v>
      </c>
      <c r="K802" s="4">
        <f t="shared" si="155"/>
        <v>44700</v>
      </c>
      <c r="L802" s="5">
        <f t="shared" si="157"/>
        <v>5</v>
      </c>
      <c r="M802" s="5">
        <f t="shared" si="158"/>
        <v>2022</v>
      </c>
      <c r="N802" s="6">
        <v>864</v>
      </c>
      <c r="O802" s="6">
        <f t="shared" si="159"/>
        <v>-864</v>
      </c>
      <c r="P802" s="6">
        <f t="shared" si="154"/>
        <v>0</v>
      </c>
      <c r="Q802" s="7">
        <f t="shared" si="147"/>
        <v>1423923.9500000002</v>
      </c>
      <c r="R802" s="44" t="str">
        <f>VLOOKUP(F802,'Set up'!$A$2:$E$48,5,FALSE)</f>
        <v>PD Chq</v>
      </c>
      <c r="S802" s="1" t="s">
        <v>920</v>
      </c>
    </row>
    <row r="803" spans="1:19" hidden="1" x14ac:dyDescent="0.3">
      <c r="A803" s="4">
        <v>44700</v>
      </c>
      <c r="B803" s="5">
        <f t="shared" si="142"/>
        <v>5</v>
      </c>
      <c r="C803" s="5">
        <f t="shared" si="143"/>
        <v>2022</v>
      </c>
      <c r="D803" s="5" t="s">
        <v>782</v>
      </c>
      <c r="E803" s="5" t="str">
        <f>VLOOKUP(F803,'Set up'!$A$2:$C$48,2,FALSE)</f>
        <v>C00000021</v>
      </c>
      <c r="F803" s="1" t="s">
        <v>492</v>
      </c>
      <c r="G803" s="11" t="s">
        <v>783</v>
      </c>
      <c r="H803" s="5">
        <v>12</v>
      </c>
      <c r="I803" s="5" t="str">
        <f>VLOOKUP(F803,'Set up'!$A$2:$C$48,3,FALSE)</f>
        <v>Cash</v>
      </c>
      <c r="J803" s="5">
        <f>VLOOKUP(F803,'Set up'!$A$2:$D$48,4,FALSE)</f>
        <v>0</v>
      </c>
      <c r="K803" s="4">
        <f t="shared" si="155"/>
        <v>44700</v>
      </c>
      <c r="L803" s="5">
        <f t="shared" si="157"/>
        <v>5</v>
      </c>
      <c r="M803" s="5">
        <f t="shared" si="158"/>
        <v>2022</v>
      </c>
      <c r="N803" s="6">
        <v>552</v>
      </c>
      <c r="O803" s="6">
        <f t="shared" si="159"/>
        <v>-552</v>
      </c>
      <c r="P803" s="6">
        <f t="shared" si="154"/>
        <v>0</v>
      </c>
      <c r="Q803" s="7">
        <f t="shared" si="147"/>
        <v>1424475.9500000002</v>
      </c>
      <c r="R803" s="44" t="str">
        <f>VLOOKUP(F803,'Set up'!$A$2:$E$48,5,FALSE)</f>
        <v>PD Chq</v>
      </c>
      <c r="S803" s="1" t="s">
        <v>920</v>
      </c>
    </row>
    <row r="804" spans="1:19" x14ac:dyDescent="0.3">
      <c r="A804" s="4">
        <v>44701</v>
      </c>
      <c r="B804" s="5">
        <f t="shared" si="142"/>
        <v>5</v>
      </c>
      <c r="C804" s="5">
        <f t="shared" si="143"/>
        <v>2022</v>
      </c>
      <c r="D804" s="5" t="s">
        <v>784</v>
      </c>
      <c r="E804" s="5" t="str">
        <f>VLOOKUP(F804,'Set up'!$A$2:$C$48,2,FALSE)</f>
        <v>C00000020</v>
      </c>
      <c r="F804" s="1" t="s">
        <v>410</v>
      </c>
      <c r="G804" s="11" t="s">
        <v>776</v>
      </c>
      <c r="H804" s="5">
        <v>4</v>
      </c>
      <c r="I804" s="5" t="str">
        <f>VLOOKUP(F804,'Set up'!$A$2:$C$48,3,FALSE)</f>
        <v>Cash</v>
      </c>
      <c r="J804" s="5">
        <f>VLOOKUP(F804,'Set up'!$A$2:$D$48,4,FALSE)</f>
        <v>0</v>
      </c>
      <c r="K804" s="4">
        <f t="shared" si="155"/>
        <v>44701</v>
      </c>
      <c r="L804" s="5">
        <f t="shared" si="157"/>
        <v>5</v>
      </c>
      <c r="M804" s="5">
        <f t="shared" si="158"/>
        <v>2022</v>
      </c>
      <c r="N804" s="6">
        <v>8360</v>
      </c>
      <c r="O804" s="6">
        <f t="shared" si="159"/>
        <v>-8360</v>
      </c>
      <c r="P804" s="6">
        <f t="shared" si="154"/>
        <v>0</v>
      </c>
      <c r="Q804" s="7">
        <f t="shared" si="147"/>
        <v>1432835.9500000002</v>
      </c>
      <c r="R804" s="44" t="str">
        <f>VLOOKUP(F804,'Set up'!$A$2:$E$48,5,FALSE)</f>
        <v>Trsf</v>
      </c>
      <c r="S804" s="1" t="s">
        <v>1156</v>
      </c>
    </row>
    <row r="805" spans="1:19" x14ac:dyDescent="0.3">
      <c r="A805" s="4">
        <v>44701</v>
      </c>
      <c r="B805" s="5">
        <f t="shared" si="142"/>
        <v>5</v>
      </c>
      <c r="C805" s="5">
        <f t="shared" si="143"/>
        <v>2022</v>
      </c>
      <c r="D805" s="5" t="s">
        <v>784</v>
      </c>
      <c r="E805" s="5" t="str">
        <f>VLOOKUP(F805,'Set up'!$A$2:$C$48,2,FALSE)</f>
        <v>C00000020</v>
      </c>
      <c r="F805" s="1" t="s">
        <v>410</v>
      </c>
      <c r="G805" s="11" t="s">
        <v>683</v>
      </c>
      <c r="H805" s="5">
        <v>5</v>
      </c>
      <c r="I805" s="5" t="str">
        <f>VLOOKUP(F805,'Set up'!$A$2:$C$48,3,FALSE)</f>
        <v>Cash</v>
      </c>
      <c r="J805" s="5">
        <f>VLOOKUP(F805,'Set up'!$A$2:$D$48,4,FALSE)</f>
        <v>0</v>
      </c>
      <c r="K805" s="4">
        <f t="shared" si="155"/>
        <v>44701</v>
      </c>
      <c r="L805" s="5">
        <f t="shared" si="157"/>
        <v>5</v>
      </c>
      <c r="M805" s="5">
        <f t="shared" si="158"/>
        <v>2022</v>
      </c>
      <c r="N805" s="6">
        <v>2940</v>
      </c>
      <c r="O805" s="6">
        <f t="shared" si="159"/>
        <v>-2940</v>
      </c>
      <c r="P805" s="6">
        <f t="shared" si="154"/>
        <v>0</v>
      </c>
      <c r="Q805" s="7">
        <f t="shared" si="147"/>
        <v>1435775.9500000002</v>
      </c>
      <c r="R805" s="44" t="str">
        <f>VLOOKUP(F805,'Set up'!$A$2:$E$48,5,FALSE)</f>
        <v>Trsf</v>
      </c>
      <c r="S805" s="1" t="s">
        <v>1156</v>
      </c>
    </row>
    <row r="806" spans="1:19" x14ac:dyDescent="0.3">
      <c r="A806" s="4">
        <v>44701</v>
      </c>
      <c r="B806" s="5">
        <f t="shared" si="142"/>
        <v>5</v>
      </c>
      <c r="C806" s="5">
        <f t="shared" si="143"/>
        <v>2022</v>
      </c>
      <c r="D806" s="5" t="s">
        <v>784</v>
      </c>
      <c r="E806" s="5" t="str">
        <f>VLOOKUP(F806,'Set up'!$A$2:$C$48,2,FALSE)</f>
        <v>C00000020</v>
      </c>
      <c r="F806" s="1" t="s">
        <v>410</v>
      </c>
      <c r="G806" s="11" t="s">
        <v>779</v>
      </c>
      <c r="H806" s="5">
        <v>5</v>
      </c>
      <c r="I806" s="5" t="str">
        <f>VLOOKUP(F806,'Set up'!$A$2:$C$48,3,FALSE)</f>
        <v>Cash</v>
      </c>
      <c r="J806" s="5">
        <f>VLOOKUP(F806,'Set up'!$A$2:$D$48,4,FALSE)</f>
        <v>0</v>
      </c>
      <c r="K806" s="4">
        <f t="shared" si="155"/>
        <v>44701</v>
      </c>
      <c r="L806" s="5">
        <f t="shared" si="157"/>
        <v>5</v>
      </c>
      <c r="M806" s="5">
        <f t="shared" si="158"/>
        <v>2022</v>
      </c>
      <c r="N806" s="6">
        <v>1560</v>
      </c>
      <c r="O806" s="6">
        <f t="shared" si="159"/>
        <v>-1560</v>
      </c>
      <c r="P806" s="6">
        <f t="shared" si="154"/>
        <v>0</v>
      </c>
      <c r="Q806" s="7">
        <f t="shared" si="147"/>
        <v>1437335.9500000002</v>
      </c>
      <c r="R806" s="44" t="str">
        <f>VLOOKUP(F806,'Set up'!$A$2:$E$48,5,FALSE)</f>
        <v>Trsf</v>
      </c>
      <c r="S806" s="1" t="s">
        <v>1156</v>
      </c>
    </row>
    <row r="807" spans="1:19" x14ac:dyDescent="0.3">
      <c r="A807" s="4">
        <v>44701</v>
      </c>
      <c r="B807" s="5">
        <f t="shared" si="142"/>
        <v>5</v>
      </c>
      <c r="C807" s="5">
        <f t="shared" si="143"/>
        <v>2022</v>
      </c>
      <c r="D807" s="5" t="s">
        <v>784</v>
      </c>
      <c r="E807" s="5" t="str">
        <f>VLOOKUP(F807,'Set up'!$A$2:$C$48,2,FALSE)</f>
        <v>C00000020</v>
      </c>
      <c r="F807" s="1" t="s">
        <v>410</v>
      </c>
      <c r="G807" s="11" t="s">
        <v>64</v>
      </c>
      <c r="H807" s="5">
        <v>4</v>
      </c>
      <c r="I807" s="5" t="str">
        <f>VLOOKUP(F807,'Set up'!$A$2:$C$48,3,FALSE)</f>
        <v>Cash</v>
      </c>
      <c r="J807" s="5">
        <f>VLOOKUP(F807,'Set up'!$A$2:$D$48,4,FALSE)</f>
        <v>0</v>
      </c>
      <c r="K807" s="4">
        <f t="shared" si="155"/>
        <v>44701</v>
      </c>
      <c r="L807" s="5">
        <f t="shared" si="157"/>
        <v>5</v>
      </c>
      <c r="M807" s="5">
        <f t="shared" si="158"/>
        <v>2022</v>
      </c>
      <c r="N807" s="6">
        <v>250</v>
      </c>
      <c r="O807" s="6">
        <f t="shared" si="159"/>
        <v>-250</v>
      </c>
      <c r="P807" s="6">
        <f t="shared" si="154"/>
        <v>0</v>
      </c>
      <c r="Q807" s="7">
        <f t="shared" si="147"/>
        <v>1437585.9500000002</v>
      </c>
      <c r="R807" s="44" t="str">
        <f>VLOOKUP(F807,'Set up'!$A$2:$E$48,5,FALSE)</f>
        <v>Trsf</v>
      </c>
      <c r="S807" s="1" t="s">
        <v>1156</v>
      </c>
    </row>
    <row r="808" spans="1:19" hidden="1" x14ac:dyDescent="0.3">
      <c r="A808" s="4">
        <v>44702</v>
      </c>
      <c r="B808" s="5">
        <f t="shared" si="142"/>
        <v>5</v>
      </c>
      <c r="C808" s="5">
        <f t="shared" si="143"/>
        <v>2022</v>
      </c>
      <c r="D808" s="5" t="s">
        <v>789</v>
      </c>
      <c r="E808" s="5" t="str">
        <f>VLOOKUP(F808,'Set up'!$A$2:$C$48,2,FALSE)</f>
        <v>C00000026</v>
      </c>
      <c r="F808" s="1" t="s">
        <v>785</v>
      </c>
      <c r="G808" s="11" t="s">
        <v>708</v>
      </c>
      <c r="H808" s="5">
        <v>1</v>
      </c>
      <c r="I808" s="5" t="str">
        <f>VLOOKUP(F808,'Set up'!$A$2:$C$48,3,FALSE)</f>
        <v>Cash</v>
      </c>
      <c r="J808" s="5">
        <f>VLOOKUP(F808,'Set up'!$A$2:$D$48,4,FALSE)</f>
        <v>0</v>
      </c>
      <c r="K808" s="4">
        <f t="shared" si="155"/>
        <v>44702</v>
      </c>
      <c r="L808" s="5">
        <f t="shared" si="157"/>
        <v>5</v>
      </c>
      <c r="M808" s="5">
        <f t="shared" si="158"/>
        <v>2022</v>
      </c>
      <c r="N808" s="6">
        <v>534.6</v>
      </c>
      <c r="O808" s="6">
        <f>-N808</f>
        <v>-534.6</v>
      </c>
      <c r="P808" s="6">
        <f t="shared" si="154"/>
        <v>0</v>
      </c>
      <c r="Q808" s="7">
        <f t="shared" si="147"/>
        <v>1438120.5500000003</v>
      </c>
      <c r="R808" s="44" t="str">
        <f>VLOOKUP(F808,'Set up'!$A$2:$E$48,5,FALSE)</f>
        <v>Trsf</v>
      </c>
      <c r="S808" s="1" t="s">
        <v>815</v>
      </c>
    </row>
    <row r="809" spans="1:19" hidden="1" x14ac:dyDescent="0.3">
      <c r="A809" s="4">
        <v>44702</v>
      </c>
      <c r="B809" s="5">
        <f t="shared" si="142"/>
        <v>5</v>
      </c>
      <c r="C809" s="5">
        <f t="shared" si="143"/>
        <v>2022</v>
      </c>
      <c r="D809" s="5" t="s">
        <v>789</v>
      </c>
      <c r="E809" s="5" t="str">
        <f>VLOOKUP(F809,'Set up'!$A$2:$C$48,2,FALSE)</f>
        <v>C00000026</v>
      </c>
      <c r="F809" s="1" t="s">
        <v>785</v>
      </c>
      <c r="G809" s="11" t="s">
        <v>787</v>
      </c>
      <c r="H809" s="5">
        <v>1</v>
      </c>
      <c r="I809" s="5" t="str">
        <f>VLOOKUP(F809,'Set up'!$A$2:$C$48,3,FALSE)</f>
        <v>Cash</v>
      </c>
      <c r="J809" s="5">
        <f>VLOOKUP(F809,'Set up'!$A$2:$D$48,4,FALSE)</f>
        <v>0</v>
      </c>
      <c r="K809" s="4">
        <f t="shared" si="155"/>
        <v>44702</v>
      </c>
      <c r="L809" s="5">
        <f t="shared" si="157"/>
        <v>5</v>
      </c>
      <c r="M809" s="5">
        <f t="shared" si="158"/>
        <v>2022</v>
      </c>
      <c r="N809" s="6">
        <v>165</v>
      </c>
      <c r="O809" s="6">
        <f>-N809</f>
        <v>-165</v>
      </c>
      <c r="P809" s="6">
        <f t="shared" si="154"/>
        <v>0</v>
      </c>
      <c r="Q809" s="7">
        <f t="shared" si="147"/>
        <v>1438285.5500000003</v>
      </c>
      <c r="R809" s="44" t="str">
        <f>VLOOKUP(F809,'Set up'!$A$2:$E$48,5,FALSE)</f>
        <v>Trsf</v>
      </c>
      <c r="S809" s="1" t="s">
        <v>815</v>
      </c>
    </row>
    <row r="810" spans="1:19" hidden="1" x14ac:dyDescent="0.3">
      <c r="A810" s="4">
        <v>44702</v>
      </c>
      <c r="B810" s="5">
        <f t="shared" si="142"/>
        <v>5</v>
      </c>
      <c r="C810" s="5">
        <f t="shared" si="143"/>
        <v>2022</v>
      </c>
      <c r="D810" s="5" t="s">
        <v>789</v>
      </c>
      <c r="E810" s="5" t="str">
        <f>VLOOKUP(F810,'Set up'!$A$2:$C$48,2,FALSE)</f>
        <v>C00000026</v>
      </c>
      <c r="F810" s="1" t="s">
        <v>785</v>
      </c>
      <c r="G810" s="11" t="s">
        <v>667</v>
      </c>
      <c r="H810" s="5">
        <v>1</v>
      </c>
      <c r="I810" s="5" t="str">
        <f>VLOOKUP(F810,'Set up'!$A$2:$C$48,3,FALSE)</f>
        <v>Cash</v>
      </c>
      <c r="J810" s="5">
        <f>VLOOKUP(F810,'Set up'!$A$2:$D$48,4,FALSE)</f>
        <v>0</v>
      </c>
      <c r="K810" s="4">
        <f t="shared" si="155"/>
        <v>44702</v>
      </c>
      <c r="L810" s="5">
        <f t="shared" si="157"/>
        <v>5</v>
      </c>
      <c r="M810" s="5">
        <f t="shared" si="158"/>
        <v>2022</v>
      </c>
      <c r="N810" s="6">
        <v>90</v>
      </c>
      <c r="O810" s="6">
        <f>-N810</f>
        <v>-90</v>
      </c>
      <c r="P810" s="6">
        <f t="shared" si="154"/>
        <v>0</v>
      </c>
      <c r="Q810" s="7">
        <f t="shared" si="147"/>
        <v>1438375.5500000003</v>
      </c>
      <c r="R810" s="44" t="str">
        <f>VLOOKUP(F810,'Set up'!$A$2:$E$48,5,FALSE)</f>
        <v>Trsf</v>
      </c>
      <c r="S810" s="1" t="s">
        <v>815</v>
      </c>
    </row>
    <row r="811" spans="1:19" hidden="1" x14ac:dyDescent="0.3">
      <c r="A811" s="4">
        <v>44702</v>
      </c>
      <c r="B811" s="5">
        <f t="shared" si="142"/>
        <v>5</v>
      </c>
      <c r="C811" s="5">
        <f t="shared" si="143"/>
        <v>2022</v>
      </c>
      <c r="D811" s="5" t="s">
        <v>789</v>
      </c>
      <c r="E811" s="5" t="str">
        <f>VLOOKUP(F811,'Set up'!$A$2:$C$48,2,FALSE)</f>
        <v>C00000026</v>
      </c>
      <c r="F811" s="1" t="s">
        <v>785</v>
      </c>
      <c r="G811" s="11" t="s">
        <v>788</v>
      </c>
      <c r="H811" s="5">
        <v>1</v>
      </c>
      <c r="I811" s="5" t="str">
        <f>VLOOKUP(F811,'Set up'!$A$2:$C$48,3,FALSE)</f>
        <v>Cash</v>
      </c>
      <c r="J811" s="5">
        <f>VLOOKUP(F811,'Set up'!$A$2:$D$48,4,FALSE)</f>
        <v>0</v>
      </c>
      <c r="K811" s="4">
        <f t="shared" si="155"/>
        <v>44702</v>
      </c>
      <c r="L811" s="5">
        <f t="shared" si="157"/>
        <v>5</v>
      </c>
      <c r="M811" s="5">
        <f t="shared" si="158"/>
        <v>2022</v>
      </c>
      <c r="N811" s="6">
        <v>450</v>
      </c>
      <c r="O811" s="6">
        <f>-N811</f>
        <v>-450</v>
      </c>
      <c r="P811" s="6">
        <f t="shared" si="154"/>
        <v>0</v>
      </c>
      <c r="Q811" s="7">
        <f t="shared" si="147"/>
        <v>1438825.5500000003</v>
      </c>
      <c r="R811" s="44" t="str">
        <f>VLOOKUP(F811,'Set up'!$A$2:$E$48,5,FALSE)</f>
        <v>Trsf</v>
      </c>
      <c r="S811" s="1" t="s">
        <v>815</v>
      </c>
    </row>
    <row r="812" spans="1:19" x14ac:dyDescent="0.3">
      <c r="A812" s="4">
        <v>44702</v>
      </c>
      <c r="B812" s="5">
        <f t="shared" si="142"/>
        <v>5</v>
      </c>
      <c r="C812" s="5">
        <f t="shared" si="143"/>
        <v>2022</v>
      </c>
      <c r="D812" s="5" t="s">
        <v>790</v>
      </c>
      <c r="E812" s="5" t="str">
        <f>VLOOKUP(F812,'Set up'!$A$2:$C$48,2,FALSE)</f>
        <v>C00000020</v>
      </c>
      <c r="F812" s="1" t="s">
        <v>410</v>
      </c>
      <c r="G812" s="11" t="s">
        <v>776</v>
      </c>
      <c r="H812" s="5">
        <v>4</v>
      </c>
      <c r="I812" s="5" t="str">
        <f>VLOOKUP(F812,'Set up'!$A$2:$C$48,3,FALSE)</f>
        <v>Cash</v>
      </c>
      <c r="J812" s="5">
        <f>VLOOKUP(F812,'Set up'!$A$2:$D$48,4,FALSE)</f>
        <v>0</v>
      </c>
      <c r="K812" s="4">
        <f t="shared" si="155"/>
        <v>44702</v>
      </c>
      <c r="L812" s="5">
        <f t="shared" si="157"/>
        <v>5</v>
      </c>
      <c r="M812" s="5">
        <f t="shared" si="158"/>
        <v>2022</v>
      </c>
      <c r="N812" s="6">
        <v>8360</v>
      </c>
      <c r="O812" s="6">
        <f t="shared" ref="O812:O815" si="160">-N812</f>
        <v>-8360</v>
      </c>
      <c r="P812" s="6">
        <f t="shared" si="154"/>
        <v>0</v>
      </c>
      <c r="Q812" s="7">
        <f t="shared" si="147"/>
        <v>1447185.5500000003</v>
      </c>
      <c r="R812" s="44" t="str">
        <f>VLOOKUP(F812,'Set up'!$A$2:$E$48,5,FALSE)</f>
        <v>Trsf</v>
      </c>
      <c r="S812" s="1" t="s">
        <v>1156</v>
      </c>
    </row>
    <row r="813" spans="1:19" x14ac:dyDescent="0.3">
      <c r="A813" s="4">
        <v>44702</v>
      </c>
      <c r="B813" s="5">
        <f t="shared" ref="B813:B876" si="161">MONTH(A813)</f>
        <v>5</v>
      </c>
      <c r="C813" s="5">
        <f t="shared" ref="C813:C876" si="162">YEAR(A813)</f>
        <v>2022</v>
      </c>
      <c r="D813" s="5" t="s">
        <v>790</v>
      </c>
      <c r="E813" s="5" t="str">
        <f>VLOOKUP(F813,'Set up'!$A$2:$C$48,2,FALSE)</f>
        <v>C00000020</v>
      </c>
      <c r="F813" s="1" t="s">
        <v>410</v>
      </c>
      <c r="G813" s="11" t="s">
        <v>655</v>
      </c>
      <c r="H813" s="5">
        <v>10</v>
      </c>
      <c r="I813" s="5" t="str">
        <f>VLOOKUP(F813,'Set up'!$A$2:$C$48,3,FALSE)</f>
        <v>Cash</v>
      </c>
      <c r="J813" s="5">
        <f>VLOOKUP(F813,'Set up'!$A$2:$D$48,4,FALSE)</f>
        <v>0</v>
      </c>
      <c r="K813" s="4">
        <f t="shared" si="155"/>
        <v>44702</v>
      </c>
      <c r="L813" s="5">
        <f t="shared" si="157"/>
        <v>5</v>
      </c>
      <c r="M813" s="5">
        <f t="shared" si="158"/>
        <v>2022</v>
      </c>
      <c r="N813" s="6">
        <v>2940</v>
      </c>
      <c r="O813" s="6">
        <f t="shared" si="160"/>
        <v>-2940</v>
      </c>
      <c r="P813" s="6">
        <f t="shared" si="154"/>
        <v>0</v>
      </c>
      <c r="Q813" s="7">
        <f t="shared" si="147"/>
        <v>1450125.5500000003</v>
      </c>
      <c r="R813" s="44" t="str">
        <f>VLOOKUP(F813,'Set up'!$A$2:$E$48,5,FALSE)</f>
        <v>Trsf</v>
      </c>
      <c r="S813" s="1" t="s">
        <v>1156</v>
      </c>
    </row>
    <row r="814" spans="1:19" x14ac:dyDescent="0.3">
      <c r="A814" s="4">
        <v>44702</v>
      </c>
      <c r="B814" s="5">
        <f t="shared" si="161"/>
        <v>5</v>
      </c>
      <c r="C814" s="5">
        <f t="shared" si="162"/>
        <v>2022</v>
      </c>
      <c r="D814" s="5" t="s">
        <v>790</v>
      </c>
      <c r="E814" s="5" t="str">
        <f>VLOOKUP(F814,'Set up'!$A$2:$C$48,2,FALSE)</f>
        <v>C00000020</v>
      </c>
      <c r="F814" s="1" t="s">
        <v>410</v>
      </c>
      <c r="G814" s="11" t="s">
        <v>779</v>
      </c>
      <c r="H814" s="5">
        <v>5</v>
      </c>
      <c r="I814" s="5" t="str">
        <f>VLOOKUP(F814,'Set up'!$A$2:$C$48,3,FALSE)</f>
        <v>Cash</v>
      </c>
      <c r="J814" s="5">
        <f>VLOOKUP(F814,'Set up'!$A$2:$D$48,4,FALSE)</f>
        <v>0</v>
      </c>
      <c r="K814" s="4">
        <f t="shared" si="155"/>
        <v>44702</v>
      </c>
      <c r="L814" s="5">
        <f t="shared" si="157"/>
        <v>5</v>
      </c>
      <c r="M814" s="5">
        <f t="shared" si="158"/>
        <v>2022</v>
      </c>
      <c r="N814" s="6">
        <v>1560</v>
      </c>
      <c r="O814" s="6">
        <f t="shared" si="160"/>
        <v>-1560</v>
      </c>
      <c r="P814" s="6">
        <f t="shared" si="154"/>
        <v>0</v>
      </c>
      <c r="Q814" s="7">
        <f t="shared" si="147"/>
        <v>1451685.5500000003</v>
      </c>
      <c r="R814" s="44" t="str">
        <f>VLOOKUP(F814,'Set up'!$A$2:$E$48,5,FALSE)</f>
        <v>Trsf</v>
      </c>
      <c r="S814" s="1" t="s">
        <v>1156</v>
      </c>
    </row>
    <row r="815" spans="1:19" x14ac:dyDescent="0.3">
      <c r="A815" s="4">
        <v>44702</v>
      </c>
      <c r="B815" s="5">
        <f t="shared" si="161"/>
        <v>5</v>
      </c>
      <c r="C815" s="5">
        <f t="shared" si="162"/>
        <v>2022</v>
      </c>
      <c r="D815" s="5" t="s">
        <v>790</v>
      </c>
      <c r="E815" s="5" t="str">
        <f>VLOOKUP(F815,'Set up'!$A$2:$C$48,2,FALSE)</f>
        <v>C00000020</v>
      </c>
      <c r="F815" s="1" t="s">
        <v>410</v>
      </c>
      <c r="G815" s="11" t="s">
        <v>64</v>
      </c>
      <c r="H815" s="5">
        <v>4</v>
      </c>
      <c r="I815" s="5" t="str">
        <f>VLOOKUP(F815,'Set up'!$A$2:$C$48,3,FALSE)</f>
        <v>Cash</v>
      </c>
      <c r="J815" s="5">
        <f>VLOOKUP(F815,'Set up'!$A$2:$D$48,4,FALSE)</f>
        <v>0</v>
      </c>
      <c r="K815" s="4">
        <f t="shared" si="155"/>
        <v>44702</v>
      </c>
      <c r="L815" s="5">
        <f t="shared" si="157"/>
        <v>5</v>
      </c>
      <c r="M815" s="5">
        <f t="shared" si="158"/>
        <v>2022</v>
      </c>
      <c r="N815" s="6">
        <v>250</v>
      </c>
      <c r="O815" s="6">
        <f t="shared" si="160"/>
        <v>-250</v>
      </c>
      <c r="P815" s="6">
        <f t="shared" si="154"/>
        <v>0</v>
      </c>
      <c r="Q815" s="7">
        <f t="shared" si="147"/>
        <v>1451935.5500000003</v>
      </c>
      <c r="R815" s="44" t="str">
        <f>VLOOKUP(F815,'Set up'!$A$2:$E$48,5,FALSE)</f>
        <v>Trsf</v>
      </c>
      <c r="S815" s="1" t="s">
        <v>1156</v>
      </c>
    </row>
    <row r="816" spans="1:19" hidden="1" x14ac:dyDescent="0.3">
      <c r="A816" s="4">
        <v>44704</v>
      </c>
      <c r="B816" s="5">
        <f t="shared" si="161"/>
        <v>5</v>
      </c>
      <c r="C816" s="5">
        <f t="shared" si="162"/>
        <v>2022</v>
      </c>
      <c r="D816" s="5" t="s">
        <v>791</v>
      </c>
      <c r="E816" s="5" t="str">
        <f>VLOOKUP(F816,'Set up'!$A$2:$C$48,2,FALSE)</f>
        <v>C00000010</v>
      </c>
      <c r="F816" s="1" t="s">
        <v>62</v>
      </c>
      <c r="G816" s="11" t="s">
        <v>723</v>
      </c>
      <c r="H816" s="5">
        <v>6</v>
      </c>
      <c r="I816" s="5">
        <f>VLOOKUP(F816,'Set up'!$A$2:$C$48,3,FALSE)</f>
        <v>120</v>
      </c>
      <c r="J816" s="5">
        <f>VLOOKUP(F816,'Set up'!$A$2:$D$48,4,FALSE)</f>
        <v>120</v>
      </c>
      <c r="K816" s="4">
        <f t="shared" si="155"/>
        <v>44824</v>
      </c>
      <c r="L816" s="5">
        <f t="shared" si="157"/>
        <v>9</v>
      </c>
      <c r="M816" s="5">
        <f t="shared" si="158"/>
        <v>2022</v>
      </c>
      <c r="N816" s="6">
        <v>11880</v>
      </c>
      <c r="O816" s="6">
        <f t="shared" ref="O816:O825" si="163">-N816</f>
        <v>-11880</v>
      </c>
      <c r="P816" s="6">
        <f t="shared" si="154"/>
        <v>0</v>
      </c>
      <c r="Q816" s="7">
        <f t="shared" si="147"/>
        <v>1463815.5500000003</v>
      </c>
      <c r="R816" s="44" t="str">
        <f>VLOOKUP(F816,'Set up'!$A$2:$E$48,5,FALSE)</f>
        <v>Trsf</v>
      </c>
      <c r="S816" s="1" t="s">
        <v>923</v>
      </c>
    </row>
    <row r="817" spans="1:19" hidden="1" x14ac:dyDescent="0.3">
      <c r="A817" s="4">
        <v>44704</v>
      </c>
      <c r="B817" s="5">
        <f t="shared" si="161"/>
        <v>5</v>
      </c>
      <c r="C817" s="5">
        <f t="shared" si="162"/>
        <v>2022</v>
      </c>
      <c r="D817" s="5" t="s">
        <v>791</v>
      </c>
      <c r="E817" s="5" t="str">
        <f>VLOOKUP(F817,'Set up'!$A$2:$C$48,2,FALSE)</f>
        <v>C00000010</v>
      </c>
      <c r="F817" s="1" t="s">
        <v>62</v>
      </c>
      <c r="G817" s="11" t="s">
        <v>655</v>
      </c>
      <c r="H817" s="5">
        <v>5</v>
      </c>
      <c r="I817" s="5">
        <f>VLOOKUP(F817,'Set up'!$A$2:$C$48,3,FALSE)</f>
        <v>120</v>
      </c>
      <c r="J817" s="5">
        <f>VLOOKUP(F817,'Set up'!$A$2:$D$48,4,FALSE)</f>
        <v>120</v>
      </c>
      <c r="K817" s="4">
        <f t="shared" si="155"/>
        <v>44824</v>
      </c>
      <c r="L817" s="5">
        <f t="shared" si="157"/>
        <v>9</v>
      </c>
      <c r="M817" s="5">
        <f t="shared" si="158"/>
        <v>2022</v>
      </c>
      <c r="N817" s="6">
        <v>1425</v>
      </c>
      <c r="O817" s="6">
        <f t="shared" si="163"/>
        <v>-1425</v>
      </c>
      <c r="P817" s="6">
        <f t="shared" si="154"/>
        <v>0</v>
      </c>
      <c r="Q817" s="7">
        <f t="shared" si="147"/>
        <v>1465240.5500000003</v>
      </c>
      <c r="R817" s="44" t="str">
        <f>VLOOKUP(F817,'Set up'!$A$2:$E$48,5,FALSE)</f>
        <v>Trsf</v>
      </c>
      <c r="S817" s="1" t="s">
        <v>923</v>
      </c>
    </row>
    <row r="818" spans="1:19" hidden="1" x14ac:dyDescent="0.3">
      <c r="A818" s="4">
        <v>44704</v>
      </c>
      <c r="B818" s="5">
        <f t="shared" si="161"/>
        <v>5</v>
      </c>
      <c r="C818" s="5">
        <f t="shared" si="162"/>
        <v>2022</v>
      </c>
      <c r="D818" s="5" t="s">
        <v>791</v>
      </c>
      <c r="E818" s="5" t="str">
        <f>VLOOKUP(F818,'Set up'!$A$2:$C$48,2,FALSE)</f>
        <v>C00000010</v>
      </c>
      <c r="F818" s="1" t="s">
        <v>62</v>
      </c>
      <c r="G818" s="11" t="s">
        <v>792</v>
      </c>
      <c r="H818" s="5">
        <v>10</v>
      </c>
      <c r="I818" s="5">
        <f>VLOOKUP(F818,'Set up'!$A$2:$C$48,3,FALSE)</f>
        <v>120</v>
      </c>
      <c r="J818" s="5">
        <f>VLOOKUP(F818,'Set up'!$A$2:$D$48,4,FALSE)</f>
        <v>120</v>
      </c>
      <c r="K818" s="4">
        <f t="shared" si="155"/>
        <v>44824</v>
      </c>
      <c r="L818" s="5">
        <f t="shared" si="157"/>
        <v>9</v>
      </c>
      <c r="M818" s="5">
        <f t="shared" si="158"/>
        <v>2022</v>
      </c>
      <c r="N818" s="6">
        <v>550</v>
      </c>
      <c r="O818" s="6">
        <f t="shared" si="163"/>
        <v>-550</v>
      </c>
      <c r="P818" s="6">
        <f t="shared" si="154"/>
        <v>0</v>
      </c>
      <c r="Q818" s="7">
        <f t="shared" si="147"/>
        <v>1465790.5500000003</v>
      </c>
      <c r="R818" s="44" t="str">
        <f>VLOOKUP(F818,'Set up'!$A$2:$E$48,5,FALSE)</f>
        <v>Trsf</v>
      </c>
      <c r="S818" s="1" t="s">
        <v>923</v>
      </c>
    </row>
    <row r="819" spans="1:19" hidden="1" x14ac:dyDescent="0.3">
      <c r="A819" s="4">
        <v>44704</v>
      </c>
      <c r="B819" s="5">
        <f t="shared" si="161"/>
        <v>5</v>
      </c>
      <c r="C819" s="5">
        <f t="shared" si="162"/>
        <v>2022</v>
      </c>
      <c r="D819" s="5" t="s">
        <v>791</v>
      </c>
      <c r="E819" s="5" t="str">
        <f>VLOOKUP(F819,'Set up'!$A$2:$C$48,2,FALSE)</f>
        <v>C00000010</v>
      </c>
      <c r="F819" s="1" t="s">
        <v>62</v>
      </c>
      <c r="G819" s="11" t="s">
        <v>567</v>
      </c>
      <c r="H819" s="5">
        <v>4</v>
      </c>
      <c r="I819" s="5">
        <f>VLOOKUP(F819,'Set up'!$A$2:$C$48,3,FALSE)</f>
        <v>120</v>
      </c>
      <c r="J819" s="5">
        <f>VLOOKUP(F819,'Set up'!$A$2:$D$48,4,FALSE)</f>
        <v>120</v>
      </c>
      <c r="K819" s="4">
        <f t="shared" si="155"/>
        <v>44824</v>
      </c>
      <c r="L819" s="5">
        <f t="shared" si="157"/>
        <v>9</v>
      </c>
      <c r="M819" s="5">
        <f t="shared" si="158"/>
        <v>2022</v>
      </c>
      <c r="N819" s="6">
        <v>420</v>
      </c>
      <c r="O819" s="6">
        <f t="shared" si="163"/>
        <v>-420</v>
      </c>
      <c r="P819" s="6">
        <f t="shared" si="154"/>
        <v>0</v>
      </c>
      <c r="Q819" s="7">
        <f t="shared" si="147"/>
        <v>1466210.5500000003</v>
      </c>
      <c r="R819" s="44" t="str">
        <f>VLOOKUP(F819,'Set up'!$A$2:$E$48,5,FALSE)</f>
        <v>Trsf</v>
      </c>
      <c r="S819" s="1" t="s">
        <v>923</v>
      </c>
    </row>
    <row r="820" spans="1:19" hidden="1" x14ac:dyDescent="0.3">
      <c r="A820" s="4">
        <v>44704</v>
      </c>
      <c r="B820" s="5">
        <f t="shared" si="161"/>
        <v>5</v>
      </c>
      <c r="C820" s="5">
        <f t="shared" si="162"/>
        <v>2022</v>
      </c>
      <c r="D820" s="5" t="s">
        <v>791</v>
      </c>
      <c r="E820" s="5" t="str">
        <f>VLOOKUP(F820,'Set up'!$A$2:$C$48,2,FALSE)</f>
        <v>C00000010</v>
      </c>
      <c r="F820" s="1" t="s">
        <v>62</v>
      </c>
      <c r="G820" s="11" t="s">
        <v>788</v>
      </c>
      <c r="H820" s="5">
        <v>1</v>
      </c>
      <c r="I820" s="5">
        <f>VLOOKUP(F820,'Set up'!$A$2:$C$48,3,FALSE)</f>
        <v>120</v>
      </c>
      <c r="J820" s="5">
        <f>VLOOKUP(F820,'Set up'!$A$2:$D$48,4,FALSE)</f>
        <v>120</v>
      </c>
      <c r="K820" s="4">
        <f t="shared" si="155"/>
        <v>44824</v>
      </c>
      <c r="L820" s="5">
        <f t="shared" si="157"/>
        <v>9</v>
      </c>
      <c r="M820" s="5">
        <f t="shared" si="158"/>
        <v>2022</v>
      </c>
      <c r="N820" s="6">
        <v>440</v>
      </c>
      <c r="O820" s="6">
        <f t="shared" si="163"/>
        <v>-440</v>
      </c>
      <c r="P820" s="6">
        <f t="shared" si="154"/>
        <v>0</v>
      </c>
      <c r="Q820" s="7">
        <f t="shared" si="147"/>
        <v>1466650.5500000003</v>
      </c>
      <c r="R820" s="44" t="str">
        <f>VLOOKUP(F820,'Set up'!$A$2:$E$48,5,FALSE)</f>
        <v>Trsf</v>
      </c>
      <c r="S820" s="1" t="s">
        <v>923</v>
      </c>
    </row>
    <row r="821" spans="1:19" x14ac:dyDescent="0.3">
      <c r="A821" s="4">
        <v>44704</v>
      </c>
      <c r="B821" s="5">
        <f t="shared" si="161"/>
        <v>5</v>
      </c>
      <c r="C821" s="5">
        <f t="shared" si="162"/>
        <v>2022</v>
      </c>
      <c r="D821" s="5" t="s">
        <v>794</v>
      </c>
      <c r="E821" s="5" t="str">
        <f>VLOOKUP(F821,'Set up'!$A$2:$C$48,2,FALSE)</f>
        <v>C00000020</v>
      </c>
      <c r="F821" s="1" t="s">
        <v>410</v>
      </c>
      <c r="G821" s="11" t="s">
        <v>776</v>
      </c>
      <c r="H821" s="5">
        <v>2</v>
      </c>
      <c r="I821" s="5" t="str">
        <f>VLOOKUP(F821,'Set up'!$A$2:$C$48,3,FALSE)</f>
        <v>Cash</v>
      </c>
      <c r="J821" s="5">
        <f>VLOOKUP(F821,'Set up'!$A$2:$D$48,4,FALSE)</f>
        <v>0</v>
      </c>
      <c r="K821" s="4">
        <f t="shared" si="155"/>
        <v>44704</v>
      </c>
      <c r="L821" s="5">
        <f t="shared" si="157"/>
        <v>5</v>
      </c>
      <c r="M821" s="5">
        <f t="shared" si="158"/>
        <v>2022</v>
      </c>
      <c r="N821" s="6">
        <v>4180</v>
      </c>
      <c r="O821" s="6">
        <f t="shared" si="163"/>
        <v>-4180</v>
      </c>
      <c r="P821" s="6">
        <f t="shared" si="154"/>
        <v>0</v>
      </c>
      <c r="Q821" s="7">
        <f t="shared" si="147"/>
        <v>1470830.5500000003</v>
      </c>
      <c r="R821" s="44" t="str">
        <f>VLOOKUP(F821,'Set up'!$A$2:$E$48,5,FALSE)</f>
        <v>Trsf</v>
      </c>
      <c r="S821" s="1" t="s">
        <v>1156</v>
      </c>
    </row>
    <row r="822" spans="1:19" x14ac:dyDescent="0.3">
      <c r="A822" s="4">
        <v>44704</v>
      </c>
      <c r="B822" s="5">
        <f t="shared" si="161"/>
        <v>5</v>
      </c>
      <c r="C822" s="5">
        <f t="shared" si="162"/>
        <v>2022</v>
      </c>
      <c r="D822" s="5" t="s">
        <v>794</v>
      </c>
      <c r="E822" s="5" t="str">
        <f>VLOOKUP(F822,'Set up'!$A$2:$C$48,2,FALSE)</f>
        <v>C00000020</v>
      </c>
      <c r="F822" s="1" t="s">
        <v>410</v>
      </c>
      <c r="G822" s="11" t="s">
        <v>655</v>
      </c>
      <c r="H822" s="5">
        <v>5</v>
      </c>
      <c r="I822" s="5" t="str">
        <f>VLOOKUP(F822,'Set up'!$A$2:$C$48,3,FALSE)</f>
        <v>Cash</v>
      </c>
      <c r="J822" s="5">
        <f>VLOOKUP(F822,'Set up'!$A$2:$D$48,4,FALSE)</f>
        <v>0</v>
      </c>
      <c r="K822" s="4">
        <f t="shared" si="155"/>
        <v>44704</v>
      </c>
      <c r="L822" s="5">
        <f t="shared" si="157"/>
        <v>5</v>
      </c>
      <c r="M822" s="5">
        <f t="shared" si="158"/>
        <v>2022</v>
      </c>
      <c r="N822" s="6">
        <v>1470</v>
      </c>
      <c r="O822" s="6">
        <f t="shared" si="163"/>
        <v>-1470</v>
      </c>
      <c r="P822" s="6">
        <f t="shared" si="154"/>
        <v>0</v>
      </c>
      <c r="Q822" s="7">
        <f t="shared" si="147"/>
        <v>1472300.5500000003</v>
      </c>
      <c r="R822" s="44" t="str">
        <f>VLOOKUP(F822,'Set up'!$A$2:$E$48,5,FALSE)</f>
        <v>Trsf</v>
      </c>
      <c r="S822" s="1" t="s">
        <v>1156</v>
      </c>
    </row>
    <row r="823" spans="1:19" x14ac:dyDescent="0.3">
      <c r="A823" s="4">
        <v>44704</v>
      </c>
      <c r="B823" s="5">
        <f t="shared" si="161"/>
        <v>5</v>
      </c>
      <c r="C823" s="5">
        <f t="shared" si="162"/>
        <v>2022</v>
      </c>
      <c r="D823" s="5" t="s">
        <v>794</v>
      </c>
      <c r="E823" s="5" t="str">
        <f>VLOOKUP(F823,'Set up'!$A$2:$C$48,2,FALSE)</f>
        <v>C00000020</v>
      </c>
      <c r="F823" s="1" t="s">
        <v>410</v>
      </c>
      <c r="G823" s="11" t="s">
        <v>779</v>
      </c>
      <c r="H823" s="5">
        <v>2</v>
      </c>
      <c r="I823" s="5" t="str">
        <f>VLOOKUP(F823,'Set up'!$A$2:$C$48,3,FALSE)</f>
        <v>Cash</v>
      </c>
      <c r="J823" s="5">
        <f>VLOOKUP(F823,'Set up'!$A$2:$D$48,4,FALSE)</f>
        <v>0</v>
      </c>
      <c r="K823" s="4">
        <f t="shared" si="155"/>
        <v>44704</v>
      </c>
      <c r="L823" s="5">
        <f t="shared" si="157"/>
        <v>5</v>
      </c>
      <c r="M823" s="5">
        <f t="shared" si="158"/>
        <v>2022</v>
      </c>
      <c r="N823" s="6">
        <v>624</v>
      </c>
      <c r="O823" s="6">
        <f t="shared" si="163"/>
        <v>-624</v>
      </c>
      <c r="P823" s="6">
        <f t="shared" si="154"/>
        <v>0</v>
      </c>
      <c r="Q823" s="7">
        <f t="shared" si="147"/>
        <v>1472924.5500000003</v>
      </c>
      <c r="R823" s="44" t="str">
        <f>VLOOKUP(F823,'Set up'!$A$2:$E$48,5,FALSE)</f>
        <v>Trsf</v>
      </c>
      <c r="S823" s="1" t="s">
        <v>1156</v>
      </c>
    </row>
    <row r="824" spans="1:19" x14ac:dyDescent="0.3">
      <c r="A824" s="4">
        <v>44704</v>
      </c>
      <c r="B824" s="5">
        <f t="shared" si="161"/>
        <v>5</v>
      </c>
      <c r="C824" s="5">
        <f t="shared" si="162"/>
        <v>2022</v>
      </c>
      <c r="D824" s="5" t="s">
        <v>794</v>
      </c>
      <c r="E824" s="5" t="str">
        <f>VLOOKUP(F824,'Set up'!$A$2:$C$48,2,FALSE)</f>
        <v>C00000020</v>
      </c>
      <c r="F824" s="1" t="s">
        <v>410</v>
      </c>
      <c r="G824" s="11" t="s">
        <v>793</v>
      </c>
      <c r="H824" s="5">
        <v>1</v>
      </c>
      <c r="I824" s="5" t="str">
        <f>VLOOKUP(F824,'Set up'!$A$2:$C$48,3,FALSE)</f>
        <v>Cash</v>
      </c>
      <c r="J824" s="5">
        <f>VLOOKUP(F824,'Set up'!$A$2:$D$48,4,FALSE)</f>
        <v>0</v>
      </c>
      <c r="K824" s="4">
        <f t="shared" si="155"/>
        <v>44704</v>
      </c>
      <c r="L824" s="5">
        <f t="shared" si="157"/>
        <v>5</v>
      </c>
      <c r="M824" s="5">
        <f t="shared" si="158"/>
        <v>2022</v>
      </c>
      <c r="N824" s="6">
        <v>351</v>
      </c>
      <c r="O824" s="6">
        <f t="shared" si="163"/>
        <v>-351</v>
      </c>
      <c r="P824" s="6">
        <f t="shared" si="154"/>
        <v>0</v>
      </c>
      <c r="Q824" s="7">
        <f t="shared" si="147"/>
        <v>1473275.5500000003</v>
      </c>
      <c r="R824" s="44" t="str">
        <f>VLOOKUP(F824,'Set up'!$A$2:$E$48,5,FALSE)</f>
        <v>Trsf</v>
      </c>
      <c r="S824" s="1" t="s">
        <v>1156</v>
      </c>
    </row>
    <row r="825" spans="1:19" x14ac:dyDescent="0.3">
      <c r="A825" s="4">
        <v>44704</v>
      </c>
      <c r="B825" s="5">
        <f t="shared" si="161"/>
        <v>5</v>
      </c>
      <c r="C825" s="5">
        <f t="shared" si="162"/>
        <v>2022</v>
      </c>
      <c r="D825" s="5" t="s">
        <v>794</v>
      </c>
      <c r="E825" s="5" t="str">
        <f>VLOOKUP(F825,'Set up'!$A$2:$C$48,2,FALSE)</f>
        <v>C00000020</v>
      </c>
      <c r="F825" s="1" t="s">
        <v>410</v>
      </c>
      <c r="G825" s="11" t="s">
        <v>792</v>
      </c>
      <c r="H825" s="5">
        <v>2</v>
      </c>
      <c r="I825" s="5" t="str">
        <f>VLOOKUP(F825,'Set up'!$A$2:$C$48,3,FALSE)</f>
        <v>Cash</v>
      </c>
      <c r="J825" s="5">
        <f>VLOOKUP(F825,'Set up'!$A$2:$D$48,4,FALSE)</f>
        <v>0</v>
      </c>
      <c r="K825" s="4">
        <f t="shared" si="155"/>
        <v>44704</v>
      </c>
      <c r="L825" s="5">
        <f t="shared" si="157"/>
        <v>5</v>
      </c>
      <c r="M825" s="5">
        <f t="shared" si="158"/>
        <v>2022</v>
      </c>
      <c r="N825" s="6">
        <v>125</v>
      </c>
      <c r="O825" s="6">
        <f t="shared" si="163"/>
        <v>-125</v>
      </c>
      <c r="P825" s="6">
        <f t="shared" si="154"/>
        <v>0</v>
      </c>
      <c r="Q825" s="7">
        <f t="shared" si="147"/>
        <v>1473400.5500000003</v>
      </c>
      <c r="R825" s="44" t="str">
        <f>VLOOKUP(F825,'Set up'!$A$2:$E$48,5,FALSE)</f>
        <v>Trsf</v>
      </c>
      <c r="S825" s="1" t="s">
        <v>1156</v>
      </c>
    </row>
    <row r="826" spans="1:19" hidden="1" x14ac:dyDescent="0.3">
      <c r="A826" s="4">
        <v>44704</v>
      </c>
      <c r="B826" s="5">
        <f t="shared" si="161"/>
        <v>5</v>
      </c>
      <c r="C826" s="5">
        <f t="shared" si="162"/>
        <v>2022</v>
      </c>
      <c r="D826" s="5" t="s">
        <v>795</v>
      </c>
      <c r="E826" s="5" t="str">
        <f>VLOOKUP(F826,'Set up'!$A$2:$C$48,2,FALSE)</f>
        <v>C00000019</v>
      </c>
      <c r="F826" s="1" t="s">
        <v>401</v>
      </c>
      <c r="G826" s="11" t="s">
        <v>720</v>
      </c>
      <c r="H826" s="5">
        <v>2</v>
      </c>
      <c r="I826" s="5" t="str">
        <f>VLOOKUP(F826,'Set up'!$A$2:$C$48,3,FALSE)</f>
        <v>Cash</v>
      </c>
      <c r="J826" s="5">
        <f>VLOOKUP(F826,'Set up'!$A$2:$D$48,4,FALSE)</f>
        <v>0</v>
      </c>
      <c r="K826" s="4">
        <f t="shared" si="155"/>
        <v>44704</v>
      </c>
      <c r="L826" s="5">
        <f t="shared" si="157"/>
        <v>5</v>
      </c>
      <c r="M826" s="5">
        <f t="shared" si="158"/>
        <v>2022</v>
      </c>
      <c r="N826" s="6">
        <v>4136</v>
      </c>
      <c r="O826" s="6">
        <f>-N826</f>
        <v>-4136</v>
      </c>
      <c r="P826" s="6">
        <f t="shared" si="154"/>
        <v>0</v>
      </c>
      <c r="Q826" s="7">
        <f t="shared" si="147"/>
        <v>1477536.5500000003</v>
      </c>
      <c r="R826" s="44" t="str">
        <f>VLOOKUP(F826,'Set up'!$A$2:$E$48,5,FALSE)</f>
        <v>Trsf</v>
      </c>
      <c r="S826" s="1" t="s">
        <v>806</v>
      </c>
    </row>
    <row r="827" spans="1:19" hidden="1" x14ac:dyDescent="0.3">
      <c r="A827" s="4">
        <v>44704</v>
      </c>
      <c r="B827" s="5">
        <f t="shared" si="161"/>
        <v>5</v>
      </c>
      <c r="C827" s="5">
        <f t="shared" si="162"/>
        <v>2022</v>
      </c>
      <c r="D827" s="5" t="s">
        <v>795</v>
      </c>
      <c r="E827" s="5" t="str">
        <f>VLOOKUP(F827,'Set up'!$A$2:$C$48,2,FALSE)</f>
        <v>C00000019</v>
      </c>
      <c r="F827" s="1" t="s">
        <v>401</v>
      </c>
      <c r="G827" s="11" t="s">
        <v>708</v>
      </c>
      <c r="H827" s="5">
        <v>2</v>
      </c>
      <c r="I827" s="5" t="str">
        <f>VLOOKUP(F827,'Set up'!$A$2:$C$48,3,FALSE)</f>
        <v>Cash</v>
      </c>
      <c r="J827" s="5">
        <f>VLOOKUP(F827,'Set up'!$A$2:$D$48,4,FALSE)</f>
        <v>0</v>
      </c>
      <c r="K827" s="4">
        <f t="shared" si="155"/>
        <v>44704</v>
      </c>
      <c r="L827" s="5">
        <f t="shared" si="157"/>
        <v>5</v>
      </c>
      <c r="M827" s="5">
        <f t="shared" si="158"/>
        <v>2022</v>
      </c>
      <c r="N827" s="6">
        <v>1047.5999999999999</v>
      </c>
      <c r="O827" s="6">
        <f>-N827</f>
        <v>-1047.5999999999999</v>
      </c>
      <c r="P827" s="6">
        <f t="shared" si="154"/>
        <v>0</v>
      </c>
      <c r="Q827" s="7">
        <f t="shared" si="147"/>
        <v>1478584.1500000004</v>
      </c>
      <c r="R827" s="44" t="str">
        <f>VLOOKUP(F827,'Set up'!$A$2:$E$48,5,FALSE)</f>
        <v>Trsf</v>
      </c>
      <c r="S827" s="1" t="s">
        <v>806</v>
      </c>
    </row>
    <row r="828" spans="1:19" hidden="1" x14ac:dyDescent="0.3">
      <c r="A828" s="4">
        <v>44704</v>
      </c>
      <c r="B828" s="5">
        <f t="shared" si="161"/>
        <v>5</v>
      </c>
      <c r="C828" s="5">
        <f t="shared" si="162"/>
        <v>2022</v>
      </c>
      <c r="D828" s="5" t="s">
        <v>795</v>
      </c>
      <c r="E828" s="5" t="str">
        <f>VLOOKUP(F828,'Set up'!$A$2:$C$48,2,FALSE)</f>
        <v>C00000019</v>
      </c>
      <c r="F828" s="1" t="s">
        <v>401</v>
      </c>
      <c r="G828" s="11" t="s">
        <v>792</v>
      </c>
      <c r="H828" s="5">
        <v>3</v>
      </c>
      <c r="I828" s="5" t="str">
        <f>VLOOKUP(F828,'Set up'!$A$2:$C$48,3,FALSE)</f>
        <v>Cash</v>
      </c>
      <c r="J828" s="5">
        <f>VLOOKUP(F828,'Set up'!$A$2:$D$48,4,FALSE)</f>
        <v>0</v>
      </c>
      <c r="K828" s="4">
        <f t="shared" si="155"/>
        <v>44704</v>
      </c>
      <c r="L828" s="5">
        <f t="shared" si="157"/>
        <v>5</v>
      </c>
      <c r="M828" s="5">
        <f t="shared" si="158"/>
        <v>2022</v>
      </c>
      <c r="N828" s="6">
        <v>187.5</v>
      </c>
      <c r="O828" s="6">
        <f>-N828</f>
        <v>-187.5</v>
      </c>
      <c r="P828" s="6">
        <f t="shared" si="154"/>
        <v>0</v>
      </c>
      <c r="Q828" s="7">
        <f t="shared" si="147"/>
        <v>1478771.6500000004</v>
      </c>
      <c r="R828" s="44" t="str">
        <f>VLOOKUP(F828,'Set up'!$A$2:$E$48,5,FALSE)</f>
        <v>Trsf</v>
      </c>
      <c r="S828" s="1" t="s">
        <v>806</v>
      </c>
    </row>
    <row r="829" spans="1:19" hidden="1" x14ac:dyDescent="0.3">
      <c r="A829" s="4">
        <v>44704</v>
      </c>
      <c r="B829" s="5">
        <f t="shared" si="161"/>
        <v>5</v>
      </c>
      <c r="C829" s="5">
        <f t="shared" si="162"/>
        <v>2022</v>
      </c>
      <c r="D829" s="5" t="s">
        <v>795</v>
      </c>
      <c r="E829" s="5" t="str">
        <f>VLOOKUP(F829,'Set up'!$A$2:$C$48,2,FALSE)</f>
        <v>C00000019</v>
      </c>
      <c r="F829" s="1" t="s">
        <v>401</v>
      </c>
      <c r="G829" s="11" t="s">
        <v>293</v>
      </c>
      <c r="H829" s="5">
        <v>1</v>
      </c>
      <c r="I829" s="5" t="str">
        <f>VLOOKUP(F829,'Set up'!$A$2:$C$48,3,FALSE)</f>
        <v>Cash</v>
      </c>
      <c r="J829" s="5">
        <f>VLOOKUP(F829,'Set up'!$A$2:$D$48,4,FALSE)</f>
        <v>0</v>
      </c>
      <c r="K829" s="4">
        <f t="shared" si="155"/>
        <v>44704</v>
      </c>
      <c r="L829" s="5">
        <f t="shared" si="157"/>
        <v>5</v>
      </c>
      <c r="M829" s="5">
        <f t="shared" si="158"/>
        <v>2022</v>
      </c>
      <c r="N829" s="6">
        <v>390</v>
      </c>
      <c r="O829" s="6">
        <f>-N829</f>
        <v>-390</v>
      </c>
      <c r="P829" s="6">
        <f t="shared" si="154"/>
        <v>0</v>
      </c>
      <c r="Q829" s="7">
        <f t="shared" si="147"/>
        <v>1479161.6500000004</v>
      </c>
      <c r="R829" s="44" t="str">
        <f>VLOOKUP(F829,'Set up'!$A$2:$E$48,5,FALSE)</f>
        <v>Trsf</v>
      </c>
      <c r="S829" s="1" t="s">
        <v>806</v>
      </c>
    </row>
    <row r="830" spans="1:19" hidden="1" x14ac:dyDescent="0.3">
      <c r="A830" s="4">
        <v>44704</v>
      </c>
      <c r="B830" s="5">
        <f t="shared" si="161"/>
        <v>5</v>
      </c>
      <c r="C830" s="5">
        <f t="shared" si="162"/>
        <v>2022</v>
      </c>
      <c r="D830" s="5" t="s">
        <v>795</v>
      </c>
      <c r="E830" s="5" t="str">
        <f>VLOOKUP(F830,'Set up'!$A$2:$C$48,2,FALSE)</f>
        <v>C00000019</v>
      </c>
      <c r="F830" s="1" t="s">
        <v>401</v>
      </c>
      <c r="G830" s="11" t="s">
        <v>788</v>
      </c>
      <c r="H830" s="5">
        <v>1</v>
      </c>
      <c r="I830" s="5" t="str">
        <f>VLOOKUP(F830,'Set up'!$A$2:$C$48,3,FALSE)</f>
        <v>Cash</v>
      </c>
      <c r="J830" s="5">
        <f>VLOOKUP(F830,'Set up'!$A$2:$D$48,4,FALSE)</f>
        <v>0</v>
      </c>
      <c r="K830" s="4">
        <f t="shared" si="155"/>
        <v>44704</v>
      </c>
      <c r="L830" s="5">
        <f t="shared" si="157"/>
        <v>5</v>
      </c>
      <c r="M830" s="5">
        <f t="shared" si="158"/>
        <v>2022</v>
      </c>
      <c r="N830" s="6">
        <v>440</v>
      </c>
      <c r="O830" s="6">
        <f>-N830</f>
        <v>-440</v>
      </c>
      <c r="P830" s="6">
        <f t="shared" si="154"/>
        <v>0</v>
      </c>
      <c r="Q830" s="7">
        <f t="shared" si="147"/>
        <v>1479601.6500000004</v>
      </c>
      <c r="R830" s="44" t="str">
        <f>VLOOKUP(F830,'Set up'!$A$2:$E$48,5,FALSE)</f>
        <v>Trsf</v>
      </c>
      <c r="S830" s="1" t="s">
        <v>806</v>
      </c>
    </row>
    <row r="831" spans="1:19" hidden="1" x14ac:dyDescent="0.3">
      <c r="A831" s="4">
        <v>44705</v>
      </c>
      <c r="B831" s="5">
        <f t="shared" si="161"/>
        <v>5</v>
      </c>
      <c r="C831" s="5">
        <f t="shared" si="162"/>
        <v>2022</v>
      </c>
      <c r="D831" s="5" t="s">
        <v>796</v>
      </c>
      <c r="E831" s="5" t="str">
        <f>VLOOKUP(F831,'Set up'!$A$2:$C$48,2,FALSE)</f>
        <v>C00000004</v>
      </c>
      <c r="F831" s="1" t="s">
        <v>23</v>
      </c>
      <c r="G831" s="11" t="s">
        <v>720</v>
      </c>
      <c r="H831" s="5">
        <v>5</v>
      </c>
      <c r="I831" s="5">
        <f>VLOOKUP(F831,'Set up'!$A$2:$C$48,3,FALSE)</f>
        <v>120</v>
      </c>
      <c r="J831" s="5">
        <f>VLOOKUP(F831,'Set up'!$A$2:$D$48,4,FALSE)</f>
        <v>120</v>
      </c>
      <c r="K831" s="4">
        <f t="shared" si="155"/>
        <v>44825</v>
      </c>
      <c r="L831" s="5">
        <f t="shared" si="157"/>
        <v>9</v>
      </c>
      <c r="M831" s="5">
        <f t="shared" si="158"/>
        <v>2022</v>
      </c>
      <c r="N831" s="6">
        <v>10120</v>
      </c>
      <c r="O831" s="6">
        <f t="shared" ref="O831:O836" si="164">-N831</f>
        <v>-10120</v>
      </c>
      <c r="P831" s="6">
        <f t="shared" si="154"/>
        <v>0</v>
      </c>
      <c r="Q831" s="7">
        <f t="shared" si="147"/>
        <v>1489721.6500000004</v>
      </c>
      <c r="R831" s="44" t="str">
        <f>VLOOKUP(F831,'Set up'!$A$2:$E$48,5,FALSE)</f>
        <v>Chq</v>
      </c>
      <c r="S831" s="1" t="s">
        <v>977</v>
      </c>
    </row>
    <row r="832" spans="1:19" x14ac:dyDescent="0.3">
      <c r="A832" s="4">
        <v>44706</v>
      </c>
      <c r="B832" s="5">
        <f t="shared" si="161"/>
        <v>5</v>
      </c>
      <c r="C832" s="5">
        <f t="shared" si="162"/>
        <v>2022</v>
      </c>
      <c r="D832" s="5" t="s">
        <v>797</v>
      </c>
      <c r="E832" s="5" t="str">
        <f>VLOOKUP(F832,'Set up'!$A$2:$C$48,2,FALSE)</f>
        <v>C00000020</v>
      </c>
      <c r="F832" s="1" t="s">
        <v>410</v>
      </c>
      <c r="G832" s="11" t="s">
        <v>720</v>
      </c>
      <c r="H832" s="5">
        <v>4</v>
      </c>
      <c r="I832" s="5" t="str">
        <f>VLOOKUP(F832,'Set up'!$A$2:$C$48,3,FALSE)</f>
        <v>Cash</v>
      </c>
      <c r="J832" s="5">
        <f>VLOOKUP(F832,'Set up'!$A$2:$D$48,4,FALSE)</f>
        <v>0</v>
      </c>
      <c r="K832" s="4">
        <f t="shared" si="155"/>
        <v>44706</v>
      </c>
      <c r="L832" s="5">
        <f t="shared" si="157"/>
        <v>5</v>
      </c>
      <c r="M832" s="5">
        <f t="shared" si="158"/>
        <v>2022</v>
      </c>
      <c r="N832" s="6">
        <v>8360</v>
      </c>
      <c r="O832" s="6">
        <f t="shared" si="164"/>
        <v>-8360</v>
      </c>
      <c r="P832" s="6">
        <f t="shared" si="154"/>
        <v>0</v>
      </c>
      <c r="Q832" s="7">
        <f t="shared" si="147"/>
        <v>1498081.6500000004</v>
      </c>
      <c r="R832" s="44" t="str">
        <f>VLOOKUP(F832,'Set up'!$A$2:$E$48,5,FALSE)</f>
        <v>Trsf</v>
      </c>
      <c r="S832" s="1" t="s">
        <v>1156</v>
      </c>
    </row>
    <row r="833" spans="1:19" x14ac:dyDescent="0.3">
      <c r="A833" s="4">
        <v>44706</v>
      </c>
      <c r="B833" s="5">
        <f t="shared" si="161"/>
        <v>5</v>
      </c>
      <c r="C833" s="5">
        <f t="shared" si="162"/>
        <v>2022</v>
      </c>
      <c r="D833" s="5" t="s">
        <v>797</v>
      </c>
      <c r="E833" s="5" t="str">
        <f>VLOOKUP(F833,'Set up'!$A$2:$C$48,2,FALSE)</f>
        <v>C00000020</v>
      </c>
      <c r="F833" s="1" t="s">
        <v>410</v>
      </c>
      <c r="G833" s="11" t="s">
        <v>655</v>
      </c>
      <c r="H833" s="5">
        <v>8</v>
      </c>
      <c r="I833" s="5" t="str">
        <f>VLOOKUP(F833,'Set up'!$A$2:$C$48,3,FALSE)</f>
        <v>Cash</v>
      </c>
      <c r="J833" s="5">
        <f>VLOOKUP(F833,'Set up'!$A$2:$D$48,4,FALSE)</f>
        <v>0</v>
      </c>
      <c r="K833" s="4">
        <f t="shared" si="155"/>
        <v>44706</v>
      </c>
      <c r="L833" s="5">
        <f t="shared" si="157"/>
        <v>5</v>
      </c>
      <c r="M833" s="5">
        <f t="shared" si="158"/>
        <v>2022</v>
      </c>
      <c r="N833" s="6">
        <v>2352</v>
      </c>
      <c r="O833" s="6">
        <f t="shared" si="164"/>
        <v>-2352</v>
      </c>
      <c r="P833" s="6">
        <f t="shared" si="154"/>
        <v>0</v>
      </c>
      <c r="Q833" s="7">
        <f t="shared" si="147"/>
        <v>1500433.6500000004</v>
      </c>
      <c r="R833" s="44" t="str">
        <f>VLOOKUP(F833,'Set up'!$A$2:$E$48,5,FALSE)</f>
        <v>Trsf</v>
      </c>
      <c r="S833" s="1" t="s">
        <v>1156</v>
      </c>
    </row>
    <row r="834" spans="1:19" x14ac:dyDescent="0.3">
      <c r="A834" s="4">
        <v>44706</v>
      </c>
      <c r="B834" s="5">
        <f t="shared" si="161"/>
        <v>5</v>
      </c>
      <c r="C834" s="5">
        <f t="shared" si="162"/>
        <v>2022</v>
      </c>
      <c r="D834" s="5" t="s">
        <v>797</v>
      </c>
      <c r="E834" s="5" t="str">
        <f>VLOOKUP(F834,'Set up'!$A$2:$C$48,2,FALSE)</f>
        <v>C00000020</v>
      </c>
      <c r="F834" s="1" t="s">
        <v>410</v>
      </c>
      <c r="G834" s="11" t="s">
        <v>793</v>
      </c>
      <c r="H834" s="5">
        <v>6</v>
      </c>
      <c r="I834" s="5" t="str">
        <f>VLOOKUP(F834,'Set up'!$A$2:$C$48,3,FALSE)</f>
        <v>Cash</v>
      </c>
      <c r="J834" s="5">
        <f>VLOOKUP(F834,'Set up'!$A$2:$D$48,4,FALSE)</f>
        <v>0</v>
      </c>
      <c r="K834" s="4">
        <f t="shared" si="155"/>
        <v>44706</v>
      </c>
      <c r="L834" s="5">
        <f t="shared" si="157"/>
        <v>5</v>
      </c>
      <c r="M834" s="5">
        <f t="shared" si="158"/>
        <v>2022</v>
      </c>
      <c r="N834" s="6">
        <v>2106</v>
      </c>
      <c r="O834" s="6">
        <f t="shared" si="164"/>
        <v>-2106</v>
      </c>
      <c r="P834" s="6">
        <f t="shared" si="154"/>
        <v>0</v>
      </c>
      <c r="Q834" s="7">
        <f t="shared" si="147"/>
        <v>1502539.6500000004</v>
      </c>
      <c r="R834" s="44" t="str">
        <f>VLOOKUP(F834,'Set up'!$A$2:$E$48,5,FALSE)</f>
        <v>Trsf</v>
      </c>
      <c r="S834" s="1" t="s">
        <v>1156</v>
      </c>
    </row>
    <row r="835" spans="1:19" x14ac:dyDescent="0.3">
      <c r="A835" s="4">
        <v>44706</v>
      </c>
      <c r="B835" s="5">
        <f t="shared" si="161"/>
        <v>5</v>
      </c>
      <c r="C835" s="5">
        <f t="shared" si="162"/>
        <v>2022</v>
      </c>
      <c r="D835" s="5" t="s">
        <v>797</v>
      </c>
      <c r="E835" s="5" t="str">
        <f>VLOOKUP(F835,'Set up'!$A$2:$C$48,2,FALSE)</f>
        <v>C00000020</v>
      </c>
      <c r="F835" s="1" t="s">
        <v>410</v>
      </c>
      <c r="G835" s="11" t="s">
        <v>792</v>
      </c>
      <c r="H835" s="5">
        <v>4</v>
      </c>
      <c r="I835" s="5" t="str">
        <f>VLOOKUP(F835,'Set up'!$A$2:$C$48,3,FALSE)</f>
        <v>Cash</v>
      </c>
      <c r="J835" s="5">
        <f>VLOOKUP(F835,'Set up'!$A$2:$D$48,4,FALSE)</f>
        <v>0</v>
      </c>
      <c r="K835" s="4">
        <f t="shared" si="155"/>
        <v>44706</v>
      </c>
      <c r="L835" s="5">
        <f t="shared" si="157"/>
        <v>5</v>
      </c>
      <c r="M835" s="5">
        <f t="shared" si="158"/>
        <v>2022</v>
      </c>
      <c r="N835" s="6">
        <v>250</v>
      </c>
      <c r="O835" s="6">
        <f t="shared" si="164"/>
        <v>-250</v>
      </c>
      <c r="P835" s="6">
        <f t="shared" si="154"/>
        <v>0</v>
      </c>
      <c r="Q835" s="7">
        <f t="shared" ref="Q835:Q898" si="165">SUM(Q834+N835)</f>
        <v>1502789.6500000004</v>
      </c>
      <c r="R835" s="44" t="str">
        <f>VLOOKUP(F835,'Set up'!$A$2:$E$48,5,FALSE)</f>
        <v>Trsf</v>
      </c>
      <c r="S835" s="1" t="s">
        <v>1156</v>
      </c>
    </row>
    <row r="836" spans="1:19" x14ac:dyDescent="0.3">
      <c r="A836" s="4">
        <v>44706</v>
      </c>
      <c r="B836" s="5">
        <f t="shared" si="161"/>
        <v>5</v>
      </c>
      <c r="C836" s="5">
        <f t="shared" si="162"/>
        <v>2022</v>
      </c>
      <c r="D836" s="5" t="s">
        <v>797</v>
      </c>
      <c r="E836" s="5" t="str">
        <f>VLOOKUP(F836,'Set up'!$A$2:$C$48,2,FALSE)</f>
        <v>C00000020</v>
      </c>
      <c r="F836" s="1" t="s">
        <v>410</v>
      </c>
      <c r="G836" s="11" t="s">
        <v>660</v>
      </c>
      <c r="H836" s="5">
        <v>1</v>
      </c>
      <c r="I836" s="5" t="str">
        <f>VLOOKUP(F836,'Set up'!$A$2:$C$48,3,FALSE)</f>
        <v>Cash</v>
      </c>
      <c r="J836" s="5">
        <f>VLOOKUP(F836,'Set up'!$A$2:$D$48,4,FALSE)</f>
        <v>0</v>
      </c>
      <c r="K836" s="4">
        <f t="shared" si="155"/>
        <v>44706</v>
      </c>
      <c r="L836" s="5">
        <f t="shared" si="157"/>
        <v>5</v>
      </c>
      <c r="M836" s="5">
        <f t="shared" si="158"/>
        <v>2022</v>
      </c>
      <c r="N836" s="6">
        <v>1000</v>
      </c>
      <c r="O836" s="6">
        <f t="shared" si="164"/>
        <v>-1000</v>
      </c>
      <c r="P836" s="6">
        <f t="shared" si="154"/>
        <v>0</v>
      </c>
      <c r="Q836" s="7">
        <f t="shared" si="165"/>
        <v>1503789.6500000004</v>
      </c>
      <c r="R836" s="44" t="str">
        <f>VLOOKUP(F836,'Set up'!$A$2:$E$48,5,FALSE)</f>
        <v>Trsf</v>
      </c>
      <c r="S836" s="1" t="s">
        <v>1156</v>
      </c>
    </row>
    <row r="837" spans="1:19" hidden="1" x14ac:dyDescent="0.3">
      <c r="A837" s="4">
        <v>44709</v>
      </c>
      <c r="B837" s="5">
        <f t="shared" si="161"/>
        <v>5</v>
      </c>
      <c r="C837" s="5">
        <f t="shared" si="162"/>
        <v>2022</v>
      </c>
      <c r="D837" s="5" t="s">
        <v>798</v>
      </c>
      <c r="E837" s="5" t="str">
        <f>VLOOKUP(F837,'Set up'!$A$2:$C$48,2,FALSE)</f>
        <v>C00000021</v>
      </c>
      <c r="F837" s="1" t="s">
        <v>492</v>
      </c>
      <c r="G837" s="11" t="s">
        <v>717</v>
      </c>
      <c r="H837" s="5">
        <v>1</v>
      </c>
      <c r="I837" s="5" t="str">
        <f>VLOOKUP(F837,'Set up'!$A$2:$C$48,3,FALSE)</f>
        <v>Cash</v>
      </c>
      <c r="J837" s="5">
        <f>VLOOKUP(F837,'Set up'!$A$2:$D$48,4,FALSE)</f>
        <v>0</v>
      </c>
      <c r="K837" s="4">
        <f t="shared" si="155"/>
        <v>44709</v>
      </c>
      <c r="L837" s="5">
        <f t="shared" si="157"/>
        <v>5</v>
      </c>
      <c r="M837" s="5">
        <f t="shared" si="158"/>
        <v>2022</v>
      </c>
      <c r="N837" s="6">
        <v>2068</v>
      </c>
      <c r="O837" s="6">
        <f t="shared" ref="O837:O840" si="166">-N837</f>
        <v>-2068</v>
      </c>
      <c r="P837" s="6">
        <f t="shared" si="154"/>
        <v>0</v>
      </c>
      <c r="Q837" s="7">
        <f t="shared" si="165"/>
        <v>1505857.6500000004</v>
      </c>
      <c r="R837" s="44" t="str">
        <f>VLOOKUP(F837,'Set up'!$A$2:$E$48,5,FALSE)</f>
        <v>PD Chq</v>
      </c>
      <c r="S837" s="1" t="s">
        <v>973</v>
      </c>
    </row>
    <row r="838" spans="1:19" hidden="1" x14ac:dyDescent="0.3">
      <c r="A838" s="4">
        <v>44709</v>
      </c>
      <c r="B838" s="5">
        <f t="shared" si="161"/>
        <v>5</v>
      </c>
      <c r="C838" s="5">
        <f t="shared" si="162"/>
        <v>2022</v>
      </c>
      <c r="D838" s="5" t="s">
        <v>798</v>
      </c>
      <c r="E838" s="5" t="str">
        <f>VLOOKUP(F838,'Set up'!$A$2:$C$48,2,FALSE)</f>
        <v>C00000021</v>
      </c>
      <c r="F838" s="1" t="s">
        <v>492</v>
      </c>
      <c r="G838" s="11" t="s">
        <v>655</v>
      </c>
      <c r="H838" s="5">
        <v>3</v>
      </c>
      <c r="I838" s="5" t="str">
        <f>VLOOKUP(F838,'Set up'!$A$2:$C$48,3,FALSE)</f>
        <v>Cash</v>
      </c>
      <c r="J838" s="5">
        <f>VLOOKUP(F838,'Set up'!$A$2:$D$48,4,FALSE)</f>
        <v>0</v>
      </c>
      <c r="K838" s="4">
        <f t="shared" si="155"/>
        <v>44709</v>
      </c>
      <c r="L838" s="5">
        <f t="shared" si="157"/>
        <v>5</v>
      </c>
      <c r="M838" s="5">
        <f t="shared" si="158"/>
        <v>2022</v>
      </c>
      <c r="N838" s="6">
        <v>864</v>
      </c>
      <c r="O838" s="6">
        <f t="shared" si="166"/>
        <v>-864</v>
      </c>
      <c r="P838" s="6">
        <f t="shared" si="154"/>
        <v>0</v>
      </c>
      <c r="Q838" s="7">
        <f t="shared" si="165"/>
        <v>1506721.6500000004</v>
      </c>
      <c r="R838" s="44" t="str">
        <f>VLOOKUP(F838,'Set up'!$A$2:$E$48,5,FALSE)</f>
        <v>PD Chq</v>
      </c>
      <c r="S838" s="1" t="s">
        <v>973</v>
      </c>
    </row>
    <row r="839" spans="1:19" hidden="1" x14ac:dyDescent="0.3">
      <c r="A839" s="4">
        <v>44709</v>
      </c>
      <c r="B839" s="5">
        <f t="shared" si="161"/>
        <v>5</v>
      </c>
      <c r="C839" s="5">
        <f t="shared" si="162"/>
        <v>2022</v>
      </c>
      <c r="D839" s="5" t="s">
        <v>798</v>
      </c>
      <c r="E839" s="5" t="str">
        <f>VLOOKUP(F839,'Set up'!$A$2:$C$48,2,FALSE)</f>
        <v>C00000021</v>
      </c>
      <c r="F839" s="1" t="s">
        <v>492</v>
      </c>
      <c r="G839" s="11" t="s">
        <v>667</v>
      </c>
      <c r="H839" s="5">
        <v>1</v>
      </c>
      <c r="I839" s="5" t="str">
        <f>VLOOKUP(F839,'Set up'!$A$2:$C$48,3,FALSE)</f>
        <v>Cash</v>
      </c>
      <c r="J839" s="5">
        <f>VLOOKUP(F839,'Set up'!$A$2:$D$48,4,FALSE)</f>
        <v>0</v>
      </c>
      <c r="K839" s="4">
        <f t="shared" si="155"/>
        <v>44709</v>
      </c>
      <c r="L839" s="5">
        <f t="shared" si="157"/>
        <v>5</v>
      </c>
      <c r="M839" s="5">
        <f t="shared" si="158"/>
        <v>2022</v>
      </c>
      <c r="N839" s="6">
        <v>90</v>
      </c>
      <c r="O839" s="6">
        <f t="shared" si="166"/>
        <v>-90</v>
      </c>
      <c r="P839" s="6">
        <f t="shared" si="154"/>
        <v>0</v>
      </c>
      <c r="Q839" s="7">
        <f t="shared" si="165"/>
        <v>1506811.6500000004</v>
      </c>
      <c r="R839" s="44" t="str">
        <f>VLOOKUP(F839,'Set up'!$A$2:$E$48,5,FALSE)</f>
        <v>PD Chq</v>
      </c>
      <c r="S839" s="1" t="s">
        <v>973</v>
      </c>
    </row>
    <row r="840" spans="1:19" hidden="1" x14ac:dyDescent="0.3">
      <c r="A840" s="4">
        <v>44709</v>
      </c>
      <c r="B840" s="5">
        <f t="shared" si="161"/>
        <v>5</v>
      </c>
      <c r="C840" s="5">
        <f t="shared" si="162"/>
        <v>2022</v>
      </c>
      <c r="D840" s="5" t="s">
        <v>798</v>
      </c>
      <c r="E840" s="5" t="str">
        <f>VLOOKUP(F840,'Set up'!$A$2:$C$48,2,FALSE)</f>
        <v>C00000021</v>
      </c>
      <c r="F840" s="1" t="s">
        <v>492</v>
      </c>
      <c r="G840" s="11" t="s">
        <v>801</v>
      </c>
      <c r="H840" s="5">
        <v>1</v>
      </c>
      <c r="I840" s="5" t="str">
        <f>VLOOKUP(F840,'Set up'!$A$2:$C$48,3,FALSE)</f>
        <v>Cash</v>
      </c>
      <c r="J840" s="5">
        <f>VLOOKUP(F840,'Set up'!$A$2:$D$48,4,FALSE)</f>
        <v>0</v>
      </c>
      <c r="K840" s="4">
        <f t="shared" si="155"/>
        <v>44709</v>
      </c>
      <c r="L840" s="5">
        <f t="shared" si="157"/>
        <v>5</v>
      </c>
      <c r="M840" s="5">
        <f t="shared" si="158"/>
        <v>2022</v>
      </c>
      <c r="N840" s="6">
        <v>219</v>
      </c>
      <c r="O840" s="6">
        <f t="shared" si="166"/>
        <v>-219</v>
      </c>
      <c r="P840" s="6">
        <f t="shared" si="154"/>
        <v>0</v>
      </c>
      <c r="Q840" s="7">
        <f t="shared" si="165"/>
        <v>1507030.6500000004</v>
      </c>
      <c r="R840" s="44" t="str">
        <f>VLOOKUP(F840,'Set up'!$A$2:$E$48,5,FALSE)</f>
        <v>PD Chq</v>
      </c>
      <c r="S840" s="1" t="s">
        <v>973</v>
      </c>
    </row>
    <row r="841" spans="1:19" x14ac:dyDescent="0.3">
      <c r="A841" s="4">
        <v>44714</v>
      </c>
      <c r="B841" s="5">
        <f t="shared" si="161"/>
        <v>6</v>
      </c>
      <c r="C841" s="5">
        <f t="shared" si="162"/>
        <v>2022</v>
      </c>
      <c r="D841" s="5" t="s">
        <v>827</v>
      </c>
      <c r="E841" s="5" t="str">
        <f>VLOOKUP(F841,'Set up'!$A$2:$C$48,2,FALSE)</f>
        <v>C00000020</v>
      </c>
      <c r="F841" s="1" t="s">
        <v>410</v>
      </c>
      <c r="G841" s="11" t="s">
        <v>717</v>
      </c>
      <c r="H841" s="5">
        <v>4</v>
      </c>
      <c r="I841" s="5" t="str">
        <f>VLOOKUP(F841,'Set up'!$A$2:$C$48,3,FALSE)</f>
        <v>Cash</v>
      </c>
      <c r="J841" s="5">
        <f>VLOOKUP(F841,'Set up'!$A$2:$D$48,4,FALSE)</f>
        <v>0</v>
      </c>
      <c r="K841" s="4">
        <f t="shared" si="155"/>
        <v>44714</v>
      </c>
      <c r="L841" s="5">
        <f t="shared" si="157"/>
        <v>6</v>
      </c>
      <c r="M841" s="5">
        <f t="shared" si="158"/>
        <v>2022</v>
      </c>
      <c r="N841" s="6">
        <v>8360</v>
      </c>
      <c r="O841" s="6">
        <f>-1301.8-7058.2</f>
        <v>-8360</v>
      </c>
      <c r="P841" s="6">
        <f t="shared" si="154"/>
        <v>0</v>
      </c>
      <c r="Q841" s="7">
        <f t="shared" si="165"/>
        <v>1515390.6500000004</v>
      </c>
      <c r="R841" s="44" t="str">
        <f>VLOOKUP(F841,'Set up'!$A$2:$E$48,5,FALSE)</f>
        <v>Trsf</v>
      </c>
      <c r="S841" s="1" t="s">
        <v>1157</v>
      </c>
    </row>
    <row r="842" spans="1:19" x14ac:dyDescent="0.3">
      <c r="A842" s="4">
        <v>44714</v>
      </c>
      <c r="B842" s="5">
        <f t="shared" si="161"/>
        <v>6</v>
      </c>
      <c r="C842" s="5">
        <f t="shared" si="162"/>
        <v>2022</v>
      </c>
      <c r="D842" s="5" t="s">
        <v>827</v>
      </c>
      <c r="E842" s="5" t="str">
        <f>VLOOKUP(F842,'Set up'!$A$2:$C$48,2,FALSE)</f>
        <v>C00000020</v>
      </c>
      <c r="F842" s="1" t="s">
        <v>410</v>
      </c>
      <c r="G842" s="11" t="s">
        <v>655</v>
      </c>
      <c r="H842" s="5">
        <v>6</v>
      </c>
      <c r="I842" s="5" t="str">
        <f>VLOOKUP(F842,'Set up'!$A$2:$C$48,3,FALSE)</f>
        <v>Cash</v>
      </c>
      <c r="J842" s="5">
        <f>VLOOKUP(F842,'Set up'!$A$2:$D$48,4,FALSE)</f>
        <v>0</v>
      </c>
      <c r="K842" s="4">
        <f t="shared" si="155"/>
        <v>44714</v>
      </c>
      <c r="L842" s="5">
        <f t="shared" si="157"/>
        <v>6</v>
      </c>
      <c r="M842" s="5">
        <f t="shared" si="158"/>
        <v>2022</v>
      </c>
      <c r="N842" s="6">
        <v>1764</v>
      </c>
      <c r="O842" s="6">
        <f t="shared" ref="O842:O850" si="167">-N842</f>
        <v>-1764</v>
      </c>
      <c r="P842" s="6">
        <f t="shared" si="154"/>
        <v>0</v>
      </c>
      <c r="Q842" s="7">
        <f t="shared" si="165"/>
        <v>1517154.6500000004</v>
      </c>
      <c r="R842" s="44" t="str">
        <f>VLOOKUP(F842,'Set up'!$A$2:$E$48,5,FALSE)</f>
        <v>Trsf</v>
      </c>
      <c r="S842" s="1" t="s">
        <v>1158</v>
      </c>
    </row>
    <row r="843" spans="1:19" x14ac:dyDescent="0.3">
      <c r="A843" s="4">
        <v>44714</v>
      </c>
      <c r="B843" s="5">
        <f t="shared" si="161"/>
        <v>6</v>
      </c>
      <c r="C843" s="5">
        <f t="shared" si="162"/>
        <v>2022</v>
      </c>
      <c r="D843" s="5" t="s">
        <v>827</v>
      </c>
      <c r="E843" s="5" t="str">
        <f>VLOOKUP(F843,'Set up'!$A$2:$C$48,2,FALSE)</f>
        <v>C00000020</v>
      </c>
      <c r="F843" s="1" t="s">
        <v>410</v>
      </c>
      <c r="G843" s="11" t="s">
        <v>793</v>
      </c>
      <c r="H843" s="5">
        <v>3</v>
      </c>
      <c r="I843" s="5" t="str">
        <f>VLOOKUP(F843,'Set up'!$A$2:$C$48,3,FALSE)</f>
        <v>Cash</v>
      </c>
      <c r="J843" s="5">
        <f>VLOOKUP(F843,'Set up'!$A$2:$D$48,4,FALSE)</f>
        <v>0</v>
      </c>
      <c r="K843" s="4">
        <f t="shared" si="155"/>
        <v>44714</v>
      </c>
      <c r="L843" s="5">
        <f t="shared" si="157"/>
        <v>6</v>
      </c>
      <c r="M843" s="5">
        <f t="shared" si="158"/>
        <v>2022</v>
      </c>
      <c r="N843" s="6">
        <v>1053</v>
      </c>
      <c r="O843" s="6">
        <f t="shared" si="167"/>
        <v>-1053</v>
      </c>
      <c r="P843" s="6">
        <f t="shared" si="154"/>
        <v>0</v>
      </c>
      <c r="Q843" s="7">
        <f t="shared" si="165"/>
        <v>1518207.6500000004</v>
      </c>
      <c r="R843" s="44" t="str">
        <f>VLOOKUP(F843,'Set up'!$A$2:$E$48,5,FALSE)</f>
        <v>Trsf</v>
      </c>
      <c r="S843" s="1" t="s">
        <v>1158</v>
      </c>
    </row>
    <row r="844" spans="1:19" x14ac:dyDescent="0.3">
      <c r="A844" s="4">
        <v>44714</v>
      </c>
      <c r="B844" s="5">
        <f t="shared" si="161"/>
        <v>6</v>
      </c>
      <c r="C844" s="5">
        <f t="shared" si="162"/>
        <v>2022</v>
      </c>
      <c r="D844" s="5" t="s">
        <v>827</v>
      </c>
      <c r="E844" s="5" t="str">
        <f>VLOOKUP(F844,'Set up'!$A$2:$C$48,2,FALSE)</f>
        <v>C00000020</v>
      </c>
      <c r="F844" s="1" t="s">
        <v>410</v>
      </c>
      <c r="G844" s="11" t="s">
        <v>792</v>
      </c>
      <c r="H844" s="5">
        <v>4</v>
      </c>
      <c r="I844" s="5" t="str">
        <f>VLOOKUP(F844,'Set up'!$A$2:$C$48,3,FALSE)</f>
        <v>Cash</v>
      </c>
      <c r="J844" s="5">
        <f>VLOOKUP(F844,'Set up'!$A$2:$D$48,4,FALSE)</f>
        <v>0</v>
      </c>
      <c r="K844" s="4">
        <f t="shared" si="155"/>
        <v>44714</v>
      </c>
      <c r="L844" s="5">
        <f t="shared" si="157"/>
        <v>6</v>
      </c>
      <c r="M844" s="5">
        <f t="shared" si="158"/>
        <v>2022</v>
      </c>
      <c r="N844" s="6">
        <v>250</v>
      </c>
      <c r="O844" s="6">
        <f>-124.8-125.2</f>
        <v>-250</v>
      </c>
      <c r="P844" s="6">
        <f t="shared" si="154"/>
        <v>0</v>
      </c>
      <c r="Q844" s="7">
        <f t="shared" si="165"/>
        <v>1518457.6500000004</v>
      </c>
      <c r="R844" s="44" t="str">
        <f>VLOOKUP(F844,'Set up'!$A$2:$E$48,5,FALSE)</f>
        <v>Trsf</v>
      </c>
      <c r="S844" s="1" t="s">
        <v>1159</v>
      </c>
    </row>
    <row r="845" spans="1:19" x14ac:dyDescent="0.3">
      <c r="A845" s="4">
        <v>44714</v>
      </c>
      <c r="B845" s="5">
        <f t="shared" si="161"/>
        <v>6</v>
      </c>
      <c r="C845" s="5">
        <f t="shared" si="162"/>
        <v>2022</v>
      </c>
      <c r="D845" s="5" t="s">
        <v>827</v>
      </c>
      <c r="E845" s="5" t="str">
        <f>VLOOKUP(F845,'Set up'!$A$2:$C$48,2,FALSE)</f>
        <v>C00000020</v>
      </c>
      <c r="F845" s="1" t="s">
        <v>410</v>
      </c>
      <c r="G845" s="11" t="s">
        <v>660</v>
      </c>
      <c r="H845" s="5">
        <v>1</v>
      </c>
      <c r="I845" s="5" t="str">
        <f>VLOOKUP(F845,'Set up'!$A$2:$C$48,3,FALSE)</f>
        <v>Cash</v>
      </c>
      <c r="J845" s="5">
        <f>VLOOKUP(F845,'Set up'!$A$2:$D$48,4,FALSE)</f>
        <v>0</v>
      </c>
      <c r="K845" s="4">
        <f t="shared" si="155"/>
        <v>44714</v>
      </c>
      <c r="L845" s="5">
        <f t="shared" si="157"/>
        <v>6</v>
      </c>
      <c r="M845" s="5">
        <f t="shared" si="158"/>
        <v>2022</v>
      </c>
      <c r="N845" s="6">
        <v>1000</v>
      </c>
      <c r="O845" s="6">
        <f t="shared" si="167"/>
        <v>-1000</v>
      </c>
      <c r="P845" s="6">
        <f t="shared" si="154"/>
        <v>0</v>
      </c>
      <c r="Q845" s="7">
        <f t="shared" si="165"/>
        <v>1519457.6500000004</v>
      </c>
      <c r="R845" s="44" t="str">
        <f>VLOOKUP(F845,'Set up'!$A$2:$E$48,5,FALSE)</f>
        <v>Trsf</v>
      </c>
      <c r="S845" s="1" t="s">
        <v>1160</v>
      </c>
    </row>
    <row r="846" spans="1:19" hidden="1" x14ac:dyDescent="0.3">
      <c r="A846" s="4">
        <v>44715</v>
      </c>
      <c r="B846" s="5">
        <f t="shared" si="161"/>
        <v>6</v>
      </c>
      <c r="C846" s="5">
        <f t="shared" si="162"/>
        <v>2022</v>
      </c>
      <c r="D846" s="5" t="s">
        <v>828</v>
      </c>
      <c r="E846" s="5" t="str">
        <f>VLOOKUP(F846,'Set up'!$A$2:$C$48,2,FALSE)</f>
        <v>C00000022</v>
      </c>
      <c r="F846" s="1" t="s">
        <v>638</v>
      </c>
      <c r="G846" s="11" t="s">
        <v>95</v>
      </c>
      <c r="H846" s="5">
        <v>1</v>
      </c>
      <c r="I846" s="5" t="str">
        <f>VLOOKUP(F846,'Set up'!$A$2:$C$48,3,FALSE)</f>
        <v>Cash</v>
      </c>
      <c r="J846" s="5">
        <f>VLOOKUP(F846,'Set up'!$A$2:$D$48,4,FALSE)</f>
        <v>0</v>
      </c>
      <c r="K846" s="4">
        <f t="shared" si="155"/>
        <v>44715</v>
      </c>
      <c r="L846" s="5">
        <f t="shared" si="157"/>
        <v>6</v>
      </c>
      <c r="M846" s="5">
        <f t="shared" si="158"/>
        <v>2022</v>
      </c>
      <c r="N846" s="6">
        <v>2112</v>
      </c>
      <c r="O846" s="6">
        <f>-1682.1-429.9</f>
        <v>-2112</v>
      </c>
      <c r="P846" s="6">
        <f t="shared" si="154"/>
        <v>0</v>
      </c>
      <c r="Q846" s="7">
        <f t="shared" si="165"/>
        <v>1521569.6500000004</v>
      </c>
      <c r="R846" s="44" t="str">
        <f>VLOOKUP(F846,'Set up'!$A$2:$E$48,5,FALSE)</f>
        <v>Trsf</v>
      </c>
      <c r="S846" s="1" t="s">
        <v>982</v>
      </c>
    </row>
    <row r="847" spans="1:19" x14ac:dyDescent="0.3">
      <c r="A847" s="4">
        <v>44716</v>
      </c>
      <c r="B847" s="5">
        <f t="shared" si="161"/>
        <v>6</v>
      </c>
      <c r="C847" s="5">
        <f t="shared" si="162"/>
        <v>2022</v>
      </c>
      <c r="D847" s="5" t="s">
        <v>829</v>
      </c>
      <c r="E847" s="5" t="str">
        <f>VLOOKUP(F847,'Set up'!$A$2:$C$48,2,FALSE)</f>
        <v>C00000020</v>
      </c>
      <c r="F847" s="1" t="s">
        <v>410</v>
      </c>
      <c r="G847" s="11" t="s">
        <v>717</v>
      </c>
      <c r="H847" s="5">
        <v>2</v>
      </c>
      <c r="I847" s="5" t="str">
        <f>VLOOKUP(F847,'Set up'!$A$2:$C$48,3,FALSE)</f>
        <v>Cash</v>
      </c>
      <c r="J847" s="5">
        <f>VLOOKUP(F847,'Set up'!$A$2:$D$48,4,FALSE)</f>
        <v>0</v>
      </c>
      <c r="K847" s="4">
        <f t="shared" si="155"/>
        <v>44716</v>
      </c>
      <c r="L847" s="5">
        <f t="shared" si="157"/>
        <v>6</v>
      </c>
      <c r="M847" s="5">
        <f t="shared" si="158"/>
        <v>2022</v>
      </c>
      <c r="N847" s="6">
        <v>4180</v>
      </c>
      <c r="O847" s="6">
        <f t="shared" si="167"/>
        <v>-4180</v>
      </c>
      <c r="P847" s="6">
        <f t="shared" si="154"/>
        <v>0</v>
      </c>
      <c r="Q847" s="7">
        <f t="shared" si="165"/>
        <v>1525749.6500000004</v>
      </c>
      <c r="R847" s="44" t="str">
        <f>VLOOKUP(F847,'Set up'!$A$2:$E$48,5,FALSE)</f>
        <v>Trsf</v>
      </c>
      <c r="S847" s="1" t="s">
        <v>1160</v>
      </c>
    </row>
    <row r="848" spans="1:19" x14ac:dyDescent="0.3">
      <c r="A848" s="4">
        <v>44716</v>
      </c>
      <c r="B848" s="5">
        <f t="shared" si="161"/>
        <v>6</v>
      </c>
      <c r="C848" s="5">
        <f t="shared" si="162"/>
        <v>2022</v>
      </c>
      <c r="D848" s="5" t="s">
        <v>829</v>
      </c>
      <c r="E848" s="5" t="str">
        <f>VLOOKUP(F848,'Set up'!$A$2:$C$48,2,FALSE)</f>
        <v>C00000020</v>
      </c>
      <c r="F848" s="1" t="s">
        <v>410</v>
      </c>
      <c r="G848" s="11" t="s">
        <v>655</v>
      </c>
      <c r="H848" s="5">
        <v>10</v>
      </c>
      <c r="I848" s="5" t="str">
        <f>VLOOKUP(F848,'Set up'!$A$2:$C$48,3,FALSE)</f>
        <v>Cash</v>
      </c>
      <c r="J848" s="5">
        <f>VLOOKUP(F848,'Set up'!$A$2:$D$48,4,FALSE)</f>
        <v>0</v>
      </c>
      <c r="K848" s="4">
        <f t="shared" si="155"/>
        <v>44716</v>
      </c>
      <c r="L848" s="5">
        <f t="shared" si="157"/>
        <v>6</v>
      </c>
      <c r="M848" s="5">
        <f t="shared" si="158"/>
        <v>2022</v>
      </c>
      <c r="N848" s="6">
        <v>2940</v>
      </c>
      <c r="O848" s="6">
        <f t="shared" si="167"/>
        <v>-2940</v>
      </c>
      <c r="P848" s="6">
        <f t="shared" si="154"/>
        <v>0</v>
      </c>
      <c r="Q848" s="7">
        <f t="shared" si="165"/>
        <v>1528689.6500000004</v>
      </c>
      <c r="R848" s="44" t="str">
        <f>VLOOKUP(F848,'Set up'!$A$2:$E$48,5,FALSE)</f>
        <v>Trsf</v>
      </c>
      <c r="S848" s="1" t="s">
        <v>1160</v>
      </c>
    </row>
    <row r="849" spans="1:20" x14ac:dyDescent="0.3">
      <c r="A849" s="4">
        <v>44716</v>
      </c>
      <c r="B849" s="5">
        <f t="shared" si="161"/>
        <v>6</v>
      </c>
      <c r="C849" s="5">
        <f t="shared" si="162"/>
        <v>2022</v>
      </c>
      <c r="D849" s="5" t="s">
        <v>829</v>
      </c>
      <c r="E849" s="5" t="str">
        <f>VLOOKUP(F849,'Set up'!$A$2:$C$48,2,FALSE)</f>
        <v>C00000020</v>
      </c>
      <c r="F849" s="1" t="s">
        <v>410</v>
      </c>
      <c r="G849" s="11" t="s">
        <v>793</v>
      </c>
      <c r="H849" s="5">
        <v>5</v>
      </c>
      <c r="I849" s="5" t="str">
        <f>VLOOKUP(F849,'Set up'!$A$2:$C$48,3,FALSE)</f>
        <v>Cash</v>
      </c>
      <c r="J849" s="5">
        <f>VLOOKUP(F849,'Set up'!$A$2:$D$48,4,FALSE)</f>
        <v>0</v>
      </c>
      <c r="K849" s="4">
        <f t="shared" si="155"/>
        <v>44716</v>
      </c>
      <c r="L849" s="5">
        <f t="shared" si="157"/>
        <v>6</v>
      </c>
      <c r="M849" s="5">
        <f t="shared" si="158"/>
        <v>2022</v>
      </c>
      <c r="N849" s="6">
        <v>1755</v>
      </c>
      <c r="O849" s="6">
        <f>-1754.8-0.2</f>
        <v>-1755</v>
      </c>
      <c r="P849" s="6">
        <f t="shared" si="154"/>
        <v>0</v>
      </c>
      <c r="Q849" s="7">
        <f t="shared" si="165"/>
        <v>1530444.6500000004</v>
      </c>
      <c r="R849" s="44" t="str">
        <f>VLOOKUP(F849,'Set up'!$A$2:$E$48,5,FALSE)</f>
        <v>Trsf</v>
      </c>
      <c r="S849" s="1" t="s">
        <v>1161</v>
      </c>
    </row>
    <row r="850" spans="1:20" x14ac:dyDescent="0.3">
      <c r="A850" s="4">
        <v>44716</v>
      </c>
      <c r="B850" s="5">
        <f t="shared" si="161"/>
        <v>6</v>
      </c>
      <c r="C850" s="5">
        <f t="shared" si="162"/>
        <v>2022</v>
      </c>
      <c r="D850" s="5" t="s">
        <v>829</v>
      </c>
      <c r="E850" s="5" t="str">
        <f>VLOOKUP(F850,'Set up'!$A$2:$C$48,2,FALSE)</f>
        <v>C00000020</v>
      </c>
      <c r="F850" s="1" t="s">
        <v>410</v>
      </c>
      <c r="G850" s="11" t="s">
        <v>792</v>
      </c>
      <c r="H850" s="5">
        <v>2</v>
      </c>
      <c r="I850" s="5" t="str">
        <f>VLOOKUP(F850,'Set up'!$A$2:$C$48,3,FALSE)</f>
        <v>Cash</v>
      </c>
      <c r="J850" s="5">
        <f>VLOOKUP(F850,'Set up'!$A$2:$D$48,4,FALSE)</f>
        <v>0</v>
      </c>
      <c r="K850" s="4">
        <f t="shared" si="155"/>
        <v>44716</v>
      </c>
      <c r="L850" s="5">
        <f t="shared" si="157"/>
        <v>6</v>
      </c>
      <c r="M850" s="5">
        <f t="shared" si="158"/>
        <v>2022</v>
      </c>
      <c r="N850" s="6">
        <v>125</v>
      </c>
      <c r="O850" s="6">
        <f t="shared" si="167"/>
        <v>-125</v>
      </c>
      <c r="P850" s="6">
        <f t="shared" si="154"/>
        <v>0</v>
      </c>
      <c r="Q850" s="7">
        <f t="shared" si="165"/>
        <v>1530569.6500000004</v>
      </c>
      <c r="R850" s="44" t="str">
        <f>VLOOKUP(F850,'Set up'!$A$2:$E$48,5,FALSE)</f>
        <v>Trsf</v>
      </c>
      <c r="S850" s="1" t="s">
        <v>1162</v>
      </c>
    </row>
    <row r="851" spans="1:20" hidden="1" x14ac:dyDescent="0.3">
      <c r="A851" s="4">
        <v>44719</v>
      </c>
      <c r="B851" s="5">
        <f t="shared" si="161"/>
        <v>6</v>
      </c>
      <c r="C851" s="5">
        <f t="shared" si="162"/>
        <v>2022</v>
      </c>
      <c r="D851" s="5" t="s">
        <v>830</v>
      </c>
      <c r="E851" s="5" t="str">
        <f>VLOOKUP(F851,'Set up'!$A$2:$C$48,2,FALSE)</f>
        <v>C00000001</v>
      </c>
      <c r="F851" s="1" t="s">
        <v>7</v>
      </c>
      <c r="G851" s="11" t="s">
        <v>717</v>
      </c>
      <c r="H851" s="5">
        <v>1</v>
      </c>
      <c r="I851" s="5" t="str">
        <f>VLOOKUP(F851,'Set up'!$A$2:$C$48,3,FALSE)</f>
        <v>Cash</v>
      </c>
      <c r="J851" s="5">
        <f>VLOOKUP(F851,'Set up'!$A$2:$D$48,4,FALSE)</f>
        <v>0</v>
      </c>
      <c r="K851" s="4">
        <f t="shared" si="155"/>
        <v>44719</v>
      </c>
      <c r="L851" s="5">
        <f t="shared" si="157"/>
        <v>6</v>
      </c>
      <c r="M851" s="5">
        <f t="shared" si="158"/>
        <v>2022</v>
      </c>
      <c r="N851" s="6">
        <v>2068</v>
      </c>
      <c r="O851" s="6">
        <f>-N851</f>
        <v>-2068</v>
      </c>
      <c r="P851" s="6">
        <f t="shared" si="154"/>
        <v>0</v>
      </c>
      <c r="Q851" s="7">
        <f t="shared" si="165"/>
        <v>1532637.6500000004</v>
      </c>
      <c r="R851" s="44" t="str">
        <f>VLOOKUP(F851,'Set up'!$A$2:$E$48,5,FALSE)</f>
        <v>Trsf</v>
      </c>
      <c r="S851" s="1" t="s">
        <v>841</v>
      </c>
    </row>
    <row r="852" spans="1:20" hidden="1" x14ac:dyDescent="0.3">
      <c r="A852" s="4">
        <v>44719</v>
      </c>
      <c r="B852" s="5">
        <f t="shared" si="161"/>
        <v>6</v>
      </c>
      <c r="C852" s="5">
        <f t="shared" si="162"/>
        <v>2022</v>
      </c>
      <c r="D852" s="5" t="s">
        <v>830</v>
      </c>
      <c r="E852" s="5" t="str">
        <f>VLOOKUP(F852,'Set up'!$A$2:$C$48,2,FALSE)</f>
        <v>C00000001</v>
      </c>
      <c r="F852" s="1" t="s">
        <v>7</v>
      </c>
      <c r="G852" s="11" t="s">
        <v>831</v>
      </c>
      <c r="H852" s="5">
        <v>1</v>
      </c>
      <c r="I852" s="5" t="str">
        <f>VLOOKUP(F852,'Set up'!$A$2:$C$48,3,FALSE)</f>
        <v>Cash</v>
      </c>
      <c r="J852" s="5">
        <f>VLOOKUP(F852,'Set up'!$A$2:$D$48,4,FALSE)</f>
        <v>0</v>
      </c>
      <c r="K852" s="4">
        <f t="shared" si="155"/>
        <v>44719</v>
      </c>
      <c r="L852" s="5">
        <f t="shared" si="157"/>
        <v>6</v>
      </c>
      <c r="M852" s="5">
        <f t="shared" si="158"/>
        <v>2022</v>
      </c>
      <c r="N852" s="6">
        <v>288</v>
      </c>
      <c r="O852" s="6">
        <f>-N852</f>
        <v>-288</v>
      </c>
      <c r="P852" s="6">
        <f t="shared" si="154"/>
        <v>0</v>
      </c>
      <c r="Q852" s="7">
        <f t="shared" si="165"/>
        <v>1532925.6500000004</v>
      </c>
      <c r="R852" s="44" t="str">
        <f>VLOOKUP(F852,'Set up'!$A$2:$E$48,5,FALSE)</f>
        <v>Trsf</v>
      </c>
      <c r="S852" s="1" t="s">
        <v>841</v>
      </c>
    </row>
    <row r="853" spans="1:20" hidden="1" x14ac:dyDescent="0.3">
      <c r="A853" s="4">
        <v>44721</v>
      </c>
      <c r="B853" s="5">
        <f t="shared" si="161"/>
        <v>6</v>
      </c>
      <c r="C853" s="5">
        <f t="shared" si="162"/>
        <v>2022</v>
      </c>
      <c r="D853" s="5" t="s">
        <v>832</v>
      </c>
      <c r="E853" s="5" t="str">
        <f>VLOOKUP(F853,'Set up'!$A$2:$C$48,2,FALSE)</f>
        <v>C00000010</v>
      </c>
      <c r="F853" s="1" t="s">
        <v>62</v>
      </c>
      <c r="G853" s="11" t="s">
        <v>723</v>
      </c>
      <c r="H853" s="5">
        <v>5</v>
      </c>
      <c r="I853" s="5">
        <f>VLOOKUP(F853,'Set up'!$A$2:$C$48,3,FALSE)</f>
        <v>120</v>
      </c>
      <c r="J853" s="5">
        <f>VLOOKUP(F853,'Set up'!$A$2:$D$48,4,FALSE)</f>
        <v>120</v>
      </c>
      <c r="K853" s="4">
        <f t="shared" si="155"/>
        <v>44841</v>
      </c>
      <c r="L853" s="5">
        <f t="shared" si="157"/>
        <v>10</v>
      </c>
      <c r="M853" s="5">
        <f t="shared" si="158"/>
        <v>2022</v>
      </c>
      <c r="N853" s="6">
        <v>9900</v>
      </c>
      <c r="O853" s="6">
        <f t="shared" ref="O853:O857" si="168">-N853</f>
        <v>-9900</v>
      </c>
      <c r="P853" s="6">
        <f t="shared" ref="P853:P916" si="169">SUM(N853+O853)</f>
        <v>0</v>
      </c>
      <c r="Q853" s="7">
        <f t="shared" si="165"/>
        <v>1542825.6500000004</v>
      </c>
      <c r="R853" s="44" t="str">
        <f>VLOOKUP(F853,'Set up'!$A$2:$E$48,5,FALSE)</f>
        <v>Trsf</v>
      </c>
      <c r="S853" s="1" t="s">
        <v>978</v>
      </c>
      <c r="T853" s="91"/>
    </row>
    <row r="854" spans="1:20" hidden="1" x14ac:dyDescent="0.3">
      <c r="A854" s="4">
        <v>44721</v>
      </c>
      <c r="B854" s="5">
        <f t="shared" si="161"/>
        <v>6</v>
      </c>
      <c r="C854" s="5">
        <f t="shared" si="162"/>
        <v>2022</v>
      </c>
      <c r="D854" s="5" t="s">
        <v>832</v>
      </c>
      <c r="E854" s="5" t="str">
        <f>VLOOKUP(F854,'Set up'!$A$2:$C$48,2,FALSE)</f>
        <v>C00000010</v>
      </c>
      <c r="F854" s="1" t="s">
        <v>62</v>
      </c>
      <c r="G854" s="11" t="s">
        <v>655</v>
      </c>
      <c r="H854" s="5">
        <v>5</v>
      </c>
      <c r="I854" s="5">
        <f>VLOOKUP(F854,'Set up'!$A$2:$C$48,3,FALSE)</f>
        <v>120</v>
      </c>
      <c r="J854" s="5">
        <f>VLOOKUP(F854,'Set up'!$A$2:$D$48,4,FALSE)</f>
        <v>120</v>
      </c>
      <c r="K854" s="4">
        <f t="shared" si="155"/>
        <v>44841</v>
      </c>
      <c r="L854" s="5">
        <f t="shared" si="157"/>
        <v>10</v>
      </c>
      <c r="M854" s="5">
        <f t="shared" si="158"/>
        <v>2022</v>
      </c>
      <c r="N854" s="6">
        <v>1425</v>
      </c>
      <c r="O854" s="6">
        <f t="shared" si="168"/>
        <v>-1425</v>
      </c>
      <c r="P854" s="6">
        <f t="shared" si="169"/>
        <v>0</v>
      </c>
      <c r="Q854" s="7">
        <f t="shared" si="165"/>
        <v>1544250.6500000004</v>
      </c>
      <c r="R854" s="44" t="str">
        <f>VLOOKUP(F854,'Set up'!$A$2:$E$48,5,FALSE)</f>
        <v>Trsf</v>
      </c>
      <c r="S854" s="1" t="s">
        <v>978</v>
      </c>
    </row>
    <row r="855" spans="1:20" hidden="1" x14ac:dyDescent="0.3">
      <c r="A855" s="4">
        <v>44721</v>
      </c>
      <c r="B855" s="5">
        <f t="shared" si="161"/>
        <v>6</v>
      </c>
      <c r="C855" s="5">
        <f t="shared" si="162"/>
        <v>2022</v>
      </c>
      <c r="D855" s="5" t="s">
        <v>832</v>
      </c>
      <c r="E855" s="5" t="str">
        <f>VLOOKUP(F855,'Set up'!$A$2:$C$48,2,FALSE)</f>
        <v>C00000010</v>
      </c>
      <c r="F855" s="1" t="s">
        <v>62</v>
      </c>
      <c r="G855" s="11" t="s">
        <v>792</v>
      </c>
      <c r="H855" s="5">
        <v>10</v>
      </c>
      <c r="I855" s="5">
        <f>VLOOKUP(F855,'Set up'!$A$2:$C$48,3,FALSE)</f>
        <v>120</v>
      </c>
      <c r="J855" s="5">
        <f>VLOOKUP(F855,'Set up'!$A$2:$D$48,4,FALSE)</f>
        <v>120</v>
      </c>
      <c r="K855" s="4">
        <f t="shared" si="155"/>
        <v>44841</v>
      </c>
      <c r="L855" s="5">
        <f t="shared" si="157"/>
        <v>10</v>
      </c>
      <c r="M855" s="5">
        <f t="shared" si="158"/>
        <v>2022</v>
      </c>
      <c r="N855" s="6">
        <v>550</v>
      </c>
      <c r="O855" s="6">
        <f t="shared" si="168"/>
        <v>-550</v>
      </c>
      <c r="P855" s="6">
        <f t="shared" si="169"/>
        <v>0</v>
      </c>
      <c r="Q855" s="7">
        <f t="shared" si="165"/>
        <v>1544800.6500000004</v>
      </c>
      <c r="R855" s="44" t="str">
        <f>VLOOKUP(F855,'Set up'!$A$2:$E$48,5,FALSE)</f>
        <v>Trsf</v>
      </c>
      <c r="S855" s="1" t="s">
        <v>978</v>
      </c>
    </row>
    <row r="856" spans="1:20" hidden="1" x14ac:dyDescent="0.3">
      <c r="A856" s="4">
        <v>44721</v>
      </c>
      <c r="B856" s="5">
        <f t="shared" si="161"/>
        <v>6</v>
      </c>
      <c r="C856" s="5">
        <f t="shared" si="162"/>
        <v>2022</v>
      </c>
      <c r="D856" s="5" t="s">
        <v>832</v>
      </c>
      <c r="E856" s="5" t="str">
        <f>VLOOKUP(F856,'Set up'!$A$2:$C$48,2,FALSE)</f>
        <v>C00000010</v>
      </c>
      <c r="F856" s="1" t="s">
        <v>62</v>
      </c>
      <c r="G856" s="11" t="s">
        <v>567</v>
      </c>
      <c r="H856" s="5">
        <v>4</v>
      </c>
      <c r="I856" s="5">
        <f>VLOOKUP(F856,'Set up'!$A$2:$C$48,3,FALSE)</f>
        <v>120</v>
      </c>
      <c r="J856" s="5">
        <f>VLOOKUP(F856,'Set up'!$A$2:$D$48,4,FALSE)</f>
        <v>120</v>
      </c>
      <c r="K856" s="4">
        <f t="shared" ref="K856:K919" si="170">A856+J856</f>
        <v>44841</v>
      </c>
      <c r="L856" s="5">
        <f t="shared" si="157"/>
        <v>10</v>
      </c>
      <c r="M856" s="5">
        <f t="shared" si="158"/>
        <v>2022</v>
      </c>
      <c r="N856" s="6">
        <v>420</v>
      </c>
      <c r="O856" s="6">
        <f t="shared" si="168"/>
        <v>-420</v>
      </c>
      <c r="P856" s="6">
        <f t="shared" si="169"/>
        <v>0</v>
      </c>
      <c r="Q856" s="7">
        <f t="shared" si="165"/>
        <v>1545220.6500000004</v>
      </c>
      <c r="R856" s="44" t="str">
        <f>VLOOKUP(F856,'Set up'!$A$2:$E$48,5,FALSE)</f>
        <v>Trsf</v>
      </c>
      <c r="S856" s="1" t="s">
        <v>978</v>
      </c>
    </row>
    <row r="857" spans="1:20" hidden="1" x14ac:dyDescent="0.3">
      <c r="A857" s="4">
        <v>44721</v>
      </c>
      <c r="B857" s="5">
        <f t="shared" si="161"/>
        <v>6</v>
      </c>
      <c r="C857" s="5">
        <f t="shared" si="162"/>
        <v>2022</v>
      </c>
      <c r="D857" s="5" t="s">
        <v>832</v>
      </c>
      <c r="E857" s="5" t="str">
        <f>VLOOKUP(F857,'Set up'!$A$2:$C$48,2,FALSE)</f>
        <v>C00000010</v>
      </c>
      <c r="F857" s="1" t="s">
        <v>62</v>
      </c>
      <c r="G857" s="11" t="s">
        <v>615</v>
      </c>
      <c r="H857" s="5">
        <v>1</v>
      </c>
      <c r="I857" s="5">
        <f>VLOOKUP(F857,'Set up'!$A$2:$C$48,3,FALSE)</f>
        <v>120</v>
      </c>
      <c r="J857" s="5">
        <f>VLOOKUP(F857,'Set up'!$A$2:$D$48,4,FALSE)</f>
        <v>120</v>
      </c>
      <c r="K857" s="4">
        <f t="shared" si="170"/>
        <v>44841</v>
      </c>
      <c r="L857" s="5">
        <f t="shared" si="157"/>
        <v>10</v>
      </c>
      <c r="M857" s="5">
        <f t="shared" si="158"/>
        <v>2022</v>
      </c>
      <c r="N857" s="6">
        <v>395</v>
      </c>
      <c r="O857" s="6">
        <f t="shared" si="168"/>
        <v>-395</v>
      </c>
      <c r="P857" s="6">
        <f t="shared" si="169"/>
        <v>0</v>
      </c>
      <c r="Q857" s="7">
        <f t="shared" si="165"/>
        <v>1545615.6500000004</v>
      </c>
      <c r="R857" s="44" t="str">
        <f>VLOOKUP(F857,'Set up'!$A$2:$E$48,5,FALSE)</f>
        <v>Trsf</v>
      </c>
      <c r="S857" s="1" t="s">
        <v>978</v>
      </c>
    </row>
    <row r="858" spans="1:20" hidden="1" x14ac:dyDescent="0.3">
      <c r="A858" s="4">
        <v>44721</v>
      </c>
      <c r="B858" s="5">
        <f t="shared" si="161"/>
        <v>6</v>
      </c>
      <c r="C858" s="5">
        <f t="shared" si="162"/>
        <v>2022</v>
      </c>
      <c r="D858" s="5" t="s">
        <v>833</v>
      </c>
      <c r="E858" s="5" t="str">
        <f>VLOOKUP(F858,'Set up'!$A$2:$C$48,2,FALSE)</f>
        <v>C00000022</v>
      </c>
      <c r="F858" s="1" t="s">
        <v>638</v>
      </c>
      <c r="G858" s="11" t="s">
        <v>95</v>
      </c>
      <c r="H858" s="5">
        <v>1</v>
      </c>
      <c r="I858" s="5" t="str">
        <f>VLOOKUP(F858,'Set up'!$A$2:$C$48,3,FALSE)</f>
        <v>Cash</v>
      </c>
      <c r="J858" s="5">
        <f>VLOOKUP(F858,'Set up'!$A$2:$D$48,4,FALSE)</f>
        <v>0</v>
      </c>
      <c r="K858" s="4">
        <f t="shared" si="170"/>
        <v>44721</v>
      </c>
      <c r="L858" s="5">
        <f t="shared" si="157"/>
        <v>6</v>
      </c>
      <c r="M858" s="5">
        <f t="shared" si="158"/>
        <v>2022</v>
      </c>
      <c r="N858" s="6">
        <v>2112</v>
      </c>
      <c r="O858" s="6">
        <f>-570.1-1541.9</f>
        <v>-2112</v>
      </c>
      <c r="P858" s="6">
        <f t="shared" si="169"/>
        <v>0</v>
      </c>
      <c r="Q858" s="7">
        <f t="shared" si="165"/>
        <v>1547727.6500000004</v>
      </c>
      <c r="R858" s="44" t="str">
        <f>VLOOKUP(F858,'Set up'!$A$2:$E$48,5,FALSE)</f>
        <v>Trsf</v>
      </c>
      <c r="S858" s="1" t="s">
        <v>984</v>
      </c>
    </row>
    <row r="859" spans="1:20" hidden="1" x14ac:dyDescent="0.3">
      <c r="A859" s="4">
        <v>44722</v>
      </c>
      <c r="B859" s="5">
        <f t="shared" si="161"/>
        <v>6</v>
      </c>
      <c r="C859" s="5">
        <f t="shared" si="162"/>
        <v>2022</v>
      </c>
      <c r="D859" s="5" t="s">
        <v>834</v>
      </c>
      <c r="E859" s="5" t="str">
        <f>VLOOKUP(F859,'Set up'!$A$2:$C$48,2,FALSE)</f>
        <v>C00000021</v>
      </c>
      <c r="F859" s="1" t="s">
        <v>492</v>
      </c>
      <c r="G859" s="11" t="s">
        <v>717</v>
      </c>
      <c r="H859" s="5">
        <v>1</v>
      </c>
      <c r="I859" s="5" t="str">
        <f>VLOOKUP(F859,'Set up'!$A$2:$C$48,3,FALSE)</f>
        <v>Cash</v>
      </c>
      <c r="J859" s="5">
        <f>VLOOKUP(F859,'Set up'!$A$2:$D$48,4,FALSE)</f>
        <v>0</v>
      </c>
      <c r="K859" s="4">
        <f t="shared" si="170"/>
        <v>44722</v>
      </c>
      <c r="L859" s="5">
        <f t="shared" si="157"/>
        <v>6</v>
      </c>
      <c r="M859" s="5">
        <f t="shared" si="158"/>
        <v>2022</v>
      </c>
      <c r="N859" s="6">
        <v>2068</v>
      </c>
      <c r="O859" s="6">
        <f t="shared" ref="O859:O864" si="171">-N859</f>
        <v>-2068</v>
      </c>
      <c r="P859" s="6">
        <f t="shared" si="169"/>
        <v>0</v>
      </c>
      <c r="Q859" s="7">
        <f t="shared" si="165"/>
        <v>1549795.6500000004</v>
      </c>
      <c r="R859" s="44" t="str">
        <f>VLOOKUP(F859,'Set up'!$A$2:$E$48,5,FALSE)</f>
        <v>PD Chq</v>
      </c>
      <c r="S859" s="1" t="s">
        <v>976</v>
      </c>
    </row>
    <row r="860" spans="1:20" hidden="1" x14ac:dyDescent="0.3">
      <c r="A860" s="4">
        <v>44722</v>
      </c>
      <c r="B860" s="5">
        <f t="shared" si="161"/>
        <v>6</v>
      </c>
      <c r="C860" s="5">
        <f t="shared" si="162"/>
        <v>2022</v>
      </c>
      <c r="D860" s="5" t="s">
        <v>834</v>
      </c>
      <c r="E860" s="5" t="str">
        <f>VLOOKUP(F860,'Set up'!$A$2:$C$48,2,FALSE)</f>
        <v>C00000021</v>
      </c>
      <c r="F860" s="1" t="s">
        <v>492</v>
      </c>
      <c r="G860" s="11" t="s">
        <v>655</v>
      </c>
      <c r="H860" s="5">
        <v>2</v>
      </c>
      <c r="I860" s="5" t="str">
        <f>VLOOKUP(F860,'Set up'!$A$2:$C$48,3,FALSE)</f>
        <v>Cash</v>
      </c>
      <c r="J860" s="5">
        <f>VLOOKUP(F860,'Set up'!$A$2:$D$48,4,FALSE)</f>
        <v>0</v>
      </c>
      <c r="K860" s="4">
        <f t="shared" si="170"/>
        <v>44722</v>
      </c>
      <c r="L860" s="5">
        <f t="shared" si="157"/>
        <v>6</v>
      </c>
      <c r="M860" s="5">
        <f t="shared" si="158"/>
        <v>2022</v>
      </c>
      <c r="N860" s="6">
        <v>588</v>
      </c>
      <c r="O860" s="6">
        <f t="shared" si="171"/>
        <v>-588</v>
      </c>
      <c r="P860" s="6">
        <f t="shared" si="169"/>
        <v>0</v>
      </c>
      <c r="Q860" s="7">
        <f t="shared" si="165"/>
        <v>1550383.6500000004</v>
      </c>
      <c r="R860" s="44" t="str">
        <f>VLOOKUP(F860,'Set up'!$A$2:$E$48,5,FALSE)</f>
        <v>PD Chq</v>
      </c>
      <c r="S860" s="1" t="s">
        <v>976</v>
      </c>
    </row>
    <row r="861" spans="1:20" hidden="1" x14ac:dyDescent="0.3">
      <c r="A861" s="4">
        <v>44722</v>
      </c>
      <c r="B861" s="5">
        <f t="shared" si="161"/>
        <v>6</v>
      </c>
      <c r="C861" s="5">
        <f t="shared" si="162"/>
        <v>2022</v>
      </c>
      <c r="D861" s="5" t="s">
        <v>834</v>
      </c>
      <c r="E861" s="5" t="str">
        <f>VLOOKUP(F861,'Set up'!$A$2:$C$48,2,FALSE)</f>
        <v>C00000021</v>
      </c>
      <c r="F861" s="1" t="s">
        <v>492</v>
      </c>
      <c r="G861" s="11" t="s">
        <v>667</v>
      </c>
      <c r="H861" s="5">
        <v>1</v>
      </c>
      <c r="I861" s="5" t="str">
        <f>VLOOKUP(F861,'Set up'!$A$2:$C$48,3,FALSE)</f>
        <v>Cash</v>
      </c>
      <c r="J861" s="5">
        <f>VLOOKUP(F861,'Set up'!$A$2:$D$48,4,FALSE)</f>
        <v>0</v>
      </c>
      <c r="K861" s="4">
        <f t="shared" si="170"/>
        <v>44722</v>
      </c>
      <c r="L861" s="5">
        <f t="shared" si="157"/>
        <v>6</v>
      </c>
      <c r="M861" s="5">
        <f t="shared" si="158"/>
        <v>2022</v>
      </c>
      <c r="N861" s="6">
        <v>90</v>
      </c>
      <c r="O861" s="6">
        <f t="shared" si="171"/>
        <v>-90</v>
      </c>
      <c r="P861" s="6">
        <f t="shared" si="169"/>
        <v>0</v>
      </c>
      <c r="Q861" s="7">
        <f t="shared" si="165"/>
        <v>1550473.6500000004</v>
      </c>
      <c r="R861" s="44" t="str">
        <f>VLOOKUP(F861,'Set up'!$A$2:$E$48,5,FALSE)</f>
        <v>PD Chq</v>
      </c>
      <c r="S861" s="1" t="s">
        <v>976</v>
      </c>
    </row>
    <row r="862" spans="1:20" x14ac:dyDescent="0.3">
      <c r="A862" s="4">
        <v>44723</v>
      </c>
      <c r="B862" s="5">
        <f t="shared" si="161"/>
        <v>6</v>
      </c>
      <c r="C862" s="5">
        <f t="shared" si="162"/>
        <v>2022</v>
      </c>
      <c r="D862" s="5" t="s">
        <v>835</v>
      </c>
      <c r="E862" s="5" t="str">
        <f>VLOOKUP(F862,'Set up'!$A$2:$C$48,2,FALSE)</f>
        <v>C00000020</v>
      </c>
      <c r="F862" s="1" t="s">
        <v>410</v>
      </c>
      <c r="G862" s="11" t="s">
        <v>717</v>
      </c>
      <c r="H862" s="5">
        <v>2</v>
      </c>
      <c r="I862" s="5" t="str">
        <f>VLOOKUP(F862,'Set up'!$A$2:$C$48,3,FALSE)</f>
        <v>Cash</v>
      </c>
      <c r="J862" s="5">
        <f>VLOOKUP(F862,'Set up'!$A$2:$D$48,4,FALSE)</f>
        <v>0</v>
      </c>
      <c r="K862" s="4">
        <f t="shared" si="170"/>
        <v>44723</v>
      </c>
      <c r="L862" s="5">
        <f t="shared" si="157"/>
        <v>6</v>
      </c>
      <c r="M862" s="5">
        <f t="shared" si="158"/>
        <v>2022</v>
      </c>
      <c r="N862" s="6">
        <v>4180</v>
      </c>
      <c r="O862" s="6">
        <f t="shared" si="171"/>
        <v>-4180</v>
      </c>
      <c r="P862" s="6">
        <f t="shared" si="169"/>
        <v>0</v>
      </c>
      <c r="Q862" s="7">
        <f t="shared" si="165"/>
        <v>1554653.6500000004</v>
      </c>
      <c r="R862" s="44" t="str">
        <f>VLOOKUP(F862,'Set up'!$A$2:$E$48,5,FALSE)</f>
        <v>Trsf</v>
      </c>
      <c r="S862" s="1" t="s">
        <v>1162</v>
      </c>
    </row>
    <row r="863" spans="1:20" x14ac:dyDescent="0.3">
      <c r="A863" s="4">
        <v>44723</v>
      </c>
      <c r="B863" s="5">
        <f t="shared" si="161"/>
        <v>6</v>
      </c>
      <c r="C863" s="5">
        <f t="shared" si="162"/>
        <v>2022</v>
      </c>
      <c r="D863" s="5" t="s">
        <v>835</v>
      </c>
      <c r="E863" s="5" t="str">
        <f>VLOOKUP(F863,'Set up'!$A$2:$C$48,2,FALSE)</f>
        <v>C00000020</v>
      </c>
      <c r="F863" s="1" t="s">
        <v>410</v>
      </c>
      <c r="G863" s="11" t="s">
        <v>655</v>
      </c>
      <c r="H863" s="5">
        <v>1</v>
      </c>
      <c r="I863" s="5" t="str">
        <f>VLOOKUP(F863,'Set up'!$A$2:$C$48,3,FALSE)</f>
        <v>Cash</v>
      </c>
      <c r="J863" s="5">
        <f>VLOOKUP(F863,'Set up'!$A$2:$D$48,4,FALSE)</f>
        <v>0</v>
      </c>
      <c r="K863" s="4">
        <f t="shared" si="170"/>
        <v>44723</v>
      </c>
      <c r="L863" s="5">
        <f t="shared" ref="L863:L926" si="172">MONTH(K863)</f>
        <v>6</v>
      </c>
      <c r="M863" s="5">
        <f t="shared" ref="M863:M926" si="173">YEAR(K863)</f>
        <v>2022</v>
      </c>
      <c r="N863" s="6">
        <v>294</v>
      </c>
      <c r="O863" s="6">
        <f t="shared" si="171"/>
        <v>-294</v>
      </c>
      <c r="P863" s="6">
        <f t="shared" si="169"/>
        <v>0</v>
      </c>
      <c r="Q863" s="7">
        <f t="shared" si="165"/>
        <v>1554947.6500000004</v>
      </c>
      <c r="R863" s="44" t="str">
        <f>VLOOKUP(F863,'Set up'!$A$2:$E$48,5,FALSE)</f>
        <v>Trsf</v>
      </c>
      <c r="S863" s="1" t="s">
        <v>1162</v>
      </c>
    </row>
    <row r="864" spans="1:20" x14ac:dyDescent="0.3">
      <c r="A864" s="4">
        <v>44723</v>
      </c>
      <c r="B864" s="5">
        <f t="shared" si="161"/>
        <v>6</v>
      </c>
      <c r="C864" s="5">
        <f t="shared" si="162"/>
        <v>2022</v>
      </c>
      <c r="D864" s="5" t="s">
        <v>835</v>
      </c>
      <c r="E864" s="5" t="str">
        <f>VLOOKUP(F864,'Set up'!$A$2:$C$48,2,FALSE)</f>
        <v>C00000020</v>
      </c>
      <c r="F864" s="1" t="s">
        <v>410</v>
      </c>
      <c r="G864" s="11" t="s">
        <v>793</v>
      </c>
      <c r="H864" s="5">
        <v>1</v>
      </c>
      <c r="I864" s="5" t="str">
        <f>VLOOKUP(F864,'Set up'!$A$2:$C$48,3,FALSE)</f>
        <v>Cash</v>
      </c>
      <c r="J864" s="5">
        <f>VLOOKUP(F864,'Set up'!$A$2:$D$48,4,FALSE)</f>
        <v>0</v>
      </c>
      <c r="K864" s="4">
        <f t="shared" si="170"/>
        <v>44723</v>
      </c>
      <c r="L864" s="5">
        <f t="shared" si="172"/>
        <v>6</v>
      </c>
      <c r="M864" s="5">
        <f t="shared" si="173"/>
        <v>2022</v>
      </c>
      <c r="N864" s="6">
        <v>351</v>
      </c>
      <c r="O864" s="6">
        <f t="shared" si="171"/>
        <v>-351</v>
      </c>
      <c r="P864" s="6">
        <f t="shared" si="169"/>
        <v>0</v>
      </c>
      <c r="Q864" s="7">
        <f t="shared" si="165"/>
        <v>1555298.6500000004</v>
      </c>
      <c r="R864" s="44" t="str">
        <f>VLOOKUP(F864,'Set up'!$A$2:$E$48,5,FALSE)</f>
        <v>Trsf</v>
      </c>
      <c r="S864" s="1" t="s">
        <v>1162</v>
      </c>
    </row>
    <row r="865" spans="1:19" x14ac:dyDescent="0.3">
      <c r="A865" s="4">
        <v>44723</v>
      </c>
      <c r="B865" s="5">
        <f t="shared" si="161"/>
        <v>6</v>
      </c>
      <c r="C865" s="5">
        <f t="shared" si="162"/>
        <v>2022</v>
      </c>
      <c r="D865" s="5" t="s">
        <v>835</v>
      </c>
      <c r="E865" s="5" t="str">
        <f>VLOOKUP(F865,'Set up'!$A$2:$C$48,2,FALSE)</f>
        <v>C00000020</v>
      </c>
      <c r="F865" s="1" t="s">
        <v>410</v>
      </c>
      <c r="G865" s="11" t="s">
        <v>792</v>
      </c>
      <c r="H865" s="5">
        <v>2</v>
      </c>
      <c r="I865" s="5" t="str">
        <f>VLOOKUP(F865,'Set up'!$A$2:$C$48,3,FALSE)</f>
        <v>Cash</v>
      </c>
      <c r="J865" s="5">
        <f>VLOOKUP(F865,'Set up'!$A$2:$D$48,4,FALSE)</f>
        <v>0</v>
      </c>
      <c r="K865" s="4">
        <f t="shared" si="170"/>
        <v>44723</v>
      </c>
      <c r="L865" s="5">
        <f t="shared" si="172"/>
        <v>6</v>
      </c>
      <c r="M865" s="5">
        <f t="shared" si="173"/>
        <v>2022</v>
      </c>
      <c r="N865" s="6">
        <v>125</v>
      </c>
      <c r="O865" s="6">
        <f>-49.8-75.2</f>
        <v>-125</v>
      </c>
      <c r="P865" s="6">
        <f t="shared" si="169"/>
        <v>0</v>
      </c>
      <c r="Q865" s="7">
        <f t="shared" si="165"/>
        <v>1555423.6500000004</v>
      </c>
      <c r="R865" s="44" t="str">
        <f>VLOOKUP(F865,'Set up'!$A$2:$E$48,5,FALSE)</f>
        <v>Trsf</v>
      </c>
      <c r="S865" s="1" t="s">
        <v>1163</v>
      </c>
    </row>
    <row r="866" spans="1:19" hidden="1" x14ac:dyDescent="0.3">
      <c r="A866" s="4">
        <v>44725</v>
      </c>
      <c r="B866" s="5">
        <f t="shared" si="161"/>
        <v>6</v>
      </c>
      <c r="C866" s="5">
        <f t="shared" si="162"/>
        <v>2022</v>
      </c>
      <c r="D866" s="5" t="s">
        <v>836</v>
      </c>
      <c r="E866" s="5" t="str">
        <f>VLOOKUP(F866,'Set up'!$A$2:$C$48,2,FALSE)</f>
        <v>C00000023</v>
      </c>
      <c r="F866" s="1" t="s">
        <v>666</v>
      </c>
      <c r="G866" s="11" t="s">
        <v>706</v>
      </c>
      <c r="H866" s="5">
        <v>4</v>
      </c>
      <c r="I866" s="5" t="str">
        <f>VLOOKUP(F866,'Set up'!$A$2:$C$48,3,FALSE)</f>
        <v>Cash</v>
      </c>
      <c r="J866" s="5">
        <f>VLOOKUP(F866,'Set up'!$A$2:$D$48,4,FALSE)</f>
        <v>0</v>
      </c>
      <c r="K866" s="4">
        <f t="shared" si="170"/>
        <v>44725</v>
      </c>
      <c r="L866" s="5">
        <f t="shared" si="172"/>
        <v>6</v>
      </c>
      <c r="M866" s="5">
        <f t="shared" si="173"/>
        <v>2022</v>
      </c>
      <c r="N866" s="6">
        <v>1400</v>
      </c>
      <c r="O866" s="6">
        <f t="shared" ref="O866:O877" si="174">-N866</f>
        <v>-1400</v>
      </c>
      <c r="P866" s="6">
        <f t="shared" si="169"/>
        <v>0</v>
      </c>
      <c r="Q866" s="7">
        <f t="shared" si="165"/>
        <v>1556823.6500000004</v>
      </c>
      <c r="R866" s="44" t="str">
        <f>VLOOKUP(F866,'Set up'!$A$2:$E$48,5,FALSE)</f>
        <v>Trsf</v>
      </c>
      <c r="S866" s="1" t="s">
        <v>842</v>
      </c>
    </row>
    <row r="867" spans="1:19" hidden="1" x14ac:dyDescent="0.3">
      <c r="A867" s="4">
        <v>44725</v>
      </c>
      <c r="B867" s="5">
        <f t="shared" si="161"/>
        <v>6</v>
      </c>
      <c r="C867" s="5">
        <f t="shared" si="162"/>
        <v>2022</v>
      </c>
      <c r="D867" s="5" t="s">
        <v>836</v>
      </c>
      <c r="E867" s="5" t="str">
        <f>VLOOKUP(F867,'Set up'!$A$2:$C$48,2,FALSE)</f>
        <v>C00000023</v>
      </c>
      <c r="F867" s="1" t="s">
        <v>666</v>
      </c>
      <c r="G867" s="11" t="s">
        <v>655</v>
      </c>
      <c r="H867" s="5">
        <v>2</v>
      </c>
      <c r="I867" s="5" t="str">
        <f>VLOOKUP(F867,'Set up'!$A$2:$C$48,3,FALSE)</f>
        <v>Cash</v>
      </c>
      <c r="J867" s="5">
        <f>VLOOKUP(F867,'Set up'!$A$2:$D$48,4,FALSE)</f>
        <v>0</v>
      </c>
      <c r="K867" s="4">
        <f t="shared" si="170"/>
        <v>44725</v>
      </c>
      <c r="L867" s="5">
        <f t="shared" si="172"/>
        <v>6</v>
      </c>
      <c r="M867" s="5">
        <f t="shared" si="173"/>
        <v>2022</v>
      </c>
      <c r="N867" s="6">
        <v>588</v>
      </c>
      <c r="O867" s="6">
        <f t="shared" si="174"/>
        <v>-588</v>
      </c>
      <c r="P867" s="6">
        <f t="shared" si="169"/>
        <v>0</v>
      </c>
      <c r="Q867" s="7">
        <f t="shared" si="165"/>
        <v>1557411.6500000004</v>
      </c>
      <c r="R867" s="44" t="str">
        <f>VLOOKUP(F867,'Set up'!$A$2:$E$48,5,FALSE)</f>
        <v>Trsf</v>
      </c>
      <c r="S867" s="1" t="s">
        <v>842</v>
      </c>
    </row>
    <row r="868" spans="1:19" hidden="1" x14ac:dyDescent="0.3">
      <c r="A868" s="4">
        <v>44725</v>
      </c>
      <c r="B868" s="5">
        <f t="shared" si="161"/>
        <v>6</v>
      </c>
      <c r="C868" s="5">
        <f t="shared" si="162"/>
        <v>2022</v>
      </c>
      <c r="D868" s="5" t="s">
        <v>836</v>
      </c>
      <c r="E868" s="5" t="str">
        <f>VLOOKUP(F868,'Set up'!$A$2:$C$48,2,FALSE)</f>
        <v>C00000023</v>
      </c>
      <c r="F868" s="1" t="s">
        <v>666</v>
      </c>
      <c r="G868" s="11" t="s">
        <v>667</v>
      </c>
      <c r="H868" s="5">
        <v>2</v>
      </c>
      <c r="I868" s="5" t="str">
        <f>VLOOKUP(F868,'Set up'!$A$2:$C$48,3,FALSE)</f>
        <v>Cash</v>
      </c>
      <c r="J868" s="5">
        <f>VLOOKUP(F868,'Set up'!$A$2:$D$48,4,FALSE)</f>
        <v>0</v>
      </c>
      <c r="K868" s="4">
        <f t="shared" si="170"/>
        <v>44725</v>
      </c>
      <c r="L868" s="5">
        <f t="shared" si="172"/>
        <v>6</v>
      </c>
      <c r="M868" s="5">
        <f t="shared" si="173"/>
        <v>2022</v>
      </c>
      <c r="N868" s="6">
        <v>170</v>
      </c>
      <c r="O868" s="6">
        <f t="shared" si="174"/>
        <v>-170</v>
      </c>
      <c r="P868" s="6">
        <f t="shared" si="169"/>
        <v>0</v>
      </c>
      <c r="Q868" s="7">
        <f t="shared" si="165"/>
        <v>1557581.6500000004</v>
      </c>
      <c r="R868" s="44" t="str">
        <f>VLOOKUP(F868,'Set up'!$A$2:$E$48,5,FALSE)</f>
        <v>Trsf</v>
      </c>
      <c r="S868" s="1" t="s">
        <v>842</v>
      </c>
    </row>
    <row r="869" spans="1:19" hidden="1" x14ac:dyDescent="0.3">
      <c r="A869" s="4">
        <v>44726</v>
      </c>
      <c r="B869" s="5">
        <f t="shared" si="161"/>
        <v>6</v>
      </c>
      <c r="C869" s="5">
        <f t="shared" si="162"/>
        <v>2022</v>
      </c>
      <c r="D869" s="5" t="s">
        <v>837</v>
      </c>
      <c r="E869" s="5" t="str">
        <f>VLOOKUP(F869,'Set up'!$A$2:$C$48,2,FALSE)</f>
        <v>C00000009</v>
      </c>
      <c r="F869" s="1" t="s">
        <v>58</v>
      </c>
      <c r="G869" s="11" t="s">
        <v>720</v>
      </c>
      <c r="H869" s="5">
        <v>2</v>
      </c>
      <c r="I869" s="5">
        <f>VLOOKUP(F869,'Set up'!$A$2:$C$48,3,FALSE)</f>
        <v>60</v>
      </c>
      <c r="J869" s="5">
        <f>VLOOKUP(F869,'Set up'!$A$2:$D$48,4,FALSE)</f>
        <v>60</v>
      </c>
      <c r="K869" s="4">
        <f t="shared" si="170"/>
        <v>44786</v>
      </c>
      <c r="L869" s="5">
        <f t="shared" si="172"/>
        <v>8</v>
      </c>
      <c r="M869" s="5">
        <f t="shared" si="173"/>
        <v>2022</v>
      </c>
      <c r="N869" s="6">
        <v>3960</v>
      </c>
      <c r="O869" s="6">
        <f t="shared" si="174"/>
        <v>-3960</v>
      </c>
      <c r="P869" s="6">
        <f t="shared" si="169"/>
        <v>0</v>
      </c>
      <c r="Q869" s="7">
        <f t="shared" si="165"/>
        <v>1561541.6500000004</v>
      </c>
      <c r="R869" s="44" t="str">
        <f>VLOOKUP(F869,'Set up'!$A$2:$E$48,5,FALSE)</f>
        <v>Chq</v>
      </c>
      <c r="S869" s="1" t="s">
        <v>1148</v>
      </c>
    </row>
    <row r="870" spans="1:19" hidden="1" x14ac:dyDescent="0.3">
      <c r="A870" s="4">
        <v>44726</v>
      </c>
      <c r="B870" s="5">
        <f t="shared" si="161"/>
        <v>6</v>
      </c>
      <c r="C870" s="5">
        <f t="shared" si="162"/>
        <v>2022</v>
      </c>
      <c r="D870" s="5" t="s">
        <v>838</v>
      </c>
      <c r="E870" s="5" t="str">
        <f>VLOOKUP(F870,'Set up'!$A$2:$C$48,2,FALSE)</f>
        <v>C00000001</v>
      </c>
      <c r="F870" s="1" t="s">
        <v>7</v>
      </c>
      <c r="G870" s="11" t="s">
        <v>717</v>
      </c>
      <c r="H870" s="5">
        <v>1</v>
      </c>
      <c r="I870" s="5" t="str">
        <f>VLOOKUP(F870,'Set up'!$A$2:$C$48,3,FALSE)</f>
        <v>Cash</v>
      </c>
      <c r="J870" s="5">
        <f>VLOOKUP(F870,'Set up'!$A$2:$D$48,4,FALSE)</f>
        <v>0</v>
      </c>
      <c r="K870" s="4">
        <f t="shared" si="170"/>
        <v>44726</v>
      </c>
      <c r="L870" s="5">
        <f t="shared" si="172"/>
        <v>6</v>
      </c>
      <c r="M870" s="5">
        <f t="shared" si="173"/>
        <v>2022</v>
      </c>
      <c r="N870" s="6">
        <v>2068</v>
      </c>
      <c r="O870" s="6">
        <f t="shared" si="174"/>
        <v>-2068</v>
      </c>
      <c r="P870" s="6">
        <f t="shared" si="169"/>
        <v>0</v>
      </c>
      <c r="Q870" s="7">
        <f t="shared" si="165"/>
        <v>1563609.6500000004</v>
      </c>
      <c r="R870" s="44" t="str">
        <f>VLOOKUP(F870,'Set up'!$A$2:$E$48,5,FALSE)</f>
        <v>Trsf</v>
      </c>
      <c r="S870" s="1" t="s">
        <v>852</v>
      </c>
    </row>
    <row r="871" spans="1:19" hidden="1" x14ac:dyDescent="0.3">
      <c r="A871" s="4">
        <v>44726</v>
      </c>
      <c r="B871" s="5">
        <f t="shared" si="161"/>
        <v>6</v>
      </c>
      <c r="C871" s="5">
        <f t="shared" si="162"/>
        <v>2022</v>
      </c>
      <c r="D871" s="5" t="s">
        <v>838</v>
      </c>
      <c r="E871" s="5" t="str">
        <f>VLOOKUP(F871,'Set up'!$A$2:$C$48,2,FALSE)</f>
        <v>C00000001</v>
      </c>
      <c r="F871" s="1" t="s">
        <v>7</v>
      </c>
      <c r="G871" s="11" t="s">
        <v>655</v>
      </c>
      <c r="H871" s="5">
        <v>4</v>
      </c>
      <c r="I871" s="5" t="str">
        <f>VLOOKUP(F871,'Set up'!$A$2:$C$48,3,FALSE)</f>
        <v>Cash</v>
      </c>
      <c r="J871" s="5">
        <f>VLOOKUP(F871,'Set up'!$A$2:$D$48,4,FALSE)</f>
        <v>0</v>
      </c>
      <c r="K871" s="4">
        <f t="shared" si="170"/>
        <v>44726</v>
      </c>
      <c r="L871" s="5">
        <f t="shared" si="172"/>
        <v>6</v>
      </c>
      <c r="M871" s="5">
        <f t="shared" si="173"/>
        <v>2022</v>
      </c>
      <c r="N871" s="6">
        <v>1164</v>
      </c>
      <c r="O871" s="6">
        <f t="shared" si="174"/>
        <v>-1164</v>
      </c>
      <c r="P871" s="6">
        <f t="shared" si="169"/>
        <v>0</v>
      </c>
      <c r="Q871" s="7">
        <f t="shared" si="165"/>
        <v>1564773.6500000004</v>
      </c>
      <c r="R871" s="44" t="str">
        <f>VLOOKUP(F871,'Set up'!$A$2:$E$48,5,FALSE)</f>
        <v>Trsf</v>
      </c>
      <c r="S871" s="1" t="s">
        <v>852</v>
      </c>
    </row>
    <row r="872" spans="1:19" x14ac:dyDescent="0.3">
      <c r="A872" s="4">
        <v>44730</v>
      </c>
      <c r="B872" s="5">
        <f t="shared" si="161"/>
        <v>6</v>
      </c>
      <c r="C872" s="5">
        <f t="shared" si="162"/>
        <v>2022</v>
      </c>
      <c r="D872" s="5" t="s">
        <v>843</v>
      </c>
      <c r="E872" s="5" t="str">
        <f>VLOOKUP(F872,'Set up'!$A$2:$C$48,2,FALSE)</f>
        <v>C00000020</v>
      </c>
      <c r="F872" s="1" t="s">
        <v>410</v>
      </c>
      <c r="G872" s="11" t="s">
        <v>95</v>
      </c>
      <c r="H872" s="5">
        <v>1</v>
      </c>
      <c r="I872" s="5" t="str">
        <f>VLOOKUP(F872,'Set up'!$A$2:$C$48,3,FALSE)</f>
        <v>Cash</v>
      </c>
      <c r="J872" s="5">
        <f>VLOOKUP(F872,'Set up'!$A$2:$D$48,4,FALSE)</f>
        <v>0</v>
      </c>
      <c r="K872" s="4">
        <f t="shared" si="170"/>
        <v>44730</v>
      </c>
      <c r="L872" s="5">
        <f t="shared" si="172"/>
        <v>6</v>
      </c>
      <c r="M872" s="5">
        <f t="shared" si="173"/>
        <v>2022</v>
      </c>
      <c r="N872" s="6">
        <v>2090</v>
      </c>
      <c r="O872" s="6">
        <f t="shared" si="174"/>
        <v>-2090</v>
      </c>
      <c r="P872" s="6">
        <f t="shared" si="169"/>
        <v>0</v>
      </c>
      <c r="Q872" s="7">
        <f t="shared" si="165"/>
        <v>1566863.6500000004</v>
      </c>
      <c r="R872" s="44" t="str">
        <f>VLOOKUP(F872,'Set up'!$A$2:$E$48,5,FALSE)</f>
        <v>Trsf</v>
      </c>
      <c r="S872" s="1" t="s">
        <v>1164</v>
      </c>
    </row>
    <row r="873" spans="1:19" x14ac:dyDescent="0.3">
      <c r="A873" s="4">
        <v>44730</v>
      </c>
      <c r="B873" s="5">
        <f t="shared" si="161"/>
        <v>6</v>
      </c>
      <c r="C873" s="5">
        <f t="shared" si="162"/>
        <v>2022</v>
      </c>
      <c r="D873" s="5" t="s">
        <v>843</v>
      </c>
      <c r="E873" s="5" t="str">
        <f>VLOOKUP(F873,'Set up'!$A$2:$C$48,2,FALSE)</f>
        <v>C00000020</v>
      </c>
      <c r="F873" s="1" t="s">
        <v>410</v>
      </c>
      <c r="G873" s="11" t="s">
        <v>655</v>
      </c>
      <c r="H873" s="5">
        <v>2</v>
      </c>
      <c r="I873" s="5" t="str">
        <f>VLOOKUP(F873,'Set up'!$A$2:$C$48,3,FALSE)</f>
        <v>Cash</v>
      </c>
      <c r="J873" s="5">
        <f>VLOOKUP(F873,'Set up'!$A$2:$D$48,4,FALSE)</f>
        <v>0</v>
      </c>
      <c r="K873" s="4">
        <f t="shared" si="170"/>
        <v>44730</v>
      </c>
      <c r="L873" s="5">
        <f t="shared" si="172"/>
        <v>6</v>
      </c>
      <c r="M873" s="5">
        <f t="shared" si="173"/>
        <v>2022</v>
      </c>
      <c r="N873" s="6">
        <v>588</v>
      </c>
      <c r="O873" s="6">
        <f t="shared" si="174"/>
        <v>-588</v>
      </c>
      <c r="P873" s="6">
        <f t="shared" si="169"/>
        <v>0</v>
      </c>
      <c r="Q873" s="7">
        <f t="shared" si="165"/>
        <v>1567451.6500000004</v>
      </c>
      <c r="R873" s="44" t="str">
        <f>VLOOKUP(F873,'Set up'!$A$2:$E$48,5,FALSE)</f>
        <v>Trsf</v>
      </c>
      <c r="S873" s="1" t="s">
        <v>1164</v>
      </c>
    </row>
    <row r="874" spans="1:19" x14ac:dyDescent="0.3">
      <c r="A874" s="4">
        <v>44730</v>
      </c>
      <c r="B874" s="5">
        <f t="shared" si="161"/>
        <v>6</v>
      </c>
      <c r="C874" s="5">
        <f t="shared" si="162"/>
        <v>2022</v>
      </c>
      <c r="D874" s="5" t="s">
        <v>843</v>
      </c>
      <c r="E874" s="5" t="str">
        <f>VLOOKUP(F874,'Set up'!$A$2:$C$48,2,FALSE)</f>
        <v>C00000020</v>
      </c>
      <c r="F874" s="1" t="s">
        <v>410</v>
      </c>
      <c r="G874" s="11" t="s">
        <v>793</v>
      </c>
      <c r="H874" s="5">
        <v>1</v>
      </c>
      <c r="I874" s="5" t="str">
        <f>VLOOKUP(F874,'Set up'!$A$2:$C$48,3,FALSE)</f>
        <v>Cash</v>
      </c>
      <c r="J874" s="5">
        <f>VLOOKUP(F874,'Set up'!$A$2:$D$48,4,FALSE)</f>
        <v>0</v>
      </c>
      <c r="K874" s="4">
        <f t="shared" si="170"/>
        <v>44730</v>
      </c>
      <c r="L874" s="5">
        <f t="shared" si="172"/>
        <v>6</v>
      </c>
      <c r="M874" s="5">
        <f t="shared" si="173"/>
        <v>2022</v>
      </c>
      <c r="N874" s="6">
        <v>351</v>
      </c>
      <c r="O874" s="6">
        <f t="shared" si="174"/>
        <v>-351</v>
      </c>
      <c r="P874" s="6">
        <f t="shared" si="169"/>
        <v>0</v>
      </c>
      <c r="Q874" s="7">
        <f t="shared" si="165"/>
        <v>1567802.6500000004</v>
      </c>
      <c r="R874" s="44" t="str">
        <f>VLOOKUP(F874,'Set up'!$A$2:$E$48,5,FALSE)</f>
        <v>Trsf</v>
      </c>
      <c r="S874" s="1" t="s">
        <v>1164</v>
      </c>
    </row>
    <row r="875" spans="1:19" x14ac:dyDescent="0.3">
      <c r="A875" s="4">
        <v>44730</v>
      </c>
      <c r="B875" s="5">
        <f t="shared" si="161"/>
        <v>6</v>
      </c>
      <c r="C875" s="5">
        <f t="shared" si="162"/>
        <v>2022</v>
      </c>
      <c r="D875" s="5" t="s">
        <v>843</v>
      </c>
      <c r="E875" s="5" t="str">
        <f>VLOOKUP(F875,'Set up'!$A$2:$C$48,2,FALSE)</f>
        <v>C00000020</v>
      </c>
      <c r="F875" s="1" t="s">
        <v>410</v>
      </c>
      <c r="G875" s="11" t="s">
        <v>792</v>
      </c>
      <c r="H875" s="5">
        <v>1</v>
      </c>
      <c r="I875" s="5" t="str">
        <f>VLOOKUP(F875,'Set up'!$A$2:$C$48,3,FALSE)</f>
        <v>Cash</v>
      </c>
      <c r="J875" s="5">
        <f>VLOOKUP(F875,'Set up'!$A$2:$D$48,4,FALSE)</f>
        <v>0</v>
      </c>
      <c r="K875" s="4">
        <f t="shared" si="170"/>
        <v>44730</v>
      </c>
      <c r="L875" s="5">
        <f t="shared" si="172"/>
        <v>6</v>
      </c>
      <c r="M875" s="5">
        <f t="shared" si="173"/>
        <v>2022</v>
      </c>
      <c r="N875" s="6">
        <v>62.5</v>
      </c>
      <c r="O875" s="6">
        <f t="shared" si="174"/>
        <v>-62.5</v>
      </c>
      <c r="P875" s="6">
        <f t="shared" si="169"/>
        <v>0</v>
      </c>
      <c r="Q875" s="7">
        <f t="shared" si="165"/>
        <v>1567865.1500000004</v>
      </c>
      <c r="R875" s="44" t="str">
        <f>VLOOKUP(F875,'Set up'!$A$2:$E$48,5,FALSE)</f>
        <v>Trsf</v>
      </c>
      <c r="S875" s="1" t="s">
        <v>1164</v>
      </c>
    </row>
    <row r="876" spans="1:19" x14ac:dyDescent="0.3">
      <c r="A876" s="4">
        <v>44730</v>
      </c>
      <c r="B876" s="5">
        <f t="shared" si="161"/>
        <v>6</v>
      </c>
      <c r="C876" s="5">
        <f t="shared" si="162"/>
        <v>2022</v>
      </c>
      <c r="D876" s="5" t="s">
        <v>843</v>
      </c>
      <c r="E876" s="5" t="str">
        <f>VLOOKUP(F876,'Set up'!$A$2:$C$48,2,FALSE)</f>
        <v>C00000020</v>
      </c>
      <c r="F876" s="1" t="s">
        <v>410</v>
      </c>
      <c r="G876" s="11" t="s">
        <v>660</v>
      </c>
      <c r="H876" s="5">
        <v>1</v>
      </c>
      <c r="I876" s="5" t="str">
        <f>VLOOKUP(F876,'Set up'!$A$2:$C$48,3,FALSE)</f>
        <v>Cash</v>
      </c>
      <c r="J876" s="5">
        <f>VLOOKUP(F876,'Set up'!$A$2:$D$48,4,FALSE)</f>
        <v>0</v>
      </c>
      <c r="K876" s="4">
        <f t="shared" si="170"/>
        <v>44730</v>
      </c>
      <c r="L876" s="5">
        <f t="shared" si="172"/>
        <v>6</v>
      </c>
      <c r="M876" s="5">
        <f t="shared" si="173"/>
        <v>2022</v>
      </c>
      <c r="N876" s="6">
        <v>1000</v>
      </c>
      <c r="O876" s="6">
        <f t="shared" si="174"/>
        <v>-1000</v>
      </c>
      <c r="P876" s="6">
        <f t="shared" si="169"/>
        <v>0</v>
      </c>
      <c r="Q876" s="7">
        <f t="shared" si="165"/>
        <v>1568865.1500000004</v>
      </c>
      <c r="R876" s="44" t="str">
        <f>VLOOKUP(F876,'Set up'!$A$2:$E$48,5,FALSE)</f>
        <v>Trsf</v>
      </c>
      <c r="S876" s="1" t="s">
        <v>1164</v>
      </c>
    </row>
    <row r="877" spans="1:19" x14ac:dyDescent="0.3">
      <c r="A877" s="4">
        <v>44730</v>
      </c>
      <c r="B877" s="5">
        <f t="shared" ref="B877:B934" si="175">MONTH(A877)</f>
        <v>6</v>
      </c>
      <c r="C877" s="5">
        <f t="shared" ref="C877:C934" si="176">YEAR(A877)</f>
        <v>2022</v>
      </c>
      <c r="D877" s="5" t="s">
        <v>843</v>
      </c>
      <c r="E877" s="5" t="str">
        <f>VLOOKUP(F877,'Set up'!$A$2:$C$48,2,FALSE)</f>
        <v>C00000020</v>
      </c>
      <c r="F877" s="1" t="s">
        <v>410</v>
      </c>
      <c r="G877" s="11" t="s">
        <v>667</v>
      </c>
      <c r="H877" s="5">
        <v>4</v>
      </c>
      <c r="I877" s="5" t="str">
        <f>VLOOKUP(F877,'Set up'!$A$2:$C$48,3,FALSE)</f>
        <v>Cash</v>
      </c>
      <c r="J877" s="5">
        <f>VLOOKUP(F877,'Set up'!$A$2:$D$48,4,FALSE)</f>
        <v>0</v>
      </c>
      <c r="K877" s="4">
        <f t="shared" si="170"/>
        <v>44730</v>
      </c>
      <c r="L877" s="5">
        <f t="shared" si="172"/>
        <v>6</v>
      </c>
      <c r="M877" s="5">
        <f t="shared" si="173"/>
        <v>2022</v>
      </c>
      <c r="N877" s="6">
        <v>340</v>
      </c>
      <c r="O877" s="6">
        <f t="shared" si="174"/>
        <v>-340</v>
      </c>
      <c r="P877" s="6">
        <f t="shared" si="169"/>
        <v>0</v>
      </c>
      <c r="Q877" s="7">
        <f t="shared" si="165"/>
        <v>1569205.1500000004</v>
      </c>
      <c r="R877" s="44" t="str">
        <f>VLOOKUP(F877,'Set up'!$A$2:$E$48,5,FALSE)</f>
        <v>Trsf</v>
      </c>
      <c r="S877" s="1" t="s">
        <v>1164</v>
      </c>
    </row>
    <row r="878" spans="1:19" hidden="1" x14ac:dyDescent="0.3">
      <c r="A878" s="4">
        <v>44732</v>
      </c>
      <c r="B878" s="5">
        <f t="shared" si="175"/>
        <v>6</v>
      </c>
      <c r="C878" s="5">
        <f t="shared" si="176"/>
        <v>2022</v>
      </c>
      <c r="D878" s="5" t="s">
        <v>844</v>
      </c>
      <c r="E878" s="5" t="str">
        <f>VLOOKUP(F878,'Set up'!$A$2:$C$48,2,FALSE)</f>
        <v>C00000006</v>
      </c>
      <c r="F878" s="1" t="s">
        <v>43</v>
      </c>
      <c r="G878" s="11" t="s">
        <v>720</v>
      </c>
      <c r="H878" s="5">
        <v>1</v>
      </c>
      <c r="I878" s="5" t="str">
        <f>VLOOKUP(F878,'Set up'!$A$2:$C$48,3,FALSE)</f>
        <v>Cash</v>
      </c>
      <c r="J878" s="5">
        <f>VLOOKUP(F878,'Set up'!$A$2:$D$48,4,FALSE)</f>
        <v>0</v>
      </c>
      <c r="K878" s="4">
        <f t="shared" si="170"/>
        <v>44732</v>
      </c>
      <c r="L878" s="5">
        <f t="shared" si="172"/>
        <v>6</v>
      </c>
      <c r="M878" s="5">
        <f t="shared" si="173"/>
        <v>2022</v>
      </c>
      <c r="N878" s="6">
        <v>2068</v>
      </c>
      <c r="O878" s="6">
        <f>-N878</f>
        <v>-2068</v>
      </c>
      <c r="P878" s="6">
        <f t="shared" si="169"/>
        <v>0</v>
      </c>
      <c r="Q878" s="7">
        <f t="shared" si="165"/>
        <v>1571273.1500000004</v>
      </c>
      <c r="R878" s="44" t="str">
        <f>VLOOKUP(F878,'Set up'!$A$2:$E$48,5,FALSE)</f>
        <v>Chq</v>
      </c>
      <c r="S878" s="1" t="s">
        <v>921</v>
      </c>
    </row>
    <row r="879" spans="1:19" hidden="1" x14ac:dyDescent="0.3">
      <c r="A879" s="4">
        <v>44736</v>
      </c>
      <c r="B879" s="5">
        <f t="shared" si="175"/>
        <v>6</v>
      </c>
      <c r="C879" s="5">
        <f t="shared" si="176"/>
        <v>2022</v>
      </c>
      <c r="D879" s="5" t="s">
        <v>845</v>
      </c>
      <c r="E879" s="5" t="str">
        <f>VLOOKUP(F879,'Set up'!$A$2:$C$48,2,FALSE)</f>
        <v>C00000021</v>
      </c>
      <c r="F879" s="1" t="s">
        <v>492</v>
      </c>
      <c r="G879" s="11" t="s">
        <v>717</v>
      </c>
      <c r="H879" s="5">
        <v>1</v>
      </c>
      <c r="I879" s="5" t="str">
        <f>VLOOKUP(F879,'Set up'!$A$2:$C$48,3,FALSE)</f>
        <v>Cash</v>
      </c>
      <c r="J879" s="5">
        <f>VLOOKUP(F879,'Set up'!$A$2:$D$48,4,FALSE)</f>
        <v>0</v>
      </c>
      <c r="K879" s="4">
        <f t="shared" si="170"/>
        <v>44736</v>
      </c>
      <c r="L879" s="5">
        <f t="shared" si="172"/>
        <v>6</v>
      </c>
      <c r="M879" s="5">
        <f t="shared" si="173"/>
        <v>2022</v>
      </c>
      <c r="N879" s="6">
        <v>2090</v>
      </c>
      <c r="O879" s="6">
        <f t="shared" ref="O879:O886" si="177">-N879</f>
        <v>-2090</v>
      </c>
      <c r="P879" s="6">
        <f t="shared" si="169"/>
        <v>0</v>
      </c>
      <c r="Q879" s="7">
        <f t="shared" si="165"/>
        <v>1573363.1500000004</v>
      </c>
      <c r="R879" s="44" t="str">
        <f>VLOOKUP(F879,'Set up'!$A$2:$E$48,5,FALSE)</f>
        <v>PD Chq</v>
      </c>
      <c r="S879" s="1" t="s">
        <v>1024</v>
      </c>
    </row>
    <row r="880" spans="1:19" hidden="1" x14ac:dyDescent="0.3">
      <c r="A880" s="4">
        <v>44736</v>
      </c>
      <c r="B880" s="5">
        <f t="shared" si="175"/>
        <v>6</v>
      </c>
      <c r="C880" s="5">
        <f t="shared" si="176"/>
        <v>2022</v>
      </c>
      <c r="D880" s="5" t="s">
        <v>845</v>
      </c>
      <c r="E880" s="5" t="str">
        <f>VLOOKUP(F880,'Set up'!$A$2:$C$48,2,FALSE)</f>
        <v>C00000021</v>
      </c>
      <c r="F880" s="1" t="s">
        <v>492</v>
      </c>
      <c r="G880" s="11" t="s">
        <v>655</v>
      </c>
      <c r="H880" s="5">
        <v>3</v>
      </c>
      <c r="I880" s="5" t="str">
        <f>VLOOKUP(F880,'Set up'!$A$2:$C$48,3,FALSE)</f>
        <v>Cash</v>
      </c>
      <c r="J880" s="5">
        <f>VLOOKUP(F880,'Set up'!$A$2:$D$48,4,FALSE)</f>
        <v>0</v>
      </c>
      <c r="K880" s="4">
        <f t="shared" si="170"/>
        <v>44736</v>
      </c>
      <c r="L880" s="5">
        <f t="shared" si="172"/>
        <v>6</v>
      </c>
      <c r="M880" s="5">
        <f t="shared" si="173"/>
        <v>2022</v>
      </c>
      <c r="N880" s="6">
        <v>882</v>
      </c>
      <c r="O880" s="6">
        <f t="shared" si="177"/>
        <v>-882</v>
      </c>
      <c r="P880" s="6">
        <f t="shared" si="169"/>
        <v>0</v>
      </c>
      <c r="Q880" s="7">
        <f t="shared" si="165"/>
        <v>1574245.1500000004</v>
      </c>
      <c r="R880" s="44" t="str">
        <f>VLOOKUP(F880,'Set up'!$A$2:$E$48,5,FALSE)</f>
        <v>PD Chq</v>
      </c>
      <c r="S880" s="1" t="s">
        <v>1024</v>
      </c>
    </row>
    <row r="881" spans="1:19" hidden="1" x14ac:dyDescent="0.3">
      <c r="A881" s="4">
        <v>44736</v>
      </c>
      <c r="B881" s="5">
        <f t="shared" si="175"/>
        <v>6</v>
      </c>
      <c r="C881" s="5">
        <f t="shared" si="176"/>
        <v>2022</v>
      </c>
      <c r="D881" s="5" t="s">
        <v>845</v>
      </c>
      <c r="E881" s="5" t="str">
        <f>VLOOKUP(F881,'Set up'!$A$2:$C$48,2,FALSE)</f>
        <v>C00000021</v>
      </c>
      <c r="F881" s="1" t="s">
        <v>492</v>
      </c>
      <c r="G881" s="11" t="s">
        <v>667</v>
      </c>
      <c r="H881" s="5">
        <v>1</v>
      </c>
      <c r="I881" s="5" t="str">
        <f>VLOOKUP(F881,'Set up'!$A$2:$C$48,3,FALSE)</f>
        <v>Cash</v>
      </c>
      <c r="J881" s="5">
        <f>VLOOKUP(F881,'Set up'!$A$2:$D$48,4,FALSE)</f>
        <v>0</v>
      </c>
      <c r="K881" s="4">
        <f t="shared" si="170"/>
        <v>44736</v>
      </c>
      <c r="L881" s="5">
        <f t="shared" si="172"/>
        <v>6</v>
      </c>
      <c r="M881" s="5">
        <f t="shared" si="173"/>
        <v>2022</v>
      </c>
      <c r="N881" s="6">
        <v>90</v>
      </c>
      <c r="O881" s="6">
        <f t="shared" si="177"/>
        <v>-90</v>
      </c>
      <c r="P881" s="6">
        <f t="shared" si="169"/>
        <v>0</v>
      </c>
      <c r="Q881" s="7">
        <f t="shared" si="165"/>
        <v>1574335.1500000004</v>
      </c>
      <c r="R881" s="44" t="str">
        <f>VLOOKUP(F881,'Set up'!$A$2:$E$48,5,FALSE)</f>
        <v>PD Chq</v>
      </c>
      <c r="S881" s="1" t="s">
        <v>1024</v>
      </c>
    </row>
    <row r="882" spans="1:19" hidden="1" x14ac:dyDescent="0.3">
      <c r="A882" s="4">
        <v>44736</v>
      </c>
      <c r="B882" s="5">
        <f t="shared" si="175"/>
        <v>6</v>
      </c>
      <c r="C882" s="5">
        <f t="shared" si="176"/>
        <v>2022</v>
      </c>
      <c r="D882" s="5" t="s">
        <v>845</v>
      </c>
      <c r="E882" s="5" t="str">
        <f>VLOOKUP(F882,'Set up'!$A$2:$C$48,2,FALSE)</f>
        <v>C00000021</v>
      </c>
      <c r="F882" s="1" t="s">
        <v>492</v>
      </c>
      <c r="G882" s="11" t="s">
        <v>792</v>
      </c>
      <c r="H882" s="5">
        <v>5</v>
      </c>
      <c r="I882" s="5" t="str">
        <f>VLOOKUP(F882,'Set up'!$A$2:$C$48,3,FALSE)</f>
        <v>Cash</v>
      </c>
      <c r="J882" s="5">
        <f>VLOOKUP(F882,'Set up'!$A$2:$D$48,4,FALSE)</f>
        <v>0</v>
      </c>
      <c r="K882" s="4">
        <f t="shared" si="170"/>
        <v>44736</v>
      </c>
      <c r="L882" s="5">
        <f t="shared" si="172"/>
        <v>6</v>
      </c>
      <c r="M882" s="5">
        <f t="shared" si="173"/>
        <v>2022</v>
      </c>
      <c r="N882" s="6">
        <v>312.5</v>
      </c>
      <c r="O882" s="6">
        <f t="shared" si="177"/>
        <v>-312.5</v>
      </c>
      <c r="P882" s="6">
        <f t="shared" si="169"/>
        <v>0</v>
      </c>
      <c r="Q882" s="7">
        <f t="shared" si="165"/>
        <v>1574647.6500000004</v>
      </c>
      <c r="R882" s="44" t="str">
        <f>VLOOKUP(F882,'Set up'!$A$2:$E$48,5,FALSE)</f>
        <v>PD Chq</v>
      </c>
      <c r="S882" s="1" t="s">
        <v>1024</v>
      </c>
    </row>
    <row r="883" spans="1:19" x14ac:dyDescent="0.3">
      <c r="A883" s="4">
        <v>44736</v>
      </c>
      <c r="B883" s="5">
        <f t="shared" si="175"/>
        <v>6</v>
      </c>
      <c r="C883" s="5">
        <f t="shared" si="176"/>
        <v>2022</v>
      </c>
      <c r="D883" s="5" t="s">
        <v>846</v>
      </c>
      <c r="E883" s="5" t="str">
        <f>VLOOKUP(F883,'Set up'!$A$2:$C$48,2,FALSE)</f>
        <v>C00000020</v>
      </c>
      <c r="F883" s="1" t="s">
        <v>410</v>
      </c>
      <c r="G883" s="11" t="s">
        <v>95</v>
      </c>
      <c r="H883" s="5">
        <v>2</v>
      </c>
      <c r="I883" s="5" t="str">
        <f>VLOOKUP(F883,'Set up'!$A$2:$C$48,3,FALSE)</f>
        <v>Cash</v>
      </c>
      <c r="J883" s="5">
        <f>VLOOKUP(F883,'Set up'!$A$2:$D$48,4,FALSE)</f>
        <v>0</v>
      </c>
      <c r="K883" s="4">
        <f t="shared" si="170"/>
        <v>44736</v>
      </c>
      <c r="L883" s="5">
        <f t="shared" si="172"/>
        <v>6</v>
      </c>
      <c r="M883" s="5">
        <f t="shared" si="173"/>
        <v>2022</v>
      </c>
      <c r="N883" s="6">
        <v>4180</v>
      </c>
      <c r="O883" s="6">
        <f t="shared" si="177"/>
        <v>-4180</v>
      </c>
      <c r="P883" s="6">
        <f t="shared" si="169"/>
        <v>0</v>
      </c>
      <c r="Q883" s="7">
        <f t="shared" si="165"/>
        <v>1578827.6500000004</v>
      </c>
      <c r="R883" s="44" t="str">
        <f>VLOOKUP(F883,'Set up'!$A$2:$E$48,5,FALSE)</f>
        <v>Trsf</v>
      </c>
      <c r="S883" s="1" t="s">
        <v>1164</v>
      </c>
    </row>
    <row r="884" spans="1:19" x14ac:dyDescent="0.3">
      <c r="A884" s="4">
        <v>44736</v>
      </c>
      <c r="B884" s="5">
        <f t="shared" si="175"/>
        <v>6</v>
      </c>
      <c r="C884" s="5">
        <f t="shared" si="176"/>
        <v>2022</v>
      </c>
      <c r="D884" s="5" t="s">
        <v>846</v>
      </c>
      <c r="E884" s="5" t="str">
        <f>VLOOKUP(F884,'Set up'!$A$2:$C$48,2,FALSE)</f>
        <v>C00000020</v>
      </c>
      <c r="F884" s="1" t="s">
        <v>410</v>
      </c>
      <c r="G884" s="11" t="s">
        <v>655</v>
      </c>
      <c r="H884" s="5">
        <v>3</v>
      </c>
      <c r="I884" s="5" t="str">
        <f>VLOOKUP(F884,'Set up'!$A$2:$C$48,3,FALSE)</f>
        <v>Cash</v>
      </c>
      <c r="J884" s="5">
        <f>VLOOKUP(F884,'Set up'!$A$2:$D$48,4,FALSE)</f>
        <v>0</v>
      </c>
      <c r="K884" s="4">
        <f t="shared" si="170"/>
        <v>44736</v>
      </c>
      <c r="L884" s="5">
        <f t="shared" si="172"/>
        <v>6</v>
      </c>
      <c r="M884" s="5">
        <f t="shared" si="173"/>
        <v>2022</v>
      </c>
      <c r="N884" s="6">
        <v>882</v>
      </c>
      <c r="O884" s="6">
        <f t="shared" si="177"/>
        <v>-882</v>
      </c>
      <c r="P884" s="6">
        <f t="shared" si="169"/>
        <v>0</v>
      </c>
      <c r="Q884" s="7">
        <f t="shared" si="165"/>
        <v>1579709.6500000004</v>
      </c>
      <c r="R884" s="44" t="str">
        <f>VLOOKUP(F884,'Set up'!$A$2:$E$48,5,FALSE)</f>
        <v>Trsf</v>
      </c>
      <c r="S884" s="1" t="s">
        <v>1164</v>
      </c>
    </row>
    <row r="885" spans="1:19" x14ac:dyDescent="0.3">
      <c r="A885" s="4">
        <v>44736</v>
      </c>
      <c r="B885" s="5">
        <f t="shared" si="175"/>
        <v>6</v>
      </c>
      <c r="C885" s="5">
        <f t="shared" si="176"/>
        <v>2022</v>
      </c>
      <c r="D885" s="5" t="s">
        <v>846</v>
      </c>
      <c r="E885" s="5" t="str">
        <f>VLOOKUP(F885,'Set up'!$A$2:$C$48,2,FALSE)</f>
        <v>C00000020</v>
      </c>
      <c r="F885" s="1" t="s">
        <v>410</v>
      </c>
      <c r="G885" s="11" t="s">
        <v>793</v>
      </c>
      <c r="H885" s="5">
        <v>2</v>
      </c>
      <c r="I885" s="5" t="str">
        <f>VLOOKUP(F885,'Set up'!$A$2:$C$48,3,FALSE)</f>
        <v>Cash</v>
      </c>
      <c r="J885" s="5">
        <f>VLOOKUP(F885,'Set up'!$A$2:$D$48,4,FALSE)</f>
        <v>0</v>
      </c>
      <c r="K885" s="4">
        <f t="shared" si="170"/>
        <v>44736</v>
      </c>
      <c r="L885" s="5">
        <f t="shared" si="172"/>
        <v>6</v>
      </c>
      <c r="M885" s="5">
        <f t="shared" si="173"/>
        <v>2022</v>
      </c>
      <c r="N885" s="6">
        <v>702</v>
      </c>
      <c r="O885" s="6">
        <f t="shared" si="177"/>
        <v>-702</v>
      </c>
      <c r="P885" s="6">
        <f t="shared" si="169"/>
        <v>0</v>
      </c>
      <c r="Q885" s="7">
        <f t="shared" si="165"/>
        <v>1580411.6500000004</v>
      </c>
      <c r="R885" s="44" t="str">
        <f>VLOOKUP(F885,'Set up'!$A$2:$E$48,5,FALSE)</f>
        <v>Trsf</v>
      </c>
      <c r="S885" s="1" t="s">
        <v>1164</v>
      </c>
    </row>
    <row r="886" spans="1:19" x14ac:dyDescent="0.3">
      <c r="A886" s="4">
        <v>44736</v>
      </c>
      <c r="B886" s="5">
        <f t="shared" si="175"/>
        <v>6</v>
      </c>
      <c r="C886" s="5">
        <f t="shared" si="176"/>
        <v>2022</v>
      </c>
      <c r="D886" s="5" t="s">
        <v>846</v>
      </c>
      <c r="E886" s="5" t="str">
        <f>VLOOKUP(F886,'Set up'!$A$2:$C$48,2,FALSE)</f>
        <v>C00000020</v>
      </c>
      <c r="F886" s="1" t="s">
        <v>410</v>
      </c>
      <c r="G886" s="11" t="s">
        <v>792</v>
      </c>
      <c r="H886" s="5">
        <v>2</v>
      </c>
      <c r="I886" s="5" t="str">
        <f>VLOOKUP(F886,'Set up'!$A$2:$C$48,3,FALSE)</f>
        <v>Cash</v>
      </c>
      <c r="J886" s="5">
        <f>VLOOKUP(F886,'Set up'!$A$2:$D$48,4,FALSE)</f>
        <v>0</v>
      </c>
      <c r="K886" s="4">
        <f t="shared" si="170"/>
        <v>44736</v>
      </c>
      <c r="L886" s="5">
        <f t="shared" si="172"/>
        <v>6</v>
      </c>
      <c r="M886" s="5">
        <f t="shared" si="173"/>
        <v>2022</v>
      </c>
      <c r="N886" s="6">
        <v>125</v>
      </c>
      <c r="O886" s="6">
        <f t="shared" si="177"/>
        <v>-125</v>
      </c>
      <c r="P886" s="6">
        <f t="shared" si="169"/>
        <v>0</v>
      </c>
      <c r="Q886" s="7">
        <f t="shared" si="165"/>
        <v>1580536.6500000004</v>
      </c>
      <c r="R886" s="44" t="str">
        <f>VLOOKUP(F886,'Set up'!$A$2:$E$48,5,FALSE)</f>
        <v>Trsf</v>
      </c>
      <c r="S886" s="1" t="s">
        <v>1164</v>
      </c>
    </row>
    <row r="887" spans="1:19" hidden="1" x14ac:dyDescent="0.3">
      <c r="A887" s="4">
        <v>44740</v>
      </c>
      <c r="B887" s="5">
        <f t="shared" si="175"/>
        <v>6</v>
      </c>
      <c r="C887" s="5">
        <f t="shared" si="176"/>
        <v>2022</v>
      </c>
      <c r="D887" s="5" t="s">
        <v>847</v>
      </c>
      <c r="E887" s="5" t="str">
        <f>VLOOKUP(F887,'Set up'!$A$2:$C$48,2,FALSE)</f>
        <v>C00000019</v>
      </c>
      <c r="F887" s="1" t="s">
        <v>401</v>
      </c>
      <c r="G887" s="11" t="s">
        <v>720</v>
      </c>
      <c r="H887" s="5">
        <v>2</v>
      </c>
      <c r="I887" s="5" t="str">
        <f>VLOOKUP(F887,'Set up'!$A$2:$C$48,3,FALSE)</f>
        <v>Cash</v>
      </c>
      <c r="J887" s="5">
        <f>VLOOKUP(F887,'Set up'!$A$2:$D$48,4,FALSE)</f>
        <v>0</v>
      </c>
      <c r="K887" s="4">
        <f t="shared" si="170"/>
        <v>44740</v>
      </c>
      <c r="L887" s="5">
        <f t="shared" si="172"/>
        <v>6</v>
      </c>
      <c r="M887" s="5">
        <f t="shared" si="173"/>
        <v>2022</v>
      </c>
      <c r="N887" s="6">
        <v>4136</v>
      </c>
      <c r="O887" s="6">
        <f>-N887</f>
        <v>-4136</v>
      </c>
      <c r="P887" s="6">
        <f t="shared" si="169"/>
        <v>0</v>
      </c>
      <c r="Q887" s="7">
        <f t="shared" si="165"/>
        <v>1584672.6500000004</v>
      </c>
      <c r="R887" s="44" t="str">
        <f>VLOOKUP(F887,'Set up'!$A$2:$E$48,5,FALSE)</f>
        <v>Trsf</v>
      </c>
      <c r="S887" s="1" t="s">
        <v>855</v>
      </c>
    </row>
    <row r="888" spans="1:19" hidden="1" x14ac:dyDescent="0.3">
      <c r="A888" s="4">
        <v>44740</v>
      </c>
      <c r="B888" s="5">
        <f t="shared" si="175"/>
        <v>6</v>
      </c>
      <c r="C888" s="5">
        <f t="shared" si="176"/>
        <v>2022</v>
      </c>
      <c r="D888" s="5" t="s">
        <v>847</v>
      </c>
      <c r="E888" s="5" t="str">
        <f>VLOOKUP(F888,'Set up'!$A$2:$C$48,2,FALSE)</f>
        <v>C00000019</v>
      </c>
      <c r="F888" s="1" t="s">
        <v>401</v>
      </c>
      <c r="G888" s="11" t="s">
        <v>708</v>
      </c>
      <c r="H888" s="5">
        <v>2</v>
      </c>
      <c r="I888" s="5" t="str">
        <f>VLOOKUP(F888,'Set up'!$A$2:$C$48,3,FALSE)</f>
        <v>Cash</v>
      </c>
      <c r="J888" s="5">
        <f>VLOOKUP(F888,'Set up'!$A$2:$D$48,4,FALSE)</f>
        <v>0</v>
      </c>
      <c r="K888" s="4">
        <f t="shared" si="170"/>
        <v>44740</v>
      </c>
      <c r="L888" s="5">
        <f t="shared" si="172"/>
        <v>6</v>
      </c>
      <c r="M888" s="5">
        <f t="shared" si="173"/>
        <v>2022</v>
      </c>
      <c r="N888" s="6">
        <v>1047.5999999999999</v>
      </c>
      <c r="O888" s="6">
        <f>-N888</f>
        <v>-1047.5999999999999</v>
      </c>
      <c r="P888" s="6">
        <f t="shared" si="169"/>
        <v>0</v>
      </c>
      <c r="Q888" s="7">
        <f t="shared" si="165"/>
        <v>1585720.2500000005</v>
      </c>
      <c r="R888" s="44" t="str">
        <f>VLOOKUP(F888,'Set up'!$A$2:$E$48,5,FALSE)</f>
        <v>Trsf</v>
      </c>
      <c r="S888" s="1" t="s">
        <v>855</v>
      </c>
    </row>
    <row r="889" spans="1:19" hidden="1" x14ac:dyDescent="0.3">
      <c r="A889" s="4">
        <v>44740</v>
      </c>
      <c r="B889" s="5">
        <f t="shared" si="175"/>
        <v>6</v>
      </c>
      <c r="C889" s="5">
        <f t="shared" si="176"/>
        <v>2022</v>
      </c>
      <c r="D889" s="5" t="s">
        <v>847</v>
      </c>
      <c r="E889" s="5" t="str">
        <f>VLOOKUP(F889,'Set up'!$A$2:$C$48,2,FALSE)</f>
        <v>C00000019</v>
      </c>
      <c r="F889" s="1" t="s">
        <v>401</v>
      </c>
      <c r="G889" s="11" t="s">
        <v>46</v>
      </c>
      <c r="H889" s="5">
        <v>2</v>
      </c>
      <c r="I889" s="5" t="str">
        <f>VLOOKUP(F889,'Set up'!$A$2:$C$48,3,FALSE)</f>
        <v>Cash</v>
      </c>
      <c r="J889" s="5">
        <f>VLOOKUP(F889,'Set up'!$A$2:$D$48,4,FALSE)</f>
        <v>0</v>
      </c>
      <c r="K889" s="4">
        <f t="shared" si="170"/>
        <v>44740</v>
      </c>
      <c r="L889" s="5">
        <f t="shared" si="172"/>
        <v>6</v>
      </c>
      <c r="M889" s="5">
        <f t="shared" si="173"/>
        <v>2022</v>
      </c>
      <c r="N889" s="6">
        <v>210</v>
      </c>
      <c r="O889" s="6">
        <f>-N889</f>
        <v>-210</v>
      </c>
      <c r="P889" s="6">
        <f t="shared" si="169"/>
        <v>0</v>
      </c>
      <c r="Q889" s="7">
        <f t="shared" si="165"/>
        <v>1585930.2500000005</v>
      </c>
      <c r="R889" s="44" t="str">
        <f>VLOOKUP(F889,'Set up'!$A$2:$E$48,5,FALSE)</f>
        <v>Trsf</v>
      </c>
      <c r="S889" s="1" t="s">
        <v>855</v>
      </c>
    </row>
    <row r="890" spans="1:19" hidden="1" x14ac:dyDescent="0.3">
      <c r="A890" s="4">
        <v>44740</v>
      </c>
      <c r="B890" s="5">
        <f t="shared" si="175"/>
        <v>6</v>
      </c>
      <c r="C890" s="5">
        <f t="shared" si="176"/>
        <v>2022</v>
      </c>
      <c r="D890" s="5" t="s">
        <v>847</v>
      </c>
      <c r="E890" s="5" t="str">
        <f>VLOOKUP(F890,'Set up'!$A$2:$C$48,2,FALSE)</f>
        <v>C00000019</v>
      </c>
      <c r="F890" s="1" t="s">
        <v>401</v>
      </c>
      <c r="G890" s="11" t="s">
        <v>293</v>
      </c>
      <c r="H890" s="5">
        <v>1</v>
      </c>
      <c r="I890" s="5" t="str">
        <f>VLOOKUP(F890,'Set up'!$A$2:$C$48,3,FALSE)</f>
        <v>Cash</v>
      </c>
      <c r="J890" s="5">
        <f>VLOOKUP(F890,'Set up'!$A$2:$D$48,4,FALSE)</f>
        <v>0</v>
      </c>
      <c r="K890" s="4">
        <f t="shared" si="170"/>
        <v>44740</v>
      </c>
      <c r="L890" s="5">
        <f t="shared" si="172"/>
        <v>6</v>
      </c>
      <c r="M890" s="5">
        <f t="shared" si="173"/>
        <v>2022</v>
      </c>
      <c r="N890" s="6">
        <v>390</v>
      </c>
      <c r="O890" s="6">
        <f>-N890</f>
        <v>-390</v>
      </c>
      <c r="P890" s="6">
        <f t="shared" si="169"/>
        <v>0</v>
      </c>
      <c r="Q890" s="7">
        <f t="shared" si="165"/>
        <v>1586320.2500000005</v>
      </c>
      <c r="R890" s="44" t="str">
        <f>VLOOKUP(F890,'Set up'!$A$2:$E$48,5,FALSE)</f>
        <v>Trsf</v>
      </c>
      <c r="S890" s="1" t="s">
        <v>855</v>
      </c>
    </row>
    <row r="891" spans="1:19" hidden="1" x14ac:dyDescent="0.3">
      <c r="A891" s="4">
        <v>44740</v>
      </c>
      <c r="B891" s="5">
        <f t="shared" si="175"/>
        <v>6</v>
      </c>
      <c r="C891" s="5">
        <f t="shared" si="176"/>
        <v>2022</v>
      </c>
      <c r="D891" s="5" t="s">
        <v>847</v>
      </c>
      <c r="E891" s="5" t="str">
        <f>VLOOKUP(F891,'Set up'!$A$2:$C$48,2,FALSE)</f>
        <v>C00000019</v>
      </c>
      <c r="F891" s="1" t="s">
        <v>401</v>
      </c>
      <c r="G891" s="11" t="s">
        <v>788</v>
      </c>
      <c r="H891" s="5">
        <v>1</v>
      </c>
      <c r="I891" s="5" t="str">
        <f>VLOOKUP(F891,'Set up'!$A$2:$C$48,3,FALSE)</f>
        <v>Cash</v>
      </c>
      <c r="J891" s="5">
        <f>VLOOKUP(F891,'Set up'!$A$2:$D$48,4,FALSE)</f>
        <v>0</v>
      </c>
      <c r="K891" s="4">
        <f t="shared" si="170"/>
        <v>44740</v>
      </c>
      <c r="L891" s="5">
        <f t="shared" si="172"/>
        <v>6</v>
      </c>
      <c r="M891" s="5">
        <f t="shared" si="173"/>
        <v>2022</v>
      </c>
      <c r="N891" s="6">
        <v>440</v>
      </c>
      <c r="O891" s="6">
        <f>-N891</f>
        <v>-440</v>
      </c>
      <c r="P891" s="6">
        <f t="shared" si="169"/>
        <v>0</v>
      </c>
      <c r="Q891" s="7">
        <f t="shared" si="165"/>
        <v>1586760.2500000005</v>
      </c>
      <c r="R891" s="44" t="str">
        <f>VLOOKUP(F891,'Set up'!$A$2:$E$48,5,FALSE)</f>
        <v>Trsf</v>
      </c>
      <c r="S891" s="1" t="s">
        <v>855</v>
      </c>
    </row>
    <row r="892" spans="1:19" hidden="1" x14ac:dyDescent="0.3">
      <c r="A892" s="4">
        <v>44741</v>
      </c>
      <c r="B892" s="5">
        <f t="shared" si="175"/>
        <v>6</v>
      </c>
      <c r="C892" s="5">
        <f t="shared" si="176"/>
        <v>2022</v>
      </c>
      <c r="D892" s="5" t="s">
        <v>848</v>
      </c>
      <c r="E892" s="5" t="str">
        <f>VLOOKUP(F892,'Set up'!$A$2:$C$48,2,FALSE)</f>
        <v>C00000010</v>
      </c>
      <c r="F892" s="1" t="s">
        <v>62</v>
      </c>
      <c r="G892" s="11" t="s">
        <v>723</v>
      </c>
      <c r="H892" s="5">
        <v>7</v>
      </c>
      <c r="I892" s="5">
        <f>VLOOKUP(F892,'Set up'!$A$2:$C$48,3,FALSE)</f>
        <v>120</v>
      </c>
      <c r="J892" s="5">
        <f>VLOOKUP(F892,'Set up'!$A$2:$D$48,4,FALSE)</f>
        <v>120</v>
      </c>
      <c r="K892" s="4">
        <f t="shared" si="170"/>
        <v>44861</v>
      </c>
      <c r="L892" s="5">
        <f t="shared" si="172"/>
        <v>10</v>
      </c>
      <c r="M892" s="5">
        <f t="shared" si="173"/>
        <v>2022</v>
      </c>
      <c r="N892" s="6">
        <v>13860</v>
      </c>
      <c r="O892" s="6">
        <f t="shared" ref="O892:O897" si="178">-N892</f>
        <v>-13860</v>
      </c>
      <c r="P892" s="6">
        <f t="shared" si="169"/>
        <v>0</v>
      </c>
      <c r="Q892" s="7">
        <f t="shared" si="165"/>
        <v>1600620.2500000005</v>
      </c>
      <c r="R892" s="44" t="str">
        <f>VLOOKUP(F892,'Set up'!$A$2:$E$48,5,FALSE)</f>
        <v>Trsf</v>
      </c>
      <c r="S892" s="1" t="s">
        <v>978</v>
      </c>
    </row>
    <row r="893" spans="1:19" hidden="1" x14ac:dyDescent="0.3">
      <c r="A893" s="4">
        <v>44741</v>
      </c>
      <c r="B893" s="5">
        <f t="shared" si="175"/>
        <v>6</v>
      </c>
      <c r="C893" s="5">
        <f t="shared" si="176"/>
        <v>2022</v>
      </c>
      <c r="D893" s="5" t="s">
        <v>848</v>
      </c>
      <c r="E893" s="5" t="str">
        <f>VLOOKUP(F893,'Set up'!$A$2:$C$48,2,FALSE)</f>
        <v>C00000010</v>
      </c>
      <c r="F893" s="1" t="s">
        <v>62</v>
      </c>
      <c r="G893" s="11" t="s">
        <v>655</v>
      </c>
      <c r="H893" s="5">
        <v>10</v>
      </c>
      <c r="I893" s="5">
        <f>VLOOKUP(F893,'Set up'!$A$2:$C$48,3,FALSE)</f>
        <v>120</v>
      </c>
      <c r="J893" s="5">
        <f>VLOOKUP(F893,'Set up'!$A$2:$D$48,4,FALSE)</f>
        <v>120</v>
      </c>
      <c r="K893" s="4">
        <f t="shared" si="170"/>
        <v>44861</v>
      </c>
      <c r="L893" s="5">
        <f t="shared" si="172"/>
        <v>10</v>
      </c>
      <c r="M893" s="5">
        <f t="shared" si="173"/>
        <v>2022</v>
      </c>
      <c r="N893" s="6">
        <v>2850</v>
      </c>
      <c r="O893" s="6">
        <f t="shared" si="178"/>
        <v>-2850</v>
      </c>
      <c r="P893" s="6">
        <f t="shared" si="169"/>
        <v>0</v>
      </c>
      <c r="Q893" s="7">
        <f t="shared" si="165"/>
        <v>1603470.2500000005</v>
      </c>
      <c r="R893" s="44" t="str">
        <f>VLOOKUP(F893,'Set up'!$A$2:$E$48,5,FALSE)</f>
        <v>Trsf</v>
      </c>
      <c r="S893" s="1" t="s">
        <v>978</v>
      </c>
    </row>
    <row r="894" spans="1:19" hidden="1" x14ac:dyDescent="0.3">
      <c r="A894" s="4">
        <v>44741</v>
      </c>
      <c r="B894" s="5">
        <f t="shared" si="175"/>
        <v>6</v>
      </c>
      <c r="C894" s="5">
        <f t="shared" si="176"/>
        <v>2022</v>
      </c>
      <c r="D894" s="5" t="s">
        <v>848</v>
      </c>
      <c r="E894" s="5" t="str">
        <f>VLOOKUP(F894,'Set up'!$A$2:$C$48,2,FALSE)</f>
        <v>C00000010</v>
      </c>
      <c r="F894" s="1" t="s">
        <v>62</v>
      </c>
      <c r="G894" s="11" t="s">
        <v>792</v>
      </c>
      <c r="H894" s="5">
        <v>10</v>
      </c>
      <c r="I894" s="5">
        <f>VLOOKUP(F894,'Set up'!$A$2:$C$48,3,FALSE)</f>
        <v>120</v>
      </c>
      <c r="J894" s="5">
        <f>VLOOKUP(F894,'Set up'!$A$2:$D$48,4,FALSE)</f>
        <v>120</v>
      </c>
      <c r="K894" s="4">
        <f t="shared" si="170"/>
        <v>44861</v>
      </c>
      <c r="L894" s="5">
        <f t="shared" si="172"/>
        <v>10</v>
      </c>
      <c r="M894" s="5">
        <f t="shared" si="173"/>
        <v>2022</v>
      </c>
      <c r="N894" s="6">
        <v>550</v>
      </c>
      <c r="O894" s="6">
        <f t="shared" si="178"/>
        <v>-550</v>
      </c>
      <c r="P894" s="6">
        <f t="shared" si="169"/>
        <v>0</v>
      </c>
      <c r="Q894" s="7">
        <f t="shared" si="165"/>
        <v>1604020.2500000005</v>
      </c>
      <c r="R894" s="44" t="str">
        <f>VLOOKUP(F894,'Set up'!$A$2:$E$48,5,FALSE)</f>
        <v>Trsf</v>
      </c>
      <c r="S894" s="1" t="s">
        <v>978</v>
      </c>
    </row>
    <row r="895" spans="1:19" hidden="1" x14ac:dyDescent="0.3">
      <c r="A895" s="4">
        <v>44741</v>
      </c>
      <c r="B895" s="5">
        <f t="shared" si="175"/>
        <v>6</v>
      </c>
      <c r="C895" s="5">
        <f t="shared" si="176"/>
        <v>2022</v>
      </c>
      <c r="D895" s="5" t="s">
        <v>848</v>
      </c>
      <c r="E895" s="5" t="str">
        <f>VLOOKUP(F895,'Set up'!$A$2:$C$48,2,FALSE)</f>
        <v>C00000010</v>
      </c>
      <c r="F895" s="1" t="s">
        <v>62</v>
      </c>
      <c r="G895" s="11" t="s">
        <v>46</v>
      </c>
      <c r="H895" s="5">
        <v>4</v>
      </c>
      <c r="I895" s="5">
        <f>VLOOKUP(F895,'Set up'!$A$2:$C$48,3,FALSE)</f>
        <v>120</v>
      </c>
      <c r="J895" s="5">
        <f>VLOOKUP(F895,'Set up'!$A$2:$D$48,4,FALSE)</f>
        <v>120</v>
      </c>
      <c r="K895" s="4">
        <f t="shared" si="170"/>
        <v>44861</v>
      </c>
      <c r="L895" s="5">
        <f t="shared" si="172"/>
        <v>10</v>
      </c>
      <c r="M895" s="5">
        <f t="shared" si="173"/>
        <v>2022</v>
      </c>
      <c r="N895" s="6">
        <v>420</v>
      </c>
      <c r="O895" s="6">
        <f t="shared" si="178"/>
        <v>-420</v>
      </c>
      <c r="P895" s="6">
        <f t="shared" si="169"/>
        <v>0</v>
      </c>
      <c r="Q895" s="7">
        <f t="shared" si="165"/>
        <v>1604440.2500000005</v>
      </c>
      <c r="R895" s="44" t="str">
        <f>VLOOKUP(F895,'Set up'!$A$2:$E$48,5,FALSE)</f>
        <v>Trsf</v>
      </c>
      <c r="S895" s="1" t="s">
        <v>978</v>
      </c>
    </row>
    <row r="896" spans="1:19" hidden="1" x14ac:dyDescent="0.3">
      <c r="A896" s="4">
        <v>44741</v>
      </c>
      <c r="B896" s="5">
        <f t="shared" si="175"/>
        <v>6</v>
      </c>
      <c r="C896" s="5">
        <f t="shared" si="176"/>
        <v>2022</v>
      </c>
      <c r="D896" s="5" t="s">
        <v>848</v>
      </c>
      <c r="E896" s="5" t="str">
        <f>VLOOKUP(F896,'Set up'!$A$2:$C$48,2,FALSE)</f>
        <v>C00000010</v>
      </c>
      <c r="F896" s="1" t="s">
        <v>62</v>
      </c>
      <c r="G896" s="11" t="s">
        <v>615</v>
      </c>
      <c r="H896" s="5">
        <v>1</v>
      </c>
      <c r="I896" s="5">
        <f>VLOOKUP(F896,'Set up'!$A$2:$C$48,3,FALSE)</f>
        <v>120</v>
      </c>
      <c r="J896" s="5">
        <f>VLOOKUP(F896,'Set up'!$A$2:$D$48,4,FALSE)</f>
        <v>120</v>
      </c>
      <c r="K896" s="4">
        <f t="shared" si="170"/>
        <v>44861</v>
      </c>
      <c r="L896" s="5">
        <f t="shared" si="172"/>
        <v>10</v>
      </c>
      <c r="M896" s="5">
        <f t="shared" si="173"/>
        <v>2022</v>
      </c>
      <c r="N896" s="6">
        <v>395</v>
      </c>
      <c r="O896" s="6">
        <f t="shared" si="178"/>
        <v>-395</v>
      </c>
      <c r="P896" s="6">
        <f t="shared" si="169"/>
        <v>0</v>
      </c>
      <c r="Q896" s="7">
        <f t="shared" si="165"/>
        <v>1604835.2500000005</v>
      </c>
      <c r="R896" s="44" t="str">
        <f>VLOOKUP(F896,'Set up'!$A$2:$E$48,5,FALSE)</f>
        <v>Trsf</v>
      </c>
      <c r="S896" s="1" t="s">
        <v>978</v>
      </c>
    </row>
    <row r="897" spans="1:19" hidden="1" x14ac:dyDescent="0.3">
      <c r="A897" s="4">
        <v>44741</v>
      </c>
      <c r="B897" s="5">
        <f t="shared" si="175"/>
        <v>6</v>
      </c>
      <c r="C897" s="5">
        <f t="shared" si="176"/>
        <v>2022</v>
      </c>
      <c r="D897" s="5" t="s">
        <v>848</v>
      </c>
      <c r="E897" s="5" t="str">
        <f>VLOOKUP(F897,'Set up'!$A$2:$C$48,2,FALSE)</f>
        <v>C00000010</v>
      </c>
      <c r="F897" s="1" t="s">
        <v>62</v>
      </c>
      <c r="G897" s="11" t="s">
        <v>788</v>
      </c>
      <c r="H897" s="5">
        <v>1</v>
      </c>
      <c r="I897" s="5">
        <f>VLOOKUP(F897,'Set up'!$A$2:$C$48,3,FALSE)</f>
        <v>120</v>
      </c>
      <c r="J897" s="5">
        <f>VLOOKUP(F897,'Set up'!$A$2:$D$48,4,FALSE)</f>
        <v>120</v>
      </c>
      <c r="K897" s="4">
        <f t="shared" si="170"/>
        <v>44861</v>
      </c>
      <c r="L897" s="5">
        <f t="shared" si="172"/>
        <v>10</v>
      </c>
      <c r="M897" s="5">
        <f t="shared" si="173"/>
        <v>2022</v>
      </c>
      <c r="N897" s="6">
        <v>440</v>
      </c>
      <c r="O897" s="6">
        <f t="shared" si="178"/>
        <v>-440</v>
      </c>
      <c r="P897" s="6">
        <f t="shared" si="169"/>
        <v>0</v>
      </c>
      <c r="Q897" s="7">
        <f t="shared" si="165"/>
        <v>1605275.2500000005</v>
      </c>
      <c r="R897" s="44" t="str">
        <f>VLOOKUP(F897,'Set up'!$A$2:$E$48,5,FALSE)</f>
        <v>Trsf</v>
      </c>
      <c r="S897" s="1" t="s">
        <v>978</v>
      </c>
    </row>
    <row r="898" spans="1:19" hidden="1" x14ac:dyDescent="0.3">
      <c r="A898" s="4">
        <v>44743</v>
      </c>
      <c r="B898" s="5">
        <f t="shared" si="175"/>
        <v>7</v>
      </c>
      <c r="C898" s="5">
        <f t="shared" si="176"/>
        <v>2022</v>
      </c>
      <c r="D898" s="5" t="s">
        <v>857</v>
      </c>
      <c r="E898" s="5" t="str">
        <f>VLOOKUP(F898,'Set up'!$A$2:$C$48,2,FALSE)</f>
        <v>C00000009</v>
      </c>
      <c r="F898" s="1" t="s">
        <v>58</v>
      </c>
      <c r="G898" s="95" t="s">
        <v>708</v>
      </c>
      <c r="H898" s="5">
        <v>3</v>
      </c>
      <c r="I898" s="5">
        <f>VLOOKUP(F898,'Set up'!$A$2:$C$48,3,FALSE)</f>
        <v>60</v>
      </c>
      <c r="J898" s="5">
        <f>VLOOKUP(F898,'Set up'!$A$2:$D$48,4,FALSE)</f>
        <v>60</v>
      </c>
      <c r="K898" s="4">
        <f t="shared" si="170"/>
        <v>44803</v>
      </c>
      <c r="L898" s="5">
        <f t="shared" si="172"/>
        <v>8</v>
      </c>
      <c r="M898" s="5">
        <f t="shared" si="173"/>
        <v>2022</v>
      </c>
      <c r="N898" s="6">
        <v>1539</v>
      </c>
      <c r="O898" s="6">
        <f>-N898</f>
        <v>-1539</v>
      </c>
      <c r="P898" s="6">
        <f t="shared" si="169"/>
        <v>0</v>
      </c>
      <c r="Q898" s="7">
        <f t="shared" si="165"/>
        <v>1606814.2500000005</v>
      </c>
      <c r="R898" s="44" t="str">
        <f>VLOOKUP(F898,'Set up'!$A$2:$E$48,5,FALSE)</f>
        <v>Chq</v>
      </c>
      <c r="S898" s="1" t="s">
        <v>1087</v>
      </c>
    </row>
    <row r="899" spans="1:19" hidden="1" x14ac:dyDescent="0.3">
      <c r="A899" s="4">
        <v>44754</v>
      </c>
      <c r="B899" s="5">
        <f t="shared" si="175"/>
        <v>7</v>
      </c>
      <c r="C899" s="5">
        <f t="shared" si="176"/>
        <v>2022</v>
      </c>
      <c r="D899" s="5" t="s">
        <v>858</v>
      </c>
      <c r="E899" s="5" t="str">
        <f>VLOOKUP(F899,'Set up'!$A$2:$C$48,2,FALSE)</f>
        <v>C00000019</v>
      </c>
      <c r="F899" s="1" t="s">
        <v>401</v>
      </c>
      <c r="G899" s="11" t="s">
        <v>720</v>
      </c>
      <c r="H899" s="5">
        <v>2</v>
      </c>
      <c r="I899" s="5" t="str">
        <f>VLOOKUP(F899,'Set up'!$A$2:$C$48,3,FALSE)</f>
        <v>Cash</v>
      </c>
      <c r="J899" s="5">
        <f>VLOOKUP(F899,'Set up'!$A$2:$D$48,4,FALSE)</f>
        <v>0</v>
      </c>
      <c r="K899" s="4">
        <f t="shared" si="170"/>
        <v>44754</v>
      </c>
      <c r="L899" s="5">
        <f t="shared" si="172"/>
        <v>7</v>
      </c>
      <c r="M899" s="5">
        <f t="shared" si="173"/>
        <v>2022</v>
      </c>
      <c r="N899" s="6">
        <v>4136</v>
      </c>
      <c r="O899" s="6">
        <f>-N899</f>
        <v>-4136</v>
      </c>
      <c r="P899" s="6">
        <f t="shared" si="169"/>
        <v>0</v>
      </c>
      <c r="Q899" s="7">
        <f t="shared" ref="Q899:Q962" si="179">SUM(Q898+N899)</f>
        <v>1610950.2500000005</v>
      </c>
      <c r="R899" s="44" t="str">
        <f>VLOOKUP(F899,'Set up'!$A$2:$E$48,5,FALSE)</f>
        <v>Trsf</v>
      </c>
      <c r="S899" s="1" t="s">
        <v>879</v>
      </c>
    </row>
    <row r="900" spans="1:19" hidden="1" x14ac:dyDescent="0.3">
      <c r="A900" s="4">
        <v>44754</v>
      </c>
      <c r="B900" s="5">
        <f t="shared" si="175"/>
        <v>7</v>
      </c>
      <c r="C900" s="5">
        <f t="shared" si="176"/>
        <v>2022</v>
      </c>
      <c r="D900" s="5" t="s">
        <v>858</v>
      </c>
      <c r="E900" s="5" t="str">
        <f>VLOOKUP(F900,'Set up'!$A$2:$C$48,2,FALSE)</f>
        <v>C00000019</v>
      </c>
      <c r="F900" s="1" t="s">
        <v>401</v>
      </c>
      <c r="G900" s="11" t="s">
        <v>708</v>
      </c>
      <c r="H900" s="5">
        <v>2</v>
      </c>
      <c r="I900" s="5" t="str">
        <f>VLOOKUP(F900,'Set up'!$A$2:$C$48,3,FALSE)</f>
        <v>Cash</v>
      </c>
      <c r="J900" s="5">
        <f>VLOOKUP(F900,'Set up'!$A$2:$D$48,4,FALSE)</f>
        <v>0</v>
      </c>
      <c r="K900" s="4">
        <f t="shared" si="170"/>
        <v>44754</v>
      </c>
      <c r="L900" s="5">
        <f t="shared" si="172"/>
        <v>7</v>
      </c>
      <c r="M900" s="5">
        <f t="shared" si="173"/>
        <v>2022</v>
      </c>
      <c r="N900" s="6">
        <v>1047.5999999999999</v>
      </c>
      <c r="O900" s="6">
        <f>-N900</f>
        <v>-1047.5999999999999</v>
      </c>
      <c r="P900" s="6">
        <f t="shared" si="169"/>
        <v>0</v>
      </c>
      <c r="Q900" s="7">
        <f t="shared" si="179"/>
        <v>1611997.8500000006</v>
      </c>
      <c r="R900" s="44" t="str">
        <f>VLOOKUP(F900,'Set up'!$A$2:$E$48,5,FALSE)</f>
        <v>Trsf</v>
      </c>
      <c r="S900" s="1" t="s">
        <v>879</v>
      </c>
    </row>
    <row r="901" spans="1:19" x14ac:dyDescent="0.3">
      <c r="A901" s="4">
        <v>44756</v>
      </c>
      <c r="B901" s="5">
        <f t="shared" si="175"/>
        <v>7</v>
      </c>
      <c r="C901" s="5">
        <f t="shared" si="176"/>
        <v>2022</v>
      </c>
      <c r="D901" s="5" t="s">
        <v>859</v>
      </c>
      <c r="E901" s="5" t="str">
        <f>VLOOKUP(F901,'Set up'!$A$2:$C$48,2,FALSE)</f>
        <v>C00000020</v>
      </c>
      <c r="F901" s="1" t="s">
        <v>410</v>
      </c>
      <c r="G901" s="11" t="s">
        <v>717</v>
      </c>
      <c r="H901" s="5">
        <v>4</v>
      </c>
      <c r="I901" s="5" t="str">
        <f>VLOOKUP(F901,'Set up'!$A$2:$C$48,3,FALSE)</f>
        <v>Cash</v>
      </c>
      <c r="J901" s="5">
        <f>VLOOKUP(F901,'Set up'!$A$2:$D$48,4,FALSE)</f>
        <v>0</v>
      </c>
      <c r="K901" s="4">
        <f t="shared" si="170"/>
        <v>44756</v>
      </c>
      <c r="L901" s="5">
        <f t="shared" si="172"/>
        <v>7</v>
      </c>
      <c r="M901" s="5">
        <f t="shared" si="173"/>
        <v>2022</v>
      </c>
      <c r="N901" s="6">
        <v>8272</v>
      </c>
      <c r="O901" s="6">
        <f t="shared" ref="O901:O904" si="180">-N901</f>
        <v>-8272</v>
      </c>
      <c r="P901" s="6">
        <f t="shared" si="169"/>
        <v>0</v>
      </c>
      <c r="Q901" s="7">
        <f t="shared" si="179"/>
        <v>1620269.8500000006</v>
      </c>
      <c r="R901" s="44" t="str">
        <f>VLOOKUP(F901,'Set up'!$A$2:$E$48,5,FALSE)</f>
        <v>Trsf</v>
      </c>
      <c r="S901" s="1" t="s">
        <v>1164</v>
      </c>
    </row>
    <row r="902" spans="1:19" x14ac:dyDescent="0.3">
      <c r="A902" s="4">
        <v>44756</v>
      </c>
      <c r="B902" s="5">
        <f t="shared" si="175"/>
        <v>7</v>
      </c>
      <c r="C902" s="5">
        <f t="shared" si="176"/>
        <v>2022</v>
      </c>
      <c r="D902" s="5" t="s">
        <v>859</v>
      </c>
      <c r="E902" s="5" t="str">
        <f>VLOOKUP(F902,'Set up'!$A$2:$C$48,2,FALSE)</f>
        <v>C00000020</v>
      </c>
      <c r="F902" s="1" t="s">
        <v>410</v>
      </c>
      <c r="G902" s="11" t="s">
        <v>655</v>
      </c>
      <c r="H902" s="5">
        <v>9</v>
      </c>
      <c r="I902" s="5" t="str">
        <f>VLOOKUP(F902,'Set up'!$A$2:$C$48,3,FALSE)</f>
        <v>Cash</v>
      </c>
      <c r="J902" s="5">
        <f>VLOOKUP(F902,'Set up'!$A$2:$D$48,4,FALSE)</f>
        <v>0</v>
      </c>
      <c r="K902" s="4">
        <f t="shared" si="170"/>
        <v>44756</v>
      </c>
      <c r="L902" s="5">
        <f t="shared" si="172"/>
        <v>7</v>
      </c>
      <c r="M902" s="5">
        <f t="shared" si="173"/>
        <v>2022</v>
      </c>
      <c r="N902" s="6">
        <v>2646</v>
      </c>
      <c r="O902" s="6">
        <f t="shared" si="180"/>
        <v>-2646</v>
      </c>
      <c r="P902" s="6">
        <f t="shared" si="169"/>
        <v>0</v>
      </c>
      <c r="Q902" s="7">
        <f t="shared" si="179"/>
        <v>1622915.8500000006</v>
      </c>
      <c r="R902" s="44" t="str">
        <f>VLOOKUP(F902,'Set up'!$A$2:$E$48,5,FALSE)</f>
        <v>Trsf</v>
      </c>
      <c r="S902" s="1" t="s">
        <v>1164</v>
      </c>
    </row>
    <row r="903" spans="1:19" x14ac:dyDescent="0.3">
      <c r="A903" s="4">
        <v>44756</v>
      </c>
      <c r="B903" s="5">
        <f t="shared" si="175"/>
        <v>7</v>
      </c>
      <c r="C903" s="5">
        <f t="shared" si="176"/>
        <v>2022</v>
      </c>
      <c r="D903" s="5" t="s">
        <v>859</v>
      </c>
      <c r="E903" s="5" t="str">
        <f>VLOOKUP(F903,'Set up'!$A$2:$C$48,2,FALSE)</f>
        <v>C00000020</v>
      </c>
      <c r="F903" s="1" t="s">
        <v>410</v>
      </c>
      <c r="G903" s="11" t="s">
        <v>793</v>
      </c>
      <c r="H903" s="5">
        <v>5</v>
      </c>
      <c r="I903" s="5" t="str">
        <f>VLOOKUP(F903,'Set up'!$A$2:$C$48,3,FALSE)</f>
        <v>Cash</v>
      </c>
      <c r="J903" s="5">
        <f>VLOOKUP(F903,'Set up'!$A$2:$D$48,4,FALSE)</f>
        <v>0</v>
      </c>
      <c r="K903" s="4">
        <f t="shared" si="170"/>
        <v>44756</v>
      </c>
      <c r="L903" s="5">
        <f t="shared" si="172"/>
        <v>7</v>
      </c>
      <c r="M903" s="5">
        <f t="shared" si="173"/>
        <v>2022</v>
      </c>
      <c r="N903" s="6">
        <v>1687.5</v>
      </c>
      <c r="O903" s="6">
        <f t="shared" si="180"/>
        <v>-1687.5</v>
      </c>
      <c r="P903" s="6">
        <f t="shared" si="169"/>
        <v>0</v>
      </c>
      <c r="Q903" s="7">
        <f t="shared" si="179"/>
        <v>1624603.3500000006</v>
      </c>
      <c r="R903" s="44" t="str">
        <f>VLOOKUP(F903,'Set up'!$A$2:$E$48,5,FALSE)</f>
        <v>Trsf</v>
      </c>
      <c r="S903" s="1" t="s">
        <v>1164</v>
      </c>
    </row>
    <row r="904" spans="1:19" x14ac:dyDescent="0.3">
      <c r="A904" s="4">
        <v>44756</v>
      </c>
      <c r="B904" s="5">
        <f t="shared" si="175"/>
        <v>7</v>
      </c>
      <c r="C904" s="5">
        <f t="shared" si="176"/>
        <v>2022</v>
      </c>
      <c r="D904" s="5" t="s">
        <v>859</v>
      </c>
      <c r="E904" s="5" t="str">
        <f>VLOOKUP(F904,'Set up'!$A$2:$C$48,2,FALSE)</f>
        <v>C00000020</v>
      </c>
      <c r="F904" s="1" t="s">
        <v>410</v>
      </c>
      <c r="G904" s="11" t="s">
        <v>792</v>
      </c>
      <c r="H904" s="5">
        <v>4</v>
      </c>
      <c r="I904" s="5" t="str">
        <f>VLOOKUP(F904,'Set up'!$A$2:$C$48,3,FALSE)</f>
        <v>Cash</v>
      </c>
      <c r="J904" s="5">
        <f>VLOOKUP(F904,'Set up'!$A$2:$D$48,4,FALSE)</f>
        <v>0</v>
      </c>
      <c r="K904" s="4">
        <f t="shared" si="170"/>
        <v>44756</v>
      </c>
      <c r="L904" s="5">
        <f t="shared" si="172"/>
        <v>7</v>
      </c>
      <c r="M904" s="5">
        <f t="shared" si="173"/>
        <v>2022</v>
      </c>
      <c r="N904" s="6">
        <v>250</v>
      </c>
      <c r="O904" s="6">
        <f t="shared" si="180"/>
        <v>-250</v>
      </c>
      <c r="P904" s="6">
        <f t="shared" si="169"/>
        <v>0</v>
      </c>
      <c r="Q904" s="7">
        <f t="shared" si="179"/>
        <v>1624853.3500000006</v>
      </c>
      <c r="R904" s="44" t="str">
        <f>VLOOKUP(F904,'Set up'!$A$2:$E$48,5,FALSE)</f>
        <v>Trsf</v>
      </c>
      <c r="S904" s="1" t="s">
        <v>1164</v>
      </c>
    </row>
    <row r="905" spans="1:19" hidden="1" x14ac:dyDescent="0.3">
      <c r="A905" s="4">
        <v>44756</v>
      </c>
      <c r="B905" s="5">
        <f t="shared" si="175"/>
        <v>7</v>
      </c>
      <c r="C905" s="5">
        <f t="shared" si="176"/>
        <v>2022</v>
      </c>
      <c r="D905" s="5" t="s">
        <v>862</v>
      </c>
      <c r="E905" s="5" t="str">
        <f>VLOOKUP(F905,'Set up'!$A$2:$C$48,2,FALSE)</f>
        <v>C00000027</v>
      </c>
      <c r="F905" s="1" t="s">
        <v>860</v>
      </c>
      <c r="G905" s="11" t="s">
        <v>717</v>
      </c>
      <c r="H905" s="5">
        <v>2</v>
      </c>
      <c r="I905" s="5" t="str">
        <f>VLOOKUP(F905,'Set up'!$A$2:$C$48,3,FALSE)</f>
        <v>Cash</v>
      </c>
      <c r="J905" s="5">
        <f>VLOOKUP(F905,'Set up'!$A$2:$D$48,4,FALSE)</f>
        <v>0</v>
      </c>
      <c r="K905" s="4">
        <f t="shared" si="170"/>
        <v>44756</v>
      </c>
      <c r="L905" s="5">
        <f t="shared" si="172"/>
        <v>7</v>
      </c>
      <c r="M905" s="5">
        <f t="shared" si="173"/>
        <v>2022</v>
      </c>
      <c r="N905" s="6">
        <v>4004</v>
      </c>
      <c r="O905" s="6">
        <f t="shared" ref="O905:O924" si="181">-N905</f>
        <v>-4004</v>
      </c>
      <c r="P905" s="6">
        <f t="shared" si="169"/>
        <v>0</v>
      </c>
      <c r="Q905" s="7">
        <f t="shared" si="179"/>
        <v>1628857.3500000006</v>
      </c>
      <c r="R905" s="44" t="str">
        <f>VLOOKUP(F905,'Set up'!$A$2:$E$48,5,FALSE)</f>
        <v>Trsf</v>
      </c>
      <c r="S905" s="1" t="s">
        <v>1031</v>
      </c>
    </row>
    <row r="906" spans="1:19" hidden="1" x14ac:dyDescent="0.3">
      <c r="A906" s="4">
        <v>44756</v>
      </c>
      <c r="B906" s="5">
        <f t="shared" si="175"/>
        <v>7</v>
      </c>
      <c r="C906" s="5">
        <f t="shared" si="176"/>
        <v>2022</v>
      </c>
      <c r="D906" s="5" t="s">
        <v>862</v>
      </c>
      <c r="E906" s="5" t="str">
        <f>VLOOKUP(F906,'Set up'!$A$2:$C$48,2,FALSE)</f>
        <v>C00000027</v>
      </c>
      <c r="F906" s="1" t="s">
        <v>860</v>
      </c>
      <c r="G906" s="11" t="s">
        <v>708</v>
      </c>
      <c r="H906" s="5">
        <v>2</v>
      </c>
      <c r="I906" s="5" t="str">
        <f>VLOOKUP(F906,'Set up'!$A$2:$C$48,3,FALSE)</f>
        <v>Cash</v>
      </c>
      <c r="J906" s="5">
        <f>VLOOKUP(F906,'Set up'!$A$2:$D$48,4,FALSE)</f>
        <v>0</v>
      </c>
      <c r="K906" s="4">
        <f t="shared" si="170"/>
        <v>44756</v>
      </c>
      <c r="L906" s="5">
        <f t="shared" si="172"/>
        <v>7</v>
      </c>
      <c r="M906" s="5">
        <f t="shared" si="173"/>
        <v>2022</v>
      </c>
      <c r="N906" s="6">
        <v>1015.2</v>
      </c>
      <c r="O906" s="6">
        <f t="shared" si="181"/>
        <v>-1015.2</v>
      </c>
      <c r="P906" s="6">
        <f t="shared" si="169"/>
        <v>0</v>
      </c>
      <c r="Q906" s="7">
        <f t="shared" si="179"/>
        <v>1629872.5500000005</v>
      </c>
      <c r="R906" s="44" t="str">
        <f>VLOOKUP(F906,'Set up'!$A$2:$E$48,5,FALSE)</f>
        <v>Trsf</v>
      </c>
      <c r="S906" s="1" t="s">
        <v>1031</v>
      </c>
    </row>
    <row r="907" spans="1:19" hidden="1" x14ac:dyDescent="0.3">
      <c r="A907" s="4">
        <v>44756</v>
      </c>
      <c r="B907" s="5">
        <f t="shared" si="175"/>
        <v>7</v>
      </c>
      <c r="C907" s="5">
        <f t="shared" si="176"/>
        <v>2022</v>
      </c>
      <c r="D907" s="5" t="s">
        <v>862</v>
      </c>
      <c r="E907" s="5" t="str">
        <f>VLOOKUP(F907,'Set up'!$A$2:$C$48,2,FALSE)</f>
        <v>C00000027</v>
      </c>
      <c r="F907" s="1" t="s">
        <v>860</v>
      </c>
      <c r="G907" s="11" t="s">
        <v>793</v>
      </c>
      <c r="H907" s="5">
        <v>3</v>
      </c>
      <c r="I907" s="5" t="str">
        <f>VLOOKUP(F907,'Set up'!$A$2:$C$48,3,FALSE)</f>
        <v>Cash</v>
      </c>
      <c r="J907" s="5">
        <f>VLOOKUP(F907,'Set up'!$A$2:$D$48,4,FALSE)</f>
        <v>0</v>
      </c>
      <c r="K907" s="4">
        <f t="shared" si="170"/>
        <v>44756</v>
      </c>
      <c r="L907" s="5">
        <f t="shared" si="172"/>
        <v>7</v>
      </c>
      <c r="M907" s="5">
        <f t="shared" si="173"/>
        <v>2022</v>
      </c>
      <c r="N907" s="6">
        <v>945</v>
      </c>
      <c r="O907" s="6">
        <f t="shared" si="181"/>
        <v>-945</v>
      </c>
      <c r="P907" s="6">
        <f t="shared" si="169"/>
        <v>0</v>
      </c>
      <c r="Q907" s="7">
        <f t="shared" si="179"/>
        <v>1630817.5500000005</v>
      </c>
      <c r="R907" s="44" t="str">
        <f>VLOOKUP(F907,'Set up'!$A$2:$E$48,5,FALSE)</f>
        <v>Trsf</v>
      </c>
      <c r="S907" s="1" t="s">
        <v>1031</v>
      </c>
    </row>
    <row r="908" spans="1:19" hidden="1" x14ac:dyDescent="0.3">
      <c r="A908" s="4">
        <v>44756</v>
      </c>
      <c r="B908" s="5">
        <f t="shared" si="175"/>
        <v>7</v>
      </c>
      <c r="C908" s="5">
        <f t="shared" si="176"/>
        <v>2022</v>
      </c>
      <c r="D908" s="5" t="s">
        <v>862</v>
      </c>
      <c r="E908" s="5" t="str">
        <f>VLOOKUP(F908,'Set up'!$A$2:$C$48,2,FALSE)</f>
        <v>C00000027</v>
      </c>
      <c r="F908" s="1" t="s">
        <v>860</v>
      </c>
      <c r="G908" s="11" t="s">
        <v>863</v>
      </c>
      <c r="H908" s="5">
        <v>2</v>
      </c>
      <c r="I908" s="5" t="str">
        <f>VLOOKUP(F908,'Set up'!$A$2:$C$48,3,FALSE)</f>
        <v>Cash</v>
      </c>
      <c r="J908" s="5">
        <f>VLOOKUP(F908,'Set up'!$A$2:$D$48,4,FALSE)</f>
        <v>0</v>
      </c>
      <c r="K908" s="4">
        <f t="shared" si="170"/>
        <v>44756</v>
      </c>
      <c r="L908" s="5">
        <f t="shared" si="172"/>
        <v>7</v>
      </c>
      <c r="M908" s="5">
        <f t="shared" si="173"/>
        <v>2022</v>
      </c>
      <c r="N908" s="6">
        <v>320</v>
      </c>
      <c r="O908" s="6">
        <f t="shared" si="181"/>
        <v>-320</v>
      </c>
      <c r="P908" s="6">
        <f t="shared" si="169"/>
        <v>0</v>
      </c>
      <c r="Q908" s="7">
        <f t="shared" si="179"/>
        <v>1631137.5500000005</v>
      </c>
      <c r="R908" s="44" t="str">
        <f>VLOOKUP(F908,'Set up'!$A$2:$E$48,5,FALSE)</f>
        <v>Trsf</v>
      </c>
      <c r="S908" s="1" t="s">
        <v>1031</v>
      </c>
    </row>
    <row r="909" spans="1:19" hidden="1" x14ac:dyDescent="0.3">
      <c r="A909" s="4">
        <v>44756</v>
      </c>
      <c r="B909" s="5">
        <f t="shared" si="175"/>
        <v>7</v>
      </c>
      <c r="C909" s="5">
        <f t="shared" si="176"/>
        <v>2022</v>
      </c>
      <c r="D909" s="5" t="s">
        <v>862</v>
      </c>
      <c r="E909" s="5" t="str">
        <f>VLOOKUP(F909,'Set up'!$A$2:$C$48,2,FALSE)</f>
        <v>C00000027</v>
      </c>
      <c r="F909" s="1" t="s">
        <v>860</v>
      </c>
      <c r="G909" s="11" t="s">
        <v>667</v>
      </c>
      <c r="H909" s="5">
        <v>1</v>
      </c>
      <c r="I909" s="5" t="str">
        <f>VLOOKUP(F909,'Set up'!$A$2:$C$48,3,FALSE)</f>
        <v>Cash</v>
      </c>
      <c r="J909" s="5">
        <f>VLOOKUP(F909,'Set up'!$A$2:$D$48,4,FALSE)</f>
        <v>0</v>
      </c>
      <c r="K909" s="4">
        <f t="shared" si="170"/>
        <v>44756</v>
      </c>
      <c r="L909" s="5">
        <f t="shared" si="172"/>
        <v>7</v>
      </c>
      <c r="M909" s="5">
        <f t="shared" si="173"/>
        <v>2022</v>
      </c>
      <c r="N909" s="6">
        <v>90</v>
      </c>
      <c r="O909" s="6">
        <f t="shared" si="181"/>
        <v>-90</v>
      </c>
      <c r="P909" s="6">
        <f t="shared" si="169"/>
        <v>0</v>
      </c>
      <c r="Q909" s="7">
        <f t="shared" si="179"/>
        <v>1631227.5500000005</v>
      </c>
      <c r="R909" s="44" t="str">
        <f>VLOOKUP(F909,'Set up'!$A$2:$E$48,5,FALSE)</f>
        <v>Trsf</v>
      </c>
      <c r="S909" s="1" t="s">
        <v>1031</v>
      </c>
    </row>
    <row r="910" spans="1:19" hidden="1" x14ac:dyDescent="0.3">
      <c r="A910" s="4">
        <v>44756</v>
      </c>
      <c r="B910" s="5">
        <f t="shared" si="175"/>
        <v>7</v>
      </c>
      <c r="C910" s="5">
        <f t="shared" si="176"/>
        <v>2022</v>
      </c>
      <c r="D910" s="5" t="s">
        <v>862</v>
      </c>
      <c r="E910" s="5" t="str">
        <f>VLOOKUP(F910,'Set up'!$A$2:$C$48,2,FALSE)</f>
        <v>C00000027</v>
      </c>
      <c r="F910" s="1" t="s">
        <v>860</v>
      </c>
      <c r="G910" s="11" t="s">
        <v>864</v>
      </c>
      <c r="H910" s="5">
        <v>1</v>
      </c>
      <c r="I910" s="5" t="str">
        <f>VLOOKUP(F910,'Set up'!$A$2:$C$48,3,FALSE)</f>
        <v>Cash</v>
      </c>
      <c r="J910" s="5">
        <f>VLOOKUP(F910,'Set up'!$A$2:$D$48,4,FALSE)</f>
        <v>0</v>
      </c>
      <c r="K910" s="4">
        <f t="shared" si="170"/>
        <v>44756</v>
      </c>
      <c r="L910" s="5">
        <f t="shared" si="172"/>
        <v>7</v>
      </c>
      <c r="M910" s="5">
        <f t="shared" si="173"/>
        <v>2022</v>
      </c>
      <c r="N910" s="6">
        <v>500</v>
      </c>
      <c r="O910" s="6">
        <f t="shared" si="181"/>
        <v>-500</v>
      </c>
      <c r="P910" s="6">
        <f t="shared" si="169"/>
        <v>0</v>
      </c>
      <c r="Q910" s="7">
        <f t="shared" si="179"/>
        <v>1631727.5500000005</v>
      </c>
      <c r="R910" s="44" t="str">
        <f>VLOOKUP(F910,'Set up'!$A$2:$E$48,5,FALSE)</f>
        <v>Trsf</v>
      </c>
      <c r="S910" s="1" t="s">
        <v>1031</v>
      </c>
    </row>
    <row r="911" spans="1:19" hidden="1" x14ac:dyDescent="0.3">
      <c r="A911" s="4">
        <v>44756</v>
      </c>
      <c r="B911" s="5">
        <f t="shared" si="175"/>
        <v>7</v>
      </c>
      <c r="C911" s="5">
        <f t="shared" si="176"/>
        <v>2022</v>
      </c>
      <c r="D911" s="5" t="s">
        <v>862</v>
      </c>
      <c r="E911" s="5" t="str">
        <f>VLOOKUP(F911,'Set up'!$A$2:$C$48,2,FALSE)</f>
        <v>C00000027</v>
      </c>
      <c r="F911" s="1" t="s">
        <v>860</v>
      </c>
      <c r="G911" s="11" t="s">
        <v>865</v>
      </c>
      <c r="H911" s="5">
        <v>1</v>
      </c>
      <c r="I911" s="5" t="str">
        <f>VLOOKUP(F911,'Set up'!$A$2:$C$48,3,FALSE)</f>
        <v>Cash</v>
      </c>
      <c r="J911" s="5">
        <f>VLOOKUP(F911,'Set up'!$A$2:$D$48,4,FALSE)</f>
        <v>0</v>
      </c>
      <c r="K911" s="4">
        <f t="shared" si="170"/>
        <v>44756</v>
      </c>
      <c r="L911" s="5">
        <f t="shared" si="172"/>
        <v>7</v>
      </c>
      <c r="M911" s="5">
        <f t="shared" si="173"/>
        <v>2022</v>
      </c>
      <c r="N911" s="6">
        <v>170</v>
      </c>
      <c r="O911" s="6">
        <f t="shared" si="181"/>
        <v>-170</v>
      </c>
      <c r="P911" s="6">
        <f t="shared" si="169"/>
        <v>0</v>
      </c>
      <c r="Q911" s="7">
        <f t="shared" si="179"/>
        <v>1631897.5500000005</v>
      </c>
      <c r="R911" s="44" t="str">
        <f>VLOOKUP(F911,'Set up'!$A$2:$E$48,5,FALSE)</f>
        <v>Trsf</v>
      </c>
      <c r="S911" s="1" t="s">
        <v>1031</v>
      </c>
    </row>
    <row r="912" spans="1:19" hidden="1" x14ac:dyDescent="0.3">
      <c r="A912" s="4">
        <v>44756</v>
      </c>
      <c r="B912" s="5">
        <f t="shared" si="175"/>
        <v>7</v>
      </c>
      <c r="C912" s="5">
        <f t="shared" si="176"/>
        <v>2022</v>
      </c>
      <c r="D912" s="5" t="s">
        <v>862</v>
      </c>
      <c r="E912" s="5" t="str">
        <f>VLOOKUP(F912,'Set up'!$A$2:$C$48,2,FALSE)</f>
        <v>C00000027</v>
      </c>
      <c r="F912" s="1" t="s">
        <v>860</v>
      </c>
      <c r="G912" s="11" t="s">
        <v>866</v>
      </c>
      <c r="H912" s="5">
        <v>6</v>
      </c>
      <c r="I912" s="5" t="str">
        <f>VLOOKUP(F912,'Set up'!$A$2:$C$48,3,FALSE)</f>
        <v>Cash</v>
      </c>
      <c r="J912" s="5">
        <f>VLOOKUP(F912,'Set up'!$A$2:$D$48,4,FALSE)</f>
        <v>0</v>
      </c>
      <c r="K912" s="4">
        <f t="shared" si="170"/>
        <v>44756</v>
      </c>
      <c r="L912" s="5">
        <f t="shared" si="172"/>
        <v>7</v>
      </c>
      <c r="M912" s="5">
        <f t="shared" si="173"/>
        <v>2022</v>
      </c>
      <c r="N912" s="6">
        <v>1524</v>
      </c>
      <c r="O912" s="6">
        <f t="shared" si="181"/>
        <v>-1524</v>
      </c>
      <c r="P912" s="6">
        <f t="shared" si="169"/>
        <v>0</v>
      </c>
      <c r="Q912" s="7">
        <f t="shared" si="179"/>
        <v>1633421.5500000005</v>
      </c>
      <c r="R912" s="44" t="str">
        <f>VLOOKUP(F912,'Set up'!$A$2:$E$48,5,FALSE)</f>
        <v>Trsf</v>
      </c>
      <c r="S912" s="1" t="s">
        <v>1031</v>
      </c>
    </row>
    <row r="913" spans="1:19" x14ac:dyDescent="0.3">
      <c r="A913" s="4">
        <v>44760</v>
      </c>
      <c r="B913" s="5">
        <f t="shared" si="175"/>
        <v>7</v>
      </c>
      <c r="C913" s="5">
        <f t="shared" si="176"/>
        <v>2022</v>
      </c>
      <c r="D913" s="5" t="s">
        <v>867</v>
      </c>
      <c r="E913" s="5" t="str">
        <f>VLOOKUP(F913,'Set up'!$A$2:$C$48,2,FALSE)</f>
        <v>C00000020</v>
      </c>
      <c r="F913" s="1" t="s">
        <v>410</v>
      </c>
      <c r="G913" s="11" t="s">
        <v>717</v>
      </c>
      <c r="H913" s="5">
        <v>2</v>
      </c>
      <c r="I913" s="5" t="str">
        <f>VLOOKUP(F913,'Set up'!$A$2:$C$48,3,FALSE)</f>
        <v>Cash</v>
      </c>
      <c r="J913" s="5">
        <f>VLOOKUP(F913,'Set up'!$A$2:$D$48,4,FALSE)</f>
        <v>0</v>
      </c>
      <c r="K913" s="4">
        <f t="shared" si="170"/>
        <v>44760</v>
      </c>
      <c r="L913" s="5">
        <f t="shared" si="172"/>
        <v>7</v>
      </c>
      <c r="M913" s="5">
        <f t="shared" si="173"/>
        <v>2022</v>
      </c>
      <c r="N913" s="6">
        <v>4136</v>
      </c>
      <c r="O913" s="6">
        <f t="shared" si="181"/>
        <v>-4136</v>
      </c>
      <c r="P913" s="6">
        <f t="shared" si="169"/>
        <v>0</v>
      </c>
      <c r="Q913" s="7">
        <f t="shared" si="179"/>
        <v>1637557.5500000005</v>
      </c>
      <c r="R913" s="44" t="str">
        <f>VLOOKUP(F913,'Set up'!$A$2:$E$48,5,FALSE)</f>
        <v>Trsf</v>
      </c>
      <c r="S913" s="1" t="s">
        <v>1164</v>
      </c>
    </row>
    <row r="914" spans="1:19" x14ac:dyDescent="0.3">
      <c r="A914" s="4">
        <v>44760</v>
      </c>
      <c r="B914" s="5">
        <f t="shared" si="175"/>
        <v>7</v>
      </c>
      <c r="C914" s="5">
        <f t="shared" si="176"/>
        <v>2022</v>
      </c>
      <c r="D914" s="5" t="s">
        <v>867</v>
      </c>
      <c r="E914" s="5" t="str">
        <f>VLOOKUP(F914,'Set up'!$A$2:$C$48,2,FALSE)</f>
        <v>C00000020</v>
      </c>
      <c r="F914" s="1" t="s">
        <v>410</v>
      </c>
      <c r="G914" s="11" t="s">
        <v>655</v>
      </c>
      <c r="H914" s="5">
        <v>8</v>
      </c>
      <c r="I914" s="5" t="str">
        <f>VLOOKUP(F914,'Set up'!$A$2:$C$48,3,FALSE)</f>
        <v>Cash</v>
      </c>
      <c r="J914" s="5">
        <f>VLOOKUP(F914,'Set up'!$A$2:$D$48,4,FALSE)</f>
        <v>0</v>
      </c>
      <c r="K914" s="4">
        <f t="shared" si="170"/>
        <v>44760</v>
      </c>
      <c r="L914" s="5">
        <f t="shared" si="172"/>
        <v>7</v>
      </c>
      <c r="M914" s="5">
        <f t="shared" si="173"/>
        <v>2022</v>
      </c>
      <c r="N914" s="6">
        <v>2352</v>
      </c>
      <c r="O914" s="6">
        <f t="shared" si="181"/>
        <v>-2352</v>
      </c>
      <c r="P914" s="6">
        <f t="shared" si="169"/>
        <v>0</v>
      </c>
      <c r="Q914" s="7">
        <f t="shared" si="179"/>
        <v>1639909.5500000005</v>
      </c>
      <c r="R914" s="44" t="str">
        <f>VLOOKUP(F914,'Set up'!$A$2:$E$48,5,FALSE)</f>
        <v>Trsf</v>
      </c>
      <c r="S914" s="1" t="s">
        <v>1164</v>
      </c>
    </row>
    <row r="915" spans="1:19" x14ac:dyDescent="0.3">
      <c r="A915" s="4">
        <v>44760</v>
      </c>
      <c r="B915" s="5">
        <f t="shared" si="175"/>
        <v>7</v>
      </c>
      <c r="C915" s="5">
        <f t="shared" si="176"/>
        <v>2022</v>
      </c>
      <c r="D915" s="5" t="s">
        <v>867</v>
      </c>
      <c r="E915" s="5" t="str">
        <f>VLOOKUP(F915,'Set up'!$A$2:$C$48,2,FALSE)</f>
        <v>C00000020</v>
      </c>
      <c r="F915" s="1" t="s">
        <v>410</v>
      </c>
      <c r="G915" s="11" t="s">
        <v>779</v>
      </c>
      <c r="H915" s="5">
        <v>4</v>
      </c>
      <c r="I915" s="5" t="str">
        <f>VLOOKUP(F915,'Set up'!$A$2:$C$48,3,FALSE)</f>
        <v>Cash</v>
      </c>
      <c r="J915" s="5">
        <f>VLOOKUP(F915,'Set up'!$A$2:$D$48,4,FALSE)</f>
        <v>0</v>
      </c>
      <c r="K915" s="4">
        <f t="shared" si="170"/>
        <v>44760</v>
      </c>
      <c r="L915" s="5">
        <f t="shared" si="172"/>
        <v>7</v>
      </c>
      <c r="M915" s="5">
        <f t="shared" si="173"/>
        <v>2022</v>
      </c>
      <c r="N915" s="6">
        <v>1200</v>
      </c>
      <c r="O915" s="6">
        <f>-260.8-939.2</f>
        <v>-1200</v>
      </c>
      <c r="P915" s="6">
        <f t="shared" si="169"/>
        <v>0</v>
      </c>
      <c r="Q915" s="7">
        <f t="shared" si="179"/>
        <v>1641109.5500000005</v>
      </c>
      <c r="R915" s="44" t="str">
        <f>VLOOKUP(F915,'Set up'!$A$2:$E$48,5,FALSE)</f>
        <v>Trsf</v>
      </c>
      <c r="S915" s="1" t="s">
        <v>1165</v>
      </c>
    </row>
    <row r="916" spans="1:19" x14ac:dyDescent="0.3">
      <c r="A916" s="4">
        <v>44760</v>
      </c>
      <c r="B916" s="5">
        <f t="shared" si="175"/>
        <v>7</v>
      </c>
      <c r="C916" s="5">
        <f t="shared" si="176"/>
        <v>2022</v>
      </c>
      <c r="D916" s="5" t="s">
        <v>867</v>
      </c>
      <c r="E916" s="5" t="str">
        <f>VLOOKUP(F916,'Set up'!$A$2:$C$48,2,FALSE)</f>
        <v>C00000020</v>
      </c>
      <c r="F916" s="1" t="s">
        <v>410</v>
      </c>
      <c r="G916" s="11" t="s">
        <v>792</v>
      </c>
      <c r="H916" s="5">
        <v>2</v>
      </c>
      <c r="I916" s="5" t="str">
        <f>VLOOKUP(F916,'Set up'!$A$2:$C$48,3,FALSE)</f>
        <v>Cash</v>
      </c>
      <c r="J916" s="5">
        <f>VLOOKUP(F916,'Set up'!$A$2:$D$48,4,FALSE)</f>
        <v>0</v>
      </c>
      <c r="K916" s="4">
        <f t="shared" si="170"/>
        <v>44760</v>
      </c>
      <c r="L916" s="5">
        <f t="shared" si="172"/>
        <v>7</v>
      </c>
      <c r="M916" s="5">
        <f t="shared" si="173"/>
        <v>2022</v>
      </c>
      <c r="N916" s="6">
        <v>125</v>
      </c>
      <c r="O916" s="6">
        <f t="shared" si="181"/>
        <v>-125</v>
      </c>
      <c r="P916" s="6">
        <f t="shared" si="169"/>
        <v>0</v>
      </c>
      <c r="Q916" s="7">
        <f t="shared" si="179"/>
        <v>1641234.5500000005</v>
      </c>
      <c r="R916" s="44" t="str">
        <f>VLOOKUP(F916,'Set up'!$A$2:$E$48,5,FALSE)</f>
        <v>Trsf</v>
      </c>
      <c r="S916" s="1" t="s">
        <v>1166</v>
      </c>
    </row>
    <row r="917" spans="1:19" x14ac:dyDescent="0.3">
      <c r="A917" s="4">
        <v>44760</v>
      </c>
      <c r="B917" s="5">
        <f t="shared" si="175"/>
        <v>7</v>
      </c>
      <c r="C917" s="5">
        <f t="shared" si="176"/>
        <v>2022</v>
      </c>
      <c r="D917" s="5" t="s">
        <v>867</v>
      </c>
      <c r="E917" s="5" t="str">
        <f>VLOOKUP(F917,'Set up'!$A$2:$C$48,2,FALSE)</f>
        <v>C00000020</v>
      </c>
      <c r="F917" s="1" t="s">
        <v>410</v>
      </c>
      <c r="G917" s="11" t="s">
        <v>660</v>
      </c>
      <c r="H917" s="5">
        <v>1</v>
      </c>
      <c r="I917" s="5" t="str">
        <f>VLOOKUP(F917,'Set up'!$A$2:$C$48,3,FALSE)</f>
        <v>Cash</v>
      </c>
      <c r="J917" s="5">
        <f>VLOOKUP(F917,'Set up'!$A$2:$D$48,4,FALSE)</f>
        <v>0</v>
      </c>
      <c r="K917" s="4">
        <f t="shared" si="170"/>
        <v>44760</v>
      </c>
      <c r="L917" s="5">
        <f t="shared" si="172"/>
        <v>7</v>
      </c>
      <c r="M917" s="5">
        <f t="shared" si="173"/>
        <v>2022</v>
      </c>
      <c r="N917" s="6">
        <v>1000</v>
      </c>
      <c r="O917" s="6">
        <f t="shared" si="181"/>
        <v>-1000</v>
      </c>
      <c r="P917" s="6">
        <f t="shared" ref="P917:P969" si="182">SUM(N917+O917)</f>
        <v>0</v>
      </c>
      <c r="Q917" s="7">
        <f t="shared" si="179"/>
        <v>1642234.5500000005</v>
      </c>
      <c r="R917" s="44" t="str">
        <f>VLOOKUP(F917,'Set up'!$A$2:$E$48,5,FALSE)</f>
        <v>Trsf</v>
      </c>
      <c r="S917" s="1" t="s">
        <v>1166</v>
      </c>
    </row>
    <row r="918" spans="1:19" x14ac:dyDescent="0.3">
      <c r="A918" s="4">
        <v>44760</v>
      </c>
      <c r="B918" s="5">
        <f t="shared" si="175"/>
        <v>7</v>
      </c>
      <c r="C918" s="5">
        <f t="shared" si="176"/>
        <v>2022</v>
      </c>
      <c r="D918" s="5" t="s">
        <v>867</v>
      </c>
      <c r="E918" s="5" t="str">
        <f>VLOOKUP(F918,'Set up'!$A$2:$C$48,2,FALSE)</f>
        <v>C00000020</v>
      </c>
      <c r="F918" s="1" t="s">
        <v>410</v>
      </c>
      <c r="G918" s="11" t="s">
        <v>667</v>
      </c>
      <c r="H918" s="5">
        <v>4</v>
      </c>
      <c r="I918" s="5" t="str">
        <f>VLOOKUP(F918,'Set up'!$A$2:$C$48,3,FALSE)</f>
        <v>Cash</v>
      </c>
      <c r="J918" s="5">
        <f>VLOOKUP(F918,'Set up'!$A$2:$D$48,4,FALSE)</f>
        <v>0</v>
      </c>
      <c r="K918" s="4">
        <f t="shared" si="170"/>
        <v>44760</v>
      </c>
      <c r="L918" s="5">
        <f t="shared" si="172"/>
        <v>7</v>
      </c>
      <c r="M918" s="5">
        <f t="shared" si="173"/>
        <v>2022</v>
      </c>
      <c r="N918" s="6">
        <v>340</v>
      </c>
      <c r="O918" s="6">
        <f t="shared" si="181"/>
        <v>-340</v>
      </c>
      <c r="P918" s="6">
        <f t="shared" si="182"/>
        <v>0</v>
      </c>
      <c r="Q918" s="7">
        <f t="shared" si="179"/>
        <v>1642574.5500000005</v>
      </c>
      <c r="R918" s="44" t="str">
        <f>VLOOKUP(F918,'Set up'!$A$2:$E$48,5,FALSE)</f>
        <v>Trsf</v>
      </c>
      <c r="S918" s="1" t="s">
        <v>1166</v>
      </c>
    </row>
    <row r="919" spans="1:19" x14ac:dyDescent="0.3">
      <c r="A919" s="4">
        <v>44762</v>
      </c>
      <c r="B919" s="5">
        <f t="shared" si="175"/>
        <v>7</v>
      </c>
      <c r="C919" s="5">
        <f t="shared" si="176"/>
        <v>2022</v>
      </c>
      <c r="D919" s="5" t="s">
        <v>868</v>
      </c>
      <c r="E919" s="5" t="str">
        <f>VLOOKUP(F919,'Set up'!$A$2:$C$48,2,FALSE)</f>
        <v>C00000020</v>
      </c>
      <c r="F919" s="1" t="s">
        <v>410</v>
      </c>
      <c r="G919" s="11" t="s">
        <v>655</v>
      </c>
      <c r="H919" s="5">
        <v>2</v>
      </c>
      <c r="I919" s="5" t="str">
        <f>VLOOKUP(F919,'Set up'!$A$2:$C$48,3,FALSE)</f>
        <v>Cash</v>
      </c>
      <c r="J919" s="5">
        <f>VLOOKUP(F919,'Set up'!$A$2:$D$48,4,FALSE)</f>
        <v>0</v>
      </c>
      <c r="K919" s="4">
        <f t="shared" si="170"/>
        <v>44762</v>
      </c>
      <c r="L919" s="5">
        <f t="shared" si="172"/>
        <v>7</v>
      </c>
      <c r="M919" s="5">
        <f t="shared" si="173"/>
        <v>2022</v>
      </c>
      <c r="N919" s="6">
        <v>588</v>
      </c>
      <c r="O919" s="6">
        <f t="shared" si="181"/>
        <v>-588</v>
      </c>
      <c r="P919" s="6">
        <f t="shared" si="182"/>
        <v>0</v>
      </c>
      <c r="Q919" s="7">
        <f t="shared" si="179"/>
        <v>1643162.5500000005</v>
      </c>
      <c r="R919" s="44" t="str">
        <f>VLOOKUP(F919,'Set up'!$A$2:$E$48,5,FALSE)</f>
        <v>Trsf</v>
      </c>
      <c r="S919" s="1" t="s">
        <v>1166</v>
      </c>
    </row>
    <row r="920" spans="1:19" x14ac:dyDescent="0.3">
      <c r="A920" s="4">
        <v>44762</v>
      </c>
      <c r="B920" s="5">
        <f t="shared" si="175"/>
        <v>7</v>
      </c>
      <c r="C920" s="5">
        <f t="shared" si="176"/>
        <v>2022</v>
      </c>
      <c r="D920" s="5" t="s">
        <v>868</v>
      </c>
      <c r="E920" s="5" t="str">
        <f>VLOOKUP(F920,'Set up'!$A$2:$C$48,2,FALSE)</f>
        <v>C00000020</v>
      </c>
      <c r="F920" s="1" t="s">
        <v>410</v>
      </c>
      <c r="G920" s="11" t="s">
        <v>793</v>
      </c>
      <c r="H920" s="5">
        <v>1</v>
      </c>
      <c r="I920" s="5" t="str">
        <f>VLOOKUP(F920,'Set up'!$A$2:$C$48,3,FALSE)</f>
        <v>Cash</v>
      </c>
      <c r="J920" s="5">
        <f>VLOOKUP(F920,'Set up'!$A$2:$D$48,4,FALSE)</f>
        <v>0</v>
      </c>
      <c r="K920" s="4">
        <f t="shared" ref="K920:K983" si="183">A920+J920</f>
        <v>44762</v>
      </c>
      <c r="L920" s="5">
        <f t="shared" si="172"/>
        <v>7</v>
      </c>
      <c r="M920" s="5">
        <f t="shared" si="173"/>
        <v>2022</v>
      </c>
      <c r="N920" s="6">
        <v>337.5</v>
      </c>
      <c r="O920" s="6">
        <f t="shared" si="181"/>
        <v>-337.5</v>
      </c>
      <c r="P920" s="6">
        <f t="shared" si="182"/>
        <v>0</v>
      </c>
      <c r="Q920" s="7">
        <f t="shared" si="179"/>
        <v>1643500.0500000005</v>
      </c>
      <c r="R920" s="44" t="str">
        <f>VLOOKUP(F920,'Set up'!$A$2:$E$48,5,FALSE)</f>
        <v>Trsf</v>
      </c>
      <c r="S920" s="1" t="s">
        <v>1166</v>
      </c>
    </row>
    <row r="921" spans="1:19" x14ac:dyDescent="0.3">
      <c r="A921" s="4">
        <v>44765</v>
      </c>
      <c r="B921" s="5">
        <f t="shared" si="175"/>
        <v>7</v>
      </c>
      <c r="C921" s="5">
        <f t="shared" si="176"/>
        <v>2022</v>
      </c>
      <c r="D921" s="5" t="s">
        <v>869</v>
      </c>
      <c r="E921" s="5" t="str">
        <f>VLOOKUP(F921,'Set up'!$A$2:$C$48,2,FALSE)</f>
        <v>C00000020</v>
      </c>
      <c r="F921" s="1" t="s">
        <v>410</v>
      </c>
      <c r="G921" s="11" t="s">
        <v>720</v>
      </c>
      <c r="H921" s="5">
        <v>2</v>
      </c>
      <c r="I921" s="5" t="str">
        <f>VLOOKUP(F921,'Set up'!$A$2:$C$48,3,FALSE)</f>
        <v>Cash</v>
      </c>
      <c r="J921" s="5">
        <f>VLOOKUP(F921,'Set up'!$A$2:$D$48,4,FALSE)</f>
        <v>0</v>
      </c>
      <c r="K921" s="4">
        <f t="shared" si="183"/>
        <v>44765</v>
      </c>
      <c r="L921" s="5">
        <f t="shared" si="172"/>
        <v>7</v>
      </c>
      <c r="M921" s="5">
        <f t="shared" si="173"/>
        <v>2022</v>
      </c>
      <c r="N921" s="12">
        <v>4136</v>
      </c>
      <c r="O921" s="12">
        <f>-1670.3-2465.7</f>
        <v>-4136</v>
      </c>
      <c r="P921" s="12">
        <f t="shared" si="182"/>
        <v>0</v>
      </c>
      <c r="Q921" s="7">
        <f t="shared" si="179"/>
        <v>1647636.0500000005</v>
      </c>
      <c r="R921" s="44" t="str">
        <f>VLOOKUP(F921,'Set up'!$A$2:$E$48,5,FALSE)</f>
        <v>Trsf</v>
      </c>
      <c r="S921" s="1" t="s">
        <v>1229</v>
      </c>
    </row>
    <row r="922" spans="1:19" x14ac:dyDescent="0.3">
      <c r="A922" s="4">
        <v>44765</v>
      </c>
      <c r="B922" s="5">
        <f t="shared" si="175"/>
        <v>7</v>
      </c>
      <c r="C922" s="5">
        <f t="shared" si="176"/>
        <v>2022</v>
      </c>
      <c r="D922" s="5" t="s">
        <v>869</v>
      </c>
      <c r="E922" s="5" t="str">
        <f>VLOOKUP(F922,'Set up'!$A$2:$C$48,2,FALSE)</f>
        <v>C00000020</v>
      </c>
      <c r="F922" s="1" t="s">
        <v>410</v>
      </c>
      <c r="G922" s="11" t="s">
        <v>655</v>
      </c>
      <c r="H922" s="5">
        <v>6</v>
      </c>
      <c r="I922" s="5" t="str">
        <f>VLOOKUP(F922,'Set up'!$A$2:$C$48,3,FALSE)</f>
        <v>Cash</v>
      </c>
      <c r="J922" s="5">
        <f>VLOOKUP(F922,'Set up'!$A$2:$D$48,4,FALSE)</f>
        <v>0</v>
      </c>
      <c r="K922" s="4">
        <f t="shared" si="183"/>
        <v>44765</v>
      </c>
      <c r="L922" s="5">
        <f t="shared" si="172"/>
        <v>7</v>
      </c>
      <c r="M922" s="5">
        <f t="shared" si="173"/>
        <v>2022</v>
      </c>
      <c r="N922" s="6">
        <v>1764</v>
      </c>
      <c r="O922" s="6">
        <f t="shared" si="181"/>
        <v>-1764</v>
      </c>
      <c r="P922" s="6">
        <f t="shared" si="182"/>
        <v>0</v>
      </c>
      <c r="Q922" s="7">
        <f t="shared" si="179"/>
        <v>1649400.0500000005</v>
      </c>
      <c r="R922" s="44" t="str">
        <f>VLOOKUP(F922,'Set up'!$A$2:$E$48,5,FALSE)</f>
        <v>Trsf</v>
      </c>
      <c r="S922" s="1" t="s">
        <v>1209</v>
      </c>
    </row>
    <row r="923" spans="1:19" x14ac:dyDescent="0.3">
      <c r="A923" s="4">
        <v>44765</v>
      </c>
      <c r="B923" s="5">
        <f t="shared" si="175"/>
        <v>7</v>
      </c>
      <c r="C923" s="5">
        <f t="shared" si="176"/>
        <v>2022</v>
      </c>
      <c r="D923" s="5" t="s">
        <v>869</v>
      </c>
      <c r="E923" s="5" t="str">
        <f>VLOOKUP(F923,'Set up'!$A$2:$C$48,2,FALSE)</f>
        <v>C00000020</v>
      </c>
      <c r="F923" s="1" t="s">
        <v>410</v>
      </c>
      <c r="G923" s="11" t="s">
        <v>779</v>
      </c>
      <c r="H923" s="5">
        <v>2</v>
      </c>
      <c r="I923" s="5" t="str">
        <f>VLOOKUP(F923,'Set up'!$A$2:$C$48,3,FALSE)</f>
        <v>Cash</v>
      </c>
      <c r="J923" s="5">
        <f>VLOOKUP(F923,'Set up'!$A$2:$D$48,4,FALSE)</f>
        <v>0</v>
      </c>
      <c r="K923" s="4">
        <f t="shared" si="183"/>
        <v>44765</v>
      </c>
      <c r="L923" s="5">
        <f t="shared" si="172"/>
        <v>7</v>
      </c>
      <c r="M923" s="5">
        <f t="shared" si="173"/>
        <v>2022</v>
      </c>
      <c r="N923" s="6">
        <v>600</v>
      </c>
      <c r="O923" s="6">
        <f t="shared" si="181"/>
        <v>-600</v>
      </c>
      <c r="P923" s="6">
        <f t="shared" si="182"/>
        <v>0</v>
      </c>
      <c r="Q923" s="7">
        <f t="shared" si="179"/>
        <v>1650000.0500000005</v>
      </c>
      <c r="R923" s="44" t="str">
        <f>VLOOKUP(F923,'Set up'!$A$2:$E$48,5,FALSE)</f>
        <v>Trsf</v>
      </c>
      <c r="S923" s="1" t="s">
        <v>1209</v>
      </c>
    </row>
    <row r="924" spans="1:19" x14ac:dyDescent="0.3">
      <c r="A924" s="4">
        <v>44765</v>
      </c>
      <c r="B924" s="5">
        <f t="shared" si="175"/>
        <v>7</v>
      </c>
      <c r="C924" s="5">
        <f t="shared" si="176"/>
        <v>2022</v>
      </c>
      <c r="D924" s="5" t="s">
        <v>869</v>
      </c>
      <c r="E924" s="5" t="str">
        <f>VLOOKUP(F924,'Set up'!$A$2:$C$48,2,FALSE)</f>
        <v>C00000020</v>
      </c>
      <c r="F924" s="1" t="s">
        <v>410</v>
      </c>
      <c r="G924" s="11" t="s">
        <v>792</v>
      </c>
      <c r="H924" s="5">
        <v>2</v>
      </c>
      <c r="I924" s="5" t="str">
        <f>VLOOKUP(F924,'Set up'!$A$2:$C$48,3,FALSE)</f>
        <v>Cash</v>
      </c>
      <c r="J924" s="5">
        <f>VLOOKUP(F924,'Set up'!$A$2:$D$48,4,FALSE)</f>
        <v>0</v>
      </c>
      <c r="K924" s="4">
        <f t="shared" si="183"/>
        <v>44765</v>
      </c>
      <c r="L924" s="5">
        <f t="shared" si="172"/>
        <v>7</v>
      </c>
      <c r="M924" s="5">
        <f t="shared" si="173"/>
        <v>2022</v>
      </c>
      <c r="N924" s="6">
        <v>125</v>
      </c>
      <c r="O924" s="6">
        <f t="shared" si="181"/>
        <v>-125</v>
      </c>
      <c r="P924" s="6">
        <f t="shared" si="182"/>
        <v>0</v>
      </c>
      <c r="Q924" s="7">
        <f t="shared" si="179"/>
        <v>1650125.0500000005</v>
      </c>
      <c r="R924" s="44" t="str">
        <f>VLOOKUP(F924,'Set up'!$A$2:$E$48,5,FALSE)</f>
        <v>Trsf</v>
      </c>
      <c r="S924" s="1" t="s">
        <v>1209</v>
      </c>
    </row>
    <row r="925" spans="1:19" hidden="1" x14ac:dyDescent="0.3">
      <c r="A925" s="4">
        <v>44765</v>
      </c>
      <c r="B925" s="5">
        <f t="shared" si="175"/>
        <v>7</v>
      </c>
      <c r="C925" s="5">
        <f t="shared" si="176"/>
        <v>2022</v>
      </c>
      <c r="D925" s="5" t="s">
        <v>870</v>
      </c>
      <c r="E925" s="5" t="str">
        <f>VLOOKUP(F925,'Set up'!$A$2:$C$48,2,FALSE)</f>
        <v>C00000001</v>
      </c>
      <c r="F925" s="1" t="s">
        <v>7</v>
      </c>
      <c r="G925" s="11" t="s">
        <v>717</v>
      </c>
      <c r="H925" s="5">
        <v>2</v>
      </c>
      <c r="I925" s="5" t="str">
        <f>VLOOKUP(F925,'Set up'!$A$2:$C$48,3,FALSE)</f>
        <v>Cash</v>
      </c>
      <c r="J925" s="5">
        <f>VLOOKUP(F925,'Set up'!$A$2:$D$48,4,FALSE)</f>
        <v>0</v>
      </c>
      <c r="K925" s="4">
        <f t="shared" si="183"/>
        <v>44765</v>
      </c>
      <c r="L925" s="5">
        <f t="shared" si="172"/>
        <v>7</v>
      </c>
      <c r="M925" s="5">
        <f t="shared" si="173"/>
        <v>2022</v>
      </c>
      <c r="N925" s="96">
        <v>4092</v>
      </c>
      <c r="O925" s="6">
        <f>-N925</f>
        <v>-4092</v>
      </c>
      <c r="P925" s="6">
        <f t="shared" si="182"/>
        <v>0</v>
      </c>
      <c r="Q925" s="7">
        <f t="shared" si="179"/>
        <v>1654217.0500000005</v>
      </c>
      <c r="R925" s="44" t="str">
        <f>VLOOKUP(F925,'Set up'!$A$2:$E$48,5,FALSE)</f>
        <v>Trsf</v>
      </c>
      <c r="S925" s="1" t="s">
        <v>891</v>
      </c>
    </row>
    <row r="926" spans="1:19" hidden="1" x14ac:dyDescent="0.3">
      <c r="A926" s="4">
        <v>44768</v>
      </c>
      <c r="B926" s="5">
        <f t="shared" si="175"/>
        <v>7</v>
      </c>
      <c r="C926" s="5">
        <f t="shared" si="176"/>
        <v>2022</v>
      </c>
      <c r="D926" s="5" t="s">
        <v>871</v>
      </c>
      <c r="E926" s="5" t="str">
        <f>VLOOKUP(F926,'Set up'!$A$2:$C$48,2,FALSE)</f>
        <v>C00000010</v>
      </c>
      <c r="F926" s="1" t="s">
        <v>62</v>
      </c>
      <c r="G926" s="11" t="s">
        <v>723</v>
      </c>
      <c r="H926" s="5">
        <v>5</v>
      </c>
      <c r="I926" s="5">
        <f>VLOOKUP(F926,'Set up'!$A$2:$C$48,3,FALSE)</f>
        <v>120</v>
      </c>
      <c r="J926" s="5">
        <f>VLOOKUP(F926,'Set up'!$A$2:$D$48,4,FALSE)</f>
        <v>120</v>
      </c>
      <c r="K926" s="4">
        <f t="shared" si="183"/>
        <v>44888</v>
      </c>
      <c r="L926" s="5">
        <f t="shared" si="172"/>
        <v>11</v>
      </c>
      <c r="M926" s="5">
        <f t="shared" si="173"/>
        <v>2022</v>
      </c>
      <c r="N926" s="6">
        <v>9900</v>
      </c>
      <c r="O926" s="6">
        <f t="shared" ref="O926:O929" si="184">-N926</f>
        <v>-9900</v>
      </c>
      <c r="P926" s="6">
        <f t="shared" si="182"/>
        <v>0</v>
      </c>
      <c r="Q926" s="7">
        <f t="shared" si="179"/>
        <v>1664117.0500000005</v>
      </c>
      <c r="R926" s="44" t="str">
        <f>VLOOKUP(F926,'Set up'!$A$2:$E$48,5,FALSE)</f>
        <v>Trsf</v>
      </c>
      <c r="S926" s="1" t="s">
        <v>1028</v>
      </c>
    </row>
    <row r="927" spans="1:19" hidden="1" x14ac:dyDescent="0.3">
      <c r="A927" s="4">
        <v>44768</v>
      </c>
      <c r="B927" s="5">
        <f t="shared" si="175"/>
        <v>7</v>
      </c>
      <c r="C927" s="5">
        <f t="shared" si="176"/>
        <v>2022</v>
      </c>
      <c r="D927" s="5" t="s">
        <v>871</v>
      </c>
      <c r="E927" s="5" t="str">
        <f>VLOOKUP(F927,'Set up'!$A$2:$C$48,2,FALSE)</f>
        <v>C00000010</v>
      </c>
      <c r="F927" s="1" t="s">
        <v>62</v>
      </c>
      <c r="G927" s="11" t="s">
        <v>655</v>
      </c>
      <c r="H927" s="5">
        <v>10</v>
      </c>
      <c r="I927" s="5">
        <f>VLOOKUP(F927,'Set up'!$A$2:$C$48,3,FALSE)</f>
        <v>120</v>
      </c>
      <c r="J927" s="5">
        <f>VLOOKUP(F927,'Set up'!$A$2:$D$48,4,FALSE)</f>
        <v>120</v>
      </c>
      <c r="K927" s="4">
        <f t="shared" si="183"/>
        <v>44888</v>
      </c>
      <c r="L927" s="5">
        <f t="shared" ref="L927:L933" si="185">MONTH(K927)</f>
        <v>11</v>
      </c>
      <c r="M927" s="5">
        <f t="shared" ref="M927:M933" si="186">YEAR(K927)</f>
        <v>2022</v>
      </c>
      <c r="N927" s="6">
        <v>2850</v>
      </c>
      <c r="O927" s="6">
        <f t="shared" si="184"/>
        <v>-2850</v>
      </c>
      <c r="P927" s="6">
        <f t="shared" si="182"/>
        <v>0</v>
      </c>
      <c r="Q927" s="7">
        <f t="shared" si="179"/>
        <v>1666967.0500000005</v>
      </c>
      <c r="R927" s="44" t="str">
        <f>VLOOKUP(F927,'Set up'!$A$2:$E$48,5,FALSE)</f>
        <v>Trsf</v>
      </c>
      <c r="S927" s="1" t="s">
        <v>1028</v>
      </c>
    </row>
    <row r="928" spans="1:19" hidden="1" x14ac:dyDescent="0.3">
      <c r="A928" s="4">
        <v>44768</v>
      </c>
      <c r="B928" s="5">
        <f t="shared" si="175"/>
        <v>7</v>
      </c>
      <c r="C928" s="5">
        <f t="shared" si="176"/>
        <v>2022</v>
      </c>
      <c r="D928" s="5" t="s">
        <v>871</v>
      </c>
      <c r="E928" s="5" t="str">
        <f>VLOOKUP(F928,'Set up'!$A$2:$C$48,2,FALSE)</f>
        <v>C00000010</v>
      </c>
      <c r="F928" s="1" t="s">
        <v>62</v>
      </c>
      <c r="G928" s="11" t="s">
        <v>792</v>
      </c>
      <c r="H928" s="5">
        <v>5</v>
      </c>
      <c r="I928" s="5">
        <f>VLOOKUP(F928,'Set up'!$A$2:$C$48,3,FALSE)</f>
        <v>120</v>
      </c>
      <c r="J928" s="5">
        <f>VLOOKUP(F928,'Set up'!$A$2:$D$48,4,FALSE)</f>
        <v>120</v>
      </c>
      <c r="K928" s="4">
        <f t="shared" si="183"/>
        <v>44888</v>
      </c>
      <c r="L928" s="5">
        <f t="shared" si="185"/>
        <v>11</v>
      </c>
      <c r="M928" s="5">
        <f t="shared" si="186"/>
        <v>2022</v>
      </c>
      <c r="N928" s="6">
        <v>275</v>
      </c>
      <c r="O928" s="6">
        <f t="shared" si="184"/>
        <v>-275</v>
      </c>
      <c r="P928" s="6">
        <f t="shared" si="182"/>
        <v>0</v>
      </c>
      <c r="Q928" s="7">
        <f t="shared" si="179"/>
        <v>1667242.0500000005</v>
      </c>
      <c r="R928" s="44" t="str">
        <f>VLOOKUP(F928,'Set up'!$A$2:$E$48,5,FALSE)</f>
        <v>Trsf</v>
      </c>
      <c r="S928" s="1" t="s">
        <v>1028</v>
      </c>
    </row>
    <row r="929" spans="1:19" hidden="1" x14ac:dyDescent="0.3">
      <c r="A929" s="4">
        <v>44768</v>
      </c>
      <c r="B929" s="5">
        <f t="shared" si="175"/>
        <v>7</v>
      </c>
      <c r="C929" s="5">
        <f t="shared" si="176"/>
        <v>2022</v>
      </c>
      <c r="D929" s="5" t="s">
        <v>871</v>
      </c>
      <c r="E929" s="5" t="str">
        <f>VLOOKUP(F929,'Set up'!$A$2:$C$48,2,FALSE)</f>
        <v>C00000010</v>
      </c>
      <c r="F929" s="1" t="s">
        <v>62</v>
      </c>
      <c r="G929" s="11" t="s">
        <v>46</v>
      </c>
      <c r="H929" s="5">
        <v>4</v>
      </c>
      <c r="I929" s="5">
        <f>VLOOKUP(F929,'Set up'!$A$2:$C$48,3,FALSE)</f>
        <v>120</v>
      </c>
      <c r="J929" s="5">
        <f>VLOOKUP(F929,'Set up'!$A$2:$D$48,4,FALSE)</f>
        <v>120</v>
      </c>
      <c r="K929" s="4">
        <f t="shared" si="183"/>
        <v>44888</v>
      </c>
      <c r="L929" s="5">
        <f t="shared" si="185"/>
        <v>11</v>
      </c>
      <c r="M929" s="5">
        <f t="shared" si="186"/>
        <v>2022</v>
      </c>
      <c r="N929" s="6">
        <v>420</v>
      </c>
      <c r="O929" s="6">
        <f t="shared" si="184"/>
        <v>-420</v>
      </c>
      <c r="P929" s="6">
        <f t="shared" si="182"/>
        <v>0</v>
      </c>
      <c r="Q929" s="7">
        <f t="shared" si="179"/>
        <v>1667662.0500000005</v>
      </c>
      <c r="R929" s="44" t="str">
        <f>VLOOKUP(F929,'Set up'!$A$2:$E$48,5,FALSE)</f>
        <v>Trsf</v>
      </c>
      <c r="S929" s="1" t="s">
        <v>1028</v>
      </c>
    </row>
    <row r="930" spans="1:19" hidden="1" x14ac:dyDescent="0.3">
      <c r="A930" s="4">
        <v>44771</v>
      </c>
      <c r="B930" s="5">
        <f t="shared" si="175"/>
        <v>7</v>
      </c>
      <c r="C930" s="5">
        <f t="shared" si="176"/>
        <v>2022</v>
      </c>
      <c r="D930" s="5" t="s">
        <v>872</v>
      </c>
      <c r="E930" s="5" t="str">
        <f>VLOOKUP(F930,'Set up'!$A$2:$C$48,2,FALSE)</f>
        <v>C00000021</v>
      </c>
      <c r="F930" s="1" t="s">
        <v>492</v>
      </c>
      <c r="G930" s="11" t="s">
        <v>717</v>
      </c>
      <c r="H930" s="5">
        <v>1</v>
      </c>
      <c r="I930" s="5" t="str">
        <f>VLOOKUP(F930,'Set up'!$A$2:$C$48,3,FALSE)</f>
        <v>Cash</v>
      </c>
      <c r="J930" s="5">
        <f>VLOOKUP(F930,'Set up'!$A$2:$D$48,4,FALSE)</f>
        <v>0</v>
      </c>
      <c r="K930" s="4">
        <f t="shared" si="183"/>
        <v>44771</v>
      </c>
      <c r="L930" s="5">
        <f t="shared" si="185"/>
        <v>7</v>
      </c>
      <c r="M930" s="5">
        <f t="shared" si="186"/>
        <v>2022</v>
      </c>
      <c r="N930" s="6">
        <v>2090</v>
      </c>
      <c r="O930" s="6">
        <f t="shared" ref="O930:O931" si="187">-N930</f>
        <v>-2090</v>
      </c>
      <c r="P930" s="6">
        <f t="shared" si="182"/>
        <v>0</v>
      </c>
      <c r="Q930" s="7">
        <f t="shared" si="179"/>
        <v>1669752.0500000005</v>
      </c>
      <c r="R930" s="44" t="str">
        <f>VLOOKUP(F930,'Set up'!$A$2:$E$48,5,FALSE)</f>
        <v>PD Chq</v>
      </c>
      <c r="S930" s="1" t="s">
        <v>1025</v>
      </c>
    </row>
    <row r="931" spans="1:19" hidden="1" x14ac:dyDescent="0.3">
      <c r="A931" s="4">
        <v>44771</v>
      </c>
      <c r="B931" s="5">
        <f t="shared" si="175"/>
        <v>7</v>
      </c>
      <c r="C931" s="5">
        <f t="shared" si="176"/>
        <v>2022</v>
      </c>
      <c r="D931" s="5" t="s">
        <v>872</v>
      </c>
      <c r="E931" s="5" t="str">
        <f>VLOOKUP(F931,'Set up'!$A$2:$C$48,2,FALSE)</f>
        <v>C00000021</v>
      </c>
      <c r="F931" s="1" t="s">
        <v>492</v>
      </c>
      <c r="G931" s="11" t="s">
        <v>667</v>
      </c>
      <c r="H931" s="5">
        <v>1</v>
      </c>
      <c r="I931" s="5" t="str">
        <f>VLOOKUP(F931,'Set up'!$A$2:$C$48,3,FALSE)</f>
        <v>Cash</v>
      </c>
      <c r="J931" s="5">
        <f>VLOOKUP(F931,'Set up'!$A$2:$D$48,4,FALSE)</f>
        <v>0</v>
      </c>
      <c r="K931" s="4">
        <f t="shared" si="183"/>
        <v>44771</v>
      </c>
      <c r="L931" s="5">
        <f t="shared" si="185"/>
        <v>7</v>
      </c>
      <c r="M931" s="5">
        <f t="shared" si="186"/>
        <v>2022</v>
      </c>
      <c r="N931" s="6">
        <v>90</v>
      </c>
      <c r="O931" s="6">
        <f t="shared" si="187"/>
        <v>-90</v>
      </c>
      <c r="P931" s="6">
        <f t="shared" si="182"/>
        <v>0</v>
      </c>
      <c r="Q931" s="7">
        <f t="shared" si="179"/>
        <v>1669842.0500000005</v>
      </c>
      <c r="R931" s="44" t="str">
        <f>VLOOKUP(F931,'Set up'!$A$2:$E$48,5,FALSE)</f>
        <v>PD Chq</v>
      </c>
      <c r="S931" s="1" t="s">
        <v>1025</v>
      </c>
    </row>
    <row r="932" spans="1:19" hidden="1" x14ac:dyDescent="0.3">
      <c r="A932" s="4">
        <v>44771</v>
      </c>
      <c r="B932" s="5">
        <f t="shared" si="175"/>
        <v>7</v>
      </c>
      <c r="C932" s="5">
        <f t="shared" si="176"/>
        <v>2022</v>
      </c>
      <c r="D932" s="5" t="s">
        <v>874</v>
      </c>
      <c r="E932" s="5" t="str">
        <f>VLOOKUP(F932,'Set up'!$A$2:$C$48,2,FALSE)</f>
        <v>C00000009</v>
      </c>
      <c r="F932" s="1" t="s">
        <v>58</v>
      </c>
      <c r="G932" s="11" t="s">
        <v>720</v>
      </c>
      <c r="H932" s="5">
        <v>2</v>
      </c>
      <c r="I932" s="5">
        <f>VLOOKUP(F932,'Set up'!$A$2:$C$48,3,FALSE)</f>
        <v>60</v>
      </c>
      <c r="J932" s="5">
        <f>VLOOKUP(F932,'Set up'!$A$2:$D$48,4,FALSE)</f>
        <v>60</v>
      </c>
      <c r="K932" s="4">
        <f t="shared" si="183"/>
        <v>44831</v>
      </c>
      <c r="L932" s="5">
        <f t="shared" si="185"/>
        <v>9</v>
      </c>
      <c r="M932" s="5">
        <f t="shared" si="186"/>
        <v>2022</v>
      </c>
      <c r="N932" s="6">
        <v>3960</v>
      </c>
      <c r="O932" s="6">
        <f>-N932</f>
        <v>-3960</v>
      </c>
      <c r="P932" s="6">
        <f t="shared" si="182"/>
        <v>0</v>
      </c>
      <c r="Q932" s="7">
        <f t="shared" si="179"/>
        <v>1673802.0500000005</v>
      </c>
      <c r="R932" s="44" t="str">
        <f>VLOOKUP(F932,'Set up'!$A$2:$E$48,5,FALSE)</f>
        <v>Chq</v>
      </c>
      <c r="S932" s="1" t="s">
        <v>1087</v>
      </c>
    </row>
    <row r="933" spans="1:19" hidden="1" x14ac:dyDescent="0.3">
      <c r="A933" s="4">
        <v>44771</v>
      </c>
      <c r="B933" s="5">
        <f t="shared" si="175"/>
        <v>7</v>
      </c>
      <c r="C933" s="5">
        <f t="shared" si="176"/>
        <v>2022</v>
      </c>
      <c r="D933" s="5" t="s">
        <v>874</v>
      </c>
      <c r="E933" s="5" t="str">
        <f>VLOOKUP(F933,'Set up'!$A$2:$C$48,2,FALSE)</f>
        <v>C00000009</v>
      </c>
      <c r="F933" s="1" t="s">
        <v>58</v>
      </c>
      <c r="G933" s="11" t="s">
        <v>873</v>
      </c>
      <c r="H933" s="5">
        <v>1</v>
      </c>
      <c r="I933" s="5">
        <f>VLOOKUP(F933,'Set up'!$A$2:$C$48,3,FALSE)</f>
        <v>60</v>
      </c>
      <c r="J933" s="5">
        <f>VLOOKUP(F933,'Set up'!$A$2:$D$48,4,FALSE)</f>
        <v>60</v>
      </c>
      <c r="K933" s="4">
        <f t="shared" si="183"/>
        <v>44831</v>
      </c>
      <c r="L933" s="5">
        <f t="shared" si="185"/>
        <v>9</v>
      </c>
      <c r="M933" s="5">
        <f t="shared" si="186"/>
        <v>2022</v>
      </c>
      <c r="N933" s="6">
        <v>636.5</v>
      </c>
      <c r="O933" s="6">
        <f>-N933</f>
        <v>-636.5</v>
      </c>
      <c r="P933" s="6">
        <f t="shared" si="182"/>
        <v>0</v>
      </c>
      <c r="Q933" s="7">
        <f t="shared" si="179"/>
        <v>1674438.5500000005</v>
      </c>
      <c r="R933" s="44" t="str">
        <f>VLOOKUP(F933,'Set up'!$A$2:$E$48,5,FALSE)</f>
        <v>Chq</v>
      </c>
      <c r="S933" s="1" t="s">
        <v>1087</v>
      </c>
    </row>
    <row r="934" spans="1:19" hidden="1" x14ac:dyDescent="0.3">
      <c r="A934" s="4">
        <v>44777</v>
      </c>
      <c r="B934" s="5">
        <f t="shared" si="175"/>
        <v>8</v>
      </c>
      <c r="C934" s="5">
        <f t="shared" si="176"/>
        <v>2022</v>
      </c>
      <c r="D934" s="5" t="s">
        <v>892</v>
      </c>
      <c r="E934" s="5" t="str">
        <f>VLOOKUP(F934,'Set up'!$A$2:$C$48,2,FALSE)</f>
        <v>C00000027</v>
      </c>
      <c r="F934" s="1" t="s">
        <v>860</v>
      </c>
      <c r="G934" s="11" t="s">
        <v>717</v>
      </c>
      <c r="H934" s="5">
        <v>3</v>
      </c>
      <c r="I934" s="5" t="str">
        <f>VLOOKUP(F934,'Set up'!$A$2:$C$48,3,FALSE)</f>
        <v>Cash</v>
      </c>
      <c r="J934" s="5">
        <f>VLOOKUP(F934,'Set up'!$A$2:$D$48,4,FALSE)</f>
        <v>0</v>
      </c>
      <c r="K934" s="4">
        <f t="shared" si="183"/>
        <v>44777</v>
      </c>
      <c r="L934" s="5">
        <f t="shared" ref="L934:L942" si="188">MONTH(K934)</f>
        <v>8</v>
      </c>
      <c r="M934" s="5">
        <f t="shared" ref="M934:M942" si="189">YEAR(K934)</f>
        <v>2022</v>
      </c>
      <c r="N934" s="6">
        <v>6006</v>
      </c>
      <c r="O934" s="6">
        <f t="shared" ref="O934:O941" si="190">-N934</f>
        <v>-6006</v>
      </c>
      <c r="P934" s="6">
        <f t="shared" si="182"/>
        <v>0</v>
      </c>
      <c r="Q934" s="7">
        <f t="shared" si="179"/>
        <v>1680444.5500000005</v>
      </c>
      <c r="R934" s="44" t="str">
        <f>VLOOKUP(F934,'Set up'!$A$2:$E$48,5,FALSE)</f>
        <v>Trsf</v>
      </c>
      <c r="S934" s="1" t="s">
        <v>1032</v>
      </c>
    </row>
    <row r="935" spans="1:19" hidden="1" x14ac:dyDescent="0.3">
      <c r="A935" s="4">
        <v>44777</v>
      </c>
      <c r="B935" s="5">
        <f t="shared" ref="B935:B956" si="191">MONTH(A935)</f>
        <v>8</v>
      </c>
      <c r="C935" s="5">
        <f t="shared" ref="C935:C956" si="192">YEAR(A935)</f>
        <v>2022</v>
      </c>
      <c r="D935" s="5" t="s">
        <v>892</v>
      </c>
      <c r="E935" s="5" t="str">
        <f>VLOOKUP(F935,'Set up'!$A$2:$C$48,2,FALSE)</f>
        <v>C00000027</v>
      </c>
      <c r="F935" s="1" t="s">
        <v>860</v>
      </c>
      <c r="G935" s="11" t="s">
        <v>893</v>
      </c>
      <c r="H935" s="5">
        <v>2</v>
      </c>
      <c r="I935" s="5" t="str">
        <f>VLOOKUP(F935,'Set up'!$A$2:$C$48,3,FALSE)</f>
        <v>Cash</v>
      </c>
      <c r="J935" s="5">
        <f>VLOOKUP(F935,'Set up'!$A$2:$D$48,4,FALSE)</f>
        <v>0</v>
      </c>
      <c r="K935" s="4">
        <f t="shared" si="183"/>
        <v>44777</v>
      </c>
      <c r="L935" s="5">
        <f t="shared" si="188"/>
        <v>8</v>
      </c>
      <c r="M935" s="5">
        <f t="shared" si="189"/>
        <v>2022</v>
      </c>
      <c r="N935" s="6">
        <v>1259.5999999999999</v>
      </c>
      <c r="O935" s="6">
        <f t="shared" si="190"/>
        <v>-1259.5999999999999</v>
      </c>
      <c r="P935" s="6">
        <f t="shared" si="182"/>
        <v>0</v>
      </c>
      <c r="Q935" s="7">
        <f t="shared" si="179"/>
        <v>1681704.1500000006</v>
      </c>
      <c r="R935" s="44" t="str">
        <f>VLOOKUP(F935,'Set up'!$A$2:$E$48,5,FALSE)</f>
        <v>Trsf</v>
      </c>
      <c r="S935" s="1" t="s">
        <v>1033</v>
      </c>
    </row>
    <row r="936" spans="1:19" hidden="1" x14ac:dyDescent="0.3">
      <c r="A936" s="4">
        <v>44777</v>
      </c>
      <c r="B936" s="5">
        <f t="shared" si="191"/>
        <v>8</v>
      </c>
      <c r="C936" s="5">
        <f t="shared" si="192"/>
        <v>2022</v>
      </c>
      <c r="D936" s="5" t="s">
        <v>892</v>
      </c>
      <c r="E936" s="5" t="str">
        <f>VLOOKUP(F936,'Set up'!$A$2:$C$48,2,FALSE)</f>
        <v>C00000027</v>
      </c>
      <c r="F936" s="1" t="s">
        <v>860</v>
      </c>
      <c r="G936" s="11" t="s">
        <v>894</v>
      </c>
      <c r="H936" s="5">
        <v>2</v>
      </c>
      <c r="I936" s="5" t="str">
        <f>VLOOKUP(F936,'Set up'!$A$2:$C$48,3,FALSE)</f>
        <v>Cash</v>
      </c>
      <c r="J936" s="5">
        <f>VLOOKUP(F936,'Set up'!$A$2:$D$48,4,FALSE)</f>
        <v>0</v>
      </c>
      <c r="K936" s="4">
        <f t="shared" si="183"/>
        <v>44777</v>
      </c>
      <c r="L936" s="5">
        <f t="shared" si="188"/>
        <v>8</v>
      </c>
      <c r="M936" s="5">
        <f t="shared" si="189"/>
        <v>2022</v>
      </c>
      <c r="N936" s="6">
        <v>1015.2</v>
      </c>
      <c r="O936" s="6">
        <f t="shared" si="190"/>
        <v>-1015.2</v>
      </c>
      <c r="P936" s="6">
        <f t="shared" si="182"/>
        <v>0</v>
      </c>
      <c r="Q936" s="7">
        <f t="shared" si="179"/>
        <v>1682719.3500000006</v>
      </c>
      <c r="R936" s="44" t="str">
        <f>VLOOKUP(F936,'Set up'!$A$2:$E$48,5,FALSE)</f>
        <v>Trsf</v>
      </c>
      <c r="S936" s="1" t="s">
        <v>1032</v>
      </c>
    </row>
    <row r="937" spans="1:19" hidden="1" x14ac:dyDescent="0.3">
      <c r="A937" s="4">
        <v>44777</v>
      </c>
      <c r="B937" s="5">
        <f t="shared" si="191"/>
        <v>8</v>
      </c>
      <c r="C937" s="5">
        <f t="shared" si="192"/>
        <v>2022</v>
      </c>
      <c r="D937" s="5" t="s">
        <v>892</v>
      </c>
      <c r="E937" s="5" t="str">
        <f>VLOOKUP(F937,'Set up'!$A$2:$C$48,2,FALSE)</f>
        <v>C00000027</v>
      </c>
      <c r="F937" s="1" t="s">
        <v>860</v>
      </c>
      <c r="G937" s="11" t="s">
        <v>779</v>
      </c>
      <c r="H937" s="5">
        <v>2</v>
      </c>
      <c r="I937" s="5" t="str">
        <f>VLOOKUP(F937,'Set up'!$A$2:$C$48,3,FALSE)</f>
        <v>Cash</v>
      </c>
      <c r="J937" s="5">
        <f>VLOOKUP(F937,'Set up'!$A$2:$D$48,4,FALSE)</f>
        <v>0</v>
      </c>
      <c r="K937" s="4">
        <f t="shared" si="183"/>
        <v>44777</v>
      </c>
      <c r="L937" s="5">
        <f t="shared" si="188"/>
        <v>8</v>
      </c>
      <c r="M937" s="5">
        <f t="shared" si="189"/>
        <v>2022</v>
      </c>
      <c r="N937" s="6">
        <v>560</v>
      </c>
      <c r="O937" s="6">
        <f t="shared" si="190"/>
        <v>-560</v>
      </c>
      <c r="P937" s="6">
        <f t="shared" si="182"/>
        <v>0</v>
      </c>
      <c r="Q937" s="7">
        <f t="shared" si="179"/>
        <v>1683279.3500000006</v>
      </c>
      <c r="R937" s="44" t="str">
        <f>VLOOKUP(F937,'Set up'!$A$2:$E$48,5,FALSE)</f>
        <v>Trsf</v>
      </c>
      <c r="S937" s="1" t="s">
        <v>1032</v>
      </c>
    </row>
    <row r="938" spans="1:19" hidden="1" x14ac:dyDescent="0.3">
      <c r="A938" s="4">
        <v>44777</v>
      </c>
      <c r="B938" s="5">
        <f t="shared" si="191"/>
        <v>8</v>
      </c>
      <c r="C938" s="5">
        <f t="shared" si="192"/>
        <v>2022</v>
      </c>
      <c r="D938" s="5" t="s">
        <v>892</v>
      </c>
      <c r="E938" s="5" t="str">
        <f>VLOOKUP(F938,'Set up'!$A$2:$C$48,2,FALSE)</f>
        <v>C00000027</v>
      </c>
      <c r="F938" s="1" t="s">
        <v>860</v>
      </c>
      <c r="G938" s="11" t="s">
        <v>895</v>
      </c>
      <c r="H938" s="5">
        <v>4</v>
      </c>
      <c r="I938" s="5" t="str">
        <f>VLOOKUP(F938,'Set up'!$A$2:$C$48,3,FALSE)</f>
        <v>Cash</v>
      </c>
      <c r="J938" s="5">
        <f>VLOOKUP(F938,'Set up'!$A$2:$D$48,4,FALSE)</f>
        <v>0</v>
      </c>
      <c r="K938" s="4">
        <f t="shared" si="183"/>
        <v>44777</v>
      </c>
      <c r="L938" s="5">
        <f t="shared" si="188"/>
        <v>8</v>
      </c>
      <c r="M938" s="5">
        <f t="shared" si="189"/>
        <v>2022</v>
      </c>
      <c r="N938" s="6">
        <v>640</v>
      </c>
      <c r="O938" s="6">
        <f t="shared" si="190"/>
        <v>-640</v>
      </c>
      <c r="P938" s="6">
        <f t="shared" si="182"/>
        <v>0</v>
      </c>
      <c r="Q938" s="7">
        <f t="shared" si="179"/>
        <v>1683919.3500000006</v>
      </c>
      <c r="R938" s="44" t="str">
        <f>VLOOKUP(F938,'Set up'!$A$2:$E$48,5,FALSE)</f>
        <v>Trsf</v>
      </c>
      <c r="S938" s="1" t="s">
        <v>1032</v>
      </c>
    </row>
    <row r="939" spans="1:19" hidden="1" x14ac:dyDescent="0.3">
      <c r="A939" s="4">
        <v>44777</v>
      </c>
      <c r="B939" s="5">
        <f t="shared" si="191"/>
        <v>8</v>
      </c>
      <c r="C939" s="5">
        <f t="shared" si="192"/>
        <v>2022</v>
      </c>
      <c r="D939" s="5" t="s">
        <v>892</v>
      </c>
      <c r="E939" s="5" t="str">
        <f>VLOOKUP(F939,'Set up'!$A$2:$C$48,2,FALSE)</f>
        <v>C00000027</v>
      </c>
      <c r="F939" s="1" t="s">
        <v>860</v>
      </c>
      <c r="G939" s="11" t="s">
        <v>667</v>
      </c>
      <c r="H939" s="5">
        <v>1</v>
      </c>
      <c r="I939" s="5" t="str">
        <f>VLOOKUP(F939,'Set up'!$A$2:$C$48,3,FALSE)</f>
        <v>Cash</v>
      </c>
      <c r="J939" s="5">
        <f>VLOOKUP(F939,'Set up'!$A$2:$D$48,4,FALSE)</f>
        <v>0</v>
      </c>
      <c r="K939" s="4">
        <f t="shared" si="183"/>
        <v>44777</v>
      </c>
      <c r="L939" s="5">
        <f t="shared" si="188"/>
        <v>8</v>
      </c>
      <c r="M939" s="5">
        <f t="shared" si="189"/>
        <v>2022</v>
      </c>
      <c r="N939" s="6">
        <v>90</v>
      </c>
      <c r="O939" s="6">
        <f t="shared" si="190"/>
        <v>-90</v>
      </c>
      <c r="P939" s="6">
        <f t="shared" si="182"/>
        <v>0</v>
      </c>
      <c r="Q939" s="7">
        <f t="shared" si="179"/>
        <v>1684009.3500000006</v>
      </c>
      <c r="R939" s="44" t="str">
        <f>VLOOKUP(F939,'Set up'!$A$2:$E$48,5,FALSE)</f>
        <v>Trsf</v>
      </c>
      <c r="S939" s="1" t="s">
        <v>1032</v>
      </c>
    </row>
    <row r="940" spans="1:19" hidden="1" x14ac:dyDescent="0.3">
      <c r="A940" s="4">
        <v>44777</v>
      </c>
      <c r="B940" s="5">
        <f t="shared" si="191"/>
        <v>8</v>
      </c>
      <c r="C940" s="5">
        <f t="shared" si="192"/>
        <v>2022</v>
      </c>
      <c r="D940" s="5" t="s">
        <v>892</v>
      </c>
      <c r="E940" s="5" t="str">
        <f>VLOOKUP(F940,'Set up'!$A$2:$C$48,2,FALSE)</f>
        <v>C00000027</v>
      </c>
      <c r="F940" s="1" t="s">
        <v>860</v>
      </c>
      <c r="G940" s="11" t="s">
        <v>659</v>
      </c>
      <c r="H940" s="5">
        <v>1</v>
      </c>
      <c r="I940" s="5" t="str">
        <f>VLOOKUP(F940,'Set up'!$A$2:$C$48,3,FALSE)</f>
        <v>Cash</v>
      </c>
      <c r="J940" s="5">
        <f>VLOOKUP(F940,'Set up'!$A$2:$D$48,4,FALSE)</f>
        <v>0</v>
      </c>
      <c r="K940" s="4">
        <f t="shared" si="183"/>
        <v>44777</v>
      </c>
      <c r="L940" s="5">
        <f t="shared" si="188"/>
        <v>8</v>
      </c>
      <c r="M940" s="5">
        <f t="shared" si="189"/>
        <v>2022</v>
      </c>
      <c r="N940" s="6">
        <v>1108.4000000000001</v>
      </c>
      <c r="O940" s="6">
        <f t="shared" si="190"/>
        <v>-1108.4000000000001</v>
      </c>
      <c r="P940" s="6">
        <f t="shared" si="182"/>
        <v>0</v>
      </c>
      <c r="Q940" s="7">
        <f t="shared" si="179"/>
        <v>1685117.7500000005</v>
      </c>
      <c r="R940" s="44" t="str">
        <f>VLOOKUP(F940,'Set up'!$A$2:$E$48,5,FALSE)</f>
        <v>Trsf</v>
      </c>
      <c r="S940" s="1" t="s">
        <v>1032</v>
      </c>
    </row>
    <row r="941" spans="1:19" hidden="1" x14ac:dyDescent="0.3">
      <c r="A941" s="4">
        <v>44777</v>
      </c>
      <c r="B941" s="5">
        <f t="shared" si="191"/>
        <v>8</v>
      </c>
      <c r="C941" s="5">
        <f t="shared" si="192"/>
        <v>2022</v>
      </c>
      <c r="D941" s="5" t="s">
        <v>892</v>
      </c>
      <c r="E941" s="5" t="str">
        <f>VLOOKUP(F941,'Set up'!$A$2:$C$48,2,FALSE)</f>
        <v>C00000027</v>
      </c>
      <c r="F941" s="1" t="s">
        <v>860</v>
      </c>
      <c r="G941" s="11" t="s">
        <v>788</v>
      </c>
      <c r="H941" s="5">
        <v>1</v>
      </c>
      <c r="I941" s="5" t="str">
        <f>VLOOKUP(F941,'Set up'!$A$2:$C$48,3,FALSE)</f>
        <v>Cash</v>
      </c>
      <c r="J941" s="5">
        <f>VLOOKUP(F941,'Set up'!$A$2:$D$48,4,FALSE)</f>
        <v>0</v>
      </c>
      <c r="K941" s="4">
        <f t="shared" si="183"/>
        <v>44777</v>
      </c>
      <c r="L941" s="5">
        <f t="shared" si="188"/>
        <v>8</v>
      </c>
      <c r="M941" s="5">
        <f t="shared" si="189"/>
        <v>2022</v>
      </c>
      <c r="N941" s="6">
        <v>440</v>
      </c>
      <c r="O941" s="6">
        <f t="shared" si="190"/>
        <v>-440</v>
      </c>
      <c r="P941" s="6">
        <f t="shared" si="182"/>
        <v>0</v>
      </c>
      <c r="Q941" s="7">
        <f t="shared" si="179"/>
        <v>1685557.7500000005</v>
      </c>
      <c r="R941" s="44" t="str">
        <f>VLOOKUP(F941,'Set up'!$A$2:$E$48,5,FALSE)</f>
        <v>Trsf</v>
      </c>
      <c r="S941" s="1" t="s">
        <v>1032</v>
      </c>
    </row>
    <row r="942" spans="1:19" hidden="1" x14ac:dyDescent="0.3">
      <c r="A942" s="4">
        <v>44777</v>
      </c>
      <c r="B942" s="5">
        <f t="shared" si="191"/>
        <v>8</v>
      </c>
      <c r="C942" s="5">
        <f t="shared" si="192"/>
        <v>2022</v>
      </c>
      <c r="D942" s="5" t="s">
        <v>892</v>
      </c>
      <c r="E942" s="5" t="str">
        <f>VLOOKUP(F942,'Set up'!$A$2:$C$48,2,FALSE)</f>
        <v>C00000027</v>
      </c>
      <c r="F942" s="1" t="s">
        <v>860</v>
      </c>
      <c r="G942" s="11" t="s">
        <v>866</v>
      </c>
      <c r="H942" s="5">
        <v>6</v>
      </c>
      <c r="I942" s="5" t="str">
        <f>VLOOKUP(F942,'Set up'!$A$2:$C$48,3,FALSE)</f>
        <v>Cash</v>
      </c>
      <c r="J942" s="5">
        <f>VLOOKUP(F942,'Set up'!$A$2:$D$48,4,FALSE)</f>
        <v>0</v>
      </c>
      <c r="K942" s="4">
        <f t="shared" si="183"/>
        <v>44777</v>
      </c>
      <c r="L942" s="5">
        <f t="shared" si="188"/>
        <v>8</v>
      </c>
      <c r="M942" s="5">
        <f t="shared" si="189"/>
        <v>2022</v>
      </c>
      <c r="N942" s="6">
        <v>1524</v>
      </c>
      <c r="O942" s="6">
        <f>-1523.8</f>
        <v>-1523.8</v>
      </c>
      <c r="P942" s="6">
        <f t="shared" si="182"/>
        <v>0.20000000000004547</v>
      </c>
      <c r="Q942" s="7">
        <f t="shared" si="179"/>
        <v>1687081.7500000005</v>
      </c>
      <c r="R942" s="44" t="str">
        <f>VLOOKUP(F942,'Set up'!$A$2:$E$48,5,FALSE)</f>
        <v>Trsf</v>
      </c>
      <c r="S942" s="1" t="s">
        <v>1032</v>
      </c>
    </row>
    <row r="943" spans="1:19" x14ac:dyDescent="0.3">
      <c r="A943" s="4">
        <v>44779</v>
      </c>
      <c r="B943" s="5">
        <f t="shared" si="191"/>
        <v>8</v>
      </c>
      <c r="C943" s="5">
        <f t="shared" si="192"/>
        <v>2022</v>
      </c>
      <c r="D943" s="5" t="s">
        <v>896</v>
      </c>
      <c r="E943" s="5" t="str">
        <f>VLOOKUP(F943,'Set up'!$A$2:$C$48,2,FALSE)</f>
        <v>C00000020</v>
      </c>
      <c r="F943" s="1" t="s">
        <v>410</v>
      </c>
      <c r="G943" s="11" t="s">
        <v>717</v>
      </c>
      <c r="H943" s="5">
        <v>1</v>
      </c>
      <c r="I943" s="5" t="str">
        <f>VLOOKUP(F943,'Set up'!$A$2:$C$48,3,FALSE)</f>
        <v>Cash</v>
      </c>
      <c r="J943" s="5">
        <f>VLOOKUP(F943,'Set up'!$A$2:$D$48,4,FALSE)</f>
        <v>0</v>
      </c>
      <c r="K943" s="4">
        <f t="shared" si="183"/>
        <v>44779</v>
      </c>
      <c r="L943" s="5">
        <f t="shared" ref="L943:L946" si="193">MONTH(K943)</f>
        <v>8</v>
      </c>
      <c r="M943" s="5">
        <f t="shared" ref="M943:M946" si="194">YEAR(K943)</f>
        <v>2022</v>
      </c>
      <c r="N943" s="6">
        <v>2068</v>
      </c>
      <c r="O943" s="6">
        <f t="shared" ref="O943:O946" si="195">-N943</f>
        <v>-2068</v>
      </c>
      <c r="P943" s="6">
        <f t="shared" si="182"/>
        <v>0</v>
      </c>
      <c r="Q943" s="7">
        <f t="shared" si="179"/>
        <v>1689149.7500000005</v>
      </c>
      <c r="R943" s="44" t="str">
        <f>VLOOKUP(F943,'Set up'!$A$2:$E$48,5,FALSE)</f>
        <v>Trsf</v>
      </c>
      <c r="S943" s="1" t="s">
        <v>1209</v>
      </c>
    </row>
    <row r="944" spans="1:19" x14ac:dyDescent="0.3">
      <c r="A944" s="4">
        <v>44779</v>
      </c>
      <c r="B944" s="5">
        <f t="shared" si="191"/>
        <v>8</v>
      </c>
      <c r="C944" s="5">
        <f t="shared" si="192"/>
        <v>2022</v>
      </c>
      <c r="D944" s="5" t="s">
        <v>896</v>
      </c>
      <c r="E944" s="5" t="str">
        <f>VLOOKUP(F944,'Set up'!$A$2:$C$48,2,FALSE)</f>
        <v>C00000020</v>
      </c>
      <c r="F944" s="1" t="s">
        <v>410</v>
      </c>
      <c r="G944" s="11" t="s">
        <v>897</v>
      </c>
      <c r="H944" s="5">
        <v>6</v>
      </c>
      <c r="I944" s="5" t="str">
        <f>VLOOKUP(F944,'Set up'!$A$2:$C$48,3,FALSE)</f>
        <v>Cash</v>
      </c>
      <c r="J944" s="5">
        <f>VLOOKUP(F944,'Set up'!$A$2:$D$48,4,FALSE)</f>
        <v>0</v>
      </c>
      <c r="K944" s="4">
        <f t="shared" si="183"/>
        <v>44779</v>
      </c>
      <c r="L944" s="5">
        <f t="shared" si="193"/>
        <v>8</v>
      </c>
      <c r="M944" s="5">
        <f t="shared" si="194"/>
        <v>2022</v>
      </c>
      <c r="N944" s="6">
        <v>2175.6000000000004</v>
      </c>
      <c r="O944" s="6">
        <f t="shared" si="195"/>
        <v>-2175.6000000000004</v>
      </c>
      <c r="P944" s="6">
        <f t="shared" si="182"/>
        <v>0</v>
      </c>
      <c r="Q944" s="7">
        <f t="shared" si="179"/>
        <v>1691325.3500000006</v>
      </c>
      <c r="R944" s="44" t="str">
        <f>VLOOKUP(F944,'Set up'!$A$2:$E$48,5,FALSE)</f>
        <v>Trsf</v>
      </c>
      <c r="S944" s="1" t="s">
        <v>1209</v>
      </c>
    </row>
    <row r="945" spans="1:19" x14ac:dyDescent="0.3">
      <c r="A945" s="4">
        <v>44779</v>
      </c>
      <c r="B945" s="5">
        <f t="shared" si="191"/>
        <v>8</v>
      </c>
      <c r="C945" s="5">
        <f t="shared" si="192"/>
        <v>2022</v>
      </c>
      <c r="D945" s="5" t="s">
        <v>896</v>
      </c>
      <c r="E945" s="5" t="str">
        <f>VLOOKUP(F945,'Set up'!$A$2:$C$48,2,FALSE)</f>
        <v>C00000020</v>
      </c>
      <c r="F945" s="1" t="s">
        <v>410</v>
      </c>
      <c r="G945" s="11" t="s">
        <v>779</v>
      </c>
      <c r="H945" s="5">
        <v>3</v>
      </c>
      <c r="I945" s="5" t="str">
        <f>VLOOKUP(F945,'Set up'!$A$2:$C$48,3,FALSE)</f>
        <v>Cash</v>
      </c>
      <c r="J945" s="5">
        <f>VLOOKUP(F945,'Set up'!$A$2:$D$48,4,FALSE)</f>
        <v>0</v>
      </c>
      <c r="K945" s="4">
        <f t="shared" si="183"/>
        <v>44779</v>
      </c>
      <c r="L945" s="5">
        <f t="shared" si="193"/>
        <v>8</v>
      </c>
      <c r="M945" s="5">
        <f t="shared" si="194"/>
        <v>2022</v>
      </c>
      <c r="N945" s="6">
        <v>900</v>
      </c>
      <c r="O945" s="6">
        <f t="shared" si="195"/>
        <v>-900</v>
      </c>
      <c r="P945" s="6">
        <f t="shared" si="182"/>
        <v>0</v>
      </c>
      <c r="Q945" s="7">
        <f t="shared" si="179"/>
        <v>1692225.3500000006</v>
      </c>
      <c r="R945" s="44" t="str">
        <f>VLOOKUP(F945,'Set up'!$A$2:$E$48,5,FALSE)</f>
        <v>Trsf</v>
      </c>
      <c r="S945" s="1" t="s">
        <v>1209</v>
      </c>
    </row>
    <row r="946" spans="1:19" x14ac:dyDescent="0.3">
      <c r="A946" s="4">
        <v>44779</v>
      </c>
      <c r="B946" s="5">
        <f t="shared" si="191"/>
        <v>8</v>
      </c>
      <c r="C946" s="5">
        <f t="shared" si="192"/>
        <v>2022</v>
      </c>
      <c r="D946" s="5" t="s">
        <v>896</v>
      </c>
      <c r="E946" s="5" t="str">
        <f>VLOOKUP(F946,'Set up'!$A$2:$C$48,2,FALSE)</f>
        <v>C00000020</v>
      </c>
      <c r="F946" s="1" t="s">
        <v>410</v>
      </c>
      <c r="G946" s="11" t="s">
        <v>792</v>
      </c>
      <c r="H946" s="5">
        <v>2</v>
      </c>
      <c r="I946" s="5" t="str">
        <f>VLOOKUP(F946,'Set up'!$A$2:$C$48,3,FALSE)</f>
        <v>Cash</v>
      </c>
      <c r="J946" s="5">
        <f>VLOOKUP(F946,'Set up'!$A$2:$D$48,4,FALSE)</f>
        <v>0</v>
      </c>
      <c r="K946" s="4">
        <f t="shared" si="183"/>
        <v>44779</v>
      </c>
      <c r="L946" s="5">
        <f t="shared" si="193"/>
        <v>8</v>
      </c>
      <c r="M946" s="5">
        <f t="shared" si="194"/>
        <v>2022</v>
      </c>
      <c r="N946" s="6">
        <v>125</v>
      </c>
      <c r="O946" s="6">
        <f t="shared" si="195"/>
        <v>-125</v>
      </c>
      <c r="P946" s="6">
        <f t="shared" si="182"/>
        <v>0</v>
      </c>
      <c r="Q946" s="7">
        <f t="shared" si="179"/>
        <v>1692350.3500000006</v>
      </c>
      <c r="R946" s="44" t="str">
        <f>VLOOKUP(F946,'Set up'!$A$2:$E$48,5,FALSE)</f>
        <v>Trsf</v>
      </c>
      <c r="S946" s="1" t="s">
        <v>1209</v>
      </c>
    </row>
    <row r="947" spans="1:19" hidden="1" x14ac:dyDescent="0.3">
      <c r="A947" s="4">
        <v>44779</v>
      </c>
      <c r="B947" s="5">
        <f t="shared" si="191"/>
        <v>8</v>
      </c>
      <c r="C947" s="5">
        <f t="shared" si="192"/>
        <v>2022</v>
      </c>
      <c r="D947" s="5" t="s">
        <v>898</v>
      </c>
      <c r="E947" s="5" t="str">
        <f>VLOOKUP(F947,'Set up'!$A$2:$C$48,2,FALSE)</f>
        <v>C00000001</v>
      </c>
      <c r="F947" s="1" t="s">
        <v>7</v>
      </c>
      <c r="G947" s="11" t="s">
        <v>831</v>
      </c>
      <c r="H947" s="5">
        <v>3</v>
      </c>
      <c r="I947" s="5" t="str">
        <f>VLOOKUP(F947,'Set up'!$A$2:$C$48,3,FALSE)</f>
        <v>Cash</v>
      </c>
      <c r="J947" s="5">
        <f>VLOOKUP(F947,'Set up'!$A$2:$D$48,4,FALSE)</f>
        <v>0</v>
      </c>
      <c r="K947" s="4">
        <f t="shared" si="183"/>
        <v>44779</v>
      </c>
      <c r="L947" s="5">
        <f t="shared" ref="L947:L959" si="196">MONTH(K947)</f>
        <v>8</v>
      </c>
      <c r="M947" s="5">
        <f t="shared" ref="M947:M959" si="197">YEAR(K947)</f>
        <v>2022</v>
      </c>
      <c r="N947" s="6">
        <v>864</v>
      </c>
      <c r="O947" s="6">
        <f>-N947</f>
        <v>-864</v>
      </c>
      <c r="P947" s="6">
        <f t="shared" si="182"/>
        <v>0</v>
      </c>
      <c r="Q947" s="7">
        <f t="shared" si="179"/>
        <v>1693214.3500000006</v>
      </c>
      <c r="R947" s="44" t="str">
        <f>VLOOKUP(F947,'Set up'!$A$2:$E$48,5,FALSE)</f>
        <v>Trsf</v>
      </c>
      <c r="S947" s="1" t="s">
        <v>919</v>
      </c>
    </row>
    <row r="948" spans="1:19" hidden="1" x14ac:dyDescent="0.3">
      <c r="A948" s="4">
        <v>44782</v>
      </c>
      <c r="B948" s="5">
        <f t="shared" si="191"/>
        <v>8</v>
      </c>
      <c r="C948" s="5">
        <f t="shared" si="192"/>
        <v>2022</v>
      </c>
      <c r="D948" s="5" t="s">
        <v>899</v>
      </c>
      <c r="E948" s="5" t="str">
        <f>VLOOKUP(F948,'Set up'!$A$2:$C$48,2,FALSE)</f>
        <v>C00000026</v>
      </c>
      <c r="F948" s="1" t="s">
        <v>785</v>
      </c>
      <c r="G948" s="11" t="s">
        <v>717</v>
      </c>
      <c r="H948" s="5">
        <v>1</v>
      </c>
      <c r="I948" s="5" t="str">
        <f>VLOOKUP(F948,'Set up'!$A$2:$C$48,3,FALSE)</f>
        <v>Cash</v>
      </c>
      <c r="J948" s="5">
        <f>VLOOKUP(F948,'Set up'!$A$2:$D$48,4,FALSE)</f>
        <v>0</v>
      </c>
      <c r="K948" s="4">
        <f t="shared" si="183"/>
        <v>44782</v>
      </c>
      <c r="L948" s="5">
        <f t="shared" si="196"/>
        <v>8</v>
      </c>
      <c r="M948" s="5">
        <f t="shared" si="197"/>
        <v>2022</v>
      </c>
      <c r="N948" s="6">
        <v>2068</v>
      </c>
      <c r="O948" s="6">
        <f>-N948</f>
        <v>-2068</v>
      </c>
      <c r="P948" s="6">
        <f t="shared" si="182"/>
        <v>0</v>
      </c>
      <c r="Q948" s="7">
        <f t="shared" si="179"/>
        <v>1695282.3500000006</v>
      </c>
      <c r="R948" s="44" t="str">
        <f>VLOOKUP(F948,'Set up'!$A$2:$E$48,5,FALSE)</f>
        <v>Trsf</v>
      </c>
      <c r="S948" s="1" t="s">
        <v>918</v>
      </c>
    </row>
    <row r="949" spans="1:19" x14ac:dyDescent="0.3">
      <c r="A949" s="4">
        <v>44785</v>
      </c>
      <c r="B949" s="5">
        <f t="shared" si="191"/>
        <v>8</v>
      </c>
      <c r="C949" s="5">
        <f t="shared" si="192"/>
        <v>2022</v>
      </c>
      <c r="D949" s="5" t="s">
        <v>900</v>
      </c>
      <c r="E949" s="5" t="str">
        <f>VLOOKUP(F949,'Set up'!$A$2:$C$48,2,FALSE)</f>
        <v>C00000020</v>
      </c>
      <c r="F949" s="1" t="s">
        <v>410</v>
      </c>
      <c r="G949" s="11" t="s">
        <v>720</v>
      </c>
      <c r="H949" s="5">
        <v>1</v>
      </c>
      <c r="I949" s="5" t="str">
        <f>VLOOKUP(F949,'Set up'!$A$2:$C$48,3,FALSE)</f>
        <v>Cash</v>
      </c>
      <c r="J949" s="5">
        <f>VLOOKUP(F949,'Set up'!$A$2:$D$48,4,FALSE)</f>
        <v>0</v>
      </c>
      <c r="K949" s="4">
        <f t="shared" si="183"/>
        <v>44785</v>
      </c>
      <c r="L949" s="5">
        <f t="shared" si="196"/>
        <v>8</v>
      </c>
      <c r="M949" s="5">
        <f t="shared" si="197"/>
        <v>2022</v>
      </c>
      <c r="N949" s="6">
        <v>2068</v>
      </c>
      <c r="O949" s="6">
        <f t="shared" ref="O949:O953" si="198">-N949</f>
        <v>-2068</v>
      </c>
      <c r="P949" s="6">
        <f t="shared" si="182"/>
        <v>0</v>
      </c>
      <c r="Q949" s="7">
        <f t="shared" si="179"/>
        <v>1697350.3500000006</v>
      </c>
      <c r="R949" s="44" t="str">
        <f>VLOOKUP(F949,'Set up'!$A$2:$E$48,5,FALSE)</f>
        <v>Trsf</v>
      </c>
      <c r="S949" s="1" t="s">
        <v>1209</v>
      </c>
    </row>
    <row r="950" spans="1:19" x14ac:dyDescent="0.3">
      <c r="A950" s="4">
        <v>44785</v>
      </c>
      <c r="B950" s="5">
        <f t="shared" si="191"/>
        <v>8</v>
      </c>
      <c r="C950" s="5">
        <f t="shared" si="192"/>
        <v>2022</v>
      </c>
      <c r="D950" s="5" t="s">
        <v>900</v>
      </c>
      <c r="E950" s="5" t="str">
        <f>VLOOKUP(F950,'Set up'!$A$2:$C$48,2,FALSE)</f>
        <v>C00000020</v>
      </c>
      <c r="F950" s="1" t="s">
        <v>410</v>
      </c>
      <c r="G950" s="11" t="s">
        <v>655</v>
      </c>
      <c r="H950" s="5">
        <v>3</v>
      </c>
      <c r="I950" s="5" t="str">
        <f>VLOOKUP(F950,'Set up'!$A$2:$C$48,3,FALSE)</f>
        <v>Cash</v>
      </c>
      <c r="J950" s="5">
        <f>VLOOKUP(F950,'Set up'!$A$2:$D$48,4,FALSE)</f>
        <v>0</v>
      </c>
      <c r="K950" s="4">
        <f t="shared" si="183"/>
        <v>44785</v>
      </c>
      <c r="L950" s="5">
        <f t="shared" si="196"/>
        <v>8</v>
      </c>
      <c r="M950" s="5">
        <f t="shared" si="197"/>
        <v>2022</v>
      </c>
      <c r="N950" s="6">
        <v>882</v>
      </c>
      <c r="O950" s="6">
        <f t="shared" si="198"/>
        <v>-882</v>
      </c>
      <c r="P950" s="6">
        <f t="shared" si="182"/>
        <v>0</v>
      </c>
      <c r="Q950" s="7">
        <f t="shared" si="179"/>
        <v>1698232.3500000006</v>
      </c>
      <c r="R950" s="44" t="str">
        <f>VLOOKUP(F950,'Set up'!$A$2:$E$48,5,FALSE)</f>
        <v>Trsf</v>
      </c>
      <c r="S950" s="1" t="s">
        <v>1209</v>
      </c>
    </row>
    <row r="951" spans="1:19" x14ac:dyDescent="0.3">
      <c r="A951" s="4">
        <v>44785</v>
      </c>
      <c r="B951" s="5">
        <f t="shared" si="191"/>
        <v>8</v>
      </c>
      <c r="C951" s="5">
        <f t="shared" si="192"/>
        <v>2022</v>
      </c>
      <c r="D951" s="5" t="s">
        <v>900</v>
      </c>
      <c r="E951" s="5" t="str">
        <f>VLOOKUP(F951,'Set up'!$A$2:$C$48,2,FALSE)</f>
        <v>C00000020</v>
      </c>
      <c r="F951" s="1" t="s">
        <v>410</v>
      </c>
      <c r="G951" s="11" t="s">
        <v>779</v>
      </c>
      <c r="H951" s="5">
        <v>1</v>
      </c>
      <c r="I951" s="5" t="str">
        <f>VLOOKUP(F951,'Set up'!$A$2:$C$48,3,FALSE)</f>
        <v>Cash</v>
      </c>
      <c r="J951" s="5">
        <f>VLOOKUP(F951,'Set up'!$A$2:$D$48,4,FALSE)</f>
        <v>0</v>
      </c>
      <c r="K951" s="4">
        <f t="shared" si="183"/>
        <v>44785</v>
      </c>
      <c r="L951" s="5">
        <f t="shared" si="196"/>
        <v>8</v>
      </c>
      <c r="M951" s="5">
        <f t="shared" si="197"/>
        <v>2022</v>
      </c>
      <c r="N951" s="6">
        <v>300</v>
      </c>
      <c r="O951" s="6">
        <f t="shared" si="198"/>
        <v>-300</v>
      </c>
      <c r="P951" s="6">
        <f t="shared" si="182"/>
        <v>0</v>
      </c>
      <c r="Q951" s="7">
        <f t="shared" si="179"/>
        <v>1698532.3500000006</v>
      </c>
      <c r="R951" s="44" t="str">
        <f>VLOOKUP(F951,'Set up'!$A$2:$E$48,5,FALSE)</f>
        <v>Trsf</v>
      </c>
      <c r="S951" s="1" t="s">
        <v>1209</v>
      </c>
    </row>
    <row r="952" spans="1:19" x14ac:dyDescent="0.3">
      <c r="A952" s="4">
        <v>44785</v>
      </c>
      <c r="B952" s="5">
        <f t="shared" si="191"/>
        <v>8</v>
      </c>
      <c r="C952" s="5">
        <f t="shared" si="192"/>
        <v>2022</v>
      </c>
      <c r="D952" s="5" t="s">
        <v>900</v>
      </c>
      <c r="E952" s="5" t="str">
        <f>VLOOKUP(F952,'Set up'!$A$2:$C$48,2,FALSE)</f>
        <v>C00000020</v>
      </c>
      <c r="F952" s="1" t="s">
        <v>410</v>
      </c>
      <c r="G952" s="11" t="s">
        <v>792</v>
      </c>
      <c r="H952" s="5">
        <v>1</v>
      </c>
      <c r="I952" s="5" t="str">
        <f>VLOOKUP(F952,'Set up'!$A$2:$C$48,3,FALSE)</f>
        <v>Cash</v>
      </c>
      <c r="J952" s="5">
        <f>VLOOKUP(F952,'Set up'!$A$2:$D$48,4,FALSE)</f>
        <v>0</v>
      </c>
      <c r="K952" s="4">
        <f t="shared" si="183"/>
        <v>44785</v>
      </c>
      <c r="L952" s="5">
        <f t="shared" si="196"/>
        <v>8</v>
      </c>
      <c r="M952" s="5">
        <f t="shared" si="197"/>
        <v>2022</v>
      </c>
      <c r="N952" s="6">
        <v>62.5</v>
      </c>
      <c r="O952" s="6">
        <f t="shared" si="198"/>
        <v>-62.5</v>
      </c>
      <c r="P952" s="6">
        <f t="shared" si="182"/>
        <v>0</v>
      </c>
      <c r="Q952" s="7">
        <f t="shared" si="179"/>
        <v>1698594.8500000006</v>
      </c>
      <c r="R952" s="44" t="str">
        <f>VLOOKUP(F952,'Set up'!$A$2:$E$48,5,FALSE)</f>
        <v>Trsf</v>
      </c>
      <c r="S952" s="1" t="s">
        <v>1209</v>
      </c>
    </row>
    <row r="953" spans="1:19" x14ac:dyDescent="0.3">
      <c r="A953" s="4">
        <v>44785</v>
      </c>
      <c r="B953" s="5">
        <f t="shared" si="191"/>
        <v>8</v>
      </c>
      <c r="C953" s="5">
        <f t="shared" si="192"/>
        <v>2022</v>
      </c>
      <c r="D953" s="5" t="s">
        <v>900</v>
      </c>
      <c r="E953" s="5" t="str">
        <f>VLOOKUP(F953,'Set up'!$A$2:$C$48,2,FALSE)</f>
        <v>C00000020</v>
      </c>
      <c r="F953" s="1" t="s">
        <v>410</v>
      </c>
      <c r="G953" s="11" t="s">
        <v>660</v>
      </c>
      <c r="H953" s="5">
        <v>1</v>
      </c>
      <c r="I953" s="5" t="str">
        <f>VLOOKUP(F953,'Set up'!$A$2:$C$48,3,FALSE)</f>
        <v>Cash</v>
      </c>
      <c r="J953" s="5">
        <f>VLOOKUP(F953,'Set up'!$A$2:$D$48,4,FALSE)</f>
        <v>0</v>
      </c>
      <c r="K953" s="4">
        <f t="shared" si="183"/>
        <v>44785</v>
      </c>
      <c r="L953" s="5">
        <f t="shared" si="196"/>
        <v>8</v>
      </c>
      <c r="M953" s="5">
        <f t="shared" si="197"/>
        <v>2022</v>
      </c>
      <c r="N953" s="6">
        <v>1000</v>
      </c>
      <c r="O953" s="6">
        <f t="shared" si="198"/>
        <v>-1000</v>
      </c>
      <c r="P953" s="6">
        <f t="shared" si="182"/>
        <v>0</v>
      </c>
      <c r="Q953" s="7">
        <f t="shared" si="179"/>
        <v>1699594.8500000006</v>
      </c>
      <c r="R953" s="44" t="str">
        <f>VLOOKUP(F953,'Set up'!$A$2:$E$48,5,FALSE)</f>
        <v>Trsf</v>
      </c>
      <c r="S953" s="1" t="s">
        <v>1209</v>
      </c>
    </row>
    <row r="954" spans="1:19" hidden="1" x14ac:dyDescent="0.3">
      <c r="A954" s="4">
        <v>44788</v>
      </c>
      <c r="B954" s="5">
        <f t="shared" si="191"/>
        <v>8</v>
      </c>
      <c r="C954" s="5">
        <f t="shared" si="192"/>
        <v>2022</v>
      </c>
      <c r="D954" s="5" t="s">
        <v>901</v>
      </c>
      <c r="E954" s="5" t="e">
        <f>VLOOKUP(F954,'Set up'!$A$2:$C$48,2,FALSE)</f>
        <v>#N/A</v>
      </c>
      <c r="F954" s="11" t="s">
        <v>1045</v>
      </c>
      <c r="G954" s="5" t="s">
        <v>902</v>
      </c>
      <c r="H954" s="5">
        <v>0</v>
      </c>
      <c r="I954" s="5" t="e">
        <f>VLOOKUP(F954,'Set up'!$A$2:$C$48,3,FALSE)</f>
        <v>#N/A</v>
      </c>
      <c r="J954" s="5" t="e">
        <f>VLOOKUP(F954,'Set up'!$A$2:$D$48,4,FALSE)</f>
        <v>#N/A</v>
      </c>
      <c r="K954" s="4" t="e">
        <f t="shared" si="183"/>
        <v>#N/A</v>
      </c>
      <c r="L954" s="5" t="e">
        <f t="shared" si="196"/>
        <v>#N/A</v>
      </c>
      <c r="M954" s="5" t="e">
        <f t="shared" si="197"/>
        <v>#N/A</v>
      </c>
      <c r="N954" s="6">
        <v>0</v>
      </c>
      <c r="P954" s="6">
        <f t="shared" si="182"/>
        <v>0</v>
      </c>
      <c r="Q954" s="7">
        <f t="shared" si="179"/>
        <v>1699594.8500000006</v>
      </c>
      <c r="R954" s="44" t="e">
        <f>VLOOKUP(F954,'Set up'!$A$2:$E$48,5,FALSE)</f>
        <v>#N/A</v>
      </c>
    </row>
    <row r="955" spans="1:19" hidden="1" x14ac:dyDescent="0.3">
      <c r="A955" s="4">
        <v>44788</v>
      </c>
      <c r="B955" s="5">
        <f t="shared" si="191"/>
        <v>8</v>
      </c>
      <c r="C955" s="5">
        <f t="shared" si="192"/>
        <v>2022</v>
      </c>
      <c r="D955" s="5" t="s">
        <v>903</v>
      </c>
      <c r="E955" s="5" t="str">
        <f>VLOOKUP(F955,'Set up'!$A$2:$C$48,2,FALSE)</f>
        <v>C00000004</v>
      </c>
      <c r="F955" s="1" t="s">
        <v>23</v>
      </c>
      <c r="G955" s="11" t="s">
        <v>904</v>
      </c>
      <c r="H955" s="5">
        <v>5</v>
      </c>
      <c r="I955" s="5">
        <f>VLOOKUP(F955,'Set up'!$A$2:$C$48,3,FALSE)</f>
        <v>120</v>
      </c>
      <c r="J955" s="5">
        <f>VLOOKUP(F955,'Set up'!$A$2:$D$48,4,FALSE)</f>
        <v>120</v>
      </c>
      <c r="K955" s="4">
        <f t="shared" si="183"/>
        <v>44908</v>
      </c>
      <c r="L955" s="5">
        <f t="shared" si="196"/>
        <v>12</v>
      </c>
      <c r="M955" s="5">
        <f t="shared" si="197"/>
        <v>2022</v>
      </c>
      <c r="N955" s="6">
        <v>9570</v>
      </c>
      <c r="O955" s="6">
        <f t="shared" ref="O955:O960" si="199">-N955</f>
        <v>-9570</v>
      </c>
      <c r="P955" s="6">
        <f t="shared" si="182"/>
        <v>0</v>
      </c>
      <c r="Q955" s="7">
        <f t="shared" si="179"/>
        <v>1709164.8500000006</v>
      </c>
      <c r="R955" s="44" t="str">
        <f>VLOOKUP(F955,'Set up'!$A$2:$E$48,5,FALSE)</f>
        <v>Chq</v>
      </c>
      <c r="S955" s="1" t="s">
        <v>1088</v>
      </c>
    </row>
    <row r="956" spans="1:19" hidden="1" x14ac:dyDescent="0.3">
      <c r="A956" s="4">
        <v>44788</v>
      </c>
      <c r="B956" s="5">
        <f t="shared" si="191"/>
        <v>8</v>
      </c>
      <c r="C956" s="5">
        <f t="shared" si="192"/>
        <v>2022</v>
      </c>
      <c r="D956" s="5" t="s">
        <v>903</v>
      </c>
      <c r="E956" s="5" t="str">
        <f>VLOOKUP(F956,'Set up'!$A$2:$C$48,2,FALSE)</f>
        <v>C00000004</v>
      </c>
      <c r="F956" s="1" t="s">
        <v>23</v>
      </c>
      <c r="G956" s="11" t="s">
        <v>905</v>
      </c>
      <c r="H956" s="5">
        <v>1</v>
      </c>
      <c r="I956" s="5">
        <f>VLOOKUP(F956,'Set up'!$A$2:$C$48,3,FALSE)</f>
        <v>120</v>
      </c>
      <c r="J956" s="5">
        <f>VLOOKUP(F956,'Set up'!$A$2:$D$48,4,FALSE)</f>
        <v>120</v>
      </c>
      <c r="K956" s="4">
        <f t="shared" si="183"/>
        <v>44908</v>
      </c>
      <c r="L956" s="5">
        <f t="shared" si="196"/>
        <v>12</v>
      </c>
      <c r="M956" s="5">
        <f t="shared" si="197"/>
        <v>2022</v>
      </c>
      <c r="N956" s="6">
        <v>1957.5</v>
      </c>
      <c r="O956" s="6">
        <f t="shared" si="199"/>
        <v>-1957.5</v>
      </c>
      <c r="P956" s="6">
        <f t="shared" si="182"/>
        <v>0</v>
      </c>
      <c r="Q956" s="7">
        <f t="shared" si="179"/>
        <v>1711122.3500000006</v>
      </c>
      <c r="R956" s="44" t="str">
        <f>VLOOKUP(F956,'Set up'!$A$2:$E$48,5,FALSE)</f>
        <v>Chq</v>
      </c>
      <c r="S956" s="1" t="s">
        <v>1088</v>
      </c>
    </row>
    <row r="957" spans="1:19" hidden="1" x14ac:dyDescent="0.3">
      <c r="A957" s="4">
        <v>44788</v>
      </c>
      <c r="B957" s="5">
        <f t="shared" ref="B957:B960" si="200">MONTH(A957)</f>
        <v>8</v>
      </c>
      <c r="C957" s="5">
        <f t="shared" ref="C957:C960" si="201">YEAR(A957)</f>
        <v>2022</v>
      </c>
      <c r="D957" s="5" t="s">
        <v>903</v>
      </c>
      <c r="E957" s="5" t="str">
        <f>VLOOKUP(F957,'Set up'!$A$2:$C$48,2,FALSE)</f>
        <v>C00000004</v>
      </c>
      <c r="F957" s="1" t="s">
        <v>23</v>
      </c>
      <c r="G957" s="11" t="s">
        <v>893</v>
      </c>
      <c r="H957" s="5">
        <v>4</v>
      </c>
      <c r="I957" s="5">
        <f>VLOOKUP(F957,'Set up'!$A$2:$C$48,3,FALSE)</f>
        <v>120</v>
      </c>
      <c r="J957" s="5">
        <f>VLOOKUP(F957,'Set up'!$A$2:$D$48,4,FALSE)</f>
        <v>120</v>
      </c>
      <c r="K957" s="4">
        <f t="shared" si="183"/>
        <v>44908</v>
      </c>
      <c r="L957" s="5">
        <f t="shared" si="196"/>
        <v>12</v>
      </c>
      <c r="M957" s="5">
        <f t="shared" si="197"/>
        <v>2022</v>
      </c>
      <c r="N957" s="6">
        <v>2358.4</v>
      </c>
      <c r="O957" s="6">
        <f t="shared" si="199"/>
        <v>-2358.4</v>
      </c>
      <c r="P957" s="6">
        <f t="shared" si="182"/>
        <v>0</v>
      </c>
      <c r="Q957" s="7">
        <f t="shared" si="179"/>
        <v>1713480.7500000005</v>
      </c>
      <c r="R957" s="44" t="str">
        <f>VLOOKUP(F957,'Set up'!$A$2:$E$48,5,FALSE)</f>
        <v>Chq</v>
      </c>
      <c r="S957" s="1" t="s">
        <v>1088</v>
      </c>
    </row>
    <row r="958" spans="1:19" hidden="1" x14ac:dyDescent="0.3">
      <c r="A958" s="4">
        <v>44788</v>
      </c>
      <c r="B958" s="5">
        <f t="shared" si="200"/>
        <v>8</v>
      </c>
      <c r="C958" s="5">
        <f t="shared" si="201"/>
        <v>2022</v>
      </c>
      <c r="D958" s="5" t="s">
        <v>903</v>
      </c>
      <c r="E958" s="5" t="str">
        <f>VLOOKUP(F958,'Set up'!$A$2:$C$48,2,FALSE)</f>
        <v>C00000004</v>
      </c>
      <c r="F958" s="1" t="s">
        <v>23</v>
      </c>
      <c r="G958" s="11" t="s">
        <v>514</v>
      </c>
      <c r="H958" s="5">
        <v>4</v>
      </c>
      <c r="I958" s="5">
        <f>VLOOKUP(F958,'Set up'!$A$2:$C$48,3,FALSE)</f>
        <v>120</v>
      </c>
      <c r="J958" s="5">
        <f>VLOOKUP(F958,'Set up'!$A$2:$D$48,4,FALSE)</f>
        <v>120</v>
      </c>
      <c r="K958" s="4">
        <f t="shared" si="183"/>
        <v>44908</v>
      </c>
      <c r="L958" s="5">
        <f t="shared" si="196"/>
        <v>12</v>
      </c>
      <c r="M958" s="5">
        <f t="shared" si="197"/>
        <v>2022</v>
      </c>
      <c r="N958" s="6">
        <v>1900.8</v>
      </c>
      <c r="O958" s="6">
        <f t="shared" si="199"/>
        <v>-1900.8</v>
      </c>
      <c r="P958" s="6">
        <f t="shared" si="182"/>
        <v>0</v>
      </c>
      <c r="Q958" s="7">
        <f t="shared" si="179"/>
        <v>1715381.5500000005</v>
      </c>
      <c r="R958" s="44" t="str">
        <f>VLOOKUP(F958,'Set up'!$A$2:$E$48,5,FALSE)</f>
        <v>Chq</v>
      </c>
      <c r="S958" s="1" t="s">
        <v>1088</v>
      </c>
    </row>
    <row r="959" spans="1:19" hidden="1" x14ac:dyDescent="0.3">
      <c r="A959" s="4">
        <v>44788</v>
      </c>
      <c r="B959" s="5">
        <f t="shared" si="200"/>
        <v>8</v>
      </c>
      <c r="C959" s="5">
        <f t="shared" si="201"/>
        <v>2022</v>
      </c>
      <c r="D959" s="5" t="s">
        <v>903</v>
      </c>
      <c r="E959" s="5" t="str">
        <f>VLOOKUP(F959,'Set up'!$A$2:$C$48,2,FALSE)</f>
        <v>C00000004</v>
      </c>
      <c r="F959" s="1" t="s">
        <v>23</v>
      </c>
      <c r="G959" s="11" t="s">
        <v>667</v>
      </c>
      <c r="H959" s="5">
        <v>4</v>
      </c>
      <c r="I959" s="5">
        <f>VLOOKUP(F959,'Set up'!$A$2:$C$48,3,FALSE)</f>
        <v>120</v>
      </c>
      <c r="J959" s="5">
        <f>VLOOKUP(F959,'Set up'!$A$2:$D$48,4,FALSE)</f>
        <v>120</v>
      </c>
      <c r="K959" s="4">
        <f t="shared" si="183"/>
        <v>44908</v>
      </c>
      <c r="L959" s="5">
        <f t="shared" si="196"/>
        <v>12</v>
      </c>
      <c r="M959" s="5">
        <f t="shared" si="197"/>
        <v>2022</v>
      </c>
      <c r="N959" s="6">
        <v>360</v>
      </c>
      <c r="O959" s="6">
        <f t="shared" si="199"/>
        <v>-360</v>
      </c>
      <c r="P959" s="6">
        <f t="shared" si="182"/>
        <v>0</v>
      </c>
      <c r="Q959" s="7">
        <f t="shared" si="179"/>
        <v>1715741.5500000005</v>
      </c>
      <c r="R959" s="44" t="str">
        <f>VLOOKUP(F959,'Set up'!$A$2:$E$48,5,FALSE)</f>
        <v>Chq</v>
      </c>
      <c r="S959" s="1" t="s">
        <v>1088</v>
      </c>
    </row>
    <row r="960" spans="1:19" hidden="1" x14ac:dyDescent="0.3">
      <c r="A960" s="4">
        <v>44788</v>
      </c>
      <c r="B960" s="5">
        <f t="shared" si="200"/>
        <v>8</v>
      </c>
      <c r="C960" s="5">
        <f t="shared" si="201"/>
        <v>2022</v>
      </c>
      <c r="D960" s="5" t="s">
        <v>903</v>
      </c>
      <c r="E960" s="5" t="str">
        <f>VLOOKUP(F960,'Set up'!$A$2:$C$48,2,FALSE)</f>
        <v>C00000004</v>
      </c>
      <c r="F960" s="1" t="s">
        <v>23</v>
      </c>
      <c r="G960" s="11" t="s">
        <v>906</v>
      </c>
      <c r="H960" s="5">
        <v>1</v>
      </c>
      <c r="I960" s="5">
        <f>VLOOKUP(F960,'Set up'!$A$2:$C$48,3,FALSE)</f>
        <v>120</v>
      </c>
      <c r="J960" s="5">
        <f>VLOOKUP(F960,'Set up'!$A$2:$D$48,4,FALSE)</f>
        <v>120</v>
      </c>
      <c r="K960" s="4">
        <f t="shared" si="183"/>
        <v>44908</v>
      </c>
      <c r="L960" s="5">
        <f t="shared" ref="L960" si="202">MONTH(K960)</f>
        <v>12</v>
      </c>
      <c r="M960" s="5">
        <f t="shared" ref="M960" si="203">YEAR(K960)</f>
        <v>2022</v>
      </c>
      <c r="N960" s="6">
        <v>390</v>
      </c>
      <c r="O960" s="6">
        <f t="shared" si="199"/>
        <v>-390</v>
      </c>
      <c r="P960" s="6">
        <f t="shared" si="182"/>
        <v>0</v>
      </c>
      <c r="Q960" s="7">
        <f t="shared" si="179"/>
        <v>1716131.5500000005</v>
      </c>
      <c r="R960" s="44" t="str">
        <f>VLOOKUP(F960,'Set up'!$A$2:$E$48,5,FALSE)</f>
        <v>Chq</v>
      </c>
      <c r="S960" s="1" t="s">
        <v>1088</v>
      </c>
    </row>
    <row r="961" spans="1:19" ht="109.2" hidden="1" x14ac:dyDescent="0.3">
      <c r="A961" s="4">
        <v>44788</v>
      </c>
      <c r="B961" s="5">
        <f t="shared" ref="B961:B971" si="204">MONTH(A961)</f>
        <v>8</v>
      </c>
      <c r="C961" s="5">
        <f t="shared" ref="C961:C971" si="205">YEAR(A961)</f>
        <v>2022</v>
      </c>
      <c r="D961" s="5" t="s">
        <v>907</v>
      </c>
      <c r="E961" s="5" t="str">
        <f>VLOOKUP(F961,'Set up'!$A$2:$C$48,2,FALSE)</f>
        <v>C00000003</v>
      </c>
      <c r="F961" s="1" t="s">
        <v>20</v>
      </c>
      <c r="G961" s="11" t="s">
        <v>67</v>
      </c>
      <c r="H961" s="5">
        <v>3</v>
      </c>
      <c r="I961" s="5">
        <f>VLOOKUP(F961,'Set up'!$A$2:$C$48,3,FALSE)</f>
        <v>45</v>
      </c>
      <c r="J961" s="5">
        <f>VLOOKUP(F961,'Set up'!$A$2:$D$48,4,FALSE)</f>
        <v>45</v>
      </c>
      <c r="K961" s="4">
        <f t="shared" si="183"/>
        <v>44833</v>
      </c>
      <c r="L961" s="5">
        <f t="shared" ref="L961:L965" si="206">MONTH(K961)</f>
        <v>9</v>
      </c>
      <c r="M961" s="5">
        <f t="shared" ref="M961:M965" si="207">YEAR(K961)</f>
        <v>2022</v>
      </c>
      <c r="N961" s="6">
        <v>6336</v>
      </c>
      <c r="O961" s="6">
        <f>-2000-2000-2000-336</f>
        <v>-6336</v>
      </c>
      <c r="P961" s="6">
        <f t="shared" si="182"/>
        <v>0</v>
      </c>
      <c r="Q961" s="7">
        <f t="shared" si="179"/>
        <v>1722467.5500000005</v>
      </c>
      <c r="R961" s="44" t="str">
        <f>VLOOKUP(F961,'Set up'!$A$2:$E$48,5,FALSE)</f>
        <v>PD Chq</v>
      </c>
      <c r="S961" s="40" t="s">
        <v>1029</v>
      </c>
    </row>
    <row r="962" spans="1:19" hidden="1" x14ac:dyDescent="0.3">
      <c r="A962" s="4">
        <v>44788</v>
      </c>
      <c r="B962" s="5">
        <f t="shared" si="204"/>
        <v>8</v>
      </c>
      <c r="C962" s="5">
        <f t="shared" si="205"/>
        <v>2022</v>
      </c>
      <c r="D962" s="5" t="s">
        <v>907</v>
      </c>
      <c r="E962" s="5" t="str">
        <f>VLOOKUP(F962,'Set up'!$A$2:$C$48,2,FALSE)</f>
        <v>C00000003</v>
      </c>
      <c r="F962" s="1" t="s">
        <v>20</v>
      </c>
      <c r="G962" s="11" t="s">
        <v>64</v>
      </c>
      <c r="H962" s="5">
        <v>3</v>
      </c>
      <c r="I962" s="5">
        <f>VLOOKUP(F962,'Set up'!$A$2:$C$48,3,FALSE)</f>
        <v>45</v>
      </c>
      <c r="J962" s="5">
        <f>VLOOKUP(F962,'Set up'!$A$2:$D$48,4,FALSE)</f>
        <v>45</v>
      </c>
      <c r="K962" s="4">
        <f t="shared" si="183"/>
        <v>44833</v>
      </c>
      <c r="L962" s="5">
        <f t="shared" si="206"/>
        <v>9</v>
      </c>
      <c r="M962" s="5">
        <f t="shared" si="207"/>
        <v>2022</v>
      </c>
      <c r="N962" s="6">
        <v>195</v>
      </c>
      <c r="O962" s="6">
        <f>-N962</f>
        <v>-195</v>
      </c>
      <c r="P962" s="6">
        <f t="shared" si="182"/>
        <v>0</v>
      </c>
      <c r="Q962" s="7">
        <f t="shared" si="179"/>
        <v>1722662.5500000005</v>
      </c>
      <c r="R962" s="44" t="str">
        <f>VLOOKUP(F962,'Set up'!$A$2:$E$48,5,FALSE)</f>
        <v>PD Chq</v>
      </c>
      <c r="S962" s="1" t="s">
        <v>1030</v>
      </c>
    </row>
    <row r="963" spans="1:19" hidden="1" x14ac:dyDescent="0.3">
      <c r="A963" s="4">
        <v>44788</v>
      </c>
      <c r="B963" s="5">
        <f t="shared" si="204"/>
        <v>8</v>
      </c>
      <c r="C963" s="5">
        <f t="shared" si="205"/>
        <v>2022</v>
      </c>
      <c r="D963" s="5" t="s">
        <v>907</v>
      </c>
      <c r="E963" s="5" t="str">
        <f>VLOOKUP(F963,'Set up'!$A$2:$C$48,2,FALSE)</f>
        <v>C00000003</v>
      </c>
      <c r="F963" s="1" t="s">
        <v>20</v>
      </c>
      <c r="G963" s="11" t="s">
        <v>17</v>
      </c>
      <c r="H963" s="5">
        <v>6</v>
      </c>
      <c r="I963" s="5">
        <f>VLOOKUP(F963,'Set up'!$A$2:$C$48,3,FALSE)</f>
        <v>45</v>
      </c>
      <c r="J963" s="5">
        <f>VLOOKUP(F963,'Set up'!$A$2:$D$48,4,FALSE)</f>
        <v>45</v>
      </c>
      <c r="K963" s="4">
        <f t="shared" si="183"/>
        <v>44833</v>
      </c>
      <c r="L963" s="5">
        <f t="shared" si="206"/>
        <v>9</v>
      </c>
      <c r="M963" s="5">
        <f t="shared" si="207"/>
        <v>2022</v>
      </c>
      <c r="N963" s="6">
        <v>630</v>
      </c>
      <c r="O963" s="6">
        <f>-N963</f>
        <v>-630</v>
      </c>
      <c r="P963" s="6">
        <f t="shared" si="182"/>
        <v>0</v>
      </c>
      <c r="Q963" s="7">
        <f t="shared" ref="Q963:Q969" si="208">SUM(Q962+N963)</f>
        <v>1723292.5500000005</v>
      </c>
      <c r="R963" s="44" t="str">
        <f>VLOOKUP(F963,'Set up'!$A$2:$E$48,5,FALSE)</f>
        <v>PD Chq</v>
      </c>
      <c r="S963" s="1" t="s">
        <v>1030</v>
      </c>
    </row>
    <row r="964" spans="1:19" hidden="1" x14ac:dyDescent="0.3">
      <c r="A964" s="4">
        <v>44788</v>
      </c>
      <c r="B964" s="5">
        <f t="shared" si="204"/>
        <v>8</v>
      </c>
      <c r="C964" s="5">
        <f t="shared" si="205"/>
        <v>2022</v>
      </c>
      <c r="D964" s="5" t="s">
        <v>907</v>
      </c>
      <c r="E964" s="5" t="str">
        <f>VLOOKUP(F964,'Set up'!$A$2:$C$48,2,FALSE)</f>
        <v>C00000003</v>
      </c>
      <c r="F964" s="1" t="s">
        <v>20</v>
      </c>
      <c r="G964" s="11" t="s">
        <v>179</v>
      </c>
      <c r="H964" s="5">
        <v>1</v>
      </c>
      <c r="I964" s="5">
        <f>VLOOKUP(F964,'Set up'!$A$2:$C$48,3,FALSE)</f>
        <v>45</v>
      </c>
      <c r="J964" s="5">
        <f>VLOOKUP(F964,'Set up'!$A$2:$D$48,4,FALSE)</f>
        <v>45</v>
      </c>
      <c r="K964" s="4">
        <f t="shared" si="183"/>
        <v>44833</v>
      </c>
      <c r="L964" s="5">
        <f t="shared" si="206"/>
        <v>9</v>
      </c>
      <c r="M964" s="5">
        <f t="shared" si="207"/>
        <v>2022</v>
      </c>
      <c r="N964" s="6">
        <v>45</v>
      </c>
      <c r="O964" s="6">
        <f>-N964</f>
        <v>-45</v>
      </c>
      <c r="P964" s="6">
        <f t="shared" si="182"/>
        <v>0</v>
      </c>
      <c r="Q964" s="7">
        <f t="shared" si="208"/>
        <v>1723337.5500000005</v>
      </c>
      <c r="R964" s="44" t="str">
        <f>VLOOKUP(F964,'Set up'!$A$2:$E$48,5,FALSE)</f>
        <v>PD Chq</v>
      </c>
      <c r="S964" s="1" t="s">
        <v>1030</v>
      </c>
    </row>
    <row r="965" spans="1:19" hidden="1" x14ac:dyDescent="0.3">
      <c r="A965" s="4">
        <v>44788</v>
      </c>
      <c r="B965" s="5">
        <f t="shared" si="204"/>
        <v>8</v>
      </c>
      <c r="C965" s="5">
        <f t="shared" si="205"/>
        <v>2022</v>
      </c>
      <c r="D965" s="5" t="s">
        <v>907</v>
      </c>
      <c r="E965" s="5" t="str">
        <f>VLOOKUP(F965,'Set up'!$A$2:$C$48,2,FALSE)</f>
        <v>C00000003</v>
      </c>
      <c r="F965" s="1" t="s">
        <v>20</v>
      </c>
      <c r="G965" s="11" t="s">
        <v>514</v>
      </c>
      <c r="H965" s="5">
        <v>1</v>
      </c>
      <c r="I965" s="5">
        <f>VLOOKUP(F965,'Set up'!$A$2:$C$48,3,FALSE)</f>
        <v>45</v>
      </c>
      <c r="J965" s="5">
        <f>VLOOKUP(F965,'Set up'!$A$2:$D$48,4,FALSE)</f>
        <v>45</v>
      </c>
      <c r="K965" s="4">
        <f t="shared" si="183"/>
        <v>44833</v>
      </c>
      <c r="L965" s="5">
        <f t="shared" si="206"/>
        <v>9</v>
      </c>
      <c r="M965" s="5">
        <f t="shared" si="207"/>
        <v>2022</v>
      </c>
      <c r="N965" s="6">
        <v>315</v>
      </c>
      <c r="O965" s="6">
        <f>-N965</f>
        <v>-315</v>
      </c>
      <c r="P965" s="6">
        <f t="shared" si="182"/>
        <v>0</v>
      </c>
      <c r="Q965" s="7">
        <f t="shared" si="208"/>
        <v>1723652.5500000005</v>
      </c>
      <c r="R965" s="44" t="str">
        <f>VLOOKUP(F965,'Set up'!$A$2:$E$48,5,FALSE)</f>
        <v>PD Chq</v>
      </c>
      <c r="S965" s="1" t="s">
        <v>1030</v>
      </c>
    </row>
    <row r="966" spans="1:19" hidden="1" x14ac:dyDescent="0.3">
      <c r="A966" s="4">
        <v>44789</v>
      </c>
      <c r="B966" s="5">
        <f t="shared" si="204"/>
        <v>8</v>
      </c>
      <c r="C966" s="5">
        <f t="shared" si="205"/>
        <v>2022</v>
      </c>
      <c r="D966" s="5" t="s">
        <v>908</v>
      </c>
      <c r="E966" s="5" t="str">
        <f>VLOOKUP(F966,'Set up'!$A$2:$C$48,2,FALSE)</f>
        <v>C00000021</v>
      </c>
      <c r="F966" s="1" t="s">
        <v>492</v>
      </c>
      <c r="G966" s="11" t="s">
        <v>717</v>
      </c>
      <c r="H966" s="5">
        <v>1</v>
      </c>
      <c r="I966" s="5" t="str">
        <f>VLOOKUP(F966,'Set up'!$A$2:$C$48,3,FALSE)</f>
        <v>Cash</v>
      </c>
      <c r="J966" s="5">
        <f>VLOOKUP(F966,'Set up'!$A$2:$D$48,4,FALSE)</f>
        <v>0</v>
      </c>
      <c r="K966" s="4">
        <f t="shared" si="183"/>
        <v>44789</v>
      </c>
      <c r="L966" s="5">
        <f t="shared" ref="L966:L969" si="209">MONTH(K966)</f>
        <v>8</v>
      </c>
      <c r="M966" s="5">
        <f t="shared" ref="M966:M969" si="210">YEAR(K966)</f>
        <v>2022</v>
      </c>
      <c r="N966" s="6">
        <v>2002</v>
      </c>
      <c r="O966" s="6">
        <f t="shared" ref="O966:O977" si="211">-N966</f>
        <v>-2002</v>
      </c>
      <c r="P966" s="6">
        <f t="shared" si="182"/>
        <v>0</v>
      </c>
      <c r="Q966" s="7">
        <f t="shared" si="208"/>
        <v>1725654.5500000005</v>
      </c>
      <c r="R966" s="44" t="str">
        <f>VLOOKUP(F966,'Set up'!$A$2:$E$48,5,FALSE)</f>
        <v>PD Chq</v>
      </c>
      <c r="S966" s="1" t="s">
        <v>1026</v>
      </c>
    </row>
    <row r="967" spans="1:19" hidden="1" x14ac:dyDescent="0.3">
      <c r="A967" s="4">
        <v>44789</v>
      </c>
      <c r="B967" s="5">
        <f t="shared" si="204"/>
        <v>8</v>
      </c>
      <c r="C967" s="5">
        <f t="shared" si="205"/>
        <v>2022</v>
      </c>
      <c r="D967" s="5" t="s">
        <v>908</v>
      </c>
      <c r="E967" s="5" t="str">
        <f>VLOOKUP(F967,'Set up'!$A$2:$C$48,2,FALSE)</f>
        <v>C00000021</v>
      </c>
      <c r="F967" s="1" t="s">
        <v>492</v>
      </c>
      <c r="G967" s="11" t="s">
        <v>909</v>
      </c>
      <c r="H967" s="5">
        <v>3</v>
      </c>
      <c r="I967" s="5" t="str">
        <f>VLOOKUP(F967,'Set up'!$A$2:$C$48,3,FALSE)</f>
        <v>Cash</v>
      </c>
      <c r="J967" s="5">
        <f>VLOOKUP(F967,'Set up'!$A$2:$D$48,4,FALSE)</f>
        <v>0</v>
      </c>
      <c r="K967" s="4">
        <f t="shared" si="183"/>
        <v>44789</v>
      </c>
      <c r="L967" s="5">
        <f t="shared" si="209"/>
        <v>8</v>
      </c>
      <c r="M967" s="5">
        <f t="shared" si="210"/>
        <v>2022</v>
      </c>
      <c r="N967" s="6">
        <v>1054.5</v>
      </c>
      <c r="O967" s="6">
        <f t="shared" si="211"/>
        <v>-1054.5</v>
      </c>
      <c r="P967" s="6">
        <f t="shared" si="182"/>
        <v>0</v>
      </c>
      <c r="Q967" s="7">
        <f t="shared" si="208"/>
        <v>1726709.0500000005</v>
      </c>
      <c r="R967" s="44" t="str">
        <f>VLOOKUP(F967,'Set up'!$A$2:$E$48,5,FALSE)</f>
        <v>PD Chq</v>
      </c>
      <c r="S967" s="1" t="s">
        <v>1026</v>
      </c>
    </row>
    <row r="968" spans="1:19" hidden="1" x14ac:dyDescent="0.3">
      <c r="A968" s="4">
        <v>44789</v>
      </c>
      <c r="B968" s="5">
        <f t="shared" si="204"/>
        <v>8</v>
      </c>
      <c r="C968" s="5">
        <f t="shared" si="205"/>
        <v>2022</v>
      </c>
      <c r="D968" s="5" t="s">
        <v>908</v>
      </c>
      <c r="E968" s="5" t="str">
        <f>VLOOKUP(F968,'Set up'!$A$2:$C$48,2,FALSE)</f>
        <v>C00000021</v>
      </c>
      <c r="F968" s="1" t="s">
        <v>492</v>
      </c>
      <c r="G968" s="11" t="s">
        <v>667</v>
      </c>
      <c r="H968" s="5">
        <v>1</v>
      </c>
      <c r="I968" s="5" t="str">
        <f>VLOOKUP(F968,'Set up'!$A$2:$C$48,3,FALSE)</f>
        <v>Cash</v>
      </c>
      <c r="J968" s="5">
        <f>VLOOKUP(F968,'Set up'!$A$2:$D$48,4,FALSE)</f>
        <v>0</v>
      </c>
      <c r="K968" s="4">
        <f t="shared" si="183"/>
        <v>44789</v>
      </c>
      <c r="L968" s="5">
        <f t="shared" si="209"/>
        <v>8</v>
      </c>
      <c r="M968" s="5">
        <f t="shared" si="210"/>
        <v>2022</v>
      </c>
      <c r="N968" s="6">
        <v>90</v>
      </c>
      <c r="O968" s="6">
        <f t="shared" si="211"/>
        <v>-90</v>
      </c>
      <c r="P968" s="6">
        <f t="shared" si="182"/>
        <v>0</v>
      </c>
      <c r="Q968" s="7">
        <f t="shared" si="208"/>
        <v>1726799.0500000005</v>
      </c>
      <c r="R968" s="44" t="str">
        <f>VLOOKUP(F968,'Set up'!$A$2:$E$48,5,FALSE)</f>
        <v>PD Chq</v>
      </c>
      <c r="S968" s="1" t="s">
        <v>1026</v>
      </c>
    </row>
    <row r="969" spans="1:19" hidden="1" x14ac:dyDescent="0.3">
      <c r="A969" s="4">
        <v>44789</v>
      </c>
      <c r="B969" s="5">
        <f t="shared" si="204"/>
        <v>8</v>
      </c>
      <c r="C969" s="5">
        <f t="shared" si="205"/>
        <v>2022</v>
      </c>
      <c r="D969" s="5" t="s">
        <v>908</v>
      </c>
      <c r="E969" s="5" t="str">
        <f>VLOOKUP(F969,'Set up'!$A$2:$C$48,2,FALSE)</f>
        <v>C00000021</v>
      </c>
      <c r="F969" s="1" t="s">
        <v>492</v>
      </c>
      <c r="G969" s="11" t="s">
        <v>64</v>
      </c>
      <c r="H969" s="5">
        <v>5</v>
      </c>
      <c r="I969" s="5" t="str">
        <f>VLOOKUP(F969,'Set up'!$A$2:$C$48,3,FALSE)</f>
        <v>Cash</v>
      </c>
      <c r="J969" s="5">
        <f>VLOOKUP(F969,'Set up'!$A$2:$D$48,4,FALSE)</f>
        <v>0</v>
      </c>
      <c r="K969" s="4">
        <f t="shared" si="183"/>
        <v>44789</v>
      </c>
      <c r="L969" s="5">
        <f t="shared" si="209"/>
        <v>8</v>
      </c>
      <c r="M969" s="5">
        <f t="shared" si="210"/>
        <v>2022</v>
      </c>
      <c r="N969" s="6">
        <v>312.5</v>
      </c>
      <c r="O969" s="6">
        <f t="shared" si="211"/>
        <v>-312.5</v>
      </c>
      <c r="P969" s="6">
        <f t="shared" si="182"/>
        <v>0</v>
      </c>
      <c r="Q969" s="7">
        <f t="shared" si="208"/>
        <v>1727111.5500000005</v>
      </c>
      <c r="R969" s="44" t="str">
        <f>VLOOKUP(F969,'Set up'!$A$2:$E$48,5,FALSE)</f>
        <v>PD Chq</v>
      </c>
      <c r="S969" s="1" t="s">
        <v>1026</v>
      </c>
    </row>
    <row r="970" spans="1:19" hidden="1" x14ac:dyDescent="0.3">
      <c r="A970" s="4">
        <v>44796</v>
      </c>
      <c r="B970" s="5">
        <f t="shared" si="204"/>
        <v>8</v>
      </c>
      <c r="C970" s="5">
        <f t="shared" si="205"/>
        <v>2022</v>
      </c>
      <c r="D970" s="5" t="s">
        <v>910</v>
      </c>
      <c r="E970" s="5" t="str">
        <f>VLOOKUP(F970,'Set up'!$A$2:$C$48,2,FALSE)</f>
        <v>C00000027</v>
      </c>
      <c r="F970" s="1" t="s">
        <v>860</v>
      </c>
      <c r="G970" s="11" t="s">
        <v>717</v>
      </c>
      <c r="H970" s="5">
        <v>2</v>
      </c>
      <c r="I970" s="5" t="str">
        <f>VLOOKUP(F970,'Set up'!$A$2:$C$48,3,FALSE)</f>
        <v>Cash</v>
      </c>
      <c r="J970" s="5">
        <f>VLOOKUP(F970,'Set up'!$A$2:$D$48,4,FALSE)</f>
        <v>0</v>
      </c>
      <c r="K970" s="4">
        <f t="shared" si="183"/>
        <v>44796</v>
      </c>
      <c r="L970" s="5">
        <f t="shared" ref="L970:L973" si="212">MONTH(K970)</f>
        <v>8</v>
      </c>
      <c r="M970" s="5">
        <f t="shared" ref="M970:M973" si="213">YEAR(K970)</f>
        <v>2022</v>
      </c>
      <c r="N970" s="6">
        <v>4004</v>
      </c>
      <c r="O970" s="6">
        <f t="shared" si="211"/>
        <v>-4004</v>
      </c>
      <c r="P970" s="6">
        <f t="shared" ref="P970:P977" si="214">SUM(N970+O970)</f>
        <v>0</v>
      </c>
      <c r="Q970" s="7">
        <f t="shared" ref="Q970:Q977" si="215">SUM(Q969+N970)</f>
        <v>1731115.5500000005</v>
      </c>
      <c r="R970" s="44" t="str">
        <f>VLOOKUP(F970,'Set up'!$A$2:$E$48,5,FALSE)</f>
        <v>Trsf</v>
      </c>
      <c r="S970" s="1" t="s">
        <v>1034</v>
      </c>
    </row>
    <row r="971" spans="1:19" hidden="1" x14ac:dyDescent="0.3">
      <c r="A971" s="4">
        <v>44796</v>
      </c>
      <c r="B971" s="5">
        <f t="shared" si="204"/>
        <v>8</v>
      </c>
      <c r="C971" s="5">
        <f t="shared" si="205"/>
        <v>2022</v>
      </c>
      <c r="D971" s="5" t="s">
        <v>910</v>
      </c>
      <c r="E971" s="5" t="str">
        <f>VLOOKUP(F971,'Set up'!$A$2:$C$48,2,FALSE)</f>
        <v>C00000027</v>
      </c>
      <c r="F971" s="1" t="s">
        <v>860</v>
      </c>
      <c r="G971" s="11" t="s">
        <v>895</v>
      </c>
      <c r="H971" s="5">
        <v>4</v>
      </c>
      <c r="I971" s="5" t="str">
        <f>VLOOKUP(F971,'Set up'!$A$2:$C$48,3,FALSE)</f>
        <v>Cash</v>
      </c>
      <c r="J971" s="5">
        <f>VLOOKUP(F971,'Set up'!$A$2:$D$48,4,FALSE)</f>
        <v>0</v>
      </c>
      <c r="K971" s="4">
        <f t="shared" si="183"/>
        <v>44796</v>
      </c>
      <c r="L971" s="5">
        <f t="shared" si="212"/>
        <v>8</v>
      </c>
      <c r="M971" s="5">
        <f t="shared" si="213"/>
        <v>2022</v>
      </c>
      <c r="N971" s="6">
        <v>640</v>
      </c>
      <c r="O971" s="6">
        <f t="shared" si="211"/>
        <v>-640</v>
      </c>
      <c r="P971" s="6">
        <f t="shared" si="214"/>
        <v>0</v>
      </c>
      <c r="Q971" s="7">
        <f t="shared" si="215"/>
        <v>1731755.5500000005</v>
      </c>
      <c r="R971" s="44" t="str">
        <f>VLOOKUP(F971,'Set up'!$A$2:$E$48,5,FALSE)</f>
        <v>Trsf</v>
      </c>
      <c r="S971" s="1" t="s">
        <v>1034</v>
      </c>
    </row>
    <row r="972" spans="1:19" hidden="1" x14ac:dyDescent="0.3">
      <c r="A972" s="4">
        <v>44796</v>
      </c>
      <c r="B972" s="5">
        <f t="shared" ref="B972:B973" si="216">MONTH(A972)</f>
        <v>8</v>
      </c>
      <c r="C972" s="5">
        <f t="shared" ref="C972:C973" si="217">YEAR(A972)</f>
        <v>2022</v>
      </c>
      <c r="D972" s="5" t="s">
        <v>910</v>
      </c>
      <c r="E972" s="5" t="str">
        <f>VLOOKUP(F972,'Set up'!$A$2:$C$48,2,FALSE)</f>
        <v>C00000027</v>
      </c>
      <c r="F972" s="1" t="s">
        <v>860</v>
      </c>
      <c r="G972" s="11" t="s">
        <v>667</v>
      </c>
      <c r="H972" s="5">
        <v>2</v>
      </c>
      <c r="I972" s="5" t="str">
        <f>VLOOKUP(F972,'Set up'!$A$2:$C$48,3,FALSE)</f>
        <v>Cash</v>
      </c>
      <c r="J972" s="5">
        <f>VLOOKUP(F972,'Set up'!$A$2:$D$48,4,FALSE)</f>
        <v>0</v>
      </c>
      <c r="K972" s="4">
        <f t="shared" si="183"/>
        <v>44796</v>
      </c>
      <c r="L972" s="5">
        <f t="shared" si="212"/>
        <v>8</v>
      </c>
      <c r="M972" s="5">
        <f t="shared" si="213"/>
        <v>2022</v>
      </c>
      <c r="N972" s="6">
        <v>180</v>
      </c>
      <c r="O972" s="6">
        <f t="shared" si="211"/>
        <v>-180</v>
      </c>
      <c r="P972" s="6">
        <f t="shared" si="214"/>
        <v>0</v>
      </c>
      <c r="Q972" s="7">
        <f t="shared" si="215"/>
        <v>1731935.5500000005</v>
      </c>
      <c r="R972" s="44" t="str">
        <f>VLOOKUP(F972,'Set up'!$A$2:$E$48,5,FALSE)</f>
        <v>Trsf</v>
      </c>
      <c r="S972" s="1" t="s">
        <v>1034</v>
      </c>
    </row>
    <row r="973" spans="1:19" hidden="1" x14ac:dyDescent="0.3">
      <c r="A973" s="4">
        <v>44796</v>
      </c>
      <c r="B973" s="5">
        <f t="shared" si="216"/>
        <v>8</v>
      </c>
      <c r="C973" s="5">
        <f t="shared" si="217"/>
        <v>2022</v>
      </c>
      <c r="D973" s="5" t="s">
        <v>910</v>
      </c>
      <c r="E973" s="5" t="str">
        <f>VLOOKUP(F973,'Set up'!$A$2:$C$48,2,FALSE)</f>
        <v>C00000027</v>
      </c>
      <c r="F973" s="1" t="s">
        <v>860</v>
      </c>
      <c r="G973" s="11" t="s">
        <v>866</v>
      </c>
      <c r="H973" s="5">
        <v>4</v>
      </c>
      <c r="I973" s="5" t="str">
        <f>VLOOKUP(F973,'Set up'!$A$2:$C$48,3,FALSE)</f>
        <v>Cash</v>
      </c>
      <c r="J973" s="5">
        <f>VLOOKUP(F973,'Set up'!$A$2:$D$48,4,FALSE)</f>
        <v>0</v>
      </c>
      <c r="K973" s="4">
        <f t="shared" si="183"/>
        <v>44796</v>
      </c>
      <c r="L973" s="5">
        <f t="shared" si="212"/>
        <v>8</v>
      </c>
      <c r="M973" s="5">
        <f t="shared" si="213"/>
        <v>2022</v>
      </c>
      <c r="N973" s="6">
        <v>1016</v>
      </c>
      <c r="O973" s="6">
        <f t="shared" si="211"/>
        <v>-1016</v>
      </c>
      <c r="P973" s="6">
        <f t="shared" si="214"/>
        <v>0</v>
      </c>
      <c r="Q973" s="7">
        <f t="shared" si="215"/>
        <v>1732951.5500000005</v>
      </c>
      <c r="R973" s="44" t="str">
        <f>VLOOKUP(F973,'Set up'!$A$2:$E$48,5,FALSE)</f>
        <v>Trsf</v>
      </c>
      <c r="S973" s="1" t="s">
        <v>1034</v>
      </c>
    </row>
    <row r="974" spans="1:19" x14ac:dyDescent="0.3">
      <c r="A974" s="4">
        <v>44796</v>
      </c>
      <c r="B974" s="5">
        <f t="shared" ref="B974:B977" si="218">MONTH(A974)</f>
        <v>8</v>
      </c>
      <c r="C974" s="5">
        <f t="shared" ref="C974:C977" si="219">YEAR(A974)</f>
        <v>2022</v>
      </c>
      <c r="D974" s="5" t="s">
        <v>911</v>
      </c>
      <c r="E974" s="5" t="str">
        <f>VLOOKUP(F974,'Set up'!$A$2:$C$48,2,FALSE)</f>
        <v>C00000020</v>
      </c>
      <c r="F974" s="1" t="s">
        <v>410</v>
      </c>
      <c r="G974" s="11" t="s">
        <v>720</v>
      </c>
      <c r="H974" s="5">
        <v>2</v>
      </c>
      <c r="I974" s="5" t="str">
        <f>VLOOKUP(F974,'Set up'!$A$2:$C$48,3,FALSE)</f>
        <v>Cash</v>
      </c>
      <c r="J974" s="5">
        <f>VLOOKUP(F974,'Set up'!$A$2:$D$48,4,FALSE)</f>
        <v>0</v>
      </c>
      <c r="K974" s="4">
        <f t="shared" si="183"/>
        <v>44796</v>
      </c>
      <c r="L974" s="5">
        <f t="shared" ref="L974:L977" si="220">MONTH(K974)</f>
        <v>8</v>
      </c>
      <c r="M974" s="5">
        <f t="shared" ref="M974:M977" si="221">YEAR(K974)</f>
        <v>2022</v>
      </c>
      <c r="N974" s="6">
        <v>4092</v>
      </c>
      <c r="O974" s="6">
        <f t="shared" si="211"/>
        <v>-4092</v>
      </c>
      <c r="P974" s="6">
        <f t="shared" si="214"/>
        <v>0</v>
      </c>
      <c r="Q974" s="7">
        <f t="shared" si="215"/>
        <v>1737043.5500000005</v>
      </c>
      <c r="R974" s="44" t="str">
        <f>VLOOKUP(F974,'Set up'!$A$2:$E$48,5,FALSE)</f>
        <v>Trsf</v>
      </c>
      <c r="S974" s="1" t="s">
        <v>1209</v>
      </c>
    </row>
    <row r="975" spans="1:19" x14ac:dyDescent="0.3">
      <c r="A975" s="4">
        <v>44796</v>
      </c>
      <c r="B975" s="5">
        <f t="shared" si="218"/>
        <v>8</v>
      </c>
      <c r="C975" s="5">
        <f t="shared" si="219"/>
        <v>2022</v>
      </c>
      <c r="D975" s="5" t="s">
        <v>911</v>
      </c>
      <c r="E975" s="5" t="str">
        <f>VLOOKUP(F975,'Set up'!$A$2:$C$48,2,FALSE)</f>
        <v>C00000020</v>
      </c>
      <c r="F975" s="1" t="s">
        <v>410</v>
      </c>
      <c r="G975" s="11" t="s">
        <v>909</v>
      </c>
      <c r="H975" s="5">
        <v>5</v>
      </c>
      <c r="I975" s="5" t="str">
        <f>VLOOKUP(F975,'Set up'!$A$2:$C$48,3,FALSE)</f>
        <v>Cash</v>
      </c>
      <c r="J975" s="5">
        <f>VLOOKUP(F975,'Set up'!$A$2:$D$48,4,FALSE)</f>
        <v>0</v>
      </c>
      <c r="K975" s="4">
        <f t="shared" si="183"/>
        <v>44796</v>
      </c>
      <c r="L975" s="5">
        <f t="shared" si="220"/>
        <v>8</v>
      </c>
      <c r="M975" s="5">
        <f t="shared" si="221"/>
        <v>2022</v>
      </c>
      <c r="N975" s="6">
        <v>1757.5</v>
      </c>
      <c r="O975" s="6">
        <f t="shared" si="211"/>
        <v>-1757.5</v>
      </c>
      <c r="P975" s="6">
        <f t="shared" si="214"/>
        <v>0</v>
      </c>
      <c r="Q975" s="7">
        <f t="shared" si="215"/>
        <v>1738801.0500000005</v>
      </c>
      <c r="R975" s="44" t="str">
        <f>VLOOKUP(F975,'Set up'!$A$2:$E$48,5,FALSE)</f>
        <v>Trsf</v>
      </c>
      <c r="S975" s="1" t="s">
        <v>1209</v>
      </c>
    </row>
    <row r="976" spans="1:19" x14ac:dyDescent="0.3">
      <c r="A976" s="4">
        <v>44796</v>
      </c>
      <c r="B976" s="5">
        <f t="shared" si="218"/>
        <v>8</v>
      </c>
      <c r="C976" s="5">
        <f t="shared" si="219"/>
        <v>2022</v>
      </c>
      <c r="D976" s="5" t="s">
        <v>911</v>
      </c>
      <c r="E976" s="5" t="str">
        <f>VLOOKUP(F976,'Set up'!$A$2:$C$48,2,FALSE)</f>
        <v>C00000020</v>
      </c>
      <c r="F976" s="1" t="s">
        <v>410</v>
      </c>
      <c r="G976" s="11" t="s">
        <v>779</v>
      </c>
      <c r="H976" s="5">
        <v>3</v>
      </c>
      <c r="I976" s="5" t="str">
        <f>VLOOKUP(F976,'Set up'!$A$2:$C$48,3,FALSE)</f>
        <v>Cash</v>
      </c>
      <c r="J976" s="5">
        <f>VLOOKUP(F976,'Set up'!$A$2:$D$48,4,FALSE)</f>
        <v>0</v>
      </c>
      <c r="K976" s="4">
        <f t="shared" si="183"/>
        <v>44796</v>
      </c>
      <c r="L976" s="5">
        <f t="shared" si="220"/>
        <v>8</v>
      </c>
      <c r="M976" s="5">
        <f t="shared" si="221"/>
        <v>2022</v>
      </c>
      <c r="N976" s="6">
        <v>864</v>
      </c>
      <c r="O976" s="6">
        <f t="shared" si="211"/>
        <v>-864</v>
      </c>
      <c r="P976" s="6">
        <f t="shared" si="214"/>
        <v>0</v>
      </c>
      <c r="Q976" s="7">
        <f t="shared" si="215"/>
        <v>1739665.0500000005</v>
      </c>
      <c r="R976" s="44" t="str">
        <f>VLOOKUP(F976,'Set up'!$A$2:$E$48,5,FALSE)</f>
        <v>Trsf</v>
      </c>
      <c r="S976" s="1" t="s">
        <v>1209</v>
      </c>
    </row>
    <row r="977" spans="1:19" x14ac:dyDescent="0.3">
      <c r="A977" s="4">
        <v>44796</v>
      </c>
      <c r="B977" s="5">
        <f t="shared" si="218"/>
        <v>8</v>
      </c>
      <c r="C977" s="5">
        <f t="shared" si="219"/>
        <v>2022</v>
      </c>
      <c r="D977" s="5" t="s">
        <v>911</v>
      </c>
      <c r="E977" s="5" t="str">
        <f>VLOOKUP(F977,'Set up'!$A$2:$C$48,2,FALSE)</f>
        <v>C00000020</v>
      </c>
      <c r="F977" s="1" t="s">
        <v>410</v>
      </c>
      <c r="G977" s="11" t="s">
        <v>792</v>
      </c>
      <c r="H977" s="5">
        <v>2</v>
      </c>
      <c r="I977" s="5" t="str">
        <f>VLOOKUP(F977,'Set up'!$A$2:$C$48,3,FALSE)</f>
        <v>Cash</v>
      </c>
      <c r="J977" s="5">
        <f>VLOOKUP(F977,'Set up'!$A$2:$D$48,4,FALSE)</f>
        <v>0</v>
      </c>
      <c r="K977" s="4">
        <f t="shared" si="183"/>
        <v>44796</v>
      </c>
      <c r="L977" s="5">
        <f t="shared" si="220"/>
        <v>8</v>
      </c>
      <c r="M977" s="5">
        <f t="shared" si="221"/>
        <v>2022</v>
      </c>
      <c r="N977" s="6">
        <v>125</v>
      </c>
      <c r="O977" s="6">
        <f t="shared" si="211"/>
        <v>-125</v>
      </c>
      <c r="P977" s="6">
        <f t="shared" si="214"/>
        <v>0</v>
      </c>
      <c r="Q977" s="7">
        <f t="shared" si="215"/>
        <v>1739790.0500000005</v>
      </c>
      <c r="R977" s="44" t="str">
        <f>VLOOKUP(F977,'Set up'!$A$2:$E$48,5,FALSE)</f>
        <v>Trsf</v>
      </c>
      <c r="S977" s="1" t="s">
        <v>1209</v>
      </c>
    </row>
    <row r="978" spans="1:19" hidden="1" x14ac:dyDescent="0.3">
      <c r="A978" s="4">
        <v>44796</v>
      </c>
      <c r="B978" s="5">
        <f t="shared" ref="B978:B985" si="222">MONTH(A978)</f>
        <v>8</v>
      </c>
      <c r="C978" s="5">
        <f t="shared" ref="C978:C985" si="223">YEAR(A978)</f>
        <v>2022</v>
      </c>
      <c r="D978" s="5" t="s">
        <v>912</v>
      </c>
      <c r="E978" s="5" t="str">
        <f>VLOOKUP(F978,'Set up'!$A$2:$C$48,2,FALSE)</f>
        <v>C00000009</v>
      </c>
      <c r="F978" s="1" t="s">
        <v>58</v>
      </c>
      <c r="G978" s="11" t="s">
        <v>866</v>
      </c>
      <c r="H978" s="5">
        <v>3</v>
      </c>
      <c r="I978" s="5">
        <f>VLOOKUP(F978,'Set up'!$A$2:$C$48,3,FALSE)</f>
        <v>60</v>
      </c>
      <c r="J978" s="5">
        <f>VLOOKUP(F978,'Set up'!$A$2:$D$48,4,FALSE)</f>
        <v>60</v>
      </c>
      <c r="K978" s="4">
        <f t="shared" si="183"/>
        <v>44856</v>
      </c>
      <c r="L978" s="5">
        <f t="shared" ref="L978:L987" si="224">MONTH(K978)</f>
        <v>10</v>
      </c>
      <c r="M978" s="5">
        <f t="shared" ref="M978:M987" si="225">YEAR(K978)</f>
        <v>2022</v>
      </c>
      <c r="N978" s="6">
        <v>762</v>
      </c>
      <c r="O978" s="6">
        <f>-N978</f>
        <v>-762</v>
      </c>
      <c r="P978" s="6">
        <f t="shared" ref="P978:P987" si="226">SUM(N978+O978)</f>
        <v>0</v>
      </c>
      <c r="Q978" s="7">
        <f t="shared" ref="Q978:Q987" si="227">SUM(Q977+N978)</f>
        <v>1740552.0500000005</v>
      </c>
      <c r="R978" s="44" t="str">
        <f>VLOOKUP(F978,'Set up'!$A$2:$E$48,5,FALSE)</f>
        <v>Chq</v>
      </c>
      <c r="S978" s="1" t="s">
        <v>1223</v>
      </c>
    </row>
    <row r="979" spans="1:19" hidden="1" x14ac:dyDescent="0.3">
      <c r="A979" s="4">
        <v>44798</v>
      </c>
      <c r="B979" s="5">
        <f t="shared" si="222"/>
        <v>8</v>
      </c>
      <c r="C979" s="5">
        <f t="shared" si="223"/>
        <v>2022</v>
      </c>
      <c r="D979" s="5" t="s">
        <v>913</v>
      </c>
      <c r="E979" s="5" t="str">
        <f>VLOOKUP(F979,'Set up'!$A$2:$C$48,2,FALSE)</f>
        <v>C00000010</v>
      </c>
      <c r="F979" s="1" t="s">
        <v>62</v>
      </c>
      <c r="G979" s="11" t="s">
        <v>723</v>
      </c>
      <c r="H979" s="5">
        <v>6</v>
      </c>
      <c r="I979" s="5">
        <f>VLOOKUP(F979,'Set up'!$A$2:$C$48,3,FALSE)</f>
        <v>120</v>
      </c>
      <c r="J979" s="5">
        <f>VLOOKUP(F979,'Set up'!$A$2:$D$48,4,FALSE)</f>
        <v>120</v>
      </c>
      <c r="K979" s="4">
        <f t="shared" si="183"/>
        <v>44918</v>
      </c>
      <c r="L979" s="5">
        <f t="shared" si="224"/>
        <v>12</v>
      </c>
      <c r="M979" s="5">
        <f t="shared" si="225"/>
        <v>2022</v>
      </c>
      <c r="N979" s="6">
        <v>11616</v>
      </c>
      <c r="O979" s="6">
        <f t="shared" ref="O979:O983" si="228">-N979</f>
        <v>-11616</v>
      </c>
      <c r="P979" s="6">
        <f t="shared" si="226"/>
        <v>0</v>
      </c>
      <c r="Q979" s="7">
        <f t="shared" si="227"/>
        <v>1752168.0500000005</v>
      </c>
      <c r="R979" s="44" t="str">
        <f>VLOOKUP(F979,'Set up'!$A$2:$E$48,5,FALSE)</f>
        <v>Trsf</v>
      </c>
      <c r="S979" s="1" t="s">
        <v>1096</v>
      </c>
    </row>
    <row r="980" spans="1:19" hidden="1" x14ac:dyDescent="0.3">
      <c r="A980" s="4">
        <v>44798</v>
      </c>
      <c r="B980" s="5">
        <f t="shared" si="222"/>
        <v>8</v>
      </c>
      <c r="C980" s="5">
        <f t="shared" si="223"/>
        <v>2022</v>
      </c>
      <c r="D980" s="5" t="s">
        <v>913</v>
      </c>
      <c r="E980" s="5" t="str">
        <f>VLOOKUP(F980,'Set up'!$A$2:$C$48,2,FALSE)</f>
        <v>C00000010</v>
      </c>
      <c r="F980" s="1" t="s">
        <v>62</v>
      </c>
      <c r="G980" s="11" t="s">
        <v>914</v>
      </c>
      <c r="H980" s="5">
        <v>10</v>
      </c>
      <c r="I980" s="5">
        <f>VLOOKUP(F980,'Set up'!$A$2:$C$48,3,FALSE)</f>
        <v>120</v>
      </c>
      <c r="J980" s="5">
        <f>VLOOKUP(F980,'Set up'!$A$2:$D$48,4,FALSE)</f>
        <v>120</v>
      </c>
      <c r="K980" s="4">
        <f t="shared" si="183"/>
        <v>44918</v>
      </c>
      <c r="L980" s="5">
        <f t="shared" si="224"/>
        <v>12</v>
      </c>
      <c r="M980" s="5">
        <f t="shared" si="225"/>
        <v>2022</v>
      </c>
      <c r="N980" s="6">
        <v>2670</v>
      </c>
      <c r="O980" s="6">
        <f t="shared" si="228"/>
        <v>-2670</v>
      </c>
      <c r="P980" s="6">
        <f t="shared" si="226"/>
        <v>0</v>
      </c>
      <c r="Q980" s="7">
        <f t="shared" si="227"/>
        <v>1754838.0500000005</v>
      </c>
      <c r="R980" s="44" t="str">
        <f>VLOOKUP(F980,'Set up'!$A$2:$E$48,5,FALSE)</f>
        <v>Trsf</v>
      </c>
      <c r="S980" s="1" t="s">
        <v>1096</v>
      </c>
    </row>
    <row r="981" spans="1:19" hidden="1" x14ac:dyDescent="0.3">
      <c r="A981" s="4">
        <v>44798</v>
      </c>
      <c r="B981" s="5">
        <f t="shared" si="222"/>
        <v>8</v>
      </c>
      <c r="C981" s="5">
        <f t="shared" si="223"/>
        <v>2022</v>
      </c>
      <c r="D981" s="5" t="s">
        <v>913</v>
      </c>
      <c r="E981" s="5" t="str">
        <f>VLOOKUP(F981,'Set up'!$A$2:$C$48,2,FALSE)</f>
        <v>C00000010</v>
      </c>
      <c r="F981" s="1" t="s">
        <v>62</v>
      </c>
      <c r="G981" s="11" t="s">
        <v>792</v>
      </c>
      <c r="H981" s="5">
        <v>10</v>
      </c>
      <c r="I981" s="5">
        <f>VLOOKUP(F981,'Set up'!$A$2:$C$48,3,FALSE)</f>
        <v>120</v>
      </c>
      <c r="J981" s="5">
        <f>VLOOKUP(F981,'Set up'!$A$2:$D$48,4,FALSE)</f>
        <v>120</v>
      </c>
      <c r="K981" s="4">
        <f t="shared" si="183"/>
        <v>44918</v>
      </c>
      <c r="L981" s="5">
        <f t="shared" si="224"/>
        <v>12</v>
      </c>
      <c r="M981" s="5">
        <f t="shared" si="225"/>
        <v>2022</v>
      </c>
      <c r="N981" s="6">
        <v>550</v>
      </c>
      <c r="O981" s="6">
        <f t="shared" si="228"/>
        <v>-550</v>
      </c>
      <c r="P981" s="6">
        <f t="shared" si="226"/>
        <v>0</v>
      </c>
      <c r="Q981" s="7">
        <f t="shared" si="227"/>
        <v>1755388.0500000005</v>
      </c>
      <c r="R981" s="44" t="str">
        <f>VLOOKUP(F981,'Set up'!$A$2:$E$48,5,FALSE)</f>
        <v>Trsf</v>
      </c>
      <c r="S981" s="1" t="s">
        <v>1096</v>
      </c>
    </row>
    <row r="982" spans="1:19" hidden="1" x14ac:dyDescent="0.3">
      <c r="A982" s="4">
        <v>44798</v>
      </c>
      <c r="B982" s="5">
        <f t="shared" si="222"/>
        <v>8</v>
      </c>
      <c r="C982" s="5">
        <f t="shared" si="223"/>
        <v>2022</v>
      </c>
      <c r="D982" s="5" t="s">
        <v>913</v>
      </c>
      <c r="E982" s="5" t="str">
        <f>VLOOKUP(F982,'Set up'!$A$2:$C$48,2,FALSE)</f>
        <v>C00000010</v>
      </c>
      <c r="F982" s="1" t="s">
        <v>62</v>
      </c>
      <c r="G982" s="11" t="s">
        <v>788</v>
      </c>
      <c r="H982" s="5">
        <v>1</v>
      </c>
      <c r="I982" s="5">
        <f>VLOOKUP(F982,'Set up'!$A$2:$C$48,3,FALSE)</f>
        <v>120</v>
      </c>
      <c r="J982" s="5">
        <f>VLOOKUP(F982,'Set up'!$A$2:$D$48,4,FALSE)</f>
        <v>120</v>
      </c>
      <c r="K982" s="4">
        <f t="shared" si="183"/>
        <v>44918</v>
      </c>
      <c r="L982" s="5">
        <f t="shared" si="224"/>
        <v>12</v>
      </c>
      <c r="M982" s="5">
        <f t="shared" si="225"/>
        <v>2022</v>
      </c>
      <c r="N982" s="6">
        <v>440</v>
      </c>
      <c r="O982" s="6">
        <f t="shared" si="228"/>
        <v>-440</v>
      </c>
      <c r="P982" s="6">
        <f t="shared" si="226"/>
        <v>0</v>
      </c>
      <c r="Q982" s="7">
        <f t="shared" si="227"/>
        <v>1755828.0500000005</v>
      </c>
      <c r="R982" s="44" t="str">
        <f>VLOOKUP(F982,'Set up'!$A$2:$E$48,5,FALSE)</f>
        <v>Trsf</v>
      </c>
      <c r="S982" s="1" t="s">
        <v>1096</v>
      </c>
    </row>
    <row r="983" spans="1:19" hidden="1" x14ac:dyDescent="0.3">
      <c r="A983" s="4">
        <v>44798</v>
      </c>
      <c r="B983" s="5">
        <f t="shared" si="222"/>
        <v>8</v>
      </c>
      <c r="C983" s="5">
        <f t="shared" si="223"/>
        <v>2022</v>
      </c>
      <c r="D983" s="5" t="s">
        <v>913</v>
      </c>
      <c r="E983" s="5" t="str">
        <f>VLOOKUP(F983,'Set up'!$A$2:$C$48,2,FALSE)</f>
        <v>C00000010</v>
      </c>
      <c r="F983" s="1" t="s">
        <v>62</v>
      </c>
      <c r="G983" s="11" t="s">
        <v>615</v>
      </c>
      <c r="H983" s="5">
        <v>1</v>
      </c>
      <c r="I983" s="5">
        <f>VLOOKUP(F983,'Set up'!$A$2:$C$48,3,FALSE)</f>
        <v>120</v>
      </c>
      <c r="J983" s="5">
        <f>VLOOKUP(F983,'Set up'!$A$2:$D$48,4,FALSE)</f>
        <v>120</v>
      </c>
      <c r="K983" s="4">
        <f t="shared" si="183"/>
        <v>44918</v>
      </c>
      <c r="L983" s="5">
        <f t="shared" si="224"/>
        <v>12</v>
      </c>
      <c r="M983" s="5">
        <f t="shared" si="225"/>
        <v>2022</v>
      </c>
      <c r="N983" s="6">
        <v>395</v>
      </c>
      <c r="O983" s="6">
        <f t="shared" si="228"/>
        <v>-395</v>
      </c>
      <c r="P983" s="6">
        <f t="shared" si="226"/>
        <v>0</v>
      </c>
      <c r="Q983" s="7">
        <f t="shared" si="227"/>
        <v>1756223.0500000005</v>
      </c>
      <c r="R983" s="44" t="str">
        <f>VLOOKUP(F983,'Set up'!$A$2:$E$48,5,FALSE)</f>
        <v>Trsf</v>
      </c>
      <c r="S983" s="1" t="s">
        <v>1096</v>
      </c>
    </row>
    <row r="984" spans="1:19" hidden="1" x14ac:dyDescent="0.3">
      <c r="A984" s="4">
        <v>44798</v>
      </c>
      <c r="B984" s="5">
        <f t="shared" si="222"/>
        <v>8</v>
      </c>
      <c r="C984" s="5">
        <f t="shared" si="223"/>
        <v>2022</v>
      </c>
      <c r="D984" s="5" t="s">
        <v>915</v>
      </c>
      <c r="E984" s="5" t="str">
        <f>VLOOKUP(F984,'Set up'!$A$2:$C$48,2,FALSE)</f>
        <v>C00000027</v>
      </c>
      <c r="F984" s="1" t="s">
        <v>860</v>
      </c>
      <c r="G984" s="11" t="s">
        <v>717</v>
      </c>
      <c r="H984" s="5">
        <v>3</v>
      </c>
      <c r="I984" s="5" t="str">
        <f>VLOOKUP(F984,'Set up'!$A$2:$C$48,3,FALSE)</f>
        <v>Cash</v>
      </c>
      <c r="J984" s="5">
        <f>VLOOKUP(F984,'Set up'!$A$2:$D$48,4,FALSE)</f>
        <v>0</v>
      </c>
      <c r="K984" s="4">
        <f t="shared" ref="K984:K1047" si="229">A984+J984</f>
        <v>44798</v>
      </c>
      <c r="L984" s="5">
        <f t="shared" si="224"/>
        <v>8</v>
      </c>
      <c r="M984" s="5">
        <f t="shared" si="225"/>
        <v>2022</v>
      </c>
      <c r="N984" s="6">
        <v>6006</v>
      </c>
      <c r="O984" s="6">
        <f t="shared" ref="O984" si="230">-N984</f>
        <v>-6006</v>
      </c>
      <c r="P984" s="6">
        <f t="shared" si="226"/>
        <v>0</v>
      </c>
      <c r="Q984" s="7">
        <f t="shared" si="227"/>
        <v>1762229.0500000005</v>
      </c>
      <c r="R984" s="44" t="str">
        <f>VLOOKUP(F984,'Set up'!$A$2:$E$48,5,FALSE)</f>
        <v>Trsf</v>
      </c>
      <c r="S984" s="1" t="s">
        <v>1034</v>
      </c>
    </row>
    <row r="985" spans="1:19" hidden="1" x14ac:dyDescent="0.3">
      <c r="A985" s="4">
        <v>44798</v>
      </c>
      <c r="B985" s="5">
        <f t="shared" si="222"/>
        <v>8</v>
      </c>
      <c r="C985" s="5">
        <f t="shared" si="223"/>
        <v>2022</v>
      </c>
      <c r="D985" s="5" t="s">
        <v>916</v>
      </c>
      <c r="E985" s="5" t="str">
        <f>VLOOKUP(F985,'Set up'!$A$2:$C$48,2,FALSE)</f>
        <v>C00000019</v>
      </c>
      <c r="F985" s="1" t="s">
        <v>401</v>
      </c>
      <c r="G985" s="11" t="s">
        <v>720</v>
      </c>
      <c r="H985" s="5">
        <v>2</v>
      </c>
      <c r="I985" s="5" t="str">
        <f>VLOOKUP(F985,'Set up'!$A$2:$C$48,3,FALSE)</f>
        <v>Cash</v>
      </c>
      <c r="J985" s="5">
        <f>VLOOKUP(F985,'Set up'!$A$2:$D$48,4,FALSE)</f>
        <v>0</v>
      </c>
      <c r="K985" s="4">
        <f t="shared" si="229"/>
        <v>44798</v>
      </c>
      <c r="L985" s="5">
        <f t="shared" si="224"/>
        <v>8</v>
      </c>
      <c r="M985" s="5">
        <f t="shared" si="225"/>
        <v>2022</v>
      </c>
      <c r="N985" s="6">
        <v>4092</v>
      </c>
      <c r="O985" s="6">
        <f>-3000-1000-92</f>
        <v>-4092</v>
      </c>
      <c r="P985" s="6">
        <f t="shared" si="226"/>
        <v>0</v>
      </c>
      <c r="Q985" s="7">
        <f t="shared" si="227"/>
        <v>1766321.0500000005</v>
      </c>
      <c r="R985" s="44" t="str">
        <f>VLOOKUP(F985,'Set up'!$A$2:$E$48,5,FALSE)</f>
        <v>Trsf</v>
      </c>
      <c r="S985" s="1" t="s">
        <v>1019</v>
      </c>
    </row>
    <row r="986" spans="1:19" hidden="1" x14ac:dyDescent="0.3">
      <c r="A986" s="4">
        <v>44798</v>
      </c>
      <c r="B986" s="5">
        <f t="shared" ref="B986:B987" si="231">MONTH(A986)</f>
        <v>8</v>
      </c>
      <c r="C986" s="5">
        <f t="shared" ref="C986:C987" si="232">YEAR(A986)</f>
        <v>2022</v>
      </c>
      <c r="D986" s="5" t="s">
        <v>916</v>
      </c>
      <c r="E986" s="5" t="str">
        <f>VLOOKUP(F986,'Set up'!$A$2:$C$48,2,FALSE)</f>
        <v>C00000019</v>
      </c>
      <c r="F986" s="1" t="s">
        <v>401</v>
      </c>
      <c r="G986" s="11" t="s">
        <v>893</v>
      </c>
      <c r="H986" s="5">
        <v>2</v>
      </c>
      <c r="I986" s="5" t="str">
        <f>VLOOKUP(F986,'Set up'!$A$2:$C$48,3,FALSE)</f>
        <v>Cash</v>
      </c>
      <c r="J986" s="5">
        <f>VLOOKUP(F986,'Set up'!$A$2:$D$48,4,FALSE)</f>
        <v>0</v>
      </c>
      <c r="K986" s="4">
        <f t="shared" si="229"/>
        <v>44798</v>
      </c>
      <c r="L986" s="5">
        <f t="shared" si="224"/>
        <v>8</v>
      </c>
      <c r="M986" s="5">
        <f t="shared" si="225"/>
        <v>2022</v>
      </c>
      <c r="N986" s="6">
        <v>1299.8</v>
      </c>
      <c r="O986" s="6">
        <f>-908-391.8</f>
        <v>-1299.8</v>
      </c>
      <c r="P986" s="6">
        <f t="shared" si="226"/>
        <v>0</v>
      </c>
      <c r="Q986" s="7">
        <f t="shared" si="227"/>
        <v>1767620.8500000006</v>
      </c>
      <c r="R986" s="44" t="str">
        <f>VLOOKUP(F986,'Set up'!$A$2:$E$48,5,FALSE)</f>
        <v>Trsf</v>
      </c>
      <c r="S986" s="1" t="s">
        <v>1020</v>
      </c>
    </row>
    <row r="987" spans="1:19" hidden="1" x14ac:dyDescent="0.3">
      <c r="A987" s="4">
        <v>44798</v>
      </c>
      <c r="B987" s="5">
        <f t="shared" si="231"/>
        <v>8</v>
      </c>
      <c r="C987" s="5">
        <f t="shared" si="232"/>
        <v>2022</v>
      </c>
      <c r="D987" s="5" t="s">
        <v>916</v>
      </c>
      <c r="E987" s="5" t="str">
        <f>VLOOKUP(F987,'Set up'!$A$2:$C$48,2,FALSE)</f>
        <v>C00000019</v>
      </c>
      <c r="F987" s="1" t="s">
        <v>401</v>
      </c>
      <c r="G987" s="11" t="s">
        <v>46</v>
      </c>
      <c r="H987" s="5">
        <v>1</v>
      </c>
      <c r="I987" s="5" t="str">
        <f>VLOOKUP(F987,'Set up'!$A$2:$C$48,3,FALSE)</f>
        <v>Cash</v>
      </c>
      <c r="J987" s="5">
        <f>VLOOKUP(F987,'Set up'!$A$2:$D$48,4,FALSE)</f>
        <v>0</v>
      </c>
      <c r="K987" s="4">
        <f t="shared" si="229"/>
        <v>44798</v>
      </c>
      <c r="L987" s="5">
        <f t="shared" si="224"/>
        <v>8</v>
      </c>
      <c r="M987" s="5">
        <f t="shared" si="225"/>
        <v>2022</v>
      </c>
      <c r="N987" s="6">
        <v>105</v>
      </c>
      <c r="O987" s="6">
        <f t="shared" ref="O987:O993" si="233">-N987</f>
        <v>-105</v>
      </c>
      <c r="P987" s="6">
        <f t="shared" si="226"/>
        <v>0</v>
      </c>
      <c r="Q987" s="7">
        <f t="shared" si="227"/>
        <v>1767725.8500000006</v>
      </c>
      <c r="R987" s="44" t="str">
        <f>VLOOKUP(F987,'Set up'!$A$2:$E$48,5,FALSE)</f>
        <v>Trsf</v>
      </c>
      <c r="S987" s="1" t="s">
        <v>1021</v>
      </c>
    </row>
    <row r="988" spans="1:19" hidden="1" x14ac:dyDescent="0.3">
      <c r="A988" s="4">
        <v>44798</v>
      </c>
      <c r="B988" s="5">
        <f t="shared" ref="B988:B989" si="234">MONTH(A988)</f>
        <v>8</v>
      </c>
      <c r="C988" s="5">
        <f t="shared" ref="C988:C989" si="235">YEAR(A988)</f>
        <v>2022</v>
      </c>
      <c r="D988" s="5" t="s">
        <v>916</v>
      </c>
      <c r="E988" s="5" t="str">
        <f>VLOOKUP(F988,'Set up'!$A$2:$C$48,2,FALSE)</f>
        <v>C00000019</v>
      </c>
      <c r="F988" s="1" t="s">
        <v>401</v>
      </c>
      <c r="G988" s="11" t="s">
        <v>293</v>
      </c>
      <c r="H988" s="5">
        <v>1</v>
      </c>
      <c r="I988" s="5" t="str">
        <f>VLOOKUP(F988,'Set up'!$A$2:$C$48,3,FALSE)</f>
        <v>Cash</v>
      </c>
      <c r="J988" s="5">
        <f>VLOOKUP(F988,'Set up'!$A$2:$D$48,4,FALSE)</f>
        <v>0</v>
      </c>
      <c r="K988" s="4">
        <f t="shared" si="229"/>
        <v>44798</v>
      </c>
      <c r="L988" s="5">
        <f t="shared" ref="L988:L989" si="236">MONTH(K988)</f>
        <v>8</v>
      </c>
      <c r="M988" s="5">
        <f t="shared" ref="M988:M989" si="237">YEAR(K988)</f>
        <v>2022</v>
      </c>
      <c r="N988" s="6">
        <v>390</v>
      </c>
      <c r="O988" s="6">
        <f t="shared" si="233"/>
        <v>-390</v>
      </c>
      <c r="P988" s="6">
        <f t="shared" ref="P988:P1030" si="238">SUM(N988+O988)</f>
        <v>0</v>
      </c>
      <c r="Q988" s="7">
        <f t="shared" ref="Q988:Q989" si="239">SUM(Q987+N988)</f>
        <v>1768115.8500000006</v>
      </c>
      <c r="R988" s="44" t="str">
        <f>VLOOKUP(F988,'Set up'!$A$2:$E$48,5,FALSE)</f>
        <v>Trsf</v>
      </c>
      <c r="S988" s="1" t="s">
        <v>1022</v>
      </c>
    </row>
    <row r="989" spans="1:19" hidden="1" x14ac:dyDescent="0.3">
      <c r="A989" s="4">
        <v>44799</v>
      </c>
      <c r="B989" s="5">
        <f t="shared" si="234"/>
        <v>8</v>
      </c>
      <c r="C989" s="5">
        <f t="shared" si="235"/>
        <v>2022</v>
      </c>
      <c r="D989" s="5" t="s">
        <v>916</v>
      </c>
      <c r="E989" s="5" t="str">
        <f>VLOOKUP(F989,'Set up'!$A$2:$C$48,2,FALSE)</f>
        <v>C00000019</v>
      </c>
      <c r="F989" s="1" t="s">
        <v>401</v>
      </c>
      <c r="G989" s="11" t="s">
        <v>64</v>
      </c>
      <c r="H989" s="5">
        <v>4</v>
      </c>
      <c r="I989" s="5" t="str">
        <f>VLOOKUP(F989,'Set up'!$A$2:$C$48,3,FALSE)</f>
        <v>Cash</v>
      </c>
      <c r="J989" s="5">
        <f>VLOOKUP(F989,'Set up'!$A$2:$D$48,4,FALSE)</f>
        <v>0</v>
      </c>
      <c r="K989" s="4">
        <f t="shared" si="229"/>
        <v>44799</v>
      </c>
      <c r="L989" s="5">
        <f t="shared" si="236"/>
        <v>8</v>
      </c>
      <c r="M989" s="5">
        <f t="shared" si="237"/>
        <v>2022</v>
      </c>
      <c r="N989" s="6">
        <v>250</v>
      </c>
      <c r="O989" s="6">
        <f t="shared" si="233"/>
        <v>-250</v>
      </c>
      <c r="P989" s="6">
        <f t="shared" si="238"/>
        <v>0</v>
      </c>
      <c r="Q989" s="7">
        <f t="shared" si="239"/>
        <v>1768365.8500000006</v>
      </c>
      <c r="R989" s="44" t="str">
        <f>VLOOKUP(F989,'Set up'!$A$2:$E$48,5,FALSE)</f>
        <v>Trsf</v>
      </c>
      <c r="S989" s="1" t="s">
        <v>1023</v>
      </c>
    </row>
    <row r="990" spans="1:19" x14ac:dyDescent="0.3">
      <c r="A990" s="4">
        <v>44806</v>
      </c>
      <c r="B990" s="5">
        <f t="shared" ref="B990:B993" si="240">MONTH(A990)</f>
        <v>9</v>
      </c>
      <c r="C990" s="5">
        <f t="shared" ref="C990:C993" si="241">YEAR(A990)</f>
        <v>2022</v>
      </c>
      <c r="D990" s="5" t="s">
        <v>925</v>
      </c>
      <c r="E990" s="5" t="str">
        <f>VLOOKUP(F990,'Set up'!$A$2:$C$48,2,FALSE)</f>
        <v>C00000020</v>
      </c>
      <c r="F990" s="1" t="s">
        <v>410</v>
      </c>
      <c r="G990" s="89" t="s">
        <v>720</v>
      </c>
      <c r="H990" s="88">
        <v>3</v>
      </c>
      <c r="I990" s="5" t="str">
        <f>VLOOKUP(F990,'Set up'!$A$2:$C$48,3,FALSE)</f>
        <v>Cash</v>
      </c>
      <c r="J990" s="5">
        <f>VLOOKUP(F990,'Set up'!$A$2:$D$48,4,FALSE)</f>
        <v>0</v>
      </c>
      <c r="K990" s="4">
        <f t="shared" si="229"/>
        <v>44806</v>
      </c>
      <c r="L990" s="5">
        <f t="shared" ref="L990:L1005" si="242">MONTH(K990)</f>
        <v>9</v>
      </c>
      <c r="M990" s="5">
        <f t="shared" ref="M990:M1005" si="243">YEAR(K990)</f>
        <v>2022</v>
      </c>
      <c r="N990" s="96">
        <v>5742</v>
      </c>
      <c r="O990" s="6">
        <f t="shared" si="233"/>
        <v>-5742</v>
      </c>
      <c r="P990" s="6">
        <f t="shared" si="238"/>
        <v>0</v>
      </c>
      <c r="Q990" s="7">
        <f t="shared" ref="Q990:Q1030" si="244">SUM(Q989+N990)</f>
        <v>1774107.8500000006</v>
      </c>
      <c r="R990" s="44" t="str">
        <f>VLOOKUP(F990,'Set up'!$A$2:$E$48,5,FALSE)</f>
        <v>Trsf</v>
      </c>
      <c r="S990" s="1" t="s">
        <v>1209</v>
      </c>
    </row>
    <row r="991" spans="1:19" x14ac:dyDescent="0.3">
      <c r="A991" s="4">
        <v>44806</v>
      </c>
      <c r="B991" s="5">
        <f t="shared" si="240"/>
        <v>9</v>
      </c>
      <c r="C991" s="5">
        <f t="shared" si="241"/>
        <v>2022</v>
      </c>
      <c r="D991" s="5" t="s">
        <v>925</v>
      </c>
      <c r="E991" s="5" t="str">
        <f>VLOOKUP(F991,'Set up'!$A$2:$C$48,2,FALSE)</f>
        <v>C00000020</v>
      </c>
      <c r="F991" s="1" t="s">
        <v>410</v>
      </c>
      <c r="G991" s="90" t="s">
        <v>893</v>
      </c>
      <c r="H991" s="88">
        <v>4</v>
      </c>
      <c r="I991" s="5" t="str">
        <f>VLOOKUP(F991,'Set up'!$A$2:$C$48,3,FALSE)</f>
        <v>Cash</v>
      </c>
      <c r="J991" s="5">
        <f>VLOOKUP(F991,'Set up'!$A$2:$D$48,4,FALSE)</f>
        <v>0</v>
      </c>
      <c r="K991" s="4">
        <f t="shared" si="229"/>
        <v>44806</v>
      </c>
      <c r="L991" s="5">
        <f t="shared" si="242"/>
        <v>9</v>
      </c>
      <c r="M991" s="5">
        <f t="shared" si="243"/>
        <v>2022</v>
      </c>
      <c r="N991" s="96">
        <v>2358.4</v>
      </c>
      <c r="O991" s="6">
        <f t="shared" si="233"/>
        <v>-2358.4</v>
      </c>
      <c r="P991" s="6">
        <f t="shared" si="238"/>
        <v>0</v>
      </c>
      <c r="Q991" s="7">
        <f t="shared" si="244"/>
        <v>1776466.2500000005</v>
      </c>
      <c r="R991" s="44" t="str">
        <f>VLOOKUP(F991,'Set up'!$A$2:$E$48,5,FALSE)</f>
        <v>Trsf</v>
      </c>
      <c r="S991" s="1" t="s">
        <v>1209</v>
      </c>
    </row>
    <row r="992" spans="1:19" x14ac:dyDescent="0.3">
      <c r="A992" s="4">
        <v>44806</v>
      </c>
      <c r="B992" s="5">
        <f t="shared" si="240"/>
        <v>9</v>
      </c>
      <c r="C992" s="5">
        <f t="shared" si="241"/>
        <v>2022</v>
      </c>
      <c r="D992" s="5" t="s">
        <v>925</v>
      </c>
      <c r="E992" s="5" t="str">
        <f>VLOOKUP(F992,'Set up'!$A$2:$C$48,2,FALSE)</f>
        <v>C00000020</v>
      </c>
      <c r="F992" s="1" t="s">
        <v>410</v>
      </c>
      <c r="G992" s="90" t="s">
        <v>779</v>
      </c>
      <c r="H992" s="88">
        <v>4</v>
      </c>
      <c r="I992" s="5" t="str">
        <f>VLOOKUP(F992,'Set up'!$A$2:$C$48,3,FALSE)</f>
        <v>Cash</v>
      </c>
      <c r="J992" s="5">
        <f>VLOOKUP(F992,'Set up'!$A$2:$D$48,4,FALSE)</f>
        <v>0</v>
      </c>
      <c r="K992" s="4">
        <f t="shared" si="229"/>
        <v>44806</v>
      </c>
      <c r="L992" s="5">
        <f t="shared" si="242"/>
        <v>9</v>
      </c>
      <c r="M992" s="5">
        <f t="shared" si="243"/>
        <v>2022</v>
      </c>
      <c r="N992" s="96">
        <v>1056</v>
      </c>
      <c r="O992" s="6">
        <f>-525.3-530.7</f>
        <v>-1056</v>
      </c>
      <c r="P992" s="6">
        <f t="shared" si="238"/>
        <v>0</v>
      </c>
      <c r="Q992" s="7">
        <f t="shared" si="244"/>
        <v>1777522.2500000005</v>
      </c>
      <c r="R992" s="44" t="str">
        <f>VLOOKUP(F992,'Set up'!$A$2:$E$48,5,FALSE)</f>
        <v>Trsf</v>
      </c>
      <c r="S992" s="1" t="s">
        <v>1185</v>
      </c>
    </row>
    <row r="993" spans="1:19" x14ac:dyDescent="0.3">
      <c r="A993" s="4">
        <v>44806</v>
      </c>
      <c r="B993" s="5">
        <f t="shared" si="240"/>
        <v>9</v>
      </c>
      <c r="C993" s="5">
        <f t="shared" si="241"/>
        <v>2022</v>
      </c>
      <c r="D993" s="5" t="s">
        <v>925</v>
      </c>
      <c r="E993" s="5" t="str">
        <f>VLOOKUP(F993,'Set up'!$A$2:$C$48,2,FALSE)</f>
        <v>C00000020</v>
      </c>
      <c r="F993" s="1" t="s">
        <v>410</v>
      </c>
      <c r="G993" s="90" t="s">
        <v>64</v>
      </c>
      <c r="H993" s="88">
        <v>3</v>
      </c>
      <c r="I993" s="5" t="str">
        <f>VLOOKUP(F993,'Set up'!$A$2:$C$48,3,FALSE)</f>
        <v>Cash</v>
      </c>
      <c r="J993" s="5">
        <f>VLOOKUP(F993,'Set up'!$A$2:$D$48,4,FALSE)</f>
        <v>0</v>
      </c>
      <c r="K993" s="4">
        <f t="shared" si="229"/>
        <v>44806</v>
      </c>
      <c r="L993" s="5">
        <f t="shared" si="242"/>
        <v>9</v>
      </c>
      <c r="M993" s="5">
        <f t="shared" si="243"/>
        <v>2022</v>
      </c>
      <c r="N993" s="96">
        <v>187.5</v>
      </c>
      <c r="O993" s="6">
        <f t="shared" si="233"/>
        <v>-187.5</v>
      </c>
      <c r="P993" s="6">
        <f t="shared" si="238"/>
        <v>0</v>
      </c>
      <c r="Q993" s="7">
        <f t="shared" si="244"/>
        <v>1777709.7500000005</v>
      </c>
      <c r="R993" s="44" t="str">
        <f>VLOOKUP(F993,'Set up'!$A$2:$E$48,5,FALSE)</f>
        <v>Trsf</v>
      </c>
      <c r="S993" s="1" t="s">
        <v>1186</v>
      </c>
    </row>
    <row r="994" spans="1:19" hidden="1" x14ac:dyDescent="0.3">
      <c r="A994" s="97" t="s">
        <v>927</v>
      </c>
      <c r="B994" s="5">
        <f t="shared" ref="B994:B1031" si="245">MONTH(A994)</f>
        <v>9</v>
      </c>
      <c r="C994" s="5">
        <f t="shared" ref="C994:C1031" si="246">YEAR(A994)</f>
        <v>2022</v>
      </c>
      <c r="D994" s="5" t="s">
        <v>926</v>
      </c>
      <c r="E994" s="5" t="str">
        <f>VLOOKUP(F994,'Set up'!$A$2:$C$48,2,FALSE)</f>
        <v>C00000009</v>
      </c>
      <c r="F994" s="1" t="s">
        <v>58</v>
      </c>
      <c r="G994" s="89" t="s">
        <v>720</v>
      </c>
      <c r="H994" s="5">
        <v>2</v>
      </c>
      <c r="I994" s="5">
        <f>VLOOKUP(F994,'Set up'!$A$2:$C$48,3,FALSE)</f>
        <v>60</v>
      </c>
      <c r="J994" s="5">
        <f>VLOOKUP(F994,'Set up'!$A$2:$D$48,4,FALSE)</f>
        <v>60</v>
      </c>
      <c r="K994" s="4">
        <f t="shared" si="229"/>
        <v>44869</v>
      </c>
      <c r="L994" s="5">
        <f t="shared" si="242"/>
        <v>11</v>
      </c>
      <c r="M994" s="5">
        <f t="shared" si="243"/>
        <v>2022</v>
      </c>
      <c r="N994" s="98">
        <v>3784</v>
      </c>
      <c r="O994" s="6">
        <f>-N994</f>
        <v>-3784</v>
      </c>
      <c r="P994" s="6">
        <f t="shared" si="238"/>
        <v>0</v>
      </c>
      <c r="Q994" s="7">
        <f t="shared" si="244"/>
        <v>1781493.7500000005</v>
      </c>
      <c r="R994" s="44" t="str">
        <f>VLOOKUP(F994,'Set up'!$A$2:$E$48,5,FALSE)</f>
        <v>Chq</v>
      </c>
      <c r="S994" s="1" t="s">
        <v>1223</v>
      </c>
    </row>
    <row r="995" spans="1:19" x14ac:dyDescent="0.3">
      <c r="A995" s="4">
        <v>44810</v>
      </c>
      <c r="B995" s="5">
        <f t="shared" si="245"/>
        <v>9</v>
      </c>
      <c r="C995" s="5">
        <f t="shared" si="246"/>
        <v>2022</v>
      </c>
      <c r="D995" s="5" t="s">
        <v>928</v>
      </c>
      <c r="E995" s="5" t="str">
        <f>VLOOKUP(F995,'Set up'!$A$2:$C$48,2,FALSE)</f>
        <v>C00000020</v>
      </c>
      <c r="F995" s="1" t="s">
        <v>410</v>
      </c>
      <c r="G995" s="89" t="s">
        <v>717</v>
      </c>
      <c r="H995" s="5">
        <v>3</v>
      </c>
      <c r="I995" s="5" t="str">
        <f>VLOOKUP(F995,'Set up'!$A$2:$C$48,3,FALSE)</f>
        <v>Cash</v>
      </c>
      <c r="J995" s="5">
        <f>VLOOKUP(F995,'Set up'!$A$2:$D$48,4,FALSE)</f>
        <v>0</v>
      </c>
      <c r="K995" s="4">
        <f t="shared" si="229"/>
        <v>44810</v>
      </c>
      <c r="L995" s="5">
        <f t="shared" si="242"/>
        <v>9</v>
      </c>
      <c r="M995" s="5">
        <f t="shared" si="243"/>
        <v>2022</v>
      </c>
      <c r="N995" s="96">
        <v>5742</v>
      </c>
      <c r="O995" s="6">
        <f>-4281.8-1460.2</f>
        <v>-5742</v>
      </c>
      <c r="P995" s="6">
        <f t="shared" si="238"/>
        <v>0</v>
      </c>
      <c r="Q995" s="7">
        <f t="shared" si="244"/>
        <v>1787235.7500000005</v>
      </c>
      <c r="R995" s="44" t="str">
        <f>VLOOKUP(F995,'Set up'!$A$2:$E$48,5,FALSE)</f>
        <v>Trsf</v>
      </c>
      <c r="S995" s="1" t="s">
        <v>1188</v>
      </c>
    </row>
    <row r="996" spans="1:19" x14ac:dyDescent="0.3">
      <c r="A996" s="4">
        <v>44810</v>
      </c>
      <c r="B996" s="5">
        <f t="shared" si="245"/>
        <v>9</v>
      </c>
      <c r="C996" s="5">
        <f t="shared" si="246"/>
        <v>2022</v>
      </c>
      <c r="D996" s="5" t="s">
        <v>928</v>
      </c>
      <c r="E996" s="5" t="str">
        <f>VLOOKUP(F996,'Set up'!$A$2:$C$48,2,FALSE)</f>
        <v>C00000020</v>
      </c>
      <c r="F996" s="1" t="s">
        <v>410</v>
      </c>
      <c r="G996" s="90" t="s">
        <v>893</v>
      </c>
      <c r="H996" s="5">
        <v>6</v>
      </c>
      <c r="I996" s="5" t="str">
        <f>VLOOKUP(F996,'Set up'!$A$2:$C$48,3,FALSE)</f>
        <v>Cash</v>
      </c>
      <c r="J996" s="5">
        <f>VLOOKUP(F996,'Set up'!$A$2:$D$48,4,FALSE)</f>
        <v>0</v>
      </c>
      <c r="K996" s="4">
        <f t="shared" si="229"/>
        <v>44810</v>
      </c>
      <c r="L996" s="5">
        <f t="shared" si="242"/>
        <v>9</v>
      </c>
      <c r="M996" s="5">
        <f t="shared" si="243"/>
        <v>2022</v>
      </c>
      <c r="N996" s="96">
        <v>3537.6000000000004</v>
      </c>
      <c r="O996" s="6">
        <f t="shared" ref="O996" si="247">-N996</f>
        <v>-3537.6000000000004</v>
      </c>
      <c r="P996" s="6">
        <f t="shared" si="238"/>
        <v>0</v>
      </c>
      <c r="Q996" s="7">
        <f t="shared" si="244"/>
        <v>1790773.3500000006</v>
      </c>
      <c r="R996" s="44" t="str">
        <f>VLOOKUP(F996,'Set up'!$A$2:$E$48,5,FALSE)</f>
        <v>Trsf</v>
      </c>
      <c r="S996" s="1" t="s">
        <v>1187</v>
      </c>
    </row>
    <row r="997" spans="1:19" x14ac:dyDescent="0.3">
      <c r="A997" s="4">
        <v>44810</v>
      </c>
      <c r="B997" s="5">
        <f t="shared" si="245"/>
        <v>9</v>
      </c>
      <c r="C997" s="5">
        <f t="shared" si="246"/>
        <v>2022</v>
      </c>
      <c r="D997" s="5" t="s">
        <v>928</v>
      </c>
      <c r="E997" s="5" t="str">
        <f>VLOOKUP(F997,'Set up'!$A$2:$C$48,2,FALSE)</f>
        <v>C00000020</v>
      </c>
      <c r="F997" s="1" t="s">
        <v>410</v>
      </c>
      <c r="G997" s="90" t="s">
        <v>779</v>
      </c>
      <c r="H997" s="5">
        <v>6</v>
      </c>
      <c r="I997" s="5" t="str">
        <f>VLOOKUP(F997,'Set up'!$A$2:$C$48,3,FALSE)</f>
        <v>Cash</v>
      </c>
      <c r="J997" s="5">
        <f>VLOOKUP(F997,'Set up'!$A$2:$D$48,4,FALSE)</f>
        <v>0</v>
      </c>
      <c r="K997" s="4">
        <f t="shared" si="229"/>
        <v>44810</v>
      </c>
      <c r="L997" s="5">
        <f t="shared" si="242"/>
        <v>9</v>
      </c>
      <c r="M997" s="5">
        <f t="shared" si="243"/>
        <v>2022</v>
      </c>
      <c r="N997" s="96">
        <v>1584</v>
      </c>
      <c r="O997" s="12">
        <f>-2.2-1581.8</f>
        <v>-1584</v>
      </c>
      <c r="P997" s="12">
        <f t="shared" si="238"/>
        <v>0</v>
      </c>
      <c r="Q997" s="7">
        <f t="shared" si="244"/>
        <v>1792357.3500000006</v>
      </c>
      <c r="R997" s="44" t="str">
        <f>VLOOKUP(F997,'Set up'!$A$2:$E$48,5,FALSE)</f>
        <v>Trsf</v>
      </c>
      <c r="S997" s="1" t="s">
        <v>1230</v>
      </c>
    </row>
    <row r="998" spans="1:19" x14ac:dyDescent="0.3">
      <c r="A998" s="4">
        <v>44810</v>
      </c>
      <c r="B998" s="5">
        <f t="shared" si="245"/>
        <v>9</v>
      </c>
      <c r="C998" s="5">
        <f t="shared" si="246"/>
        <v>2022</v>
      </c>
      <c r="D998" s="5" t="s">
        <v>928</v>
      </c>
      <c r="E998" s="5" t="str">
        <f>VLOOKUP(F998,'Set up'!$A$2:$C$48,2,FALSE)</f>
        <v>C00000020</v>
      </c>
      <c r="F998" s="1" t="s">
        <v>410</v>
      </c>
      <c r="G998" s="90" t="s">
        <v>64</v>
      </c>
      <c r="H998" s="5">
        <v>4</v>
      </c>
      <c r="I998" s="5" t="str">
        <f>VLOOKUP(F998,'Set up'!$A$2:$C$48,3,FALSE)</f>
        <v>Cash</v>
      </c>
      <c r="J998" s="5">
        <f>VLOOKUP(F998,'Set up'!$A$2:$D$48,4,FALSE)</f>
        <v>0</v>
      </c>
      <c r="K998" s="4">
        <f t="shared" si="229"/>
        <v>44810</v>
      </c>
      <c r="L998" s="5">
        <f t="shared" si="242"/>
        <v>9</v>
      </c>
      <c r="M998" s="5">
        <f t="shared" si="243"/>
        <v>2022</v>
      </c>
      <c r="N998" s="96">
        <v>250</v>
      </c>
      <c r="O998" s="6">
        <f t="shared" ref="O998:O999" si="248">-N998</f>
        <v>-250</v>
      </c>
      <c r="P998" s="6">
        <f t="shared" si="238"/>
        <v>0</v>
      </c>
      <c r="Q998" s="7">
        <f t="shared" si="244"/>
        <v>1792607.3500000006</v>
      </c>
      <c r="R998" s="44" t="str">
        <f>VLOOKUP(F998,'Set up'!$A$2:$E$48,5,FALSE)</f>
        <v>Trsf</v>
      </c>
      <c r="S998" s="1" t="s">
        <v>1231</v>
      </c>
    </row>
    <row r="999" spans="1:19" x14ac:dyDescent="0.3">
      <c r="A999" s="4">
        <v>44810</v>
      </c>
      <c r="B999" s="5">
        <f t="shared" si="245"/>
        <v>9</v>
      </c>
      <c r="C999" s="5">
        <f t="shared" si="246"/>
        <v>2022</v>
      </c>
      <c r="D999" s="5" t="s">
        <v>928</v>
      </c>
      <c r="E999" s="5" t="str">
        <f>VLOOKUP(F999,'Set up'!$A$2:$C$48,2,FALSE)</f>
        <v>C00000020</v>
      </c>
      <c r="F999" s="1" t="s">
        <v>410</v>
      </c>
      <c r="G999" s="90" t="s">
        <v>667</v>
      </c>
      <c r="H999" s="5">
        <v>4</v>
      </c>
      <c r="I999" s="5" t="str">
        <f>VLOOKUP(F999,'Set up'!$A$2:$C$48,3,FALSE)</f>
        <v>Cash</v>
      </c>
      <c r="J999" s="5">
        <f>VLOOKUP(F999,'Set up'!$A$2:$D$48,4,FALSE)</f>
        <v>0</v>
      </c>
      <c r="K999" s="4">
        <f t="shared" si="229"/>
        <v>44810</v>
      </c>
      <c r="L999" s="5">
        <f t="shared" si="242"/>
        <v>9</v>
      </c>
      <c r="M999" s="5">
        <f t="shared" si="243"/>
        <v>2022</v>
      </c>
      <c r="N999" s="96">
        <v>340</v>
      </c>
      <c r="O999" s="6">
        <f t="shared" si="248"/>
        <v>-340</v>
      </c>
      <c r="P999" s="6">
        <f t="shared" si="238"/>
        <v>0</v>
      </c>
      <c r="Q999" s="7">
        <f t="shared" si="244"/>
        <v>1792947.3500000006</v>
      </c>
      <c r="R999" s="44" t="str">
        <f>VLOOKUP(F999,'Set up'!$A$2:$E$48,5,FALSE)</f>
        <v>Trsf</v>
      </c>
      <c r="S999" s="1" t="s">
        <v>1231</v>
      </c>
    </row>
    <row r="1000" spans="1:19" hidden="1" x14ac:dyDescent="0.3">
      <c r="A1000" s="4">
        <v>44813</v>
      </c>
      <c r="B1000" s="5">
        <f t="shared" si="245"/>
        <v>9</v>
      </c>
      <c r="C1000" s="5">
        <f t="shared" si="246"/>
        <v>2022</v>
      </c>
      <c r="D1000" s="5" t="s">
        <v>931</v>
      </c>
      <c r="E1000" s="5" t="str">
        <f>VLOOKUP(F1000,'Set up'!$A$2:$C$48,2,FALSE)</f>
        <v>C00000029</v>
      </c>
      <c r="F1000" s="1" t="s">
        <v>959</v>
      </c>
      <c r="G1000" s="11" t="s">
        <v>667</v>
      </c>
      <c r="H1000" s="5">
        <v>4</v>
      </c>
      <c r="I1000" s="5" t="str">
        <f>VLOOKUP(F1000,'Set up'!$A$2:$C$48,3,FALSE)</f>
        <v>Cash</v>
      </c>
      <c r="J1000" s="5">
        <f>VLOOKUP(F1000,'Set up'!$A$2:$D$48,4,FALSE)</f>
        <v>0</v>
      </c>
      <c r="K1000" s="4">
        <f t="shared" si="229"/>
        <v>44813</v>
      </c>
      <c r="L1000" s="5">
        <f t="shared" si="242"/>
        <v>9</v>
      </c>
      <c r="M1000" s="5">
        <f t="shared" si="243"/>
        <v>2022</v>
      </c>
      <c r="N1000" s="6">
        <v>340</v>
      </c>
      <c r="O1000" s="6">
        <f t="shared" ref="O1000:O1002" si="249">-N1000</f>
        <v>-340</v>
      </c>
      <c r="P1000" s="6">
        <f t="shared" si="238"/>
        <v>0</v>
      </c>
      <c r="Q1000" s="7">
        <f t="shared" si="244"/>
        <v>1793287.3500000006</v>
      </c>
      <c r="R1000" s="44" t="str">
        <f>VLOOKUP(F1000,'Set up'!$A$2:$E$48,5,FALSE)</f>
        <v>Trsf</v>
      </c>
      <c r="S1000" s="1" t="s">
        <v>974</v>
      </c>
    </row>
    <row r="1001" spans="1:19" hidden="1" x14ac:dyDescent="0.3">
      <c r="A1001" s="4">
        <v>44813</v>
      </c>
      <c r="B1001" s="5">
        <f t="shared" si="245"/>
        <v>9</v>
      </c>
      <c r="C1001" s="5">
        <f t="shared" si="246"/>
        <v>2022</v>
      </c>
      <c r="D1001" s="5" t="s">
        <v>931</v>
      </c>
      <c r="E1001" s="5" t="str">
        <f>VLOOKUP(F1001,'Set up'!$A$2:$C$48,2,FALSE)</f>
        <v>C00000029</v>
      </c>
      <c r="F1001" s="1" t="s">
        <v>959</v>
      </c>
      <c r="G1001" s="11" t="s">
        <v>914</v>
      </c>
      <c r="H1001" s="5">
        <v>8</v>
      </c>
      <c r="I1001" s="5" t="str">
        <f>VLOOKUP(F1001,'Set up'!$A$2:$C$48,3,FALSE)</f>
        <v>Cash</v>
      </c>
      <c r="J1001" s="5">
        <f>VLOOKUP(F1001,'Set up'!$A$2:$D$48,4,FALSE)</f>
        <v>0</v>
      </c>
      <c r="K1001" s="4">
        <f t="shared" si="229"/>
        <v>44813</v>
      </c>
      <c r="L1001" s="5">
        <f t="shared" si="242"/>
        <v>9</v>
      </c>
      <c r="M1001" s="5">
        <f t="shared" si="243"/>
        <v>2022</v>
      </c>
      <c r="N1001" s="6">
        <v>2112</v>
      </c>
      <c r="O1001" s="6">
        <f t="shared" si="249"/>
        <v>-2112</v>
      </c>
      <c r="P1001" s="6">
        <f t="shared" si="238"/>
        <v>0</v>
      </c>
      <c r="Q1001" s="7">
        <f t="shared" si="244"/>
        <v>1795399.3500000006</v>
      </c>
      <c r="R1001" s="44" t="str">
        <f>VLOOKUP(F1001,'Set up'!$A$2:$E$48,5,FALSE)</f>
        <v>Trsf</v>
      </c>
      <c r="S1001" s="1" t="s">
        <v>974</v>
      </c>
    </row>
    <row r="1002" spans="1:19" x14ac:dyDescent="0.3">
      <c r="A1002" s="4">
        <v>44813</v>
      </c>
      <c r="B1002" s="5">
        <f t="shared" si="245"/>
        <v>9</v>
      </c>
      <c r="C1002" s="5">
        <f t="shared" si="246"/>
        <v>2022</v>
      </c>
      <c r="D1002" s="5" t="s">
        <v>932</v>
      </c>
      <c r="E1002" s="5" t="str">
        <f>VLOOKUP(F1002,'Set up'!$A$2:$C$48,2,FALSE)</f>
        <v>C00000020</v>
      </c>
      <c r="F1002" s="1" t="s">
        <v>410</v>
      </c>
      <c r="G1002" s="11" t="s">
        <v>717</v>
      </c>
      <c r="H1002" s="5">
        <v>1</v>
      </c>
      <c r="I1002" s="5" t="str">
        <f>VLOOKUP(F1002,'Set up'!$A$2:$C$48,3,FALSE)</f>
        <v>Cash</v>
      </c>
      <c r="J1002" s="5">
        <f>VLOOKUP(F1002,'Set up'!$A$2:$D$48,4,FALSE)</f>
        <v>0</v>
      </c>
      <c r="K1002" s="4">
        <f t="shared" si="229"/>
        <v>44813</v>
      </c>
      <c r="L1002" s="5">
        <f t="shared" si="242"/>
        <v>9</v>
      </c>
      <c r="M1002" s="5">
        <f t="shared" si="243"/>
        <v>2022</v>
      </c>
      <c r="N1002" s="96">
        <v>1914</v>
      </c>
      <c r="O1002" s="6">
        <f t="shared" si="249"/>
        <v>-1914</v>
      </c>
      <c r="P1002" s="6">
        <f t="shared" si="238"/>
        <v>0</v>
      </c>
      <c r="Q1002" s="7">
        <f t="shared" si="244"/>
        <v>1797313.3500000006</v>
      </c>
      <c r="R1002" s="44" t="str">
        <f>VLOOKUP(F1002,'Set up'!$A$2:$E$48,5,FALSE)</f>
        <v>Trsf</v>
      </c>
      <c r="S1002" s="1" t="s">
        <v>1231</v>
      </c>
    </row>
    <row r="1003" spans="1:19" hidden="1" x14ac:dyDescent="0.3">
      <c r="A1003" s="4">
        <v>44813</v>
      </c>
      <c r="B1003" s="5">
        <f t="shared" si="245"/>
        <v>9</v>
      </c>
      <c r="C1003" s="5">
        <f t="shared" si="246"/>
        <v>2022</v>
      </c>
      <c r="D1003" s="5" t="s">
        <v>933</v>
      </c>
      <c r="E1003" s="5" t="str">
        <f>VLOOKUP(F1003,'Set up'!$A$2:$C$48,2,FALSE)</f>
        <v>C00000021</v>
      </c>
      <c r="F1003" s="1" t="s">
        <v>492</v>
      </c>
      <c r="G1003" s="11" t="s">
        <v>717</v>
      </c>
      <c r="H1003" s="5">
        <v>1</v>
      </c>
      <c r="I1003" s="5" t="str">
        <f>VLOOKUP(F1003,'Set up'!$A$2:$C$48,3,FALSE)</f>
        <v>Cash</v>
      </c>
      <c r="J1003" s="5">
        <f>VLOOKUP(F1003,'Set up'!$A$2:$D$48,4,FALSE)</f>
        <v>0</v>
      </c>
      <c r="K1003" s="4">
        <f t="shared" si="229"/>
        <v>44813</v>
      </c>
      <c r="L1003" s="5">
        <f t="shared" si="242"/>
        <v>9</v>
      </c>
      <c r="M1003" s="5">
        <f t="shared" si="243"/>
        <v>2022</v>
      </c>
      <c r="N1003" s="6">
        <v>1936</v>
      </c>
      <c r="O1003" s="6">
        <f t="shared" ref="O1003:O1005" si="250">-N1003</f>
        <v>-1936</v>
      </c>
      <c r="P1003" s="6">
        <f t="shared" si="238"/>
        <v>0</v>
      </c>
      <c r="Q1003" s="7">
        <f t="shared" si="244"/>
        <v>1799249.3500000006</v>
      </c>
      <c r="R1003" s="44" t="str">
        <f>VLOOKUP(F1003,'Set up'!$A$2:$E$48,5,FALSE)</f>
        <v>PD Chq</v>
      </c>
      <c r="S1003" s="1" t="s">
        <v>1086</v>
      </c>
    </row>
    <row r="1004" spans="1:19" hidden="1" x14ac:dyDescent="0.3">
      <c r="A1004" s="4">
        <v>44813</v>
      </c>
      <c r="B1004" s="5">
        <f t="shared" si="245"/>
        <v>9</v>
      </c>
      <c r="C1004" s="5">
        <f t="shared" si="246"/>
        <v>2022</v>
      </c>
      <c r="D1004" s="5" t="s">
        <v>933</v>
      </c>
      <c r="E1004" s="5" t="str">
        <f>VLOOKUP(F1004,'Set up'!$A$2:$C$48,2,FALSE)</f>
        <v>C00000021</v>
      </c>
      <c r="F1004" s="1" t="s">
        <v>492</v>
      </c>
      <c r="G1004" s="11" t="s">
        <v>667</v>
      </c>
      <c r="H1004" s="5">
        <v>1</v>
      </c>
      <c r="I1004" s="5" t="str">
        <f>VLOOKUP(F1004,'Set up'!$A$2:$C$48,3,FALSE)</f>
        <v>Cash</v>
      </c>
      <c r="J1004" s="5">
        <f>VLOOKUP(F1004,'Set up'!$A$2:$D$48,4,FALSE)</f>
        <v>0</v>
      </c>
      <c r="K1004" s="4">
        <f t="shared" si="229"/>
        <v>44813</v>
      </c>
      <c r="L1004" s="5">
        <f t="shared" si="242"/>
        <v>9</v>
      </c>
      <c r="M1004" s="5">
        <f t="shared" si="243"/>
        <v>2022</v>
      </c>
      <c r="N1004" s="6">
        <v>90</v>
      </c>
      <c r="O1004" s="6">
        <f t="shared" si="250"/>
        <v>-90</v>
      </c>
      <c r="P1004" s="6">
        <f t="shared" si="238"/>
        <v>0</v>
      </c>
      <c r="Q1004" s="7">
        <f t="shared" si="244"/>
        <v>1799339.3500000006</v>
      </c>
      <c r="R1004" s="44" t="str">
        <f>VLOOKUP(F1004,'Set up'!$A$2:$E$48,5,FALSE)</f>
        <v>PD Chq</v>
      </c>
      <c r="S1004" s="1" t="s">
        <v>1086</v>
      </c>
    </row>
    <row r="1005" spans="1:19" hidden="1" x14ac:dyDescent="0.3">
      <c r="A1005" s="4">
        <v>44813</v>
      </c>
      <c r="B1005" s="5">
        <f t="shared" si="245"/>
        <v>9</v>
      </c>
      <c r="C1005" s="5">
        <f t="shared" si="246"/>
        <v>2022</v>
      </c>
      <c r="D1005" s="5" t="s">
        <v>933</v>
      </c>
      <c r="E1005" s="5" t="str">
        <f>VLOOKUP(F1005,'Set up'!$A$2:$C$48,2,FALSE)</f>
        <v>C00000021</v>
      </c>
      <c r="F1005" s="1" t="s">
        <v>492</v>
      </c>
      <c r="G1005" s="11" t="s">
        <v>801</v>
      </c>
      <c r="H1005" s="5">
        <v>1</v>
      </c>
      <c r="I1005" s="5" t="str">
        <f>VLOOKUP(F1005,'Set up'!$A$2:$C$48,3,FALSE)</f>
        <v>Cash</v>
      </c>
      <c r="J1005" s="5">
        <f>VLOOKUP(F1005,'Set up'!$A$2:$D$48,4,FALSE)</f>
        <v>0</v>
      </c>
      <c r="K1005" s="4">
        <f t="shared" si="229"/>
        <v>44813</v>
      </c>
      <c r="L1005" s="5">
        <f t="shared" si="242"/>
        <v>9</v>
      </c>
      <c r="M1005" s="5">
        <f t="shared" si="243"/>
        <v>2022</v>
      </c>
      <c r="N1005" s="6">
        <v>225</v>
      </c>
      <c r="O1005" s="6">
        <f t="shared" si="250"/>
        <v>-225</v>
      </c>
      <c r="P1005" s="6">
        <f t="shared" si="238"/>
        <v>0</v>
      </c>
      <c r="Q1005" s="7">
        <f t="shared" si="244"/>
        <v>1799564.3500000006</v>
      </c>
      <c r="R1005" s="44" t="str">
        <f>VLOOKUP(F1005,'Set up'!$A$2:$E$48,5,FALSE)</f>
        <v>PD Chq</v>
      </c>
      <c r="S1005" s="1" t="s">
        <v>1086</v>
      </c>
    </row>
    <row r="1006" spans="1:19" x14ac:dyDescent="0.3">
      <c r="A1006" s="4">
        <v>44817</v>
      </c>
      <c r="B1006" s="5">
        <f t="shared" si="245"/>
        <v>9</v>
      </c>
      <c r="C1006" s="5">
        <f t="shared" si="246"/>
        <v>2022</v>
      </c>
      <c r="D1006" s="5" t="s">
        <v>934</v>
      </c>
      <c r="E1006" s="5" t="str">
        <f>VLOOKUP(F1006,'Set up'!$A$2:$C$48,2,FALSE)</f>
        <v>C00000020</v>
      </c>
      <c r="F1006" s="1" t="s">
        <v>410</v>
      </c>
      <c r="G1006" s="89" t="s">
        <v>720</v>
      </c>
      <c r="H1006" s="5">
        <v>4</v>
      </c>
      <c r="I1006" s="5" t="str">
        <f>VLOOKUP(F1006,'Set up'!$A$2:$C$48,3,FALSE)</f>
        <v>Cash</v>
      </c>
      <c r="J1006" s="5">
        <f>VLOOKUP(F1006,'Set up'!$A$2:$D$48,4,FALSE)</f>
        <v>0</v>
      </c>
      <c r="K1006" s="4">
        <f t="shared" si="229"/>
        <v>44817</v>
      </c>
      <c r="L1006" s="5">
        <f t="shared" ref="L1006:L1030" si="251">MONTH(K1006)</f>
        <v>9</v>
      </c>
      <c r="M1006" s="5">
        <f t="shared" ref="M1006:M1030" si="252">YEAR(K1006)</f>
        <v>2022</v>
      </c>
      <c r="N1006" s="12">
        <v>7392</v>
      </c>
      <c r="O1006" s="12">
        <f>-5914.2-1477.8</f>
        <v>-7392</v>
      </c>
      <c r="P1006" s="12">
        <f t="shared" si="238"/>
        <v>0</v>
      </c>
      <c r="Q1006" s="7">
        <f t="shared" si="244"/>
        <v>1806956.3500000006</v>
      </c>
      <c r="R1006" s="44" t="str">
        <f>VLOOKUP(F1006,'Set up'!$A$2:$E$48,5,FALSE)</f>
        <v>Trsf</v>
      </c>
      <c r="S1006" s="1" t="s">
        <v>1232</v>
      </c>
    </row>
    <row r="1007" spans="1:19" x14ac:dyDescent="0.3">
      <c r="A1007" s="4">
        <v>44817</v>
      </c>
      <c r="B1007" s="5">
        <f t="shared" si="245"/>
        <v>9</v>
      </c>
      <c r="C1007" s="5">
        <f t="shared" si="246"/>
        <v>2022</v>
      </c>
      <c r="D1007" s="5" t="s">
        <v>934</v>
      </c>
      <c r="E1007" s="5" t="str">
        <f>VLOOKUP(F1007,'Set up'!$A$2:$C$48,2,FALSE)</f>
        <v>C00000020</v>
      </c>
      <c r="F1007" s="1" t="s">
        <v>410</v>
      </c>
      <c r="G1007" s="90" t="s">
        <v>893</v>
      </c>
      <c r="H1007" s="5">
        <v>5</v>
      </c>
      <c r="I1007" s="5" t="str">
        <f>VLOOKUP(F1007,'Set up'!$A$2:$C$48,3,FALSE)</f>
        <v>Cash</v>
      </c>
      <c r="J1007" s="5">
        <f>VLOOKUP(F1007,'Set up'!$A$2:$D$48,4,FALSE)</f>
        <v>0</v>
      </c>
      <c r="K1007" s="4">
        <f t="shared" si="229"/>
        <v>44817</v>
      </c>
      <c r="L1007" s="5">
        <f t="shared" si="251"/>
        <v>9</v>
      </c>
      <c r="M1007" s="5">
        <f t="shared" si="252"/>
        <v>2022</v>
      </c>
      <c r="N1007" s="6">
        <v>2881</v>
      </c>
      <c r="O1007" s="6">
        <f t="shared" ref="O1007:O1015" si="253">-N1007</f>
        <v>-2881</v>
      </c>
      <c r="P1007" s="6">
        <f t="shared" si="238"/>
        <v>0</v>
      </c>
      <c r="Q1007" s="7">
        <f t="shared" si="244"/>
        <v>1809837.3500000006</v>
      </c>
      <c r="R1007" s="44" t="str">
        <f>VLOOKUP(F1007,'Set up'!$A$2:$E$48,5,FALSE)</f>
        <v>Trsf</v>
      </c>
      <c r="S1007" s="1" t="s">
        <v>1210</v>
      </c>
    </row>
    <row r="1008" spans="1:19" x14ac:dyDescent="0.3">
      <c r="A1008" s="4">
        <v>44817</v>
      </c>
      <c r="B1008" s="5">
        <f t="shared" si="245"/>
        <v>9</v>
      </c>
      <c r="C1008" s="5">
        <f t="shared" si="246"/>
        <v>2022</v>
      </c>
      <c r="D1008" s="5" t="s">
        <v>934</v>
      </c>
      <c r="E1008" s="5" t="str">
        <f>VLOOKUP(F1008,'Set up'!$A$2:$C$48,2,FALSE)</f>
        <v>C00000020</v>
      </c>
      <c r="F1008" s="1" t="s">
        <v>410</v>
      </c>
      <c r="G1008" s="90" t="s">
        <v>779</v>
      </c>
      <c r="H1008" s="5">
        <v>5</v>
      </c>
      <c r="I1008" s="5" t="str">
        <f>VLOOKUP(F1008,'Set up'!$A$2:$C$48,3,FALSE)</f>
        <v>Cash</v>
      </c>
      <c r="J1008" s="5">
        <f>VLOOKUP(F1008,'Set up'!$A$2:$D$48,4,FALSE)</f>
        <v>0</v>
      </c>
      <c r="K1008" s="4">
        <f t="shared" si="229"/>
        <v>44817</v>
      </c>
      <c r="L1008" s="5">
        <f t="shared" si="251"/>
        <v>9</v>
      </c>
      <c r="M1008" s="5">
        <f t="shared" si="252"/>
        <v>2022</v>
      </c>
      <c r="N1008" s="6">
        <v>1300</v>
      </c>
      <c r="O1008" s="6">
        <f t="shared" si="253"/>
        <v>-1300</v>
      </c>
      <c r="P1008" s="6">
        <f t="shared" si="238"/>
        <v>0</v>
      </c>
      <c r="Q1008" s="7">
        <f t="shared" si="244"/>
        <v>1811137.3500000006</v>
      </c>
      <c r="R1008" s="44" t="str">
        <f>VLOOKUP(F1008,'Set up'!$A$2:$E$48,5,FALSE)</f>
        <v>Trsf</v>
      </c>
      <c r="S1008" s="1" t="s">
        <v>1210</v>
      </c>
    </row>
    <row r="1009" spans="1:19" x14ac:dyDescent="0.3">
      <c r="A1009" s="4">
        <v>44817</v>
      </c>
      <c r="B1009" s="5">
        <f t="shared" si="245"/>
        <v>9</v>
      </c>
      <c r="C1009" s="5">
        <f t="shared" si="246"/>
        <v>2022</v>
      </c>
      <c r="D1009" s="5" t="s">
        <v>934</v>
      </c>
      <c r="E1009" s="5" t="str">
        <f>VLOOKUP(F1009,'Set up'!$A$2:$C$48,2,FALSE)</f>
        <v>C00000020</v>
      </c>
      <c r="F1009" s="1" t="s">
        <v>410</v>
      </c>
      <c r="G1009" s="90" t="s">
        <v>64</v>
      </c>
      <c r="H1009" s="5">
        <v>4</v>
      </c>
      <c r="I1009" s="5" t="str">
        <f>VLOOKUP(F1009,'Set up'!$A$2:$C$48,3,FALSE)</f>
        <v>Cash</v>
      </c>
      <c r="J1009" s="5">
        <f>VLOOKUP(F1009,'Set up'!$A$2:$D$48,4,FALSE)</f>
        <v>0</v>
      </c>
      <c r="K1009" s="4">
        <f t="shared" si="229"/>
        <v>44817</v>
      </c>
      <c r="L1009" s="5">
        <f t="shared" si="251"/>
        <v>9</v>
      </c>
      <c r="M1009" s="5">
        <f t="shared" si="252"/>
        <v>2022</v>
      </c>
      <c r="N1009" s="6">
        <v>250</v>
      </c>
      <c r="O1009" s="6">
        <f t="shared" si="253"/>
        <v>-250</v>
      </c>
      <c r="P1009" s="6">
        <f t="shared" si="238"/>
        <v>0</v>
      </c>
      <c r="Q1009" s="7">
        <f t="shared" si="244"/>
        <v>1811387.3500000006</v>
      </c>
      <c r="R1009" s="44" t="str">
        <f>VLOOKUP(F1009,'Set up'!$A$2:$E$48,5,FALSE)</f>
        <v>Trsf</v>
      </c>
      <c r="S1009" s="1" t="s">
        <v>1210</v>
      </c>
    </row>
    <row r="1010" spans="1:19" x14ac:dyDescent="0.3">
      <c r="A1010" s="4">
        <v>44817</v>
      </c>
      <c r="B1010" s="5">
        <f t="shared" si="245"/>
        <v>9</v>
      </c>
      <c r="C1010" s="5">
        <f t="shared" si="246"/>
        <v>2022</v>
      </c>
      <c r="D1010" s="5" t="s">
        <v>934</v>
      </c>
      <c r="E1010" s="5" t="str">
        <f>VLOOKUP(F1010,'Set up'!$A$2:$C$48,2,FALSE)</f>
        <v>C00000020</v>
      </c>
      <c r="F1010" s="1" t="s">
        <v>410</v>
      </c>
      <c r="G1010" s="90" t="s">
        <v>667</v>
      </c>
      <c r="H1010" s="5">
        <v>4</v>
      </c>
      <c r="I1010" s="5" t="str">
        <f>VLOOKUP(F1010,'Set up'!$A$2:$C$48,3,FALSE)</f>
        <v>Cash</v>
      </c>
      <c r="J1010" s="5">
        <f>VLOOKUP(F1010,'Set up'!$A$2:$D$48,4,FALSE)</f>
        <v>0</v>
      </c>
      <c r="K1010" s="4">
        <f t="shared" si="229"/>
        <v>44817</v>
      </c>
      <c r="L1010" s="5">
        <f t="shared" si="251"/>
        <v>9</v>
      </c>
      <c r="M1010" s="5">
        <f t="shared" si="252"/>
        <v>2022</v>
      </c>
      <c r="N1010" s="6">
        <v>340</v>
      </c>
      <c r="O1010" s="6">
        <f t="shared" si="253"/>
        <v>-340</v>
      </c>
      <c r="P1010" s="6">
        <f t="shared" si="238"/>
        <v>0</v>
      </c>
      <c r="Q1010" s="7">
        <f t="shared" si="244"/>
        <v>1811727.3500000006</v>
      </c>
      <c r="R1010" s="44" t="str">
        <f>VLOOKUP(F1010,'Set up'!$A$2:$E$48,5,FALSE)</f>
        <v>Trsf</v>
      </c>
      <c r="S1010" s="1" t="s">
        <v>1210</v>
      </c>
    </row>
    <row r="1011" spans="1:19" x14ac:dyDescent="0.3">
      <c r="A1011" s="4">
        <v>44817</v>
      </c>
      <c r="B1011" s="5">
        <f t="shared" si="245"/>
        <v>9</v>
      </c>
      <c r="C1011" s="5">
        <f t="shared" si="246"/>
        <v>2022</v>
      </c>
      <c r="D1011" s="5" t="s">
        <v>934</v>
      </c>
      <c r="E1011" s="5" t="str">
        <f>VLOOKUP(F1011,'Set up'!$A$2:$C$48,2,FALSE)</f>
        <v>C00000020</v>
      </c>
      <c r="F1011" s="1" t="s">
        <v>410</v>
      </c>
      <c r="G1011" s="99" t="s">
        <v>660</v>
      </c>
      <c r="H1011" s="5">
        <v>1</v>
      </c>
      <c r="I1011" s="5" t="str">
        <f>VLOOKUP(F1011,'Set up'!$A$2:$C$48,3,FALSE)</f>
        <v>Cash</v>
      </c>
      <c r="J1011" s="5">
        <f>VLOOKUP(F1011,'Set up'!$A$2:$D$48,4,FALSE)</f>
        <v>0</v>
      </c>
      <c r="K1011" s="4">
        <f t="shared" si="229"/>
        <v>44817</v>
      </c>
      <c r="L1011" s="5">
        <f t="shared" si="251"/>
        <v>9</v>
      </c>
      <c r="M1011" s="5">
        <f t="shared" si="252"/>
        <v>2022</v>
      </c>
      <c r="N1011" s="6">
        <v>1000</v>
      </c>
      <c r="O1011" s="6">
        <f t="shared" si="253"/>
        <v>-1000</v>
      </c>
      <c r="P1011" s="6">
        <f t="shared" si="238"/>
        <v>0</v>
      </c>
      <c r="Q1011" s="7">
        <f t="shared" si="244"/>
        <v>1812727.3500000006</v>
      </c>
      <c r="R1011" s="44" t="str">
        <f>VLOOKUP(F1011,'Set up'!$A$2:$E$48,5,FALSE)</f>
        <v>Trsf</v>
      </c>
      <c r="S1011" s="1" t="s">
        <v>1210</v>
      </c>
    </row>
    <row r="1012" spans="1:19" x14ac:dyDescent="0.3">
      <c r="A1012" s="4">
        <v>44817</v>
      </c>
      <c r="B1012" s="5">
        <f t="shared" si="245"/>
        <v>9</v>
      </c>
      <c r="C1012" s="5">
        <f t="shared" si="246"/>
        <v>2022</v>
      </c>
      <c r="D1012" s="5" t="s">
        <v>935</v>
      </c>
      <c r="E1012" s="5" t="str">
        <f>VLOOKUP(F1012,'Set up'!$A$2:$C$48,2,FALSE)</f>
        <v>C00000020</v>
      </c>
      <c r="F1012" s="1" t="s">
        <v>410</v>
      </c>
      <c r="G1012" s="89" t="s">
        <v>720</v>
      </c>
      <c r="H1012" s="5">
        <v>4</v>
      </c>
      <c r="I1012" s="5" t="str">
        <f>VLOOKUP(F1012,'Set up'!$A$2:$C$48,3,FALSE)</f>
        <v>Cash</v>
      </c>
      <c r="J1012" s="5">
        <f>VLOOKUP(F1012,'Set up'!$A$2:$D$48,4,FALSE)</f>
        <v>0</v>
      </c>
      <c r="K1012" s="4">
        <f t="shared" si="229"/>
        <v>44817</v>
      </c>
      <c r="L1012" s="5">
        <f t="shared" si="251"/>
        <v>9</v>
      </c>
      <c r="M1012" s="5">
        <f t="shared" si="252"/>
        <v>2022</v>
      </c>
      <c r="N1012" s="6">
        <v>7392</v>
      </c>
      <c r="O1012" s="6">
        <f t="shared" si="253"/>
        <v>-7392</v>
      </c>
      <c r="P1012" s="6">
        <f t="shared" si="238"/>
        <v>0</v>
      </c>
      <c r="Q1012" s="7">
        <f t="shared" si="244"/>
        <v>1820119.3500000006</v>
      </c>
      <c r="R1012" s="44" t="str">
        <f>VLOOKUP(F1012,'Set up'!$A$2:$E$48,5,FALSE)</f>
        <v>Trsf</v>
      </c>
      <c r="S1012" s="1" t="s">
        <v>1210</v>
      </c>
    </row>
    <row r="1013" spans="1:19" x14ac:dyDescent="0.3">
      <c r="A1013" s="4">
        <v>44817</v>
      </c>
      <c r="B1013" s="5">
        <f t="shared" si="245"/>
        <v>9</v>
      </c>
      <c r="C1013" s="5">
        <f t="shared" si="246"/>
        <v>2022</v>
      </c>
      <c r="D1013" s="5" t="s">
        <v>935</v>
      </c>
      <c r="E1013" s="5" t="str">
        <f>VLOOKUP(F1013,'Set up'!$A$2:$C$48,2,FALSE)</f>
        <v>C00000020</v>
      </c>
      <c r="F1013" s="1" t="s">
        <v>410</v>
      </c>
      <c r="G1013" s="90" t="s">
        <v>893</v>
      </c>
      <c r="H1013" s="5">
        <v>5</v>
      </c>
      <c r="I1013" s="5" t="str">
        <f>VLOOKUP(F1013,'Set up'!$A$2:$C$48,3,FALSE)</f>
        <v>Cash</v>
      </c>
      <c r="J1013" s="5">
        <f>VLOOKUP(F1013,'Set up'!$A$2:$D$48,4,FALSE)</f>
        <v>0</v>
      </c>
      <c r="K1013" s="4">
        <f t="shared" si="229"/>
        <v>44817</v>
      </c>
      <c r="L1013" s="5">
        <f t="shared" si="251"/>
        <v>9</v>
      </c>
      <c r="M1013" s="5">
        <f t="shared" si="252"/>
        <v>2022</v>
      </c>
      <c r="N1013" s="6">
        <v>2881</v>
      </c>
      <c r="O1013" s="6">
        <f t="shared" si="253"/>
        <v>-2881</v>
      </c>
      <c r="P1013" s="6">
        <f t="shared" si="238"/>
        <v>0</v>
      </c>
      <c r="Q1013" s="7">
        <f t="shared" si="244"/>
        <v>1823000.3500000006</v>
      </c>
      <c r="R1013" s="44" t="str">
        <f>VLOOKUP(F1013,'Set up'!$A$2:$E$48,5,FALSE)</f>
        <v>Trsf</v>
      </c>
      <c r="S1013" s="1" t="s">
        <v>1210</v>
      </c>
    </row>
    <row r="1014" spans="1:19" x14ac:dyDescent="0.3">
      <c r="A1014" s="4">
        <v>44817</v>
      </c>
      <c r="B1014" s="5">
        <f t="shared" si="245"/>
        <v>9</v>
      </c>
      <c r="C1014" s="5">
        <f t="shared" si="246"/>
        <v>2022</v>
      </c>
      <c r="D1014" s="5" t="s">
        <v>935</v>
      </c>
      <c r="E1014" s="5" t="str">
        <f>VLOOKUP(F1014,'Set up'!$A$2:$C$48,2,FALSE)</f>
        <v>C00000020</v>
      </c>
      <c r="F1014" s="1" t="s">
        <v>410</v>
      </c>
      <c r="G1014" s="90" t="s">
        <v>779</v>
      </c>
      <c r="H1014" s="5">
        <v>5</v>
      </c>
      <c r="I1014" s="5" t="str">
        <f>VLOOKUP(F1014,'Set up'!$A$2:$C$48,3,FALSE)</f>
        <v>Cash</v>
      </c>
      <c r="J1014" s="5">
        <f>VLOOKUP(F1014,'Set up'!$A$2:$D$48,4,FALSE)</f>
        <v>0</v>
      </c>
      <c r="K1014" s="4">
        <f t="shared" si="229"/>
        <v>44817</v>
      </c>
      <c r="L1014" s="5">
        <f t="shared" si="251"/>
        <v>9</v>
      </c>
      <c r="M1014" s="5">
        <f t="shared" si="252"/>
        <v>2022</v>
      </c>
      <c r="N1014" s="6">
        <v>1300</v>
      </c>
      <c r="O1014" s="6">
        <f t="shared" si="253"/>
        <v>-1300</v>
      </c>
      <c r="P1014" s="6">
        <f t="shared" si="238"/>
        <v>0</v>
      </c>
      <c r="Q1014" s="7">
        <f t="shared" si="244"/>
        <v>1824300.3500000006</v>
      </c>
      <c r="R1014" s="44" t="str">
        <f>VLOOKUP(F1014,'Set up'!$A$2:$E$48,5,FALSE)</f>
        <v>Trsf</v>
      </c>
      <c r="S1014" s="1" t="s">
        <v>1210</v>
      </c>
    </row>
    <row r="1015" spans="1:19" x14ac:dyDescent="0.3">
      <c r="A1015" s="4">
        <v>44817</v>
      </c>
      <c r="B1015" s="5">
        <f t="shared" si="245"/>
        <v>9</v>
      </c>
      <c r="C1015" s="5">
        <f t="shared" si="246"/>
        <v>2022</v>
      </c>
      <c r="D1015" s="5" t="s">
        <v>935</v>
      </c>
      <c r="E1015" s="5" t="str">
        <f>VLOOKUP(F1015,'Set up'!$A$2:$C$48,2,FALSE)</f>
        <v>C00000020</v>
      </c>
      <c r="F1015" s="1" t="s">
        <v>410</v>
      </c>
      <c r="G1015" s="90" t="s">
        <v>64</v>
      </c>
      <c r="H1015" s="5">
        <v>4</v>
      </c>
      <c r="I1015" s="5" t="str">
        <f>VLOOKUP(F1015,'Set up'!$A$2:$C$48,3,FALSE)</f>
        <v>Cash</v>
      </c>
      <c r="J1015" s="5">
        <f>VLOOKUP(F1015,'Set up'!$A$2:$D$48,4,FALSE)</f>
        <v>0</v>
      </c>
      <c r="K1015" s="4">
        <f t="shared" si="229"/>
        <v>44817</v>
      </c>
      <c r="L1015" s="5">
        <f t="shared" si="251"/>
        <v>9</v>
      </c>
      <c r="M1015" s="5">
        <f t="shared" si="252"/>
        <v>2022</v>
      </c>
      <c r="N1015" s="6">
        <v>250</v>
      </c>
      <c r="O1015" s="6">
        <f t="shared" si="253"/>
        <v>-250</v>
      </c>
      <c r="P1015" s="6">
        <f t="shared" si="238"/>
        <v>0</v>
      </c>
      <c r="Q1015" s="7">
        <f t="shared" si="244"/>
        <v>1824550.3500000006</v>
      </c>
      <c r="R1015" s="44" t="str">
        <f>VLOOKUP(F1015,'Set up'!$A$2:$E$48,5,FALSE)</f>
        <v>Trsf</v>
      </c>
      <c r="S1015" s="1" t="s">
        <v>1210</v>
      </c>
    </row>
    <row r="1016" spans="1:19" hidden="1" x14ac:dyDescent="0.3">
      <c r="A1016" s="4">
        <v>44818</v>
      </c>
      <c r="B1016" s="5">
        <f t="shared" si="245"/>
        <v>9</v>
      </c>
      <c r="C1016" s="5">
        <f t="shared" si="246"/>
        <v>2022</v>
      </c>
      <c r="D1016" s="5" t="s">
        <v>937</v>
      </c>
      <c r="E1016" s="5" t="str">
        <f>VLOOKUP(F1016,'Set up'!$A$2:$C$48,2,FALSE)</f>
        <v>C00000001</v>
      </c>
      <c r="F1016" s="1" t="s">
        <v>7</v>
      </c>
      <c r="G1016" s="100" t="s">
        <v>936</v>
      </c>
      <c r="H1016" s="5">
        <v>4</v>
      </c>
      <c r="I1016" s="5" t="str">
        <f>VLOOKUP(F1016,'Set up'!$A$2:$C$48,3,FALSE)</f>
        <v>Cash</v>
      </c>
      <c r="J1016" s="5">
        <f>VLOOKUP(F1016,'Set up'!$A$2:$D$48,4,FALSE)</f>
        <v>0</v>
      </c>
      <c r="K1016" s="4">
        <f t="shared" si="229"/>
        <v>44818</v>
      </c>
      <c r="L1016" s="5">
        <f t="shared" si="251"/>
        <v>9</v>
      </c>
      <c r="M1016" s="5">
        <f t="shared" si="252"/>
        <v>2022</v>
      </c>
      <c r="N1016" s="6">
        <v>1840</v>
      </c>
      <c r="O1016" s="6">
        <f t="shared" ref="O1016:O1020" si="254">-N1016</f>
        <v>-1840</v>
      </c>
      <c r="P1016" s="6">
        <f t="shared" si="238"/>
        <v>0</v>
      </c>
      <c r="Q1016" s="7">
        <f t="shared" si="244"/>
        <v>1826390.3500000006</v>
      </c>
      <c r="R1016" s="44" t="str">
        <f>VLOOKUP(F1016,'Set up'!$A$2:$E$48,5,FALSE)</f>
        <v>Trsf</v>
      </c>
      <c r="S1016" s="1" t="s">
        <v>1018</v>
      </c>
    </row>
    <row r="1017" spans="1:19" hidden="1" x14ac:dyDescent="0.3">
      <c r="A1017" s="4">
        <v>44819</v>
      </c>
      <c r="B1017" s="5">
        <f t="shared" si="245"/>
        <v>9</v>
      </c>
      <c r="C1017" s="5">
        <f t="shared" si="246"/>
        <v>2022</v>
      </c>
      <c r="D1017" s="5" t="s">
        <v>938</v>
      </c>
      <c r="E1017" s="5" t="str">
        <f>VLOOKUP(F1017,'Set up'!$A$2:$C$48,2,FALSE)</f>
        <v>C00000021</v>
      </c>
      <c r="F1017" s="1" t="s">
        <v>492</v>
      </c>
      <c r="G1017" s="100" t="s">
        <v>717</v>
      </c>
      <c r="H1017" s="5">
        <v>1</v>
      </c>
      <c r="I1017" s="5" t="str">
        <f>VLOOKUP(F1017,'Set up'!$A$2:$C$48,3,FALSE)</f>
        <v>Cash</v>
      </c>
      <c r="J1017" s="5">
        <f>VLOOKUP(F1017,'Set up'!$A$2:$D$48,4,FALSE)</f>
        <v>0</v>
      </c>
      <c r="K1017" s="4">
        <f t="shared" si="229"/>
        <v>44819</v>
      </c>
      <c r="L1017" s="5">
        <f t="shared" si="251"/>
        <v>9</v>
      </c>
      <c r="M1017" s="5">
        <f t="shared" si="252"/>
        <v>2022</v>
      </c>
      <c r="N1017" s="6">
        <v>1936</v>
      </c>
      <c r="O1017" s="6">
        <f t="shared" si="254"/>
        <v>-1936</v>
      </c>
      <c r="P1017" s="6">
        <f t="shared" si="238"/>
        <v>0</v>
      </c>
      <c r="Q1017" s="7">
        <f t="shared" si="244"/>
        <v>1828326.3500000006</v>
      </c>
      <c r="R1017" s="44" t="str">
        <f>VLOOKUP(F1017,'Set up'!$A$2:$E$48,5,FALSE)</f>
        <v>PD Chq</v>
      </c>
      <c r="S1017" s="1" t="s">
        <v>1150</v>
      </c>
    </row>
    <row r="1018" spans="1:19" hidden="1" x14ac:dyDescent="0.3">
      <c r="A1018" s="4">
        <v>44819</v>
      </c>
      <c r="B1018" s="5">
        <f t="shared" si="245"/>
        <v>9</v>
      </c>
      <c r="C1018" s="5">
        <f t="shared" si="246"/>
        <v>2022</v>
      </c>
      <c r="D1018" s="5" t="s">
        <v>938</v>
      </c>
      <c r="E1018" s="5" t="str">
        <f>VLOOKUP(F1018,'Set up'!$A$2:$C$48,2,FALSE)</f>
        <v>C00000021</v>
      </c>
      <c r="F1018" s="1" t="s">
        <v>492</v>
      </c>
      <c r="G1018" s="99" t="s">
        <v>909</v>
      </c>
      <c r="H1018" s="5">
        <v>4</v>
      </c>
      <c r="I1018" s="5" t="str">
        <f>VLOOKUP(F1018,'Set up'!$A$2:$C$48,3,FALSE)</f>
        <v>Cash</v>
      </c>
      <c r="J1018" s="5">
        <f>VLOOKUP(F1018,'Set up'!$A$2:$D$48,4,FALSE)</f>
        <v>0</v>
      </c>
      <c r="K1018" s="4">
        <f t="shared" si="229"/>
        <v>44819</v>
      </c>
      <c r="L1018" s="5">
        <f t="shared" si="251"/>
        <v>9</v>
      </c>
      <c r="M1018" s="5">
        <f t="shared" si="252"/>
        <v>2022</v>
      </c>
      <c r="N1018" s="6">
        <v>1317.2</v>
      </c>
      <c r="O1018" s="6">
        <f t="shared" si="254"/>
        <v>-1317.2</v>
      </c>
      <c r="P1018" s="6">
        <f t="shared" si="238"/>
        <v>0</v>
      </c>
      <c r="Q1018" s="7">
        <f t="shared" si="244"/>
        <v>1829643.5500000005</v>
      </c>
      <c r="R1018" s="44" t="str">
        <f>VLOOKUP(F1018,'Set up'!$A$2:$E$48,5,FALSE)</f>
        <v>PD Chq</v>
      </c>
      <c r="S1018" s="1" t="s">
        <v>1150</v>
      </c>
    </row>
    <row r="1019" spans="1:19" hidden="1" x14ac:dyDescent="0.3">
      <c r="A1019" s="4">
        <v>44819</v>
      </c>
      <c r="B1019" s="5">
        <f t="shared" si="245"/>
        <v>9</v>
      </c>
      <c r="C1019" s="5">
        <f t="shared" si="246"/>
        <v>2022</v>
      </c>
      <c r="D1019" s="5" t="s">
        <v>938</v>
      </c>
      <c r="E1019" s="5" t="str">
        <f>VLOOKUP(F1019,'Set up'!$A$2:$C$48,2,FALSE)</f>
        <v>C00000021</v>
      </c>
      <c r="F1019" s="1" t="s">
        <v>492</v>
      </c>
      <c r="G1019" s="99" t="s">
        <v>667</v>
      </c>
      <c r="H1019" s="5">
        <v>1</v>
      </c>
      <c r="I1019" s="5" t="str">
        <f>VLOOKUP(F1019,'Set up'!$A$2:$C$48,3,FALSE)</f>
        <v>Cash</v>
      </c>
      <c r="J1019" s="5">
        <f>VLOOKUP(F1019,'Set up'!$A$2:$D$48,4,FALSE)</f>
        <v>0</v>
      </c>
      <c r="K1019" s="4">
        <f t="shared" si="229"/>
        <v>44819</v>
      </c>
      <c r="L1019" s="5">
        <f t="shared" si="251"/>
        <v>9</v>
      </c>
      <c r="M1019" s="5">
        <f t="shared" si="252"/>
        <v>2022</v>
      </c>
      <c r="N1019" s="6">
        <v>90</v>
      </c>
      <c r="O1019" s="6">
        <f t="shared" si="254"/>
        <v>-90</v>
      </c>
      <c r="P1019" s="6">
        <f t="shared" si="238"/>
        <v>0</v>
      </c>
      <c r="Q1019" s="7">
        <f t="shared" si="244"/>
        <v>1829733.5500000005</v>
      </c>
      <c r="R1019" s="44" t="str">
        <f>VLOOKUP(F1019,'Set up'!$A$2:$E$48,5,FALSE)</f>
        <v>PD Chq</v>
      </c>
      <c r="S1019" s="1" t="s">
        <v>1150</v>
      </c>
    </row>
    <row r="1020" spans="1:19" hidden="1" x14ac:dyDescent="0.3">
      <c r="A1020" s="4">
        <v>44819</v>
      </c>
      <c r="B1020" s="5">
        <f t="shared" si="245"/>
        <v>9</v>
      </c>
      <c r="C1020" s="5">
        <f t="shared" si="246"/>
        <v>2022</v>
      </c>
      <c r="D1020" s="5" t="s">
        <v>938</v>
      </c>
      <c r="E1020" s="5" t="str">
        <f>VLOOKUP(F1020,'Set up'!$A$2:$C$48,2,FALSE)</f>
        <v>C00000021</v>
      </c>
      <c r="F1020" s="1" t="s">
        <v>492</v>
      </c>
      <c r="G1020" s="99" t="s">
        <v>64</v>
      </c>
      <c r="H1020" s="5">
        <v>5</v>
      </c>
      <c r="I1020" s="5" t="str">
        <f>VLOOKUP(F1020,'Set up'!$A$2:$C$48,3,FALSE)</f>
        <v>Cash</v>
      </c>
      <c r="J1020" s="5">
        <f>VLOOKUP(F1020,'Set up'!$A$2:$D$48,4,FALSE)</f>
        <v>0</v>
      </c>
      <c r="K1020" s="4">
        <f t="shared" si="229"/>
        <v>44819</v>
      </c>
      <c r="L1020" s="5">
        <f t="shared" si="251"/>
        <v>9</v>
      </c>
      <c r="M1020" s="5">
        <f t="shared" si="252"/>
        <v>2022</v>
      </c>
      <c r="N1020" s="6">
        <v>312.5</v>
      </c>
      <c r="O1020" s="6">
        <f t="shared" si="254"/>
        <v>-312.5</v>
      </c>
      <c r="P1020" s="6">
        <f t="shared" si="238"/>
        <v>0</v>
      </c>
      <c r="Q1020" s="7">
        <f t="shared" si="244"/>
        <v>1830046.0500000005</v>
      </c>
      <c r="R1020" s="44" t="str">
        <f>VLOOKUP(F1020,'Set up'!$A$2:$E$48,5,FALSE)</f>
        <v>PD Chq</v>
      </c>
      <c r="S1020" s="1" t="s">
        <v>1150</v>
      </c>
    </row>
    <row r="1021" spans="1:19" hidden="1" x14ac:dyDescent="0.3">
      <c r="A1021" s="4">
        <v>44827</v>
      </c>
      <c r="B1021" s="5">
        <f t="shared" si="245"/>
        <v>9</v>
      </c>
      <c r="C1021" s="5">
        <f t="shared" si="246"/>
        <v>2022</v>
      </c>
      <c r="D1021" s="5" t="s">
        <v>944</v>
      </c>
      <c r="E1021" s="5" t="str">
        <f>VLOOKUP(F1021,'Set up'!$A$2:$C$48,2,FALSE)</f>
        <v>C00000019</v>
      </c>
      <c r="F1021" s="1" t="s">
        <v>401</v>
      </c>
      <c r="G1021" s="11" t="s">
        <v>720</v>
      </c>
      <c r="H1021" s="5">
        <v>1</v>
      </c>
      <c r="I1021" s="5" t="str">
        <f>VLOOKUP(F1021,'Set up'!$A$2:$C$48,3,FALSE)</f>
        <v>Cash</v>
      </c>
      <c r="J1021" s="5">
        <f>VLOOKUP(F1021,'Set up'!$A$2:$D$48,4,FALSE)</f>
        <v>0</v>
      </c>
      <c r="K1021" s="4">
        <f t="shared" si="229"/>
        <v>44827</v>
      </c>
      <c r="L1021" s="5">
        <f t="shared" si="251"/>
        <v>9</v>
      </c>
      <c r="M1021" s="5">
        <f t="shared" si="252"/>
        <v>2022</v>
      </c>
      <c r="N1021" s="6">
        <v>1936</v>
      </c>
      <c r="O1021" s="6">
        <f t="shared" ref="O1021:O1035" si="255">-N1021</f>
        <v>-1936</v>
      </c>
      <c r="P1021" s="6">
        <f t="shared" si="238"/>
        <v>0</v>
      </c>
      <c r="Q1021" s="7">
        <f t="shared" si="244"/>
        <v>1831982.0500000005</v>
      </c>
      <c r="R1021" s="44" t="str">
        <f>VLOOKUP(F1021,'Set up'!$A$2:$E$48,5,FALSE)</f>
        <v>Trsf</v>
      </c>
      <c r="S1021" s="1" t="s">
        <v>1078</v>
      </c>
    </row>
    <row r="1022" spans="1:19" hidden="1" x14ac:dyDescent="0.3">
      <c r="A1022" s="4">
        <v>44827</v>
      </c>
      <c r="B1022" s="5">
        <f t="shared" si="245"/>
        <v>9</v>
      </c>
      <c r="C1022" s="5">
        <f t="shared" si="246"/>
        <v>2022</v>
      </c>
      <c r="D1022" s="5" t="s">
        <v>944</v>
      </c>
      <c r="E1022" s="5" t="str">
        <f>VLOOKUP(F1022,'Set up'!$A$2:$C$48,2,FALSE)</f>
        <v>C00000019</v>
      </c>
      <c r="F1022" s="1" t="s">
        <v>401</v>
      </c>
      <c r="G1022" s="11" t="s">
        <v>893</v>
      </c>
      <c r="H1022" s="5">
        <v>2</v>
      </c>
      <c r="I1022" s="5" t="str">
        <f>VLOOKUP(F1022,'Set up'!$A$2:$C$48,3,FALSE)</f>
        <v>Cash</v>
      </c>
      <c r="J1022" s="5">
        <f>VLOOKUP(F1022,'Set up'!$A$2:$D$48,4,FALSE)</f>
        <v>0</v>
      </c>
      <c r="K1022" s="4">
        <f t="shared" si="229"/>
        <v>44827</v>
      </c>
      <c r="L1022" s="5">
        <f t="shared" si="251"/>
        <v>9</v>
      </c>
      <c r="M1022" s="5">
        <f t="shared" si="252"/>
        <v>2022</v>
      </c>
      <c r="N1022" s="6">
        <v>1192.5999999999999</v>
      </c>
      <c r="O1022" s="6">
        <f t="shared" si="255"/>
        <v>-1192.5999999999999</v>
      </c>
      <c r="P1022" s="6">
        <f t="shared" si="238"/>
        <v>0</v>
      </c>
      <c r="Q1022" s="7">
        <f t="shared" si="244"/>
        <v>1833174.6500000006</v>
      </c>
      <c r="R1022" s="44" t="str">
        <f>VLOOKUP(F1022,'Set up'!$A$2:$E$48,5,FALSE)</f>
        <v>Trsf</v>
      </c>
      <c r="S1022" s="1" t="s">
        <v>1078</v>
      </c>
    </row>
    <row r="1023" spans="1:19" hidden="1" x14ac:dyDescent="0.3">
      <c r="A1023" s="4">
        <v>44827</v>
      </c>
      <c r="B1023" s="5">
        <f t="shared" si="245"/>
        <v>9</v>
      </c>
      <c r="C1023" s="5">
        <f t="shared" si="246"/>
        <v>2022</v>
      </c>
      <c r="D1023" s="5" t="s">
        <v>944</v>
      </c>
      <c r="E1023" s="5" t="str">
        <f>VLOOKUP(F1023,'Set up'!$A$2:$C$48,2,FALSE)</f>
        <v>C00000019</v>
      </c>
      <c r="F1023" s="1" t="s">
        <v>401</v>
      </c>
      <c r="G1023" s="11" t="s">
        <v>46</v>
      </c>
      <c r="H1023" s="5">
        <v>1</v>
      </c>
      <c r="I1023" s="5" t="str">
        <f>VLOOKUP(F1023,'Set up'!$A$2:$C$48,3,FALSE)</f>
        <v>Cash</v>
      </c>
      <c r="J1023" s="5">
        <f>VLOOKUP(F1023,'Set up'!$A$2:$D$48,4,FALSE)</f>
        <v>0</v>
      </c>
      <c r="K1023" s="4">
        <f t="shared" si="229"/>
        <v>44827</v>
      </c>
      <c r="L1023" s="5">
        <f t="shared" si="251"/>
        <v>9</v>
      </c>
      <c r="M1023" s="5">
        <f t="shared" si="252"/>
        <v>2022</v>
      </c>
      <c r="N1023" s="6">
        <v>105</v>
      </c>
      <c r="O1023" s="6">
        <f t="shared" si="255"/>
        <v>-105</v>
      </c>
      <c r="P1023" s="6">
        <f t="shared" si="238"/>
        <v>0</v>
      </c>
      <c r="Q1023" s="7">
        <f t="shared" si="244"/>
        <v>1833279.6500000006</v>
      </c>
      <c r="R1023" s="44" t="str">
        <f>VLOOKUP(F1023,'Set up'!$A$2:$E$48,5,FALSE)</f>
        <v>Trsf</v>
      </c>
      <c r="S1023" s="1" t="s">
        <v>1078</v>
      </c>
    </row>
    <row r="1024" spans="1:19" hidden="1" x14ac:dyDescent="0.3">
      <c r="A1024" s="4">
        <v>44827</v>
      </c>
      <c r="B1024" s="5">
        <f t="shared" si="245"/>
        <v>9</v>
      </c>
      <c r="C1024" s="5">
        <f t="shared" si="246"/>
        <v>2022</v>
      </c>
      <c r="D1024" s="5" t="s">
        <v>944</v>
      </c>
      <c r="E1024" s="5" t="str">
        <f>VLOOKUP(F1024,'Set up'!$A$2:$C$48,2,FALSE)</f>
        <v>C00000019</v>
      </c>
      <c r="F1024" s="1" t="s">
        <v>401</v>
      </c>
      <c r="G1024" s="11" t="s">
        <v>64</v>
      </c>
      <c r="H1024" s="5">
        <v>5</v>
      </c>
      <c r="I1024" s="5" t="str">
        <f>VLOOKUP(F1024,'Set up'!$A$2:$C$48,3,FALSE)</f>
        <v>Cash</v>
      </c>
      <c r="J1024" s="5">
        <f>VLOOKUP(F1024,'Set up'!$A$2:$D$48,4,FALSE)</f>
        <v>0</v>
      </c>
      <c r="K1024" s="4">
        <f t="shared" si="229"/>
        <v>44827</v>
      </c>
      <c r="L1024" s="5">
        <f t="shared" si="251"/>
        <v>9</v>
      </c>
      <c r="M1024" s="5">
        <f t="shared" si="252"/>
        <v>2022</v>
      </c>
      <c r="N1024" s="6">
        <v>312.5</v>
      </c>
      <c r="O1024" s="6">
        <f t="shared" si="255"/>
        <v>-312.5</v>
      </c>
      <c r="P1024" s="6">
        <f t="shared" si="238"/>
        <v>0</v>
      </c>
      <c r="Q1024" s="7">
        <f t="shared" si="244"/>
        <v>1833592.1500000006</v>
      </c>
      <c r="R1024" s="44" t="str">
        <f>VLOOKUP(F1024,'Set up'!$A$2:$E$48,5,FALSE)</f>
        <v>Trsf</v>
      </c>
      <c r="S1024" s="1" t="s">
        <v>1078</v>
      </c>
    </row>
    <row r="1025" spans="1:19" hidden="1" x14ac:dyDescent="0.3">
      <c r="A1025" s="4">
        <v>44828</v>
      </c>
      <c r="B1025" s="5">
        <f t="shared" si="245"/>
        <v>9</v>
      </c>
      <c r="C1025" s="5">
        <f t="shared" si="246"/>
        <v>2022</v>
      </c>
      <c r="D1025" s="5" t="s">
        <v>948</v>
      </c>
      <c r="E1025" s="5" t="str">
        <f>VLOOKUP(F1025,'Set up'!$A$2:$C$48,2,FALSE)</f>
        <v>C00000010</v>
      </c>
      <c r="F1025" s="1" t="s">
        <v>62</v>
      </c>
      <c r="G1025" s="11" t="s">
        <v>304</v>
      </c>
      <c r="H1025" s="5">
        <v>5</v>
      </c>
      <c r="I1025" s="5">
        <f>VLOOKUP(F1025,'Set up'!$A$2:$C$48,3,FALSE)</f>
        <v>120</v>
      </c>
      <c r="J1025" s="5">
        <f>VLOOKUP(F1025,'Set up'!$A$2:$D$48,4,FALSE)</f>
        <v>120</v>
      </c>
      <c r="K1025" s="4">
        <f t="shared" si="229"/>
        <v>44948</v>
      </c>
      <c r="L1025" s="5">
        <f t="shared" si="251"/>
        <v>1</v>
      </c>
      <c r="M1025" s="5">
        <f t="shared" si="252"/>
        <v>2023</v>
      </c>
      <c r="N1025" s="6">
        <v>9130</v>
      </c>
      <c r="O1025" s="6">
        <f t="shared" si="255"/>
        <v>-9130</v>
      </c>
      <c r="P1025" s="6">
        <f t="shared" si="238"/>
        <v>0</v>
      </c>
      <c r="Q1025" s="7">
        <f t="shared" si="244"/>
        <v>1842722.1500000006</v>
      </c>
      <c r="R1025" s="44" t="str">
        <f>VLOOKUP(F1025,'Set up'!$A$2:$E$48,5,FALSE)</f>
        <v>Trsf</v>
      </c>
      <c r="S1025" s="1" t="s">
        <v>1149</v>
      </c>
    </row>
    <row r="1026" spans="1:19" hidden="1" x14ac:dyDescent="0.3">
      <c r="A1026" s="4">
        <v>44828</v>
      </c>
      <c r="B1026" s="5">
        <f t="shared" si="245"/>
        <v>9</v>
      </c>
      <c r="C1026" s="5">
        <f t="shared" si="246"/>
        <v>2022</v>
      </c>
      <c r="D1026" s="5" t="s">
        <v>948</v>
      </c>
      <c r="E1026" s="5" t="str">
        <f>VLOOKUP(F1026,'Set up'!$A$2:$C$48,2,FALSE)</f>
        <v>C00000010</v>
      </c>
      <c r="F1026" s="1" t="s">
        <v>62</v>
      </c>
      <c r="G1026" s="11" t="s">
        <v>914</v>
      </c>
      <c r="H1026" s="5">
        <v>5</v>
      </c>
      <c r="I1026" s="5">
        <f>VLOOKUP(F1026,'Set up'!$A$2:$C$48,3,FALSE)</f>
        <v>120</v>
      </c>
      <c r="J1026" s="5">
        <f>VLOOKUP(F1026,'Set up'!$A$2:$D$48,4,FALSE)</f>
        <v>120</v>
      </c>
      <c r="K1026" s="4">
        <f t="shared" si="229"/>
        <v>44948</v>
      </c>
      <c r="L1026" s="5">
        <f t="shared" si="251"/>
        <v>1</v>
      </c>
      <c r="M1026" s="5">
        <f t="shared" si="252"/>
        <v>2023</v>
      </c>
      <c r="N1026" s="6">
        <v>1260</v>
      </c>
      <c r="O1026" s="6">
        <f t="shared" si="255"/>
        <v>-1260</v>
      </c>
      <c r="P1026" s="6">
        <f t="shared" si="238"/>
        <v>0</v>
      </c>
      <c r="Q1026" s="7">
        <f t="shared" si="244"/>
        <v>1843982.1500000006</v>
      </c>
      <c r="R1026" s="44" t="str">
        <f>VLOOKUP(F1026,'Set up'!$A$2:$E$48,5,FALSE)</f>
        <v>Trsf</v>
      </c>
      <c r="S1026" s="1" t="s">
        <v>1149</v>
      </c>
    </row>
    <row r="1027" spans="1:19" hidden="1" x14ac:dyDescent="0.3">
      <c r="A1027" s="4">
        <v>44828</v>
      </c>
      <c r="B1027" s="5">
        <f t="shared" si="245"/>
        <v>9</v>
      </c>
      <c r="C1027" s="5">
        <f t="shared" si="246"/>
        <v>2022</v>
      </c>
      <c r="D1027" s="5" t="s">
        <v>948</v>
      </c>
      <c r="E1027" s="5" t="str">
        <f>VLOOKUP(F1027,'Set up'!$A$2:$C$48,2,FALSE)</f>
        <v>C00000010</v>
      </c>
      <c r="F1027" s="1" t="s">
        <v>62</v>
      </c>
      <c r="G1027" s="11" t="s">
        <v>64</v>
      </c>
      <c r="H1027" s="5">
        <v>5</v>
      </c>
      <c r="I1027" s="5">
        <f>VLOOKUP(F1027,'Set up'!$A$2:$C$48,3,FALSE)</f>
        <v>120</v>
      </c>
      <c r="J1027" s="5">
        <f>VLOOKUP(F1027,'Set up'!$A$2:$D$48,4,FALSE)</f>
        <v>120</v>
      </c>
      <c r="K1027" s="4">
        <f t="shared" si="229"/>
        <v>44948</v>
      </c>
      <c r="L1027" s="5">
        <f t="shared" si="251"/>
        <v>1</v>
      </c>
      <c r="M1027" s="5">
        <f t="shared" si="252"/>
        <v>2023</v>
      </c>
      <c r="N1027" s="6">
        <v>287.5</v>
      </c>
      <c r="O1027" s="6">
        <f t="shared" si="255"/>
        <v>-287.5</v>
      </c>
      <c r="P1027" s="6">
        <f t="shared" si="238"/>
        <v>0</v>
      </c>
      <c r="Q1027" s="7">
        <f t="shared" si="244"/>
        <v>1844269.6500000006</v>
      </c>
      <c r="R1027" s="44" t="str">
        <f>VLOOKUP(F1027,'Set up'!$A$2:$E$48,5,FALSE)</f>
        <v>Trsf</v>
      </c>
      <c r="S1027" s="1" t="s">
        <v>1149</v>
      </c>
    </row>
    <row r="1028" spans="1:19" hidden="1" x14ac:dyDescent="0.3">
      <c r="A1028" s="4">
        <v>44828</v>
      </c>
      <c r="B1028" s="5">
        <f t="shared" si="245"/>
        <v>9</v>
      </c>
      <c r="C1028" s="5">
        <f t="shared" si="246"/>
        <v>2022</v>
      </c>
      <c r="D1028" s="5" t="s">
        <v>948</v>
      </c>
      <c r="E1028" s="5" t="str">
        <f>VLOOKUP(F1028,'Set up'!$A$2:$C$48,2,FALSE)</f>
        <v>C00000010</v>
      </c>
      <c r="F1028" s="1" t="s">
        <v>62</v>
      </c>
      <c r="G1028" s="11" t="s">
        <v>945</v>
      </c>
      <c r="H1028" s="5">
        <v>1</v>
      </c>
      <c r="I1028" s="5">
        <f>VLOOKUP(F1028,'Set up'!$A$2:$C$48,3,FALSE)</f>
        <v>120</v>
      </c>
      <c r="J1028" s="5">
        <f>VLOOKUP(F1028,'Set up'!$A$2:$D$48,4,FALSE)</f>
        <v>120</v>
      </c>
      <c r="K1028" s="4">
        <f t="shared" si="229"/>
        <v>44948</v>
      </c>
      <c r="L1028" s="5">
        <f t="shared" si="251"/>
        <v>1</v>
      </c>
      <c r="M1028" s="5">
        <f t="shared" si="252"/>
        <v>2023</v>
      </c>
      <c r="N1028" s="6">
        <v>440</v>
      </c>
      <c r="O1028" s="6">
        <f t="shared" si="255"/>
        <v>-440</v>
      </c>
      <c r="P1028" s="6">
        <f t="shared" si="238"/>
        <v>0</v>
      </c>
      <c r="Q1028" s="7">
        <f t="shared" si="244"/>
        <v>1844709.6500000006</v>
      </c>
      <c r="R1028" s="44" t="str">
        <f>VLOOKUP(F1028,'Set up'!$A$2:$E$48,5,FALSE)</f>
        <v>Trsf</v>
      </c>
      <c r="S1028" s="1" t="s">
        <v>1149</v>
      </c>
    </row>
    <row r="1029" spans="1:19" hidden="1" x14ac:dyDescent="0.3">
      <c r="A1029" s="4">
        <v>44828</v>
      </c>
      <c r="B1029" s="5">
        <f t="shared" si="245"/>
        <v>9</v>
      </c>
      <c r="C1029" s="5">
        <f t="shared" si="246"/>
        <v>2022</v>
      </c>
      <c r="D1029" s="5" t="s">
        <v>948</v>
      </c>
      <c r="E1029" s="5" t="str">
        <f>VLOOKUP(F1029,'Set up'!$A$2:$C$48,2,FALSE)</f>
        <v>C00000010</v>
      </c>
      <c r="F1029" s="1" t="s">
        <v>62</v>
      </c>
      <c r="G1029" s="11" t="s">
        <v>946</v>
      </c>
      <c r="H1029" s="5">
        <v>4</v>
      </c>
      <c r="I1029" s="5">
        <f>VLOOKUP(F1029,'Set up'!$A$2:$C$48,3,FALSE)</f>
        <v>120</v>
      </c>
      <c r="J1029" s="5">
        <f>VLOOKUP(F1029,'Set up'!$A$2:$D$48,4,FALSE)</f>
        <v>120</v>
      </c>
      <c r="K1029" s="4">
        <f t="shared" si="229"/>
        <v>44948</v>
      </c>
      <c r="L1029" s="5">
        <f t="shared" si="251"/>
        <v>1</v>
      </c>
      <c r="M1029" s="5">
        <f t="shared" si="252"/>
        <v>2023</v>
      </c>
      <c r="N1029" s="6">
        <v>420</v>
      </c>
      <c r="O1029" s="6">
        <f t="shared" si="255"/>
        <v>-420</v>
      </c>
      <c r="P1029" s="6">
        <f t="shared" si="238"/>
        <v>0</v>
      </c>
      <c r="Q1029" s="7">
        <f t="shared" si="244"/>
        <v>1845129.6500000006</v>
      </c>
      <c r="R1029" s="44" t="str">
        <f>VLOOKUP(F1029,'Set up'!$A$2:$E$48,5,FALSE)</f>
        <v>Trsf</v>
      </c>
      <c r="S1029" s="1" t="s">
        <v>1149</v>
      </c>
    </row>
    <row r="1030" spans="1:19" hidden="1" x14ac:dyDescent="0.3">
      <c r="A1030" s="4">
        <v>44828</v>
      </c>
      <c r="B1030" s="5">
        <f t="shared" si="245"/>
        <v>9</v>
      </c>
      <c r="C1030" s="5">
        <f t="shared" si="246"/>
        <v>2022</v>
      </c>
      <c r="D1030" s="5" t="s">
        <v>948</v>
      </c>
      <c r="E1030" s="5" t="str">
        <f>VLOOKUP(F1030,'Set up'!$A$2:$C$48,2,FALSE)</f>
        <v>C00000010</v>
      </c>
      <c r="F1030" s="1" t="s">
        <v>62</v>
      </c>
      <c r="G1030" s="11" t="s">
        <v>947</v>
      </c>
      <c r="H1030" s="5">
        <v>4</v>
      </c>
      <c r="I1030" s="5">
        <f>VLOOKUP(F1030,'Set up'!$A$2:$C$48,3,FALSE)</f>
        <v>120</v>
      </c>
      <c r="J1030" s="5">
        <f>VLOOKUP(F1030,'Set up'!$A$2:$D$48,4,FALSE)</f>
        <v>120</v>
      </c>
      <c r="K1030" s="4">
        <f t="shared" si="229"/>
        <v>44948</v>
      </c>
      <c r="L1030" s="5">
        <f t="shared" si="251"/>
        <v>1</v>
      </c>
      <c r="M1030" s="5">
        <f t="shared" si="252"/>
        <v>2023</v>
      </c>
      <c r="N1030" s="6">
        <v>220</v>
      </c>
      <c r="O1030" s="6">
        <f t="shared" si="255"/>
        <v>-220</v>
      </c>
      <c r="P1030" s="6">
        <f t="shared" si="238"/>
        <v>0</v>
      </c>
      <c r="Q1030" s="7">
        <f t="shared" si="244"/>
        <v>1845349.6500000006</v>
      </c>
      <c r="R1030" s="44" t="str">
        <f>VLOOKUP(F1030,'Set up'!$A$2:$E$48,5,FALSE)</f>
        <v>Trsf</v>
      </c>
      <c r="S1030" s="1" t="s">
        <v>1149</v>
      </c>
    </row>
    <row r="1031" spans="1:19" hidden="1" x14ac:dyDescent="0.3">
      <c r="A1031" s="4">
        <v>44830</v>
      </c>
      <c r="B1031" s="5">
        <f t="shared" si="245"/>
        <v>9</v>
      </c>
      <c r="C1031" s="5">
        <f t="shared" si="246"/>
        <v>2022</v>
      </c>
      <c r="D1031" s="5" t="s">
        <v>951</v>
      </c>
      <c r="E1031" s="5" t="str">
        <f>VLOOKUP(F1031,'Set up'!$A$2:$C$48,2,FALSE)</f>
        <v>C00000021</v>
      </c>
      <c r="F1031" s="1" t="s">
        <v>492</v>
      </c>
      <c r="G1031" s="11" t="s">
        <v>67</v>
      </c>
      <c r="H1031" s="5">
        <v>1</v>
      </c>
      <c r="I1031" s="5" t="str">
        <f>VLOOKUP(F1031,'Set up'!$A$2:$C$48,3,FALSE)</f>
        <v>Cash</v>
      </c>
      <c r="J1031" s="5">
        <f>VLOOKUP(F1031,'Set up'!$A$2:$D$48,4,FALSE)</f>
        <v>0</v>
      </c>
      <c r="K1031" s="4">
        <f t="shared" si="229"/>
        <v>44830</v>
      </c>
      <c r="L1031" s="5">
        <f t="shared" ref="L1031:L1035" si="256">MONTH(K1031)</f>
        <v>9</v>
      </c>
      <c r="M1031" s="5">
        <f t="shared" ref="M1031:M1035" si="257">YEAR(K1031)</f>
        <v>2022</v>
      </c>
      <c r="N1031" s="6">
        <v>1936</v>
      </c>
      <c r="O1031" s="6">
        <f t="shared" si="255"/>
        <v>-1936</v>
      </c>
      <c r="P1031" s="6">
        <f t="shared" ref="P1031:P1053" si="258">SUM(N1031+O1031)</f>
        <v>0</v>
      </c>
      <c r="Q1031" s="7">
        <f t="shared" ref="Q1031:Q1041" si="259">SUM(Q1030+N1031)</f>
        <v>1847285.6500000006</v>
      </c>
      <c r="R1031" s="44" t="str">
        <f>VLOOKUP(F1031,'Set up'!$A$2:$E$48,5,FALSE)</f>
        <v>PD Chq</v>
      </c>
      <c r="S1031" s="1" t="s">
        <v>1151</v>
      </c>
    </row>
    <row r="1032" spans="1:19" hidden="1" x14ac:dyDescent="0.3">
      <c r="A1032" s="4">
        <v>44830</v>
      </c>
      <c r="B1032" s="5">
        <f t="shared" ref="B1032:B1035" si="260">MONTH(A1032)</f>
        <v>9</v>
      </c>
      <c r="C1032" s="5">
        <f t="shared" ref="C1032:C1035" si="261">YEAR(A1032)</f>
        <v>2022</v>
      </c>
      <c r="D1032" s="5" t="s">
        <v>951</v>
      </c>
      <c r="E1032" s="5" t="str">
        <f>VLOOKUP(F1032,'Set up'!$A$2:$C$48,2,FALSE)</f>
        <v>C00000021</v>
      </c>
      <c r="F1032" s="1" t="s">
        <v>492</v>
      </c>
      <c r="G1032" s="11" t="s">
        <v>909</v>
      </c>
      <c r="H1032" s="5">
        <v>2</v>
      </c>
      <c r="I1032" s="5" t="str">
        <f>VLOOKUP(F1032,'Set up'!$A$2:$C$48,3,FALSE)</f>
        <v>Cash</v>
      </c>
      <c r="J1032" s="5">
        <f>VLOOKUP(F1032,'Set up'!$A$2:$D$48,4,FALSE)</f>
        <v>0</v>
      </c>
      <c r="K1032" s="4">
        <f t="shared" si="229"/>
        <v>44830</v>
      </c>
      <c r="L1032" s="5">
        <f t="shared" si="256"/>
        <v>9</v>
      </c>
      <c r="M1032" s="5">
        <f t="shared" si="257"/>
        <v>2022</v>
      </c>
      <c r="N1032" s="6">
        <v>658.6</v>
      </c>
      <c r="O1032" s="6">
        <f t="shared" si="255"/>
        <v>-658.6</v>
      </c>
      <c r="P1032" s="6">
        <f t="shared" si="258"/>
        <v>0</v>
      </c>
      <c r="Q1032" s="7">
        <f t="shared" si="259"/>
        <v>1847944.2500000007</v>
      </c>
      <c r="R1032" s="44" t="str">
        <f>VLOOKUP(F1032,'Set up'!$A$2:$E$48,5,FALSE)</f>
        <v>PD Chq</v>
      </c>
      <c r="S1032" s="1" t="s">
        <v>1151</v>
      </c>
    </row>
    <row r="1033" spans="1:19" hidden="1" x14ac:dyDescent="0.3">
      <c r="A1033" s="4">
        <v>44830</v>
      </c>
      <c r="B1033" s="5">
        <f t="shared" si="260"/>
        <v>9</v>
      </c>
      <c r="C1033" s="5">
        <f t="shared" si="261"/>
        <v>2022</v>
      </c>
      <c r="D1033" s="5" t="s">
        <v>951</v>
      </c>
      <c r="E1033" s="5" t="str">
        <f>VLOOKUP(F1033,'Set up'!$A$2:$C$48,2,FALSE)</f>
        <v>C00000021</v>
      </c>
      <c r="F1033" s="1" t="s">
        <v>492</v>
      </c>
      <c r="G1033" s="11" t="s">
        <v>949</v>
      </c>
      <c r="H1033" s="5">
        <v>1</v>
      </c>
      <c r="I1033" s="5" t="str">
        <f>VLOOKUP(F1033,'Set up'!$A$2:$C$48,3,FALSE)</f>
        <v>Cash</v>
      </c>
      <c r="J1033" s="5">
        <f>VLOOKUP(F1033,'Set up'!$A$2:$D$48,4,FALSE)</f>
        <v>0</v>
      </c>
      <c r="K1033" s="4">
        <f t="shared" si="229"/>
        <v>44830</v>
      </c>
      <c r="L1033" s="5">
        <f t="shared" si="256"/>
        <v>9</v>
      </c>
      <c r="M1033" s="5">
        <f t="shared" si="257"/>
        <v>2022</v>
      </c>
      <c r="N1033" s="6">
        <v>100</v>
      </c>
      <c r="O1033" s="6">
        <f t="shared" si="255"/>
        <v>-100</v>
      </c>
      <c r="P1033" s="6">
        <f t="shared" si="258"/>
        <v>0</v>
      </c>
      <c r="Q1033" s="7">
        <f t="shared" si="259"/>
        <v>1848044.2500000007</v>
      </c>
      <c r="R1033" s="44" t="str">
        <f>VLOOKUP(F1033,'Set up'!$A$2:$E$48,5,FALSE)</f>
        <v>PD Chq</v>
      </c>
      <c r="S1033" s="1" t="s">
        <v>1151</v>
      </c>
    </row>
    <row r="1034" spans="1:19" hidden="1" x14ac:dyDescent="0.3">
      <c r="A1034" s="4">
        <v>44830</v>
      </c>
      <c r="B1034" s="5">
        <f t="shared" si="260"/>
        <v>9</v>
      </c>
      <c r="C1034" s="5">
        <f t="shared" si="261"/>
        <v>2022</v>
      </c>
      <c r="D1034" s="5" t="s">
        <v>951</v>
      </c>
      <c r="E1034" s="5" t="str">
        <f>VLOOKUP(F1034,'Set up'!$A$2:$C$48,2,FALSE)</f>
        <v>C00000021</v>
      </c>
      <c r="F1034" s="1" t="s">
        <v>492</v>
      </c>
      <c r="G1034" s="11" t="s">
        <v>64</v>
      </c>
      <c r="H1034" s="5">
        <v>10</v>
      </c>
      <c r="I1034" s="5" t="str">
        <f>VLOOKUP(F1034,'Set up'!$A$2:$C$48,3,FALSE)</f>
        <v>Cash</v>
      </c>
      <c r="J1034" s="5">
        <f>VLOOKUP(F1034,'Set up'!$A$2:$D$48,4,FALSE)</f>
        <v>0</v>
      </c>
      <c r="K1034" s="4">
        <f t="shared" si="229"/>
        <v>44830</v>
      </c>
      <c r="L1034" s="5">
        <f t="shared" si="256"/>
        <v>9</v>
      </c>
      <c r="M1034" s="5">
        <f t="shared" si="257"/>
        <v>2022</v>
      </c>
      <c r="N1034" s="6">
        <v>625</v>
      </c>
      <c r="O1034" s="6">
        <f t="shared" si="255"/>
        <v>-625</v>
      </c>
      <c r="P1034" s="6">
        <f t="shared" si="258"/>
        <v>0</v>
      </c>
      <c r="Q1034" s="7">
        <f t="shared" si="259"/>
        <v>1848669.2500000007</v>
      </c>
      <c r="R1034" s="44" t="str">
        <f>VLOOKUP(F1034,'Set up'!$A$2:$E$48,5,FALSE)</f>
        <v>PD Chq</v>
      </c>
      <c r="S1034" s="1" t="s">
        <v>1151</v>
      </c>
    </row>
    <row r="1035" spans="1:19" hidden="1" x14ac:dyDescent="0.3">
      <c r="A1035" s="4">
        <v>44830</v>
      </c>
      <c r="B1035" s="5">
        <f t="shared" si="260"/>
        <v>9</v>
      </c>
      <c r="C1035" s="5">
        <f t="shared" si="261"/>
        <v>2022</v>
      </c>
      <c r="D1035" s="5" t="s">
        <v>951</v>
      </c>
      <c r="E1035" s="5" t="str">
        <f>VLOOKUP(F1035,'Set up'!$A$2:$C$48,2,FALSE)</f>
        <v>C00000021</v>
      </c>
      <c r="F1035" s="1" t="s">
        <v>492</v>
      </c>
      <c r="G1035" s="11" t="s">
        <v>950</v>
      </c>
      <c r="H1035" s="5">
        <v>6</v>
      </c>
      <c r="I1035" s="5" t="str">
        <f>VLOOKUP(F1035,'Set up'!$A$2:$C$48,3,FALSE)</f>
        <v>Cash</v>
      </c>
      <c r="J1035" s="5">
        <f>VLOOKUP(F1035,'Set up'!$A$2:$D$48,4,FALSE)</f>
        <v>0</v>
      </c>
      <c r="K1035" s="4">
        <f t="shared" si="229"/>
        <v>44830</v>
      </c>
      <c r="L1035" s="5">
        <f t="shared" si="256"/>
        <v>9</v>
      </c>
      <c r="M1035" s="5">
        <f t="shared" si="257"/>
        <v>2022</v>
      </c>
      <c r="N1035" s="6">
        <v>276</v>
      </c>
      <c r="O1035" s="6">
        <f t="shared" si="255"/>
        <v>-276</v>
      </c>
      <c r="P1035" s="6">
        <f t="shared" si="258"/>
        <v>0</v>
      </c>
      <c r="Q1035" s="7">
        <f t="shared" si="259"/>
        <v>1848945.2500000007</v>
      </c>
      <c r="R1035" s="44" t="str">
        <f>VLOOKUP(F1035,'Set up'!$A$2:$E$48,5,FALSE)</f>
        <v>PD Chq</v>
      </c>
      <c r="S1035" s="1" t="s">
        <v>1151</v>
      </c>
    </row>
    <row r="1036" spans="1:19" hidden="1" x14ac:dyDescent="0.3">
      <c r="A1036" s="4">
        <v>44830</v>
      </c>
      <c r="B1036" s="5">
        <f t="shared" ref="B1036:B1042" si="262">MONTH(A1036)</f>
        <v>9</v>
      </c>
      <c r="C1036" s="5">
        <f t="shared" ref="C1036:C1042" si="263">YEAR(A1036)</f>
        <v>2022</v>
      </c>
      <c r="D1036" s="5" t="s">
        <v>953</v>
      </c>
      <c r="E1036" s="5" t="str">
        <f>VLOOKUP(F1036,'Set up'!$A$2:$C$48,2,FALSE)</f>
        <v>C00000022</v>
      </c>
      <c r="F1036" s="1" t="s">
        <v>638</v>
      </c>
      <c r="G1036" s="11" t="s">
        <v>95</v>
      </c>
      <c r="H1036" s="5">
        <v>1</v>
      </c>
      <c r="I1036" s="5" t="str">
        <f>VLOOKUP(F1036,'Set up'!$A$2:$C$48,3,FALSE)</f>
        <v>Cash</v>
      </c>
      <c r="J1036" s="5">
        <f>VLOOKUP(F1036,'Set up'!$A$2:$D$48,4,FALSE)</f>
        <v>0</v>
      </c>
      <c r="K1036" s="4">
        <f t="shared" si="229"/>
        <v>44830</v>
      </c>
      <c r="L1036" s="5">
        <f t="shared" ref="L1036:L1041" si="264">MONTH(K1036)</f>
        <v>9</v>
      </c>
      <c r="M1036" s="5">
        <f t="shared" ref="M1036:M1041" si="265">YEAR(K1036)</f>
        <v>2022</v>
      </c>
      <c r="N1036" s="6">
        <v>2024</v>
      </c>
      <c r="O1036" s="6">
        <f t="shared" ref="O1036:O1050" si="266">-N1036</f>
        <v>-2024</v>
      </c>
      <c r="P1036" s="6">
        <f t="shared" si="258"/>
        <v>0</v>
      </c>
      <c r="Q1036" s="7">
        <f t="shared" si="259"/>
        <v>1850969.2500000007</v>
      </c>
      <c r="R1036" s="44" t="str">
        <f>VLOOKUP(F1036,'Set up'!$A$2:$E$48,5,FALSE)</f>
        <v>Trsf</v>
      </c>
      <c r="S1036" s="1" t="s">
        <v>983</v>
      </c>
    </row>
    <row r="1037" spans="1:19" hidden="1" x14ac:dyDescent="0.3">
      <c r="A1037" s="4">
        <v>44830</v>
      </c>
      <c r="B1037" s="5">
        <f t="shared" si="262"/>
        <v>9</v>
      </c>
      <c r="C1037" s="5">
        <f t="shared" si="263"/>
        <v>2022</v>
      </c>
      <c r="D1037" s="5" t="s">
        <v>953</v>
      </c>
      <c r="E1037" s="5" t="str">
        <f>VLOOKUP(F1037,'Set up'!$A$2:$C$48,2,FALSE)</f>
        <v>C00000022</v>
      </c>
      <c r="F1037" s="1" t="s">
        <v>638</v>
      </c>
      <c r="G1037" s="11" t="s">
        <v>893</v>
      </c>
      <c r="H1037" s="5">
        <v>1</v>
      </c>
      <c r="I1037" s="5" t="str">
        <f>VLOOKUP(F1037,'Set up'!$A$2:$C$48,3,FALSE)</f>
        <v>Cash</v>
      </c>
      <c r="J1037" s="5">
        <f>VLOOKUP(F1037,'Set up'!$A$2:$D$48,4,FALSE)</f>
        <v>0</v>
      </c>
      <c r="K1037" s="4">
        <f t="shared" si="229"/>
        <v>44830</v>
      </c>
      <c r="L1037" s="5">
        <f t="shared" si="264"/>
        <v>9</v>
      </c>
      <c r="M1037" s="5">
        <f t="shared" si="265"/>
        <v>2022</v>
      </c>
      <c r="N1037" s="6">
        <v>629.79999999999995</v>
      </c>
      <c r="O1037" s="6">
        <f t="shared" si="266"/>
        <v>-629.79999999999995</v>
      </c>
      <c r="P1037" s="6">
        <f t="shared" si="258"/>
        <v>0</v>
      </c>
      <c r="Q1037" s="7">
        <f t="shared" si="259"/>
        <v>1851599.0500000007</v>
      </c>
      <c r="R1037" s="44" t="str">
        <f>VLOOKUP(F1037,'Set up'!$A$2:$E$48,5,FALSE)</f>
        <v>Trsf</v>
      </c>
      <c r="S1037" s="1" t="s">
        <v>983</v>
      </c>
    </row>
    <row r="1038" spans="1:19" hidden="1" x14ac:dyDescent="0.3">
      <c r="A1038" s="4">
        <v>44830</v>
      </c>
      <c r="B1038" s="5">
        <f t="shared" si="262"/>
        <v>9</v>
      </c>
      <c r="C1038" s="5">
        <f t="shared" si="263"/>
        <v>2022</v>
      </c>
      <c r="D1038" s="5" t="s">
        <v>953</v>
      </c>
      <c r="E1038" s="5" t="str">
        <f>VLOOKUP(F1038,'Set up'!$A$2:$C$48,2,FALSE)</f>
        <v>C00000022</v>
      </c>
      <c r="F1038" s="1" t="s">
        <v>638</v>
      </c>
      <c r="G1038" s="11" t="s">
        <v>952</v>
      </c>
      <c r="H1038" s="5">
        <v>1</v>
      </c>
      <c r="I1038" s="5" t="str">
        <f>VLOOKUP(F1038,'Set up'!$A$2:$C$48,3,FALSE)</f>
        <v>Cash</v>
      </c>
      <c r="J1038" s="5">
        <f>VLOOKUP(F1038,'Set up'!$A$2:$D$48,4,FALSE)</f>
        <v>0</v>
      </c>
      <c r="K1038" s="4">
        <f t="shared" si="229"/>
        <v>44830</v>
      </c>
      <c r="L1038" s="5">
        <f t="shared" si="264"/>
        <v>9</v>
      </c>
      <c r="M1038" s="5">
        <f t="shared" si="265"/>
        <v>2022</v>
      </c>
      <c r="N1038" s="6">
        <v>315</v>
      </c>
      <c r="O1038" s="6">
        <f t="shared" si="266"/>
        <v>-315</v>
      </c>
      <c r="P1038" s="6">
        <f t="shared" si="258"/>
        <v>0</v>
      </c>
      <c r="Q1038" s="7">
        <f t="shared" si="259"/>
        <v>1851914.0500000007</v>
      </c>
      <c r="R1038" s="44" t="str">
        <f>VLOOKUP(F1038,'Set up'!$A$2:$E$48,5,FALSE)</f>
        <v>Trsf</v>
      </c>
      <c r="S1038" s="1" t="s">
        <v>983</v>
      </c>
    </row>
    <row r="1039" spans="1:19" hidden="1" x14ac:dyDescent="0.3">
      <c r="A1039" s="4">
        <v>44830</v>
      </c>
      <c r="B1039" s="5">
        <f t="shared" si="262"/>
        <v>9</v>
      </c>
      <c r="C1039" s="5">
        <f t="shared" si="263"/>
        <v>2022</v>
      </c>
      <c r="D1039" s="5" t="s">
        <v>954</v>
      </c>
      <c r="E1039" s="5" t="str">
        <f>VLOOKUP(F1039,'Set up'!$A$2:$C$48,2,FALSE)</f>
        <v>C00000022</v>
      </c>
      <c r="F1039" s="1" t="s">
        <v>638</v>
      </c>
      <c r="G1039" s="11" t="s">
        <v>949</v>
      </c>
      <c r="H1039" s="5">
        <v>1</v>
      </c>
      <c r="I1039" s="5" t="str">
        <f>VLOOKUP(F1039,'Set up'!$A$2:$C$48,3,FALSE)</f>
        <v>Cash</v>
      </c>
      <c r="J1039" s="5">
        <f>VLOOKUP(F1039,'Set up'!$A$2:$D$48,4,FALSE)</f>
        <v>0</v>
      </c>
      <c r="K1039" s="4">
        <f t="shared" si="229"/>
        <v>44830</v>
      </c>
      <c r="L1039" s="5">
        <f t="shared" si="264"/>
        <v>9</v>
      </c>
      <c r="M1039" s="5">
        <f t="shared" si="265"/>
        <v>2022</v>
      </c>
      <c r="N1039" s="6">
        <v>105</v>
      </c>
      <c r="O1039" s="6">
        <f t="shared" si="266"/>
        <v>-105</v>
      </c>
      <c r="P1039" s="6">
        <f t="shared" si="258"/>
        <v>0</v>
      </c>
      <c r="Q1039" s="7">
        <f t="shared" si="259"/>
        <v>1852019.0500000007</v>
      </c>
      <c r="R1039" s="44" t="str">
        <f>VLOOKUP(F1039,'Set up'!$A$2:$E$48,5,FALSE)</f>
        <v>Trsf</v>
      </c>
      <c r="S1039" s="1" t="s">
        <v>983</v>
      </c>
    </row>
    <row r="1040" spans="1:19" hidden="1" x14ac:dyDescent="0.3">
      <c r="A1040" s="4">
        <v>44830</v>
      </c>
      <c r="B1040" s="5">
        <f t="shared" si="262"/>
        <v>9</v>
      </c>
      <c r="C1040" s="5">
        <f t="shared" si="263"/>
        <v>2022</v>
      </c>
      <c r="D1040" s="5" t="s">
        <v>954</v>
      </c>
      <c r="E1040" s="5" t="str">
        <f>VLOOKUP(F1040,'Set up'!$A$2:$C$48,2,FALSE)</f>
        <v>C00000022</v>
      </c>
      <c r="F1040" s="1" t="s">
        <v>638</v>
      </c>
      <c r="G1040" s="11" t="s">
        <v>955</v>
      </c>
      <c r="H1040" s="5">
        <v>1</v>
      </c>
      <c r="I1040" s="5" t="str">
        <f>VLOOKUP(F1040,'Set up'!$A$2:$C$48,3,FALSE)</f>
        <v>Cash</v>
      </c>
      <c r="J1040" s="5">
        <f>VLOOKUP(F1040,'Set up'!$A$2:$D$48,4,FALSE)</f>
        <v>0</v>
      </c>
      <c r="K1040" s="4">
        <f t="shared" si="229"/>
        <v>44830</v>
      </c>
      <c r="L1040" s="5">
        <f t="shared" si="264"/>
        <v>9</v>
      </c>
      <c r="M1040" s="5">
        <f t="shared" si="265"/>
        <v>2022</v>
      </c>
      <c r="N1040" s="6">
        <v>285</v>
      </c>
      <c r="O1040" s="6">
        <f t="shared" si="266"/>
        <v>-285</v>
      </c>
      <c r="P1040" s="6">
        <f t="shared" si="258"/>
        <v>0</v>
      </c>
      <c r="Q1040" s="7">
        <f t="shared" si="259"/>
        <v>1852304.0500000007</v>
      </c>
      <c r="R1040" s="44" t="str">
        <f>VLOOKUP(F1040,'Set up'!$A$2:$E$48,5,FALSE)</f>
        <v>Trsf</v>
      </c>
      <c r="S1040" s="1" t="s">
        <v>983</v>
      </c>
    </row>
    <row r="1041" spans="1:19" hidden="1" x14ac:dyDescent="0.3">
      <c r="A1041" s="4">
        <v>44830</v>
      </c>
      <c r="B1041" s="5">
        <f t="shared" si="262"/>
        <v>9</v>
      </c>
      <c r="C1041" s="5">
        <f t="shared" si="263"/>
        <v>2022</v>
      </c>
      <c r="D1041" s="5" t="s">
        <v>954</v>
      </c>
      <c r="E1041" s="5" t="str">
        <f>VLOOKUP(F1041,'Set up'!$A$2:$C$48,2,FALSE)</f>
        <v>C00000022</v>
      </c>
      <c r="F1041" s="1" t="s">
        <v>638</v>
      </c>
      <c r="G1041" s="11" t="s">
        <v>293</v>
      </c>
      <c r="H1041" s="5">
        <v>1</v>
      </c>
      <c r="I1041" s="5" t="str">
        <f>VLOOKUP(F1041,'Set up'!$A$2:$C$48,3,FALSE)</f>
        <v>Cash</v>
      </c>
      <c r="J1041" s="5">
        <f>VLOOKUP(F1041,'Set up'!$A$2:$D$48,4,FALSE)</f>
        <v>0</v>
      </c>
      <c r="K1041" s="4">
        <f t="shared" si="229"/>
        <v>44830</v>
      </c>
      <c r="L1041" s="5">
        <f t="shared" si="264"/>
        <v>9</v>
      </c>
      <c r="M1041" s="5">
        <f t="shared" si="265"/>
        <v>2022</v>
      </c>
      <c r="N1041" s="6">
        <v>450</v>
      </c>
      <c r="O1041" s="6">
        <f t="shared" si="266"/>
        <v>-450</v>
      </c>
      <c r="P1041" s="6">
        <f t="shared" si="258"/>
        <v>0</v>
      </c>
      <c r="Q1041" s="7">
        <f t="shared" si="259"/>
        <v>1852754.0500000007</v>
      </c>
      <c r="R1041" s="44" t="str">
        <f>VLOOKUP(F1041,'Set up'!$A$2:$E$48,5,FALSE)</f>
        <v>Trsf</v>
      </c>
      <c r="S1041" s="1" t="s">
        <v>983</v>
      </c>
    </row>
    <row r="1042" spans="1:19" hidden="1" x14ac:dyDescent="0.3">
      <c r="A1042" s="4">
        <v>44832</v>
      </c>
      <c r="B1042" s="5">
        <f t="shared" si="262"/>
        <v>9</v>
      </c>
      <c r="C1042" s="5">
        <f t="shared" si="263"/>
        <v>2022</v>
      </c>
      <c r="D1042" s="5" t="s">
        <v>956</v>
      </c>
      <c r="E1042" s="5" t="str">
        <f>VLOOKUP(F1042,'Set up'!$A$2:$C$48,2,FALSE)</f>
        <v>C00000027</v>
      </c>
      <c r="F1042" s="1" t="s">
        <v>860</v>
      </c>
      <c r="G1042" s="11" t="s">
        <v>717</v>
      </c>
      <c r="H1042" s="5">
        <v>3</v>
      </c>
      <c r="I1042" s="5" t="str">
        <f>VLOOKUP(F1042,'Set up'!$A$2:$C$48,3,FALSE)</f>
        <v>Cash</v>
      </c>
      <c r="J1042" s="5">
        <f>VLOOKUP(F1042,'Set up'!$A$2:$D$48,4,FALSE)</f>
        <v>0</v>
      </c>
      <c r="K1042" s="4">
        <f t="shared" si="229"/>
        <v>44832</v>
      </c>
      <c r="L1042" s="5">
        <f t="shared" ref="L1042:L1053" si="267">MONTH(K1042)</f>
        <v>9</v>
      </c>
      <c r="M1042" s="5">
        <f t="shared" ref="M1042:M1053" si="268">YEAR(K1042)</f>
        <v>2022</v>
      </c>
      <c r="N1042" s="6">
        <v>6006</v>
      </c>
      <c r="O1042" s="6">
        <f t="shared" si="266"/>
        <v>-6006</v>
      </c>
      <c r="P1042" s="6">
        <f t="shared" si="258"/>
        <v>0</v>
      </c>
      <c r="Q1042" s="7">
        <f t="shared" ref="Q1042:Q1053" si="269">SUM(Q1041+N1042)</f>
        <v>1858760.0500000007</v>
      </c>
      <c r="R1042" s="44" t="str">
        <f>VLOOKUP(F1042,'Set up'!$A$2:$E$48,5,FALSE)</f>
        <v>Trsf</v>
      </c>
      <c r="S1042" s="1" t="s">
        <v>1298</v>
      </c>
    </row>
    <row r="1043" spans="1:19" hidden="1" x14ac:dyDescent="0.3">
      <c r="A1043" s="4">
        <v>44832</v>
      </c>
      <c r="B1043" s="5">
        <f t="shared" ref="B1043:B1054" si="270">MONTH(A1043)</f>
        <v>9</v>
      </c>
      <c r="C1043" s="5">
        <f t="shared" ref="C1043:C1054" si="271">YEAR(A1043)</f>
        <v>2022</v>
      </c>
      <c r="D1043" s="5" t="s">
        <v>956</v>
      </c>
      <c r="E1043" s="5" t="str">
        <f>VLOOKUP(F1043,'Set up'!$A$2:$C$48,2,FALSE)</f>
        <v>C00000027</v>
      </c>
      <c r="F1043" s="1" t="s">
        <v>860</v>
      </c>
      <c r="G1043" s="11" t="s">
        <v>893</v>
      </c>
      <c r="H1043" s="5">
        <v>2</v>
      </c>
      <c r="I1043" s="5" t="str">
        <f>VLOOKUP(F1043,'Set up'!$A$2:$C$48,3,FALSE)</f>
        <v>Cash</v>
      </c>
      <c r="J1043" s="5">
        <f>VLOOKUP(F1043,'Set up'!$A$2:$D$48,4,FALSE)</f>
        <v>0</v>
      </c>
      <c r="K1043" s="4">
        <f t="shared" si="229"/>
        <v>44832</v>
      </c>
      <c r="L1043" s="5">
        <f t="shared" si="267"/>
        <v>9</v>
      </c>
      <c r="M1043" s="5">
        <f t="shared" si="268"/>
        <v>2022</v>
      </c>
      <c r="N1043" s="6">
        <v>1259.5999999999999</v>
      </c>
      <c r="O1043" s="6">
        <f t="shared" si="266"/>
        <v>-1259.5999999999999</v>
      </c>
      <c r="P1043" s="6">
        <f t="shared" si="258"/>
        <v>0</v>
      </c>
      <c r="Q1043" s="7">
        <f t="shared" si="269"/>
        <v>1860019.6500000008</v>
      </c>
      <c r="R1043" s="44" t="str">
        <f>VLOOKUP(F1043,'Set up'!$A$2:$E$48,5,FALSE)</f>
        <v>Trsf</v>
      </c>
      <c r="S1043" s="1" t="s">
        <v>1298</v>
      </c>
    </row>
    <row r="1044" spans="1:19" hidden="1" x14ac:dyDescent="0.3">
      <c r="A1044" s="4">
        <v>44832</v>
      </c>
      <c r="B1044" s="5">
        <f t="shared" si="270"/>
        <v>9</v>
      </c>
      <c r="C1044" s="5">
        <f t="shared" si="271"/>
        <v>2022</v>
      </c>
      <c r="D1044" s="5" t="s">
        <v>956</v>
      </c>
      <c r="E1044" s="5" t="str">
        <f>VLOOKUP(F1044,'Set up'!$A$2:$C$48,2,FALSE)</f>
        <v>C00000027</v>
      </c>
      <c r="F1044" s="1" t="s">
        <v>860</v>
      </c>
      <c r="G1044" s="11" t="s">
        <v>894</v>
      </c>
      <c r="H1044" s="5">
        <v>2</v>
      </c>
      <c r="I1044" s="5" t="str">
        <f>VLOOKUP(F1044,'Set up'!$A$2:$C$48,3,FALSE)</f>
        <v>Cash</v>
      </c>
      <c r="J1044" s="5">
        <f>VLOOKUP(F1044,'Set up'!$A$2:$D$48,4,FALSE)</f>
        <v>0</v>
      </c>
      <c r="K1044" s="4">
        <f t="shared" si="229"/>
        <v>44832</v>
      </c>
      <c r="L1044" s="5">
        <f t="shared" si="267"/>
        <v>9</v>
      </c>
      <c r="M1044" s="5">
        <f t="shared" si="268"/>
        <v>2022</v>
      </c>
      <c r="N1044" s="6">
        <v>1015.2</v>
      </c>
      <c r="O1044" s="6">
        <f t="shared" si="266"/>
        <v>-1015.2</v>
      </c>
      <c r="P1044" s="6">
        <f t="shared" si="258"/>
        <v>0</v>
      </c>
      <c r="Q1044" s="7">
        <f t="shared" si="269"/>
        <v>1861034.8500000008</v>
      </c>
      <c r="R1044" s="44" t="str">
        <f>VLOOKUP(F1044,'Set up'!$A$2:$E$48,5,FALSE)</f>
        <v>Trsf</v>
      </c>
      <c r="S1044" s="1" t="s">
        <v>1298</v>
      </c>
    </row>
    <row r="1045" spans="1:19" hidden="1" x14ac:dyDescent="0.3">
      <c r="A1045" s="4">
        <v>44832</v>
      </c>
      <c r="B1045" s="5">
        <f t="shared" si="270"/>
        <v>9</v>
      </c>
      <c r="C1045" s="5">
        <f t="shared" si="271"/>
        <v>2022</v>
      </c>
      <c r="D1045" s="5" t="s">
        <v>956</v>
      </c>
      <c r="E1045" s="5" t="str">
        <f>VLOOKUP(F1045,'Set up'!$A$2:$C$48,2,FALSE)</f>
        <v>C00000027</v>
      </c>
      <c r="F1045" s="1" t="s">
        <v>860</v>
      </c>
      <c r="G1045" s="11" t="s">
        <v>958</v>
      </c>
      <c r="H1045" s="5">
        <v>2</v>
      </c>
      <c r="I1045" s="5" t="str">
        <f>VLOOKUP(F1045,'Set up'!$A$2:$C$48,3,FALSE)</f>
        <v>Cash</v>
      </c>
      <c r="J1045" s="5">
        <f>VLOOKUP(F1045,'Set up'!$A$2:$D$48,4,FALSE)</f>
        <v>0</v>
      </c>
      <c r="K1045" s="4">
        <f t="shared" si="229"/>
        <v>44832</v>
      </c>
      <c r="L1045" s="5">
        <f t="shared" si="267"/>
        <v>9</v>
      </c>
      <c r="M1045" s="5">
        <f t="shared" si="268"/>
        <v>2022</v>
      </c>
      <c r="N1045" s="6">
        <v>630</v>
      </c>
      <c r="O1045" s="6">
        <f t="shared" si="266"/>
        <v>-630</v>
      </c>
      <c r="P1045" s="6">
        <f t="shared" si="258"/>
        <v>0</v>
      </c>
      <c r="Q1045" s="7">
        <f t="shared" si="269"/>
        <v>1861664.8500000008</v>
      </c>
      <c r="R1045" s="44" t="str">
        <f>VLOOKUP(F1045,'Set up'!$A$2:$E$48,5,FALSE)</f>
        <v>Trsf</v>
      </c>
      <c r="S1045" s="1" t="s">
        <v>1298</v>
      </c>
    </row>
    <row r="1046" spans="1:19" hidden="1" x14ac:dyDescent="0.3">
      <c r="A1046" s="4">
        <v>44832</v>
      </c>
      <c r="B1046" s="5">
        <f t="shared" si="270"/>
        <v>9</v>
      </c>
      <c r="C1046" s="5">
        <f t="shared" si="271"/>
        <v>2022</v>
      </c>
      <c r="D1046" s="5" t="s">
        <v>956</v>
      </c>
      <c r="E1046" s="5" t="str">
        <f>VLOOKUP(F1046,'Set up'!$A$2:$C$48,2,FALSE)</f>
        <v>C00000027</v>
      </c>
      <c r="F1046" s="1" t="s">
        <v>860</v>
      </c>
      <c r="G1046" s="11" t="s">
        <v>895</v>
      </c>
      <c r="H1046" s="5">
        <v>4</v>
      </c>
      <c r="I1046" s="5" t="str">
        <f>VLOOKUP(F1046,'Set up'!$A$2:$C$48,3,FALSE)</f>
        <v>Cash</v>
      </c>
      <c r="J1046" s="5">
        <f>VLOOKUP(F1046,'Set up'!$A$2:$D$48,4,FALSE)</f>
        <v>0</v>
      </c>
      <c r="K1046" s="4">
        <f t="shared" si="229"/>
        <v>44832</v>
      </c>
      <c r="L1046" s="5">
        <f t="shared" si="267"/>
        <v>9</v>
      </c>
      <c r="M1046" s="5">
        <f t="shared" si="268"/>
        <v>2022</v>
      </c>
      <c r="N1046" s="6">
        <v>640</v>
      </c>
      <c r="O1046" s="6">
        <f t="shared" si="266"/>
        <v>-640</v>
      </c>
      <c r="P1046" s="6">
        <f t="shared" si="258"/>
        <v>0</v>
      </c>
      <c r="Q1046" s="7">
        <f t="shared" si="269"/>
        <v>1862304.8500000008</v>
      </c>
      <c r="R1046" s="44" t="str">
        <f>VLOOKUP(F1046,'Set up'!$A$2:$E$48,5,FALSE)</f>
        <v>Trsf</v>
      </c>
      <c r="S1046" s="1" t="s">
        <v>1298</v>
      </c>
    </row>
    <row r="1047" spans="1:19" hidden="1" x14ac:dyDescent="0.3">
      <c r="A1047" s="4">
        <v>44832</v>
      </c>
      <c r="B1047" s="5">
        <f t="shared" si="270"/>
        <v>9</v>
      </c>
      <c r="C1047" s="5">
        <f t="shared" si="271"/>
        <v>2022</v>
      </c>
      <c r="D1047" s="5" t="s">
        <v>956</v>
      </c>
      <c r="E1047" s="5" t="str">
        <f>VLOOKUP(F1047,'Set up'!$A$2:$C$48,2,FALSE)</f>
        <v>C00000027</v>
      </c>
      <c r="F1047" s="1" t="s">
        <v>860</v>
      </c>
      <c r="G1047" s="11" t="s">
        <v>667</v>
      </c>
      <c r="H1047" s="5">
        <v>1</v>
      </c>
      <c r="I1047" s="5" t="str">
        <f>VLOOKUP(F1047,'Set up'!$A$2:$C$48,3,FALSE)</f>
        <v>Cash</v>
      </c>
      <c r="J1047" s="5">
        <f>VLOOKUP(F1047,'Set up'!$A$2:$D$48,4,FALSE)</f>
        <v>0</v>
      </c>
      <c r="K1047" s="4">
        <f t="shared" si="229"/>
        <v>44832</v>
      </c>
      <c r="L1047" s="5">
        <f t="shared" si="267"/>
        <v>9</v>
      </c>
      <c r="M1047" s="5">
        <f t="shared" si="268"/>
        <v>2022</v>
      </c>
      <c r="N1047" s="6">
        <v>90</v>
      </c>
      <c r="O1047" s="6">
        <f t="shared" si="266"/>
        <v>-90</v>
      </c>
      <c r="P1047" s="6">
        <f t="shared" si="258"/>
        <v>0</v>
      </c>
      <c r="Q1047" s="7">
        <f t="shared" si="269"/>
        <v>1862394.8500000008</v>
      </c>
      <c r="R1047" s="44" t="str">
        <f>VLOOKUP(F1047,'Set up'!$A$2:$E$48,5,FALSE)</f>
        <v>Trsf</v>
      </c>
      <c r="S1047" s="1" t="s">
        <v>1298</v>
      </c>
    </row>
    <row r="1048" spans="1:19" hidden="1" x14ac:dyDescent="0.3">
      <c r="A1048" s="4">
        <v>44832</v>
      </c>
      <c r="B1048" s="5">
        <f t="shared" si="270"/>
        <v>9</v>
      </c>
      <c r="C1048" s="5">
        <f t="shared" si="271"/>
        <v>2022</v>
      </c>
      <c r="D1048" s="5" t="s">
        <v>956</v>
      </c>
      <c r="E1048" s="5" t="str">
        <f>VLOOKUP(F1048,'Set up'!$A$2:$C$48,2,FALSE)</f>
        <v>C00000027</v>
      </c>
      <c r="F1048" s="1" t="s">
        <v>860</v>
      </c>
      <c r="G1048" s="11" t="s">
        <v>865</v>
      </c>
      <c r="H1048" s="5">
        <v>1</v>
      </c>
      <c r="I1048" s="5" t="str">
        <f>VLOOKUP(F1048,'Set up'!$A$2:$C$48,3,FALSE)</f>
        <v>Cash</v>
      </c>
      <c r="J1048" s="5">
        <f>VLOOKUP(F1048,'Set up'!$A$2:$D$48,4,FALSE)</f>
        <v>0</v>
      </c>
      <c r="K1048" s="4">
        <f t="shared" ref="K1048:K1111" si="272">A1048+J1048</f>
        <v>44832</v>
      </c>
      <c r="L1048" s="5">
        <f t="shared" si="267"/>
        <v>9</v>
      </c>
      <c r="M1048" s="5">
        <f t="shared" si="268"/>
        <v>2022</v>
      </c>
      <c r="N1048" s="6">
        <v>170</v>
      </c>
      <c r="O1048" s="6">
        <f t="shared" si="266"/>
        <v>-170</v>
      </c>
      <c r="P1048" s="6">
        <f t="shared" si="258"/>
        <v>0</v>
      </c>
      <c r="Q1048" s="7">
        <f t="shared" si="269"/>
        <v>1862564.8500000008</v>
      </c>
      <c r="R1048" s="44" t="str">
        <f>VLOOKUP(F1048,'Set up'!$A$2:$E$48,5,FALSE)</f>
        <v>Trsf</v>
      </c>
      <c r="S1048" s="1" t="s">
        <v>1298</v>
      </c>
    </row>
    <row r="1049" spans="1:19" hidden="1" x14ac:dyDescent="0.3">
      <c r="A1049" s="4">
        <v>44832</v>
      </c>
      <c r="B1049" s="5">
        <f t="shared" si="270"/>
        <v>9</v>
      </c>
      <c r="C1049" s="5">
        <f t="shared" si="271"/>
        <v>2022</v>
      </c>
      <c r="D1049" s="5" t="s">
        <v>956</v>
      </c>
      <c r="E1049" s="5" t="str">
        <f>VLOOKUP(F1049,'Set up'!$A$2:$C$48,2,FALSE)</f>
        <v>C00000027</v>
      </c>
      <c r="F1049" s="1" t="s">
        <v>860</v>
      </c>
      <c r="G1049" s="11" t="s">
        <v>945</v>
      </c>
      <c r="H1049" s="5">
        <v>1</v>
      </c>
      <c r="I1049" s="5" t="str">
        <f>VLOOKUP(F1049,'Set up'!$A$2:$C$48,3,FALSE)</f>
        <v>Cash</v>
      </c>
      <c r="J1049" s="5">
        <f>VLOOKUP(F1049,'Set up'!$A$2:$D$48,4,FALSE)</f>
        <v>0</v>
      </c>
      <c r="K1049" s="4">
        <f t="shared" si="272"/>
        <v>44832</v>
      </c>
      <c r="L1049" s="5">
        <f t="shared" si="267"/>
        <v>9</v>
      </c>
      <c r="M1049" s="5">
        <f t="shared" si="268"/>
        <v>2022</v>
      </c>
      <c r="N1049" s="6">
        <v>440</v>
      </c>
      <c r="O1049" s="6">
        <f t="shared" si="266"/>
        <v>-440</v>
      </c>
      <c r="P1049" s="6">
        <f t="shared" si="258"/>
        <v>0</v>
      </c>
      <c r="Q1049" s="7">
        <f t="shared" si="269"/>
        <v>1863004.8500000008</v>
      </c>
      <c r="R1049" s="44" t="str">
        <f>VLOOKUP(F1049,'Set up'!$A$2:$E$48,5,FALSE)</f>
        <v>Trsf</v>
      </c>
      <c r="S1049" s="1" t="s">
        <v>1298</v>
      </c>
    </row>
    <row r="1050" spans="1:19" hidden="1" x14ac:dyDescent="0.3">
      <c r="A1050" s="4">
        <v>44832</v>
      </c>
      <c r="B1050" s="5">
        <f t="shared" si="270"/>
        <v>9</v>
      </c>
      <c r="C1050" s="5">
        <f t="shared" si="271"/>
        <v>2022</v>
      </c>
      <c r="D1050" s="5" t="s">
        <v>956</v>
      </c>
      <c r="E1050" s="5" t="str">
        <f>VLOOKUP(F1050,'Set up'!$A$2:$C$48,2,FALSE)</f>
        <v>C00000027</v>
      </c>
      <c r="F1050" s="1" t="s">
        <v>860</v>
      </c>
      <c r="G1050" s="11" t="s">
        <v>866</v>
      </c>
      <c r="H1050" s="5">
        <v>4</v>
      </c>
      <c r="I1050" s="5" t="str">
        <f>VLOOKUP(F1050,'Set up'!$A$2:$C$48,3,FALSE)</f>
        <v>Cash</v>
      </c>
      <c r="J1050" s="5">
        <f>VLOOKUP(F1050,'Set up'!$A$2:$D$48,4,FALSE)</f>
        <v>0</v>
      </c>
      <c r="K1050" s="4">
        <f t="shared" si="272"/>
        <v>44832</v>
      </c>
      <c r="L1050" s="5">
        <f t="shared" si="267"/>
        <v>9</v>
      </c>
      <c r="M1050" s="5">
        <f t="shared" si="268"/>
        <v>2022</v>
      </c>
      <c r="N1050" s="6">
        <v>1016</v>
      </c>
      <c r="O1050" s="6">
        <f t="shared" si="266"/>
        <v>-1016</v>
      </c>
      <c r="P1050" s="6">
        <f t="shared" si="258"/>
        <v>0</v>
      </c>
      <c r="Q1050" s="7">
        <f t="shared" si="269"/>
        <v>1864020.8500000008</v>
      </c>
      <c r="R1050" s="44" t="str">
        <f>VLOOKUP(F1050,'Set up'!$A$2:$E$48,5,FALSE)</f>
        <v>Trsf</v>
      </c>
      <c r="S1050" s="1" t="s">
        <v>1298</v>
      </c>
    </row>
    <row r="1051" spans="1:19" hidden="1" x14ac:dyDescent="0.3">
      <c r="A1051" s="4">
        <v>44832</v>
      </c>
      <c r="B1051" s="5">
        <f t="shared" si="270"/>
        <v>9</v>
      </c>
      <c r="C1051" s="5">
        <f t="shared" si="271"/>
        <v>2022</v>
      </c>
      <c r="D1051" s="5" t="s">
        <v>957</v>
      </c>
      <c r="E1051" s="5" t="str">
        <f>VLOOKUP(F1051,'Set up'!$A$2:$C$48,2,FALSE)</f>
        <v>C00000029</v>
      </c>
      <c r="F1051" s="1" t="s">
        <v>959</v>
      </c>
      <c r="G1051" s="11" t="s">
        <v>67</v>
      </c>
      <c r="H1051" s="5">
        <v>1</v>
      </c>
      <c r="I1051" s="5" t="str">
        <f>VLOOKUP(F1051,'Set up'!$A$2:$C$48,3,FALSE)</f>
        <v>Cash</v>
      </c>
      <c r="J1051" s="5">
        <f>VLOOKUP(F1051,'Set up'!$A$2:$D$48,4,FALSE)</f>
        <v>0</v>
      </c>
      <c r="K1051" s="4">
        <f t="shared" si="272"/>
        <v>44832</v>
      </c>
      <c r="L1051" s="5">
        <f t="shared" si="267"/>
        <v>9</v>
      </c>
      <c r="M1051" s="5">
        <f t="shared" si="268"/>
        <v>2022</v>
      </c>
      <c r="N1051" s="6">
        <v>1848</v>
      </c>
      <c r="O1051" s="6">
        <f t="shared" ref="O1051:O1058" si="273">-N1051</f>
        <v>-1848</v>
      </c>
      <c r="P1051" s="6">
        <f t="shared" si="258"/>
        <v>0</v>
      </c>
      <c r="Q1051" s="7">
        <f t="shared" si="269"/>
        <v>1865868.8500000008</v>
      </c>
      <c r="R1051" s="44" t="str">
        <f>VLOOKUP(F1051,'Set up'!$A$2:$E$48,5,FALSE)</f>
        <v>Trsf</v>
      </c>
      <c r="S1051" s="1" t="s">
        <v>975</v>
      </c>
    </row>
    <row r="1052" spans="1:19" hidden="1" x14ac:dyDescent="0.3">
      <c r="A1052" s="4">
        <v>44832</v>
      </c>
      <c r="B1052" s="5">
        <f t="shared" si="270"/>
        <v>9</v>
      </c>
      <c r="C1052" s="5">
        <f t="shared" si="271"/>
        <v>2022</v>
      </c>
      <c r="D1052" s="5" t="s">
        <v>957</v>
      </c>
      <c r="E1052" s="5" t="str">
        <f>VLOOKUP(F1052,'Set up'!$A$2:$C$48,2,FALSE)</f>
        <v>C00000029</v>
      </c>
      <c r="F1052" s="1" t="s">
        <v>959</v>
      </c>
      <c r="G1052" s="11" t="s">
        <v>667</v>
      </c>
      <c r="H1052" s="5">
        <v>1</v>
      </c>
      <c r="I1052" s="5" t="str">
        <f>VLOOKUP(F1052,'Set up'!$A$2:$C$48,3,FALSE)</f>
        <v>Cash</v>
      </c>
      <c r="J1052" s="5">
        <f>VLOOKUP(F1052,'Set up'!$A$2:$D$48,4,FALSE)</f>
        <v>0</v>
      </c>
      <c r="K1052" s="4">
        <f t="shared" si="272"/>
        <v>44832</v>
      </c>
      <c r="L1052" s="5">
        <f t="shared" si="267"/>
        <v>9</v>
      </c>
      <c r="M1052" s="5">
        <f t="shared" si="268"/>
        <v>2022</v>
      </c>
      <c r="N1052" s="6">
        <v>85</v>
      </c>
      <c r="O1052" s="6">
        <f t="shared" si="273"/>
        <v>-85</v>
      </c>
      <c r="P1052" s="6">
        <f t="shared" si="258"/>
        <v>0</v>
      </c>
      <c r="Q1052" s="7">
        <f t="shared" si="269"/>
        <v>1865953.8500000008</v>
      </c>
      <c r="R1052" s="44" t="str">
        <f>VLOOKUP(F1052,'Set up'!$A$2:$E$48,5,FALSE)</f>
        <v>Trsf</v>
      </c>
      <c r="S1052" s="1" t="s">
        <v>975</v>
      </c>
    </row>
    <row r="1053" spans="1:19" hidden="1" x14ac:dyDescent="0.3">
      <c r="A1053" s="4">
        <v>44832</v>
      </c>
      <c r="B1053" s="5">
        <f t="shared" si="270"/>
        <v>9</v>
      </c>
      <c r="C1053" s="5">
        <f t="shared" si="271"/>
        <v>2022</v>
      </c>
      <c r="D1053" s="5" t="s">
        <v>957</v>
      </c>
      <c r="E1053" s="5" t="str">
        <f>VLOOKUP(F1053,'Set up'!$A$2:$C$48,2,FALSE)</f>
        <v>C00000029</v>
      </c>
      <c r="F1053" s="1" t="s">
        <v>959</v>
      </c>
      <c r="G1053" s="11" t="s">
        <v>64</v>
      </c>
      <c r="H1053" s="5">
        <v>1</v>
      </c>
      <c r="I1053" s="5" t="str">
        <f>VLOOKUP(F1053,'Set up'!$A$2:$C$48,3,FALSE)</f>
        <v>Cash</v>
      </c>
      <c r="J1053" s="5">
        <f>VLOOKUP(F1053,'Set up'!$A$2:$D$48,4,FALSE)</f>
        <v>0</v>
      </c>
      <c r="K1053" s="4">
        <f t="shared" si="272"/>
        <v>44832</v>
      </c>
      <c r="L1053" s="5">
        <f t="shared" si="267"/>
        <v>9</v>
      </c>
      <c r="M1053" s="5">
        <f t="shared" si="268"/>
        <v>2022</v>
      </c>
      <c r="N1053" s="6">
        <v>62.5</v>
      </c>
      <c r="O1053" s="6">
        <f t="shared" si="273"/>
        <v>-62.5</v>
      </c>
      <c r="P1053" s="6">
        <f t="shared" si="258"/>
        <v>0</v>
      </c>
      <c r="Q1053" s="7">
        <f t="shared" si="269"/>
        <v>1866016.3500000008</v>
      </c>
      <c r="R1053" s="44" t="str">
        <f>VLOOKUP(F1053,'Set up'!$A$2:$E$48,5,FALSE)</f>
        <v>Trsf</v>
      </c>
      <c r="S1053" s="1" t="s">
        <v>975</v>
      </c>
    </row>
    <row r="1054" spans="1:19" hidden="1" x14ac:dyDescent="0.3">
      <c r="A1054" s="4">
        <v>44835</v>
      </c>
      <c r="B1054" s="5">
        <f t="shared" si="270"/>
        <v>10</v>
      </c>
      <c r="C1054" s="5">
        <f t="shared" si="271"/>
        <v>2022</v>
      </c>
      <c r="D1054" s="5" t="s">
        <v>987</v>
      </c>
      <c r="E1054" s="5" t="str">
        <f>VLOOKUP(F1054,'Set up'!$A$2:$C$48,2,FALSE)</f>
        <v>C00000010</v>
      </c>
      <c r="F1054" s="1" t="s">
        <v>62</v>
      </c>
      <c r="G1054" s="11" t="s">
        <v>304</v>
      </c>
      <c r="H1054" s="5">
        <v>5</v>
      </c>
      <c r="I1054" s="5">
        <f>VLOOKUP(F1054,'Set up'!$A$2:$C$48,3,FALSE)</f>
        <v>120</v>
      </c>
      <c r="J1054" s="5">
        <f>VLOOKUP(F1054,'Set up'!$A$2:$D$48,4,FALSE)</f>
        <v>120</v>
      </c>
      <c r="K1054" s="4">
        <f t="shared" si="272"/>
        <v>44955</v>
      </c>
      <c r="L1054" s="5">
        <f t="shared" ref="L1054:L1058" si="274">MONTH(K1054)</f>
        <v>1</v>
      </c>
      <c r="M1054" s="5">
        <f t="shared" ref="M1054:M1058" si="275">YEAR(K1054)</f>
        <v>2023</v>
      </c>
      <c r="N1054" s="6">
        <v>9130</v>
      </c>
      <c r="O1054" s="6">
        <f t="shared" si="273"/>
        <v>-9130</v>
      </c>
      <c r="P1054" s="6">
        <f t="shared" ref="P1054:P1079" si="276">SUM(N1054+O1054)</f>
        <v>0</v>
      </c>
      <c r="Q1054" s="7">
        <f t="shared" ref="Q1054:Q1079" si="277">SUM(Q1053+N1054)</f>
        <v>1875146.3500000008</v>
      </c>
      <c r="R1054" s="44" t="str">
        <f>VLOOKUP(F1054,'Set up'!$A$2:$E$48,5,FALSE)</f>
        <v>Trsf</v>
      </c>
      <c r="S1054" s="1" t="s">
        <v>1227</v>
      </c>
    </row>
    <row r="1055" spans="1:19" hidden="1" x14ac:dyDescent="0.3">
      <c r="A1055" s="4">
        <v>44835</v>
      </c>
      <c r="B1055" s="5">
        <f t="shared" ref="B1055:B1079" si="278">MONTH(A1055)</f>
        <v>10</v>
      </c>
      <c r="C1055" s="5">
        <f t="shared" ref="C1055:C1079" si="279">YEAR(A1055)</f>
        <v>2022</v>
      </c>
      <c r="D1055" s="5" t="s">
        <v>987</v>
      </c>
      <c r="E1055" s="5" t="str">
        <f>VLOOKUP(F1055,'Set up'!$A$2:$C$48,2,FALSE)</f>
        <v>C00000010</v>
      </c>
      <c r="F1055" s="1" t="s">
        <v>62</v>
      </c>
      <c r="G1055" s="11" t="s">
        <v>914</v>
      </c>
      <c r="H1055" s="5">
        <v>10</v>
      </c>
      <c r="I1055" s="5">
        <f>VLOOKUP(F1055,'Set up'!$A$2:$C$48,3,FALSE)</f>
        <v>120</v>
      </c>
      <c r="J1055" s="5">
        <f>VLOOKUP(F1055,'Set up'!$A$2:$D$48,4,FALSE)</f>
        <v>120</v>
      </c>
      <c r="K1055" s="4">
        <f t="shared" si="272"/>
        <v>44955</v>
      </c>
      <c r="L1055" s="5">
        <f t="shared" si="274"/>
        <v>1</v>
      </c>
      <c r="M1055" s="5">
        <f t="shared" si="275"/>
        <v>2023</v>
      </c>
      <c r="N1055" s="6">
        <v>2520</v>
      </c>
      <c r="O1055" s="6">
        <f t="shared" si="273"/>
        <v>-2520</v>
      </c>
      <c r="P1055" s="6">
        <f t="shared" si="276"/>
        <v>0</v>
      </c>
      <c r="Q1055" s="7">
        <f t="shared" si="277"/>
        <v>1877666.3500000008</v>
      </c>
      <c r="R1055" s="44" t="str">
        <f>VLOOKUP(F1055,'Set up'!$A$2:$E$48,5,FALSE)</f>
        <v>Trsf</v>
      </c>
      <c r="S1055" s="1" t="s">
        <v>1227</v>
      </c>
    </row>
    <row r="1056" spans="1:19" hidden="1" x14ac:dyDescent="0.3">
      <c r="A1056" s="4">
        <v>44835</v>
      </c>
      <c r="B1056" s="5">
        <f t="shared" si="278"/>
        <v>10</v>
      </c>
      <c r="C1056" s="5">
        <f t="shared" si="279"/>
        <v>2022</v>
      </c>
      <c r="D1056" s="5" t="s">
        <v>987</v>
      </c>
      <c r="E1056" s="5" t="str">
        <f>VLOOKUP(F1056,'Set up'!$A$2:$C$48,2,FALSE)</f>
        <v>C00000010</v>
      </c>
      <c r="F1056" s="1" t="s">
        <v>62</v>
      </c>
      <c r="G1056" s="11" t="s">
        <v>64</v>
      </c>
      <c r="H1056" s="5">
        <v>10</v>
      </c>
      <c r="I1056" s="5">
        <f>VLOOKUP(F1056,'Set up'!$A$2:$C$48,3,FALSE)</f>
        <v>120</v>
      </c>
      <c r="J1056" s="5">
        <f>VLOOKUP(F1056,'Set up'!$A$2:$D$48,4,FALSE)</f>
        <v>120</v>
      </c>
      <c r="K1056" s="4">
        <f t="shared" si="272"/>
        <v>44955</v>
      </c>
      <c r="L1056" s="5">
        <f t="shared" si="274"/>
        <v>1</v>
      </c>
      <c r="M1056" s="5">
        <f t="shared" si="275"/>
        <v>2023</v>
      </c>
      <c r="N1056" s="6">
        <v>575</v>
      </c>
      <c r="O1056" s="6">
        <f t="shared" si="273"/>
        <v>-575</v>
      </c>
      <c r="P1056" s="6">
        <f t="shared" si="276"/>
        <v>0</v>
      </c>
      <c r="Q1056" s="7">
        <f t="shared" si="277"/>
        <v>1878241.3500000008</v>
      </c>
      <c r="R1056" s="44" t="str">
        <f>VLOOKUP(F1056,'Set up'!$A$2:$E$48,5,FALSE)</f>
        <v>Trsf</v>
      </c>
      <c r="S1056" s="1" t="s">
        <v>1227</v>
      </c>
    </row>
    <row r="1057" spans="1:19" hidden="1" x14ac:dyDescent="0.3">
      <c r="A1057" s="4">
        <v>44835</v>
      </c>
      <c r="B1057" s="5">
        <f t="shared" si="278"/>
        <v>10</v>
      </c>
      <c r="C1057" s="5">
        <f t="shared" si="279"/>
        <v>2022</v>
      </c>
      <c r="D1057" s="5" t="s">
        <v>987</v>
      </c>
      <c r="E1057" s="5" t="str">
        <f>VLOOKUP(F1057,'Set up'!$A$2:$C$48,2,FALSE)</f>
        <v>C00000010</v>
      </c>
      <c r="F1057" s="1" t="s">
        <v>62</v>
      </c>
      <c r="G1057" s="11" t="s">
        <v>945</v>
      </c>
      <c r="H1057" s="5">
        <v>1</v>
      </c>
      <c r="I1057" s="5">
        <f>VLOOKUP(F1057,'Set up'!$A$2:$C$48,3,FALSE)</f>
        <v>120</v>
      </c>
      <c r="J1057" s="5">
        <f>VLOOKUP(F1057,'Set up'!$A$2:$D$48,4,FALSE)</f>
        <v>120</v>
      </c>
      <c r="K1057" s="4">
        <f t="shared" si="272"/>
        <v>44955</v>
      </c>
      <c r="L1057" s="5">
        <f t="shared" si="274"/>
        <v>1</v>
      </c>
      <c r="M1057" s="5">
        <f t="shared" si="275"/>
        <v>2023</v>
      </c>
      <c r="N1057" s="6">
        <v>420</v>
      </c>
      <c r="O1057" s="6">
        <f t="shared" si="273"/>
        <v>-420</v>
      </c>
      <c r="P1057" s="6">
        <f t="shared" si="276"/>
        <v>0</v>
      </c>
      <c r="Q1057" s="7">
        <f t="shared" si="277"/>
        <v>1878661.3500000008</v>
      </c>
      <c r="R1057" s="44" t="str">
        <f>VLOOKUP(F1057,'Set up'!$A$2:$E$48,5,FALSE)</f>
        <v>Trsf</v>
      </c>
      <c r="S1057" s="1" t="s">
        <v>1227</v>
      </c>
    </row>
    <row r="1058" spans="1:19" hidden="1" x14ac:dyDescent="0.3">
      <c r="A1058" s="4">
        <v>44835</v>
      </c>
      <c r="B1058" s="5">
        <f t="shared" si="278"/>
        <v>10</v>
      </c>
      <c r="C1058" s="5">
        <f t="shared" si="279"/>
        <v>2022</v>
      </c>
      <c r="D1058" s="5" t="s">
        <v>987</v>
      </c>
      <c r="E1058" s="5" t="str">
        <f>VLOOKUP(F1058,'Set up'!$A$2:$C$48,2,FALSE)</f>
        <v>C00000010</v>
      </c>
      <c r="F1058" s="1" t="s">
        <v>62</v>
      </c>
      <c r="G1058" s="11" t="s">
        <v>946</v>
      </c>
      <c r="H1058" s="5">
        <v>4</v>
      </c>
      <c r="I1058" s="5">
        <f>VLOOKUP(F1058,'Set up'!$A$2:$C$48,3,FALSE)</f>
        <v>120</v>
      </c>
      <c r="J1058" s="5">
        <f>VLOOKUP(F1058,'Set up'!$A$2:$D$48,4,FALSE)</f>
        <v>120</v>
      </c>
      <c r="K1058" s="4">
        <f t="shared" si="272"/>
        <v>44955</v>
      </c>
      <c r="L1058" s="5">
        <f t="shared" si="274"/>
        <v>1</v>
      </c>
      <c r="M1058" s="5">
        <f t="shared" si="275"/>
        <v>2023</v>
      </c>
      <c r="N1058" s="6">
        <v>420</v>
      </c>
      <c r="O1058" s="6">
        <f t="shared" si="273"/>
        <v>-420</v>
      </c>
      <c r="P1058" s="6">
        <f t="shared" si="276"/>
        <v>0</v>
      </c>
      <c r="Q1058" s="7">
        <f t="shared" si="277"/>
        <v>1879081.3500000008</v>
      </c>
      <c r="R1058" s="44" t="str">
        <f>VLOOKUP(F1058,'Set up'!$A$2:$E$48,5,FALSE)</f>
        <v>Trsf</v>
      </c>
      <c r="S1058" s="1" t="s">
        <v>1227</v>
      </c>
    </row>
    <row r="1059" spans="1:19" x14ac:dyDescent="0.3">
      <c r="A1059" s="4" t="s">
        <v>993</v>
      </c>
      <c r="B1059" s="5">
        <f t="shared" si="278"/>
        <v>10</v>
      </c>
      <c r="C1059" s="5">
        <f t="shared" si="279"/>
        <v>2022</v>
      </c>
      <c r="D1059" s="5" t="s">
        <v>988</v>
      </c>
      <c r="E1059" s="5" t="str">
        <f>VLOOKUP(F1059,'Set up'!$A$2:$C$48,2,FALSE)</f>
        <v>C00000020</v>
      </c>
      <c r="F1059" s="1" t="s">
        <v>410</v>
      </c>
      <c r="G1059" s="11" t="s">
        <v>720</v>
      </c>
      <c r="H1059" s="5">
        <v>15</v>
      </c>
      <c r="I1059" s="5" t="str">
        <f>VLOOKUP(F1059,'Set up'!$A$2:$C$48,3,FALSE)</f>
        <v>Cash</v>
      </c>
      <c r="J1059" s="5">
        <f>VLOOKUP(F1059,'Set up'!$A$2:$D$48,4,FALSE)</f>
        <v>0</v>
      </c>
      <c r="K1059" s="4">
        <f t="shared" si="272"/>
        <v>44837</v>
      </c>
      <c r="L1059" s="5">
        <f t="shared" ref="L1059:L1064" si="280">MONTH(K1059)</f>
        <v>10</v>
      </c>
      <c r="M1059" s="5">
        <f t="shared" ref="M1059:M1064" si="281">YEAR(K1059)</f>
        <v>2022</v>
      </c>
      <c r="N1059" s="6">
        <v>27060</v>
      </c>
      <c r="O1059" s="6">
        <f>-928.2-9700-11000-5431.8</f>
        <v>-27060</v>
      </c>
      <c r="P1059" s="6">
        <f t="shared" si="276"/>
        <v>0</v>
      </c>
      <c r="Q1059" s="7">
        <f t="shared" si="277"/>
        <v>1906141.3500000008</v>
      </c>
      <c r="R1059" s="44" t="str">
        <f>VLOOKUP(F1059,'Set up'!$A$2:$E$48,5,FALSE)</f>
        <v>Trsf</v>
      </c>
      <c r="S1059" s="1" t="s">
        <v>1287</v>
      </c>
    </row>
    <row r="1060" spans="1:19" x14ac:dyDescent="0.3">
      <c r="A1060" s="4" t="s">
        <v>993</v>
      </c>
      <c r="B1060" s="5">
        <f t="shared" si="278"/>
        <v>10</v>
      </c>
      <c r="C1060" s="5">
        <f t="shared" si="279"/>
        <v>2022</v>
      </c>
      <c r="D1060" s="5" t="s">
        <v>988</v>
      </c>
      <c r="E1060" s="5" t="str">
        <f>VLOOKUP(F1060,'Set up'!$A$2:$C$48,2,FALSE)</f>
        <v>C00000020</v>
      </c>
      <c r="F1060" s="1" t="s">
        <v>410</v>
      </c>
      <c r="G1060" s="11" t="s">
        <v>989</v>
      </c>
      <c r="H1060" s="5">
        <v>45</v>
      </c>
      <c r="I1060" s="5" t="str">
        <f>VLOOKUP(F1060,'Set up'!$A$2:$C$48,3,FALSE)</f>
        <v>Cash</v>
      </c>
      <c r="J1060" s="5">
        <f>VLOOKUP(F1060,'Set up'!$A$2:$D$48,4,FALSE)</f>
        <v>0</v>
      </c>
      <c r="K1060" s="4">
        <f t="shared" si="272"/>
        <v>44837</v>
      </c>
      <c r="L1060" s="5">
        <f t="shared" si="280"/>
        <v>10</v>
      </c>
      <c r="M1060" s="5">
        <f t="shared" si="281"/>
        <v>2022</v>
      </c>
      <c r="N1060" s="6">
        <v>11340</v>
      </c>
      <c r="O1060" s="6">
        <f>-4068.2-6000-1271.8</f>
        <v>-11340</v>
      </c>
      <c r="P1060" s="6">
        <f t="shared" si="276"/>
        <v>0</v>
      </c>
      <c r="Q1060" s="7">
        <f t="shared" si="277"/>
        <v>1917481.3500000008</v>
      </c>
      <c r="R1060" s="44" t="str">
        <f>VLOOKUP(F1060,'Set up'!$A$2:$E$48,5,FALSE)</f>
        <v>Trsf</v>
      </c>
      <c r="S1060" s="1" t="s">
        <v>1288</v>
      </c>
    </row>
    <row r="1061" spans="1:19" x14ac:dyDescent="0.3">
      <c r="A1061" s="4" t="s">
        <v>993</v>
      </c>
      <c r="B1061" s="5">
        <f t="shared" si="278"/>
        <v>10</v>
      </c>
      <c r="C1061" s="5">
        <f t="shared" si="279"/>
        <v>2022</v>
      </c>
      <c r="D1061" s="5" t="s">
        <v>988</v>
      </c>
      <c r="E1061" s="5" t="str">
        <f>VLOOKUP(F1061,'Set up'!$A$2:$C$48,2,FALSE)</f>
        <v>C00000020</v>
      </c>
      <c r="F1061" s="1" t="s">
        <v>410</v>
      </c>
      <c r="G1061" s="11" t="s">
        <v>990</v>
      </c>
      <c r="H1061" s="5">
        <v>22</v>
      </c>
      <c r="I1061" s="5" t="str">
        <f>VLOOKUP(F1061,'Set up'!$A$2:$C$48,3,FALSE)</f>
        <v>Cash</v>
      </c>
      <c r="J1061" s="5">
        <f>VLOOKUP(F1061,'Set up'!$A$2:$D$48,4,FALSE)</f>
        <v>0</v>
      </c>
      <c r="K1061" s="4">
        <f t="shared" si="272"/>
        <v>44837</v>
      </c>
      <c r="L1061" s="5">
        <f t="shared" si="280"/>
        <v>10</v>
      </c>
      <c r="M1061" s="5">
        <f t="shared" si="281"/>
        <v>2022</v>
      </c>
      <c r="N1061" s="6">
        <v>6435</v>
      </c>
      <c r="O1061" s="6">
        <f t="shared" ref="O1061:O1064" si="282">-N1061</f>
        <v>-6435</v>
      </c>
      <c r="P1061" s="6">
        <f t="shared" si="276"/>
        <v>0</v>
      </c>
      <c r="Q1061" s="7">
        <f t="shared" si="277"/>
        <v>1923916.3500000008</v>
      </c>
      <c r="R1061" s="44" t="str">
        <f>VLOOKUP(F1061,'Set up'!$A$2:$E$48,5,FALSE)</f>
        <v>Trsf</v>
      </c>
      <c r="S1061" s="1" t="s">
        <v>1289</v>
      </c>
    </row>
    <row r="1062" spans="1:19" x14ac:dyDescent="0.3">
      <c r="A1062" s="4" t="s">
        <v>993</v>
      </c>
      <c r="B1062" s="5">
        <f t="shared" si="278"/>
        <v>10</v>
      </c>
      <c r="C1062" s="5">
        <f t="shared" si="279"/>
        <v>2022</v>
      </c>
      <c r="D1062" s="5" t="s">
        <v>988</v>
      </c>
      <c r="E1062" s="5" t="str">
        <f>VLOOKUP(F1062,'Set up'!$A$2:$C$48,2,FALSE)</f>
        <v>C00000020</v>
      </c>
      <c r="F1062" s="1" t="s">
        <v>410</v>
      </c>
      <c r="G1062" s="11" t="s">
        <v>64</v>
      </c>
      <c r="H1062" s="5">
        <v>15</v>
      </c>
      <c r="I1062" s="5" t="str">
        <f>VLOOKUP(F1062,'Set up'!$A$2:$C$48,3,FALSE)</f>
        <v>Cash</v>
      </c>
      <c r="J1062" s="5">
        <f>VLOOKUP(F1062,'Set up'!$A$2:$D$48,4,FALSE)</f>
        <v>0</v>
      </c>
      <c r="K1062" s="4">
        <f t="shared" si="272"/>
        <v>44837</v>
      </c>
      <c r="L1062" s="5">
        <f t="shared" si="280"/>
        <v>10</v>
      </c>
      <c r="M1062" s="5">
        <f t="shared" si="281"/>
        <v>2022</v>
      </c>
      <c r="N1062" s="6">
        <v>937.5</v>
      </c>
      <c r="O1062" s="6">
        <f t="shared" si="282"/>
        <v>-937.5</v>
      </c>
      <c r="P1062" s="6">
        <f t="shared" si="276"/>
        <v>0</v>
      </c>
      <c r="Q1062" s="7">
        <f t="shared" si="277"/>
        <v>1924853.8500000008</v>
      </c>
      <c r="R1062" s="44" t="str">
        <f>VLOOKUP(F1062,'Set up'!$A$2:$E$48,5,FALSE)</f>
        <v>Trsf</v>
      </c>
      <c r="S1062" s="1" t="s">
        <v>1289</v>
      </c>
    </row>
    <row r="1063" spans="1:19" x14ac:dyDescent="0.3">
      <c r="A1063" s="4" t="s">
        <v>993</v>
      </c>
      <c r="B1063" s="5">
        <f t="shared" si="278"/>
        <v>10</v>
      </c>
      <c r="C1063" s="5">
        <f t="shared" si="279"/>
        <v>2022</v>
      </c>
      <c r="D1063" s="5" t="s">
        <v>988</v>
      </c>
      <c r="E1063" s="5" t="str">
        <f>VLOOKUP(F1063,'Set up'!$A$2:$C$48,2,FALSE)</f>
        <v>C00000020</v>
      </c>
      <c r="F1063" s="1" t="s">
        <v>410</v>
      </c>
      <c r="G1063" s="11" t="s">
        <v>991</v>
      </c>
      <c r="H1063" s="5">
        <v>2</v>
      </c>
      <c r="I1063" s="5" t="str">
        <f>VLOOKUP(F1063,'Set up'!$A$2:$C$48,3,FALSE)</f>
        <v>Cash</v>
      </c>
      <c r="J1063" s="5">
        <f>VLOOKUP(F1063,'Set up'!$A$2:$D$48,4,FALSE)</f>
        <v>0</v>
      </c>
      <c r="K1063" s="4">
        <f t="shared" si="272"/>
        <v>44837</v>
      </c>
      <c r="L1063" s="5">
        <f t="shared" si="280"/>
        <v>10</v>
      </c>
      <c r="M1063" s="5">
        <f t="shared" si="281"/>
        <v>2022</v>
      </c>
      <c r="N1063" s="6">
        <v>2000</v>
      </c>
      <c r="O1063" s="6">
        <f t="shared" si="282"/>
        <v>-2000</v>
      </c>
      <c r="P1063" s="6">
        <f t="shared" si="276"/>
        <v>0</v>
      </c>
      <c r="Q1063" s="7">
        <f t="shared" si="277"/>
        <v>1926853.8500000008</v>
      </c>
      <c r="R1063" s="44" t="str">
        <f>VLOOKUP(F1063,'Set up'!$A$2:$E$48,5,FALSE)</f>
        <v>Trsf</v>
      </c>
      <c r="S1063" s="1" t="s">
        <v>1289</v>
      </c>
    </row>
    <row r="1064" spans="1:19" x14ac:dyDescent="0.3">
      <c r="A1064" s="4" t="s">
        <v>993</v>
      </c>
      <c r="B1064" s="5">
        <f t="shared" si="278"/>
        <v>10</v>
      </c>
      <c r="C1064" s="5">
        <f t="shared" si="279"/>
        <v>2022</v>
      </c>
      <c r="D1064" s="5" t="s">
        <v>988</v>
      </c>
      <c r="E1064" s="5" t="str">
        <f>VLOOKUP(F1064,'Set up'!$A$2:$C$48,2,FALSE)</f>
        <v>C00000020</v>
      </c>
      <c r="F1064" s="1" t="s">
        <v>410</v>
      </c>
      <c r="G1064" s="11" t="s">
        <v>992</v>
      </c>
      <c r="H1064" s="5">
        <v>4</v>
      </c>
      <c r="I1064" s="5" t="str">
        <f>VLOOKUP(F1064,'Set up'!$A$2:$C$48,3,FALSE)</f>
        <v>Cash</v>
      </c>
      <c r="J1064" s="5">
        <f>VLOOKUP(F1064,'Set up'!$A$2:$D$48,4,FALSE)</f>
        <v>0</v>
      </c>
      <c r="K1064" s="4">
        <f t="shared" si="272"/>
        <v>44837</v>
      </c>
      <c r="L1064" s="5">
        <f t="shared" si="280"/>
        <v>10</v>
      </c>
      <c r="M1064" s="5">
        <f t="shared" si="281"/>
        <v>2022</v>
      </c>
      <c r="N1064" s="6">
        <v>400</v>
      </c>
      <c r="O1064" s="6">
        <f t="shared" si="282"/>
        <v>-400</v>
      </c>
      <c r="P1064" s="6">
        <f t="shared" si="276"/>
        <v>0</v>
      </c>
      <c r="Q1064" s="7">
        <f t="shared" si="277"/>
        <v>1927253.8500000008</v>
      </c>
      <c r="R1064" s="44" t="str">
        <f>VLOOKUP(F1064,'Set up'!$A$2:$E$48,5,FALSE)</f>
        <v>Trsf</v>
      </c>
      <c r="S1064" s="1" t="s">
        <v>1289</v>
      </c>
    </row>
    <row r="1065" spans="1:19" hidden="1" x14ac:dyDescent="0.3">
      <c r="A1065" s="4" t="s">
        <v>995</v>
      </c>
      <c r="B1065" s="5">
        <f t="shared" si="278"/>
        <v>10</v>
      </c>
      <c r="C1065" s="5">
        <f t="shared" si="279"/>
        <v>2022</v>
      </c>
      <c r="D1065" s="5" t="s">
        <v>994</v>
      </c>
      <c r="E1065" s="5" t="str">
        <f>VLOOKUP(F1065,'Set up'!$A$2:$C$48,2,FALSE)</f>
        <v>C00000021</v>
      </c>
      <c r="F1065" s="1" t="s">
        <v>492</v>
      </c>
      <c r="G1065" s="11" t="s">
        <v>67</v>
      </c>
      <c r="H1065" s="5">
        <v>1</v>
      </c>
      <c r="I1065" s="5" t="str">
        <f>VLOOKUP(F1065,'Set up'!$A$2:$C$48,3,FALSE)</f>
        <v>Cash</v>
      </c>
      <c r="J1065" s="5">
        <f>VLOOKUP(F1065,'Set up'!$A$2:$D$48,4,FALSE)</f>
        <v>0</v>
      </c>
      <c r="K1065" s="4">
        <f t="shared" si="272"/>
        <v>44835</v>
      </c>
      <c r="L1065" s="5">
        <f t="shared" ref="L1065:L1068" si="283">MONTH(K1065)</f>
        <v>10</v>
      </c>
      <c r="M1065" s="5">
        <f t="shared" ref="M1065:M1068" si="284">YEAR(K1065)</f>
        <v>2022</v>
      </c>
      <c r="N1065" s="6">
        <v>1936</v>
      </c>
      <c r="O1065" s="6">
        <f t="shared" ref="O1065:O1068" si="285">-N1065</f>
        <v>-1936</v>
      </c>
      <c r="P1065" s="6">
        <f t="shared" si="276"/>
        <v>0</v>
      </c>
      <c r="Q1065" s="7">
        <f t="shared" si="277"/>
        <v>1929189.8500000008</v>
      </c>
      <c r="R1065" s="44" t="str">
        <f>VLOOKUP(F1065,'Set up'!$A$2:$E$48,5,FALSE)</f>
        <v>PD Chq</v>
      </c>
      <c r="S1065" s="1" t="s">
        <v>1225</v>
      </c>
    </row>
    <row r="1066" spans="1:19" hidden="1" x14ac:dyDescent="0.3">
      <c r="A1066" s="4" t="s">
        <v>995</v>
      </c>
      <c r="B1066" s="5">
        <f t="shared" si="278"/>
        <v>10</v>
      </c>
      <c r="C1066" s="5">
        <f t="shared" si="279"/>
        <v>2022</v>
      </c>
      <c r="D1066" s="5" t="s">
        <v>994</v>
      </c>
      <c r="E1066" s="5" t="str">
        <f>VLOOKUP(F1066,'Set up'!$A$2:$C$48,2,FALSE)</f>
        <v>C00000021</v>
      </c>
      <c r="F1066" s="1" t="s">
        <v>492</v>
      </c>
      <c r="G1066" s="11" t="s">
        <v>949</v>
      </c>
      <c r="H1066" s="5">
        <v>1</v>
      </c>
      <c r="I1066" s="5" t="str">
        <f>VLOOKUP(F1066,'Set up'!$A$2:$C$48,3,FALSE)</f>
        <v>Cash</v>
      </c>
      <c r="J1066" s="5">
        <f>VLOOKUP(F1066,'Set up'!$A$2:$D$48,4,FALSE)</f>
        <v>0</v>
      </c>
      <c r="K1066" s="4">
        <f t="shared" si="272"/>
        <v>44835</v>
      </c>
      <c r="L1066" s="5">
        <f t="shared" si="283"/>
        <v>10</v>
      </c>
      <c r="M1066" s="5">
        <f t="shared" si="284"/>
        <v>2022</v>
      </c>
      <c r="N1066" s="6">
        <v>100</v>
      </c>
      <c r="O1066" s="6">
        <f t="shared" si="285"/>
        <v>-100</v>
      </c>
      <c r="P1066" s="6">
        <f t="shared" si="276"/>
        <v>0</v>
      </c>
      <c r="Q1066" s="7">
        <f t="shared" si="277"/>
        <v>1929289.8500000008</v>
      </c>
      <c r="R1066" s="44" t="str">
        <f>VLOOKUP(F1066,'Set up'!$A$2:$E$48,5,FALSE)</f>
        <v>PD Chq</v>
      </c>
      <c r="S1066" s="1" t="s">
        <v>1225</v>
      </c>
    </row>
    <row r="1067" spans="1:19" hidden="1" x14ac:dyDescent="0.3">
      <c r="A1067" s="4" t="s">
        <v>995</v>
      </c>
      <c r="B1067" s="5">
        <f t="shared" si="278"/>
        <v>10</v>
      </c>
      <c r="C1067" s="5">
        <f t="shared" si="279"/>
        <v>2022</v>
      </c>
      <c r="D1067" s="5" t="s">
        <v>994</v>
      </c>
      <c r="E1067" s="5" t="str">
        <f>VLOOKUP(F1067,'Set up'!$A$2:$C$48,2,FALSE)</f>
        <v>C00000021</v>
      </c>
      <c r="F1067" s="1" t="s">
        <v>492</v>
      </c>
      <c r="G1067" s="11" t="s">
        <v>64</v>
      </c>
      <c r="H1067" s="5">
        <v>5</v>
      </c>
      <c r="I1067" s="5" t="str">
        <f>VLOOKUP(F1067,'Set up'!$A$2:$C$48,3,FALSE)</f>
        <v>Cash</v>
      </c>
      <c r="J1067" s="5">
        <f>VLOOKUP(F1067,'Set up'!$A$2:$D$48,4,FALSE)</f>
        <v>0</v>
      </c>
      <c r="K1067" s="4">
        <f t="shared" si="272"/>
        <v>44835</v>
      </c>
      <c r="L1067" s="5">
        <f t="shared" si="283"/>
        <v>10</v>
      </c>
      <c r="M1067" s="5">
        <f t="shared" si="284"/>
        <v>2022</v>
      </c>
      <c r="N1067" s="6">
        <v>312.5</v>
      </c>
      <c r="O1067" s="6">
        <f t="shared" si="285"/>
        <v>-312.5</v>
      </c>
      <c r="P1067" s="6">
        <f t="shared" si="276"/>
        <v>0</v>
      </c>
      <c r="Q1067" s="7">
        <f t="shared" si="277"/>
        <v>1929602.3500000008</v>
      </c>
      <c r="R1067" s="44" t="str">
        <f>VLOOKUP(F1067,'Set up'!$A$2:$E$48,5,FALSE)</f>
        <v>PD Chq</v>
      </c>
      <c r="S1067" s="1" t="s">
        <v>1225</v>
      </c>
    </row>
    <row r="1068" spans="1:19" hidden="1" x14ac:dyDescent="0.3">
      <c r="A1068" s="4" t="s">
        <v>995</v>
      </c>
      <c r="B1068" s="5">
        <f t="shared" si="278"/>
        <v>10</v>
      </c>
      <c r="C1068" s="5">
        <f t="shared" si="279"/>
        <v>2022</v>
      </c>
      <c r="D1068" s="5" t="s">
        <v>994</v>
      </c>
      <c r="E1068" s="5" t="str">
        <f>VLOOKUP(F1068,'Set up'!$A$2:$C$48,2,FALSE)</f>
        <v>C00000021</v>
      </c>
      <c r="F1068" s="1" t="s">
        <v>492</v>
      </c>
      <c r="G1068" s="11" t="s">
        <v>783</v>
      </c>
      <c r="H1068" s="5">
        <v>6</v>
      </c>
      <c r="I1068" s="5" t="str">
        <f>VLOOKUP(F1068,'Set up'!$A$2:$C$48,3,FALSE)</f>
        <v>Cash</v>
      </c>
      <c r="J1068" s="5">
        <f>VLOOKUP(F1068,'Set up'!$A$2:$D$48,4,FALSE)</f>
        <v>0</v>
      </c>
      <c r="K1068" s="4">
        <f t="shared" si="272"/>
        <v>44835</v>
      </c>
      <c r="L1068" s="5">
        <f t="shared" si="283"/>
        <v>10</v>
      </c>
      <c r="M1068" s="5">
        <f t="shared" si="284"/>
        <v>2022</v>
      </c>
      <c r="N1068" s="6">
        <v>288</v>
      </c>
      <c r="O1068" s="6">
        <f t="shared" si="285"/>
        <v>-288</v>
      </c>
      <c r="P1068" s="6">
        <f t="shared" si="276"/>
        <v>0</v>
      </c>
      <c r="Q1068" s="7">
        <f t="shared" si="277"/>
        <v>1929890.3500000008</v>
      </c>
      <c r="R1068" s="44" t="str">
        <f>VLOOKUP(F1068,'Set up'!$A$2:$E$48,5,FALSE)</f>
        <v>PD Chq</v>
      </c>
      <c r="S1068" s="1" t="s">
        <v>1225</v>
      </c>
    </row>
    <row r="1069" spans="1:19" hidden="1" x14ac:dyDescent="0.3">
      <c r="A1069" s="4">
        <v>44836</v>
      </c>
      <c r="B1069" s="5">
        <f t="shared" si="278"/>
        <v>10</v>
      </c>
      <c r="C1069" s="5">
        <f t="shared" si="279"/>
        <v>2022</v>
      </c>
      <c r="D1069" s="5" t="s">
        <v>996</v>
      </c>
      <c r="E1069" s="5" t="str">
        <f>VLOOKUP(F1069,'Set up'!$A$2:$C$48,2,FALSE)</f>
        <v>C00000003</v>
      </c>
      <c r="F1069" s="1" t="s">
        <v>20</v>
      </c>
      <c r="G1069" s="11" t="s">
        <v>67</v>
      </c>
      <c r="H1069" s="5">
        <v>1</v>
      </c>
      <c r="I1069" s="5">
        <f>VLOOKUP(F1069,'Set up'!$A$2:$C$48,3,FALSE)</f>
        <v>45</v>
      </c>
      <c r="J1069" s="5">
        <f>VLOOKUP(F1069,'Set up'!$A$2:$D$48,4,FALSE)</f>
        <v>45</v>
      </c>
      <c r="K1069" s="4">
        <f t="shared" si="272"/>
        <v>44881</v>
      </c>
      <c r="L1069" s="5">
        <f t="shared" ref="L1069:L1071" si="286">MONTH(K1069)</f>
        <v>11</v>
      </c>
      <c r="M1069" s="5">
        <f t="shared" ref="M1069:M1071" si="287">YEAR(K1069)</f>
        <v>2022</v>
      </c>
      <c r="N1069" s="6">
        <v>2024</v>
      </c>
      <c r="O1069" s="6">
        <f>-1800-224</f>
        <v>-2024</v>
      </c>
      <c r="P1069" s="6">
        <f t="shared" si="276"/>
        <v>0</v>
      </c>
      <c r="Q1069" s="7">
        <f t="shared" si="277"/>
        <v>1931914.3500000008</v>
      </c>
      <c r="R1069" s="44" t="str">
        <f>VLOOKUP(F1069,'Set up'!$A$2:$E$48,5,FALSE)</f>
        <v>PD Chq</v>
      </c>
      <c r="S1069" s="1" t="s">
        <v>1143</v>
      </c>
    </row>
    <row r="1070" spans="1:19" hidden="1" x14ac:dyDescent="0.3">
      <c r="A1070" s="4">
        <v>44836</v>
      </c>
      <c r="B1070" s="5">
        <f t="shared" si="278"/>
        <v>10</v>
      </c>
      <c r="C1070" s="5">
        <f t="shared" si="279"/>
        <v>2022</v>
      </c>
      <c r="D1070" s="5" t="s">
        <v>996</v>
      </c>
      <c r="E1070" s="5" t="str">
        <f>VLOOKUP(F1070,'Set up'!$A$2:$C$48,2,FALSE)</f>
        <v>C00000003</v>
      </c>
      <c r="F1070" s="1" t="s">
        <v>20</v>
      </c>
      <c r="G1070" s="11" t="s">
        <v>64</v>
      </c>
      <c r="H1070" s="5">
        <v>3</v>
      </c>
      <c r="I1070" s="5">
        <f>VLOOKUP(F1070,'Set up'!$A$2:$C$48,3,FALSE)</f>
        <v>45</v>
      </c>
      <c r="J1070" s="5">
        <f>VLOOKUP(F1070,'Set up'!$A$2:$D$48,4,FALSE)</f>
        <v>45</v>
      </c>
      <c r="K1070" s="4">
        <f t="shared" si="272"/>
        <v>44881</v>
      </c>
      <c r="L1070" s="5">
        <f t="shared" si="286"/>
        <v>11</v>
      </c>
      <c r="M1070" s="5">
        <f t="shared" si="287"/>
        <v>2022</v>
      </c>
      <c r="N1070" s="6">
        <v>195</v>
      </c>
      <c r="O1070" s="6">
        <f>-N1070</f>
        <v>-195</v>
      </c>
      <c r="P1070" s="6">
        <f t="shared" si="276"/>
        <v>0</v>
      </c>
      <c r="Q1070" s="7">
        <f t="shared" si="277"/>
        <v>1932109.3500000008</v>
      </c>
      <c r="R1070" s="44" t="str">
        <f>VLOOKUP(F1070,'Set up'!$A$2:$E$48,5,FALSE)</f>
        <v>PD Chq</v>
      </c>
      <c r="S1070" s="1" t="s">
        <v>1144</v>
      </c>
    </row>
    <row r="1071" spans="1:19" hidden="1" x14ac:dyDescent="0.3">
      <c r="A1071" s="4">
        <v>44836</v>
      </c>
      <c r="B1071" s="5">
        <f t="shared" si="278"/>
        <v>10</v>
      </c>
      <c r="C1071" s="5">
        <f t="shared" si="279"/>
        <v>2022</v>
      </c>
      <c r="D1071" s="5" t="s">
        <v>996</v>
      </c>
      <c r="E1071" s="5" t="str">
        <f>VLOOKUP(F1071,'Set up'!$A$2:$C$48,2,FALSE)</f>
        <v>C00000003</v>
      </c>
      <c r="F1071" s="1" t="s">
        <v>20</v>
      </c>
      <c r="G1071" s="11" t="s">
        <v>17</v>
      </c>
      <c r="H1071" s="5">
        <v>6</v>
      </c>
      <c r="I1071" s="5">
        <f>VLOOKUP(F1071,'Set up'!$A$2:$C$48,3,FALSE)</f>
        <v>45</v>
      </c>
      <c r="J1071" s="5">
        <f>VLOOKUP(F1071,'Set up'!$A$2:$D$48,4,FALSE)</f>
        <v>45</v>
      </c>
      <c r="K1071" s="4">
        <f t="shared" si="272"/>
        <v>44881</v>
      </c>
      <c r="L1071" s="5">
        <f t="shared" si="286"/>
        <v>11</v>
      </c>
      <c r="M1071" s="5">
        <f t="shared" si="287"/>
        <v>2022</v>
      </c>
      <c r="N1071" s="6">
        <v>630</v>
      </c>
      <c r="O1071" s="6">
        <f>-N1071</f>
        <v>-630</v>
      </c>
      <c r="P1071" s="6">
        <f t="shared" si="276"/>
        <v>0</v>
      </c>
      <c r="Q1071" s="7">
        <f t="shared" si="277"/>
        <v>1932739.3500000008</v>
      </c>
      <c r="R1071" s="44" t="str">
        <f>VLOOKUP(F1071,'Set up'!$A$2:$E$48,5,FALSE)</f>
        <v>PD Chq</v>
      </c>
      <c r="S1071" s="1" t="s">
        <v>1145</v>
      </c>
    </row>
    <row r="1072" spans="1:19" hidden="1" x14ac:dyDescent="0.3">
      <c r="A1072" s="4">
        <v>44836</v>
      </c>
      <c r="B1072" s="5">
        <f t="shared" si="278"/>
        <v>10</v>
      </c>
      <c r="C1072" s="5">
        <f t="shared" si="279"/>
        <v>2022</v>
      </c>
      <c r="D1072" s="5" t="s">
        <v>997</v>
      </c>
      <c r="E1072" s="5" t="str">
        <f>VLOOKUP(F1072,'Set up'!$A$2:$C$48,2,FALSE)</f>
        <v>C00000003</v>
      </c>
      <c r="F1072" s="1" t="s">
        <v>20</v>
      </c>
      <c r="G1072" s="11" t="s">
        <v>67</v>
      </c>
      <c r="H1072" s="5">
        <v>2</v>
      </c>
      <c r="I1072" s="5">
        <f>VLOOKUP(F1072,'Set up'!$A$2:$C$48,3,FALSE)</f>
        <v>45</v>
      </c>
      <c r="J1072" s="5">
        <f>VLOOKUP(F1072,'Set up'!$A$2:$D$48,4,FALSE)</f>
        <v>45</v>
      </c>
      <c r="K1072" s="4">
        <f t="shared" si="272"/>
        <v>44881</v>
      </c>
      <c r="L1072" s="5">
        <f t="shared" ref="L1072:L1079" si="288">MONTH(K1072)</f>
        <v>11</v>
      </c>
      <c r="M1072" s="5">
        <f t="shared" ref="M1072:M1079" si="289">YEAR(K1072)</f>
        <v>2022</v>
      </c>
      <c r="N1072" s="6">
        <v>4048</v>
      </c>
      <c r="O1072" s="6">
        <f>-751-1800-1497</f>
        <v>-4048</v>
      </c>
      <c r="P1072" s="6">
        <f t="shared" si="276"/>
        <v>0</v>
      </c>
      <c r="Q1072" s="7">
        <f t="shared" si="277"/>
        <v>1936787.3500000008</v>
      </c>
      <c r="R1072" s="44" t="str">
        <f>VLOOKUP(F1072,'Set up'!$A$2:$E$48,5,FALSE)</f>
        <v>PD Chq</v>
      </c>
      <c r="S1072" s="1" t="s">
        <v>1208</v>
      </c>
    </row>
    <row r="1073" spans="1:19" hidden="1" x14ac:dyDescent="0.3">
      <c r="A1073" s="4">
        <v>44845</v>
      </c>
      <c r="B1073" s="5">
        <f t="shared" si="278"/>
        <v>10</v>
      </c>
      <c r="C1073" s="5">
        <f t="shared" si="279"/>
        <v>2022</v>
      </c>
      <c r="D1073" s="5" t="s">
        <v>998</v>
      </c>
      <c r="E1073" s="5" t="str">
        <f>VLOOKUP(F1073,'Set up'!$A$2:$C$48,2,FALSE)</f>
        <v>C00000006</v>
      </c>
      <c r="F1073" s="1" t="s">
        <v>43</v>
      </c>
      <c r="G1073" s="11" t="s">
        <v>720</v>
      </c>
      <c r="H1073" s="5">
        <v>1</v>
      </c>
      <c r="I1073" s="5" t="str">
        <f>VLOOKUP(F1073,'Set up'!$A$2:$C$48,3,FALSE)</f>
        <v>Cash</v>
      </c>
      <c r="J1073" s="5">
        <f>VLOOKUP(F1073,'Set up'!$A$2:$D$48,4,FALSE)</f>
        <v>0</v>
      </c>
      <c r="K1073" s="4">
        <f t="shared" si="272"/>
        <v>44845</v>
      </c>
      <c r="L1073" s="5">
        <f t="shared" si="288"/>
        <v>10</v>
      </c>
      <c r="M1073" s="5">
        <f t="shared" si="289"/>
        <v>2022</v>
      </c>
      <c r="N1073" s="6">
        <v>1958</v>
      </c>
      <c r="O1073" s="6">
        <f>-N1073</f>
        <v>-1958</v>
      </c>
      <c r="P1073" s="6">
        <f t="shared" si="276"/>
        <v>0</v>
      </c>
      <c r="Q1073" s="7">
        <f t="shared" si="277"/>
        <v>1938745.3500000008</v>
      </c>
      <c r="R1073" s="44" t="str">
        <f>VLOOKUP(F1073,'Set up'!$A$2:$E$48,5,FALSE)</f>
        <v>Chq</v>
      </c>
      <c r="S1073" s="1" t="s">
        <v>1095</v>
      </c>
    </row>
    <row r="1074" spans="1:19" hidden="1" x14ac:dyDescent="0.3">
      <c r="A1074" s="4">
        <v>44845</v>
      </c>
      <c r="B1074" s="5">
        <f t="shared" si="278"/>
        <v>10</v>
      </c>
      <c r="C1074" s="5">
        <f t="shared" si="279"/>
        <v>2022</v>
      </c>
      <c r="D1074" s="5" t="s">
        <v>998</v>
      </c>
      <c r="E1074" s="5" t="str">
        <f>VLOOKUP(F1074,'Set up'!$A$2:$C$48,2,FALSE)</f>
        <v>C00000006</v>
      </c>
      <c r="F1074" s="1" t="s">
        <v>43</v>
      </c>
      <c r="G1074" s="11" t="s">
        <v>955</v>
      </c>
      <c r="H1074" s="5">
        <v>1</v>
      </c>
      <c r="I1074" s="5" t="str">
        <f>VLOOKUP(F1074,'Set up'!$A$2:$C$48,3,FALSE)</f>
        <v>Cash</v>
      </c>
      <c r="J1074" s="5">
        <f>VLOOKUP(F1074,'Set up'!$A$2:$D$48,4,FALSE)</f>
        <v>0</v>
      </c>
      <c r="K1074" s="4">
        <f t="shared" si="272"/>
        <v>44845</v>
      </c>
      <c r="L1074" s="5">
        <f t="shared" si="288"/>
        <v>10</v>
      </c>
      <c r="M1074" s="5">
        <f t="shared" si="289"/>
        <v>2022</v>
      </c>
      <c r="N1074" s="6">
        <v>279</v>
      </c>
      <c r="O1074" s="6">
        <f>-N1074</f>
        <v>-279</v>
      </c>
      <c r="P1074" s="6">
        <f t="shared" si="276"/>
        <v>0</v>
      </c>
      <c r="Q1074" s="7">
        <f t="shared" si="277"/>
        <v>1939024.3500000008</v>
      </c>
      <c r="R1074" s="44" t="str">
        <f>VLOOKUP(F1074,'Set up'!$A$2:$E$48,5,FALSE)</f>
        <v>Chq</v>
      </c>
      <c r="S1074" s="1" t="s">
        <v>1095</v>
      </c>
    </row>
    <row r="1075" spans="1:19" hidden="1" x14ac:dyDescent="0.3">
      <c r="A1075" s="4">
        <v>44845</v>
      </c>
      <c r="B1075" s="5">
        <f t="shared" si="278"/>
        <v>10</v>
      </c>
      <c r="C1075" s="5">
        <f t="shared" si="279"/>
        <v>2022</v>
      </c>
      <c r="D1075" s="5" t="s">
        <v>999</v>
      </c>
      <c r="E1075" s="5" t="str">
        <f>VLOOKUP(F1075,'Set up'!$A$2:$C$48,2,FALSE)</f>
        <v>C00000019</v>
      </c>
      <c r="F1075" s="1" t="s">
        <v>401</v>
      </c>
      <c r="G1075" s="11" t="s">
        <v>720</v>
      </c>
      <c r="H1075" s="5">
        <v>1</v>
      </c>
      <c r="I1075" s="5" t="str">
        <f>VLOOKUP(F1075,'Set up'!$A$2:$C$48,3,FALSE)</f>
        <v>Cash</v>
      </c>
      <c r="J1075" s="5">
        <f>VLOOKUP(F1075,'Set up'!$A$2:$D$48,4,FALSE)</f>
        <v>0</v>
      </c>
      <c r="K1075" s="4">
        <f t="shared" si="272"/>
        <v>44845</v>
      </c>
      <c r="L1075" s="5">
        <f t="shared" si="288"/>
        <v>10</v>
      </c>
      <c r="M1075" s="5">
        <f t="shared" si="289"/>
        <v>2022</v>
      </c>
      <c r="N1075" s="6">
        <v>1936</v>
      </c>
      <c r="O1075" s="6">
        <f t="shared" ref="O1075:O1076" si="290">-N1075</f>
        <v>-1936</v>
      </c>
      <c r="P1075" s="6">
        <f t="shared" si="276"/>
        <v>0</v>
      </c>
      <c r="Q1075" s="7">
        <f t="shared" si="277"/>
        <v>1940960.3500000008</v>
      </c>
      <c r="R1075" s="44" t="str">
        <f>VLOOKUP(F1075,'Set up'!$A$2:$E$48,5,FALSE)</f>
        <v>Trsf</v>
      </c>
      <c r="S1075" s="1" t="s">
        <v>1083</v>
      </c>
    </row>
    <row r="1076" spans="1:19" hidden="1" x14ac:dyDescent="0.3">
      <c r="A1076" s="4">
        <v>44845</v>
      </c>
      <c r="B1076" s="5">
        <f t="shared" si="278"/>
        <v>10</v>
      </c>
      <c r="C1076" s="5">
        <f t="shared" si="279"/>
        <v>2022</v>
      </c>
      <c r="D1076" s="5" t="s">
        <v>999</v>
      </c>
      <c r="E1076" s="5" t="str">
        <f>VLOOKUP(F1076,'Set up'!$A$2:$C$48,2,FALSE)</f>
        <v>C00000019</v>
      </c>
      <c r="F1076" s="1" t="s">
        <v>401</v>
      </c>
      <c r="G1076" s="11" t="s">
        <v>893</v>
      </c>
      <c r="H1076" s="5">
        <v>1</v>
      </c>
      <c r="I1076" s="5" t="str">
        <f>VLOOKUP(F1076,'Set up'!$A$2:$C$48,3,FALSE)</f>
        <v>Cash</v>
      </c>
      <c r="J1076" s="5">
        <f>VLOOKUP(F1076,'Set up'!$A$2:$D$48,4,FALSE)</f>
        <v>0</v>
      </c>
      <c r="K1076" s="4">
        <f t="shared" si="272"/>
        <v>44845</v>
      </c>
      <c r="L1076" s="5">
        <f t="shared" si="288"/>
        <v>10</v>
      </c>
      <c r="M1076" s="5">
        <f t="shared" si="289"/>
        <v>2022</v>
      </c>
      <c r="N1076" s="6">
        <v>596.29999999999995</v>
      </c>
      <c r="O1076" s="6">
        <f t="shared" si="290"/>
        <v>-596.29999999999995</v>
      </c>
      <c r="P1076" s="6">
        <f t="shared" si="276"/>
        <v>0</v>
      </c>
      <c r="Q1076" s="7">
        <f t="shared" si="277"/>
        <v>1941556.6500000008</v>
      </c>
      <c r="R1076" s="44" t="str">
        <f>VLOOKUP(F1076,'Set up'!$A$2:$E$48,5,FALSE)</f>
        <v>Trsf</v>
      </c>
      <c r="S1076" s="1" t="s">
        <v>1083</v>
      </c>
    </row>
    <row r="1077" spans="1:19" hidden="1" x14ac:dyDescent="0.3">
      <c r="A1077" s="4">
        <v>44845</v>
      </c>
      <c r="B1077" s="5">
        <f t="shared" si="278"/>
        <v>10</v>
      </c>
      <c r="C1077" s="5">
        <f t="shared" si="279"/>
        <v>2022</v>
      </c>
      <c r="D1077" s="5" t="s">
        <v>999</v>
      </c>
      <c r="E1077" s="5" t="str">
        <f>VLOOKUP(F1077,'Set up'!$A$2:$C$48,2,FALSE)</f>
        <v>C00000019</v>
      </c>
      <c r="F1077" s="1" t="s">
        <v>401</v>
      </c>
      <c r="G1077" s="11" t="s">
        <v>950</v>
      </c>
      <c r="H1077" s="5">
        <v>1</v>
      </c>
      <c r="I1077" s="5" t="str">
        <f>VLOOKUP(F1077,'Set up'!$A$2:$C$48,3,FALSE)</f>
        <v>Cash</v>
      </c>
      <c r="J1077" s="5">
        <f>VLOOKUP(F1077,'Set up'!$A$2:$D$48,4,FALSE)</f>
        <v>0</v>
      </c>
      <c r="K1077" s="4">
        <f t="shared" si="272"/>
        <v>44845</v>
      </c>
      <c r="L1077" s="5">
        <f t="shared" si="288"/>
        <v>10</v>
      </c>
      <c r="M1077" s="5">
        <f t="shared" si="289"/>
        <v>2022</v>
      </c>
      <c r="N1077" s="6">
        <v>50</v>
      </c>
      <c r="O1077" s="6">
        <f t="shared" ref="O1077" si="291">-N1077</f>
        <v>-50</v>
      </c>
      <c r="P1077" s="6">
        <f t="shared" si="276"/>
        <v>0</v>
      </c>
      <c r="Q1077" s="7">
        <f t="shared" si="277"/>
        <v>1941606.6500000008</v>
      </c>
      <c r="R1077" s="44" t="str">
        <f>VLOOKUP(F1077,'Set up'!$A$2:$E$48,5,FALSE)</f>
        <v>Trsf</v>
      </c>
      <c r="S1077" s="1" t="s">
        <v>1083</v>
      </c>
    </row>
    <row r="1078" spans="1:19" hidden="1" x14ac:dyDescent="0.3">
      <c r="A1078" s="4">
        <v>44845</v>
      </c>
      <c r="B1078" s="5">
        <f t="shared" si="278"/>
        <v>10</v>
      </c>
      <c r="C1078" s="5">
        <f t="shared" si="279"/>
        <v>2022</v>
      </c>
      <c r="D1078" s="5" t="s">
        <v>999</v>
      </c>
      <c r="E1078" s="5" t="str">
        <f>VLOOKUP(F1078,'Set up'!$A$2:$C$48,2,FALSE)</f>
        <v>C00000019</v>
      </c>
      <c r="F1078" s="1" t="s">
        <v>401</v>
      </c>
      <c r="G1078" s="11" t="s">
        <v>46</v>
      </c>
      <c r="H1078" s="5">
        <v>1</v>
      </c>
      <c r="I1078" s="5" t="str">
        <f>VLOOKUP(F1078,'Set up'!$A$2:$C$48,3,FALSE)</f>
        <v>Cash</v>
      </c>
      <c r="J1078" s="5">
        <f>VLOOKUP(F1078,'Set up'!$A$2:$D$48,4,FALSE)</f>
        <v>0</v>
      </c>
      <c r="K1078" s="4">
        <f t="shared" si="272"/>
        <v>44845</v>
      </c>
      <c r="L1078" s="5">
        <f t="shared" si="288"/>
        <v>10</v>
      </c>
      <c r="M1078" s="5">
        <f t="shared" si="289"/>
        <v>2022</v>
      </c>
      <c r="N1078" s="6">
        <v>105</v>
      </c>
      <c r="O1078" s="6">
        <f t="shared" ref="O1078" si="292">-N1078</f>
        <v>-105</v>
      </c>
      <c r="P1078" s="6">
        <f t="shared" si="276"/>
        <v>0</v>
      </c>
      <c r="Q1078" s="7">
        <f t="shared" si="277"/>
        <v>1941711.6500000008</v>
      </c>
      <c r="R1078" s="44" t="str">
        <f>VLOOKUP(F1078,'Set up'!$A$2:$E$48,5,FALSE)</f>
        <v>Trsf</v>
      </c>
      <c r="S1078" s="1" t="s">
        <v>1083</v>
      </c>
    </row>
    <row r="1079" spans="1:19" hidden="1" x14ac:dyDescent="0.3">
      <c r="A1079" s="4">
        <v>44845</v>
      </c>
      <c r="B1079" s="5">
        <f t="shared" si="278"/>
        <v>10</v>
      </c>
      <c r="C1079" s="5">
        <f t="shared" si="279"/>
        <v>2022</v>
      </c>
      <c r="D1079" s="5" t="s">
        <v>999</v>
      </c>
      <c r="E1079" s="5" t="str">
        <f>VLOOKUP(F1079,'Set up'!$A$2:$C$48,2,FALSE)</f>
        <v>C00000019</v>
      </c>
      <c r="F1079" s="1" t="s">
        <v>401</v>
      </c>
      <c r="G1079" s="11" t="s">
        <v>293</v>
      </c>
      <c r="H1079" s="5">
        <v>1</v>
      </c>
      <c r="I1079" s="5" t="str">
        <f>VLOOKUP(F1079,'Set up'!$A$2:$C$48,3,FALSE)</f>
        <v>Cash</v>
      </c>
      <c r="J1079" s="5">
        <f>VLOOKUP(F1079,'Set up'!$A$2:$D$48,4,FALSE)</f>
        <v>0</v>
      </c>
      <c r="K1079" s="4">
        <f t="shared" si="272"/>
        <v>44845</v>
      </c>
      <c r="L1079" s="5">
        <f t="shared" si="288"/>
        <v>10</v>
      </c>
      <c r="M1079" s="5">
        <f t="shared" si="289"/>
        <v>2022</v>
      </c>
      <c r="N1079" s="6">
        <v>450</v>
      </c>
      <c r="O1079" s="6">
        <f t="shared" ref="O1079:O1086" si="293">-N1079</f>
        <v>-450</v>
      </c>
      <c r="P1079" s="6">
        <f t="shared" si="276"/>
        <v>0</v>
      </c>
      <c r="Q1079" s="7">
        <f t="shared" si="277"/>
        <v>1942161.6500000008</v>
      </c>
      <c r="R1079" s="44" t="str">
        <f>VLOOKUP(F1079,'Set up'!$A$2:$E$48,5,FALSE)</f>
        <v>Trsf</v>
      </c>
      <c r="S1079" s="1" t="s">
        <v>1083</v>
      </c>
    </row>
    <row r="1080" spans="1:19" x14ac:dyDescent="0.3">
      <c r="A1080" s="4">
        <v>44847</v>
      </c>
      <c r="B1080" s="5">
        <f t="shared" ref="B1080:B1132" si="294">MONTH(A1080)</f>
        <v>10</v>
      </c>
      <c r="C1080" s="5">
        <f t="shared" ref="C1080:C1132" si="295">YEAR(A1080)</f>
        <v>2022</v>
      </c>
      <c r="D1080" s="5" t="s">
        <v>1000</v>
      </c>
      <c r="E1080" s="5" t="str">
        <f>VLOOKUP(F1080,'Set up'!$A$2:$C$48,2,FALSE)</f>
        <v>C00000020</v>
      </c>
      <c r="F1080" s="1" t="s">
        <v>410</v>
      </c>
      <c r="G1080" s="11" t="s">
        <v>720</v>
      </c>
      <c r="H1080" s="5">
        <v>3</v>
      </c>
      <c r="I1080" s="5" t="str">
        <f>VLOOKUP(F1080,'Set up'!$A$2:$C$48,3,FALSE)</f>
        <v>Cash</v>
      </c>
      <c r="J1080" s="5">
        <f>VLOOKUP(F1080,'Set up'!$A$2:$D$48,4,FALSE)</f>
        <v>0</v>
      </c>
      <c r="K1080" s="4">
        <f t="shared" si="272"/>
        <v>44847</v>
      </c>
      <c r="L1080" s="5">
        <f t="shared" ref="L1080:L1131" si="296">MONTH(K1080)</f>
        <v>10</v>
      </c>
      <c r="M1080" s="5">
        <f t="shared" ref="M1080:M1131" si="297">YEAR(K1080)</f>
        <v>2022</v>
      </c>
      <c r="N1080" s="6">
        <v>5412</v>
      </c>
      <c r="O1080" s="6">
        <f t="shared" si="293"/>
        <v>-5412</v>
      </c>
      <c r="P1080" s="6">
        <f t="shared" ref="P1080:P1143" si="298">SUM(N1080+O1080)</f>
        <v>0</v>
      </c>
      <c r="Q1080" s="7">
        <f t="shared" ref="Q1080:Q1143" si="299">SUM(Q1079+N1080)</f>
        <v>1947573.6500000008</v>
      </c>
      <c r="R1080" s="44" t="str">
        <f>VLOOKUP(F1080,'Set up'!$A$2:$E$48,5,FALSE)</f>
        <v>Trsf</v>
      </c>
      <c r="S1080" s="1" t="s">
        <v>1289</v>
      </c>
    </row>
    <row r="1081" spans="1:19" x14ac:dyDescent="0.3">
      <c r="A1081" s="4">
        <v>44847</v>
      </c>
      <c r="B1081" s="5">
        <f t="shared" si="294"/>
        <v>10</v>
      </c>
      <c r="C1081" s="5">
        <f t="shared" si="295"/>
        <v>2022</v>
      </c>
      <c r="D1081" s="5" t="s">
        <v>1000</v>
      </c>
      <c r="E1081" s="5" t="str">
        <f>VLOOKUP(F1081,'Set up'!$A$2:$C$48,2,FALSE)</f>
        <v>C00000020</v>
      </c>
      <c r="F1081" s="1" t="s">
        <v>410</v>
      </c>
      <c r="G1081" s="11" t="s">
        <v>989</v>
      </c>
      <c r="H1081" s="5">
        <v>7</v>
      </c>
      <c r="I1081" s="5" t="str">
        <f>VLOOKUP(F1081,'Set up'!$A$2:$C$48,3,FALSE)</f>
        <v>Cash</v>
      </c>
      <c r="J1081" s="5">
        <f>VLOOKUP(F1081,'Set up'!$A$2:$D$48,4,FALSE)</f>
        <v>0</v>
      </c>
      <c r="K1081" s="4">
        <f t="shared" si="272"/>
        <v>44847</v>
      </c>
      <c r="L1081" s="5">
        <f t="shared" si="296"/>
        <v>10</v>
      </c>
      <c r="M1081" s="5">
        <f t="shared" si="297"/>
        <v>2022</v>
      </c>
      <c r="N1081" s="6">
        <v>1764</v>
      </c>
      <c r="O1081" s="6">
        <f t="shared" si="293"/>
        <v>-1764</v>
      </c>
      <c r="P1081" s="6">
        <f t="shared" si="298"/>
        <v>0</v>
      </c>
      <c r="Q1081" s="7">
        <f t="shared" si="299"/>
        <v>1949337.6500000008</v>
      </c>
      <c r="R1081" s="44" t="str">
        <f>VLOOKUP(F1081,'Set up'!$A$2:$E$48,5,FALSE)</f>
        <v>Trsf</v>
      </c>
      <c r="S1081" s="1" t="s">
        <v>1289</v>
      </c>
    </row>
    <row r="1082" spans="1:19" x14ac:dyDescent="0.3">
      <c r="A1082" s="4">
        <v>44847</v>
      </c>
      <c r="B1082" s="5">
        <f t="shared" si="294"/>
        <v>10</v>
      </c>
      <c r="C1082" s="5">
        <f t="shared" si="295"/>
        <v>2022</v>
      </c>
      <c r="D1082" s="5" t="s">
        <v>1000</v>
      </c>
      <c r="E1082" s="5" t="str">
        <f>VLOOKUP(F1082,'Set up'!$A$2:$C$48,2,FALSE)</f>
        <v>C00000020</v>
      </c>
      <c r="F1082" s="1" t="s">
        <v>410</v>
      </c>
      <c r="G1082" s="11" t="s">
        <v>893</v>
      </c>
      <c r="H1082" s="5">
        <v>1</v>
      </c>
      <c r="I1082" s="5" t="str">
        <f>VLOOKUP(F1082,'Set up'!$A$2:$C$48,3,FALSE)</f>
        <v>Cash</v>
      </c>
      <c r="J1082" s="5">
        <f>VLOOKUP(F1082,'Set up'!$A$2:$D$48,4,FALSE)</f>
        <v>0</v>
      </c>
      <c r="K1082" s="4">
        <f t="shared" si="272"/>
        <v>44847</v>
      </c>
      <c r="L1082" s="5">
        <f t="shared" si="296"/>
        <v>10</v>
      </c>
      <c r="M1082" s="5">
        <f t="shared" si="297"/>
        <v>2022</v>
      </c>
      <c r="N1082" s="6">
        <v>562.79999999999995</v>
      </c>
      <c r="O1082" s="6">
        <f t="shared" si="293"/>
        <v>-562.79999999999995</v>
      </c>
      <c r="P1082" s="6">
        <f t="shared" si="298"/>
        <v>0</v>
      </c>
      <c r="Q1082" s="7">
        <f t="shared" si="299"/>
        <v>1949900.4500000009</v>
      </c>
      <c r="R1082" s="44" t="str">
        <f>VLOOKUP(F1082,'Set up'!$A$2:$E$48,5,FALSE)</f>
        <v>Trsf</v>
      </c>
      <c r="S1082" s="1" t="s">
        <v>1289</v>
      </c>
    </row>
    <row r="1083" spans="1:19" x14ac:dyDescent="0.3">
      <c r="A1083" s="4">
        <v>44847</v>
      </c>
      <c r="B1083" s="5">
        <f t="shared" si="294"/>
        <v>10</v>
      </c>
      <c r="C1083" s="5">
        <f t="shared" si="295"/>
        <v>2022</v>
      </c>
      <c r="D1083" s="5" t="s">
        <v>1000</v>
      </c>
      <c r="E1083" s="5" t="str">
        <f>VLOOKUP(F1083,'Set up'!$A$2:$C$48,2,FALSE)</f>
        <v>C00000020</v>
      </c>
      <c r="F1083" s="1" t="s">
        <v>410</v>
      </c>
      <c r="G1083" s="11" t="s">
        <v>779</v>
      </c>
      <c r="H1083" s="5">
        <v>4</v>
      </c>
      <c r="I1083" s="5" t="str">
        <f>VLOOKUP(F1083,'Set up'!$A$2:$C$48,3,FALSE)</f>
        <v>Cash</v>
      </c>
      <c r="J1083" s="5">
        <f>VLOOKUP(F1083,'Set up'!$A$2:$D$48,4,FALSE)</f>
        <v>0</v>
      </c>
      <c r="K1083" s="4">
        <f t="shared" si="272"/>
        <v>44847</v>
      </c>
      <c r="L1083" s="5">
        <f t="shared" si="296"/>
        <v>10</v>
      </c>
      <c r="M1083" s="5">
        <f t="shared" si="297"/>
        <v>2022</v>
      </c>
      <c r="N1083" s="6">
        <v>1040</v>
      </c>
      <c r="O1083" s="6">
        <f t="shared" si="293"/>
        <v>-1040</v>
      </c>
      <c r="P1083" s="6">
        <f t="shared" si="298"/>
        <v>0</v>
      </c>
      <c r="Q1083" s="7">
        <f t="shared" si="299"/>
        <v>1950940.4500000009</v>
      </c>
      <c r="R1083" s="44" t="str">
        <f>VLOOKUP(F1083,'Set up'!$A$2:$E$48,5,FALSE)</f>
        <v>Trsf</v>
      </c>
      <c r="S1083" s="1" t="s">
        <v>1289</v>
      </c>
    </row>
    <row r="1084" spans="1:19" x14ac:dyDescent="0.3">
      <c r="A1084" s="4">
        <v>44847</v>
      </c>
      <c r="B1084" s="5">
        <f t="shared" si="294"/>
        <v>10</v>
      </c>
      <c r="C1084" s="5">
        <f t="shared" si="295"/>
        <v>2022</v>
      </c>
      <c r="D1084" s="5" t="s">
        <v>1000</v>
      </c>
      <c r="E1084" s="5" t="str">
        <f>VLOOKUP(F1084,'Set up'!$A$2:$C$48,2,FALSE)</f>
        <v>C00000020</v>
      </c>
      <c r="F1084" s="1" t="s">
        <v>410</v>
      </c>
      <c r="G1084" s="11" t="s">
        <v>64</v>
      </c>
      <c r="H1084" s="5">
        <v>3</v>
      </c>
      <c r="I1084" s="5" t="str">
        <f>VLOOKUP(F1084,'Set up'!$A$2:$C$48,3,FALSE)</f>
        <v>Cash</v>
      </c>
      <c r="J1084" s="5">
        <f>VLOOKUP(F1084,'Set up'!$A$2:$D$48,4,FALSE)</f>
        <v>0</v>
      </c>
      <c r="K1084" s="4">
        <f t="shared" si="272"/>
        <v>44847</v>
      </c>
      <c r="L1084" s="5">
        <f t="shared" si="296"/>
        <v>10</v>
      </c>
      <c r="M1084" s="5">
        <f t="shared" si="297"/>
        <v>2022</v>
      </c>
      <c r="N1084" s="6">
        <v>187.5</v>
      </c>
      <c r="O1084" s="6">
        <f t="shared" si="293"/>
        <v>-187.5</v>
      </c>
      <c r="P1084" s="6">
        <f t="shared" si="298"/>
        <v>0</v>
      </c>
      <c r="Q1084" s="7">
        <f t="shared" si="299"/>
        <v>1951127.9500000009</v>
      </c>
      <c r="R1084" s="44" t="str">
        <f>VLOOKUP(F1084,'Set up'!$A$2:$E$48,5,FALSE)</f>
        <v>Trsf</v>
      </c>
      <c r="S1084" s="1" t="s">
        <v>1289</v>
      </c>
    </row>
    <row r="1085" spans="1:19" x14ac:dyDescent="0.3">
      <c r="A1085" s="4">
        <v>44847</v>
      </c>
      <c r="B1085" s="5">
        <f t="shared" si="294"/>
        <v>10</v>
      </c>
      <c r="C1085" s="5">
        <f t="shared" si="295"/>
        <v>2022</v>
      </c>
      <c r="D1085" s="5" t="s">
        <v>1000</v>
      </c>
      <c r="E1085" s="5" t="str">
        <f>VLOOKUP(F1085,'Set up'!$A$2:$C$48,2,FALSE)</f>
        <v>C00000020</v>
      </c>
      <c r="F1085" s="1" t="s">
        <v>410</v>
      </c>
      <c r="G1085" s="11" t="s">
        <v>991</v>
      </c>
      <c r="H1085" s="5">
        <v>1</v>
      </c>
      <c r="I1085" s="5" t="str">
        <f>VLOOKUP(F1085,'Set up'!$A$2:$C$48,3,FALSE)</f>
        <v>Cash</v>
      </c>
      <c r="J1085" s="5">
        <f>VLOOKUP(F1085,'Set up'!$A$2:$D$48,4,FALSE)</f>
        <v>0</v>
      </c>
      <c r="K1085" s="4">
        <f t="shared" si="272"/>
        <v>44847</v>
      </c>
      <c r="L1085" s="5">
        <f t="shared" si="296"/>
        <v>10</v>
      </c>
      <c r="M1085" s="5">
        <f t="shared" si="297"/>
        <v>2022</v>
      </c>
      <c r="N1085" s="6">
        <v>1000</v>
      </c>
      <c r="O1085" s="6">
        <f t="shared" si="293"/>
        <v>-1000</v>
      </c>
      <c r="P1085" s="6">
        <f t="shared" si="298"/>
        <v>0</v>
      </c>
      <c r="Q1085" s="7">
        <f t="shared" si="299"/>
        <v>1952127.9500000009</v>
      </c>
      <c r="R1085" s="44" t="str">
        <f>VLOOKUP(F1085,'Set up'!$A$2:$E$48,5,FALSE)</f>
        <v>Trsf</v>
      </c>
      <c r="S1085" s="1" t="s">
        <v>1289</v>
      </c>
    </row>
    <row r="1086" spans="1:19" x14ac:dyDescent="0.3">
      <c r="A1086" s="4">
        <v>44847</v>
      </c>
      <c r="B1086" s="5">
        <f t="shared" si="294"/>
        <v>10</v>
      </c>
      <c r="C1086" s="5">
        <f t="shared" si="295"/>
        <v>2022</v>
      </c>
      <c r="D1086" s="5" t="s">
        <v>1000</v>
      </c>
      <c r="E1086" s="5" t="str">
        <f>VLOOKUP(F1086,'Set up'!$A$2:$C$48,2,FALSE)</f>
        <v>C00000020</v>
      </c>
      <c r="F1086" s="1" t="s">
        <v>410</v>
      </c>
      <c r="G1086" s="11" t="s">
        <v>992</v>
      </c>
      <c r="H1086" s="5">
        <v>2</v>
      </c>
      <c r="I1086" s="5" t="str">
        <f>VLOOKUP(F1086,'Set up'!$A$2:$C$48,3,FALSE)</f>
        <v>Cash</v>
      </c>
      <c r="J1086" s="5">
        <f>VLOOKUP(F1086,'Set up'!$A$2:$D$48,4,FALSE)</f>
        <v>0</v>
      </c>
      <c r="K1086" s="4">
        <f t="shared" si="272"/>
        <v>44847</v>
      </c>
      <c r="L1086" s="5">
        <f t="shared" si="296"/>
        <v>10</v>
      </c>
      <c r="M1086" s="5">
        <f t="shared" si="297"/>
        <v>2022</v>
      </c>
      <c r="N1086" s="6">
        <v>200</v>
      </c>
      <c r="O1086" s="104">
        <f t="shared" si="293"/>
        <v>-200</v>
      </c>
      <c r="P1086" s="6">
        <f t="shared" si="298"/>
        <v>0</v>
      </c>
      <c r="Q1086" s="7">
        <f t="shared" si="299"/>
        <v>1952327.9500000009</v>
      </c>
      <c r="R1086" s="44" t="str">
        <f>VLOOKUP(F1086,'Set up'!$A$2:$E$48,5,FALSE)</f>
        <v>Trsf</v>
      </c>
      <c r="S1086" s="1" t="s">
        <v>1289</v>
      </c>
    </row>
    <row r="1087" spans="1:19" hidden="1" x14ac:dyDescent="0.3">
      <c r="A1087" s="4">
        <v>44847</v>
      </c>
      <c r="B1087" s="5">
        <f t="shared" si="294"/>
        <v>10</v>
      </c>
      <c r="C1087" s="5">
        <f t="shared" si="295"/>
        <v>2022</v>
      </c>
      <c r="D1087" s="5" t="s">
        <v>1001</v>
      </c>
      <c r="E1087" s="5" t="str">
        <f>VLOOKUP(F1087,'Set up'!$A$2:$C$48,2,FALSE)</f>
        <v>C00000021</v>
      </c>
      <c r="F1087" s="1" t="s">
        <v>492</v>
      </c>
      <c r="G1087" s="11" t="s">
        <v>67</v>
      </c>
      <c r="H1087" s="5">
        <v>1</v>
      </c>
      <c r="I1087" s="5" t="str">
        <f>VLOOKUP(F1087,'Set up'!$A$2:$C$48,3,FALSE)</f>
        <v>Cash</v>
      </c>
      <c r="J1087" s="5">
        <f>VLOOKUP(F1087,'Set up'!$A$2:$D$48,4,FALSE)</f>
        <v>0</v>
      </c>
      <c r="K1087" s="4">
        <f t="shared" si="272"/>
        <v>44847</v>
      </c>
      <c r="L1087" s="5">
        <f t="shared" si="296"/>
        <v>10</v>
      </c>
      <c r="M1087" s="5">
        <f t="shared" si="297"/>
        <v>2022</v>
      </c>
      <c r="N1087" s="6">
        <v>1936</v>
      </c>
      <c r="O1087" s="6">
        <f t="shared" ref="O1087:O1094" si="300">-N1087</f>
        <v>-1936</v>
      </c>
      <c r="P1087" s="6">
        <f t="shared" si="298"/>
        <v>0</v>
      </c>
      <c r="Q1087" s="7">
        <f t="shared" si="299"/>
        <v>1954263.9500000009</v>
      </c>
      <c r="R1087" s="44" t="str">
        <f>VLOOKUP(F1087,'Set up'!$A$2:$E$48,5,FALSE)</f>
        <v>PD Chq</v>
      </c>
      <c r="S1087" s="1" t="s">
        <v>1226</v>
      </c>
    </row>
    <row r="1088" spans="1:19" hidden="1" x14ac:dyDescent="0.3">
      <c r="A1088" s="4">
        <v>44847</v>
      </c>
      <c r="B1088" s="5">
        <f t="shared" si="294"/>
        <v>10</v>
      </c>
      <c r="C1088" s="5">
        <f t="shared" si="295"/>
        <v>2022</v>
      </c>
      <c r="D1088" s="5" t="s">
        <v>1001</v>
      </c>
      <c r="E1088" s="5" t="str">
        <f>VLOOKUP(F1088,'Set up'!$A$2:$C$48,2,FALSE)</f>
        <v>C00000021</v>
      </c>
      <c r="F1088" s="1" t="s">
        <v>492</v>
      </c>
      <c r="G1088" s="11" t="s">
        <v>989</v>
      </c>
      <c r="H1088" s="5">
        <v>2</v>
      </c>
      <c r="I1088" s="5" t="str">
        <f>VLOOKUP(F1088,'Set up'!$A$2:$C$48,3,FALSE)</f>
        <v>Cash</v>
      </c>
      <c r="J1088" s="5">
        <f>VLOOKUP(F1088,'Set up'!$A$2:$D$48,4,FALSE)</f>
        <v>0</v>
      </c>
      <c r="K1088" s="4">
        <f t="shared" si="272"/>
        <v>44847</v>
      </c>
      <c r="L1088" s="5">
        <f t="shared" si="296"/>
        <v>10</v>
      </c>
      <c r="M1088" s="5">
        <f t="shared" si="297"/>
        <v>2022</v>
      </c>
      <c r="N1088" s="6">
        <v>534</v>
      </c>
      <c r="O1088" s="6">
        <f t="shared" si="300"/>
        <v>-534</v>
      </c>
      <c r="P1088" s="6">
        <f t="shared" si="298"/>
        <v>0</v>
      </c>
      <c r="Q1088" s="7">
        <f t="shared" si="299"/>
        <v>1954797.9500000009</v>
      </c>
      <c r="R1088" s="44" t="str">
        <f>VLOOKUP(F1088,'Set up'!$A$2:$E$48,5,FALSE)</f>
        <v>PD Chq</v>
      </c>
      <c r="S1088" s="1" t="s">
        <v>1226</v>
      </c>
    </row>
    <row r="1089" spans="1:19" hidden="1" x14ac:dyDescent="0.3">
      <c r="A1089" s="4">
        <v>44847</v>
      </c>
      <c r="B1089" s="5">
        <f t="shared" si="294"/>
        <v>10</v>
      </c>
      <c r="C1089" s="5">
        <f t="shared" si="295"/>
        <v>2022</v>
      </c>
      <c r="D1089" s="5" t="s">
        <v>1001</v>
      </c>
      <c r="E1089" s="5" t="str">
        <f>VLOOKUP(F1089,'Set up'!$A$2:$C$48,2,FALSE)</f>
        <v>C00000021</v>
      </c>
      <c r="F1089" s="1" t="s">
        <v>492</v>
      </c>
      <c r="G1089" s="11" t="s">
        <v>949</v>
      </c>
      <c r="H1089" s="5">
        <v>1</v>
      </c>
      <c r="I1089" s="5" t="str">
        <f>VLOOKUP(F1089,'Set up'!$A$2:$C$48,3,FALSE)</f>
        <v>Cash</v>
      </c>
      <c r="J1089" s="5">
        <f>VLOOKUP(F1089,'Set up'!$A$2:$D$48,4,FALSE)</f>
        <v>0</v>
      </c>
      <c r="K1089" s="4">
        <f t="shared" si="272"/>
        <v>44847</v>
      </c>
      <c r="L1089" s="5">
        <f t="shared" si="296"/>
        <v>10</v>
      </c>
      <c r="M1089" s="5">
        <f t="shared" si="297"/>
        <v>2022</v>
      </c>
      <c r="N1089" s="6">
        <v>100</v>
      </c>
      <c r="O1089" s="6">
        <f t="shared" si="300"/>
        <v>-100</v>
      </c>
      <c r="P1089" s="6">
        <f t="shared" si="298"/>
        <v>0</v>
      </c>
      <c r="Q1089" s="7">
        <f t="shared" si="299"/>
        <v>1954897.9500000009</v>
      </c>
      <c r="R1089" s="44" t="str">
        <f>VLOOKUP(F1089,'Set up'!$A$2:$E$48,5,FALSE)</f>
        <v>PD Chq</v>
      </c>
      <c r="S1089" s="1" t="s">
        <v>1226</v>
      </c>
    </row>
    <row r="1090" spans="1:19" hidden="1" x14ac:dyDescent="0.3">
      <c r="A1090" s="4">
        <v>44849</v>
      </c>
      <c r="B1090" s="5">
        <f t="shared" si="294"/>
        <v>10</v>
      </c>
      <c r="C1090" s="5">
        <f t="shared" si="295"/>
        <v>2022</v>
      </c>
      <c r="D1090" s="5" t="s">
        <v>1002</v>
      </c>
      <c r="E1090" s="5" t="str">
        <f>VLOOKUP(F1090,'Set up'!$A$2:$C$48,2,FALSE)</f>
        <v>C00000010</v>
      </c>
      <c r="F1090" s="1" t="s">
        <v>62</v>
      </c>
      <c r="G1090" s="11" t="s">
        <v>304</v>
      </c>
      <c r="H1090" s="5">
        <v>5</v>
      </c>
      <c r="I1090" s="5">
        <f>VLOOKUP(F1090,'Set up'!$A$2:$C$48,3,FALSE)</f>
        <v>120</v>
      </c>
      <c r="J1090" s="5">
        <f>VLOOKUP(F1090,'Set up'!$A$2:$D$48,4,FALSE)</f>
        <v>120</v>
      </c>
      <c r="K1090" s="4">
        <f t="shared" si="272"/>
        <v>44969</v>
      </c>
      <c r="L1090" s="5">
        <f t="shared" si="296"/>
        <v>2</v>
      </c>
      <c r="M1090" s="5">
        <f t="shared" si="297"/>
        <v>2023</v>
      </c>
      <c r="N1090" s="6">
        <v>9020</v>
      </c>
      <c r="O1090" s="6">
        <f t="shared" si="300"/>
        <v>-9020</v>
      </c>
      <c r="P1090" s="6">
        <f t="shared" si="298"/>
        <v>0</v>
      </c>
      <c r="Q1090" s="7">
        <f t="shared" si="299"/>
        <v>1963917.9500000009</v>
      </c>
      <c r="R1090" s="44" t="str">
        <f>VLOOKUP(F1090,'Set up'!$A$2:$E$48,5,FALSE)</f>
        <v>Trsf</v>
      </c>
      <c r="S1090" s="1" t="s">
        <v>1227</v>
      </c>
    </row>
    <row r="1091" spans="1:19" hidden="1" x14ac:dyDescent="0.3">
      <c r="A1091" s="4">
        <v>44849</v>
      </c>
      <c r="B1091" s="5">
        <f t="shared" si="294"/>
        <v>10</v>
      </c>
      <c r="C1091" s="5">
        <f t="shared" si="295"/>
        <v>2022</v>
      </c>
      <c r="D1091" s="5" t="s">
        <v>1002</v>
      </c>
      <c r="E1091" s="5" t="str">
        <f>VLOOKUP(F1091,'Set up'!$A$2:$C$48,2,FALSE)</f>
        <v>C00000010</v>
      </c>
      <c r="F1091" s="1" t="s">
        <v>62</v>
      </c>
      <c r="G1091" s="11" t="s">
        <v>914</v>
      </c>
      <c r="H1091" s="5">
        <v>5</v>
      </c>
      <c r="I1091" s="5">
        <f>VLOOKUP(F1091,'Set up'!$A$2:$C$48,3,FALSE)</f>
        <v>120</v>
      </c>
      <c r="J1091" s="5">
        <f>VLOOKUP(F1091,'Set up'!$A$2:$D$48,4,FALSE)</f>
        <v>120</v>
      </c>
      <c r="K1091" s="4">
        <f t="shared" si="272"/>
        <v>44969</v>
      </c>
      <c r="L1091" s="5">
        <f t="shared" si="296"/>
        <v>2</v>
      </c>
      <c r="M1091" s="5">
        <f t="shared" si="297"/>
        <v>2023</v>
      </c>
      <c r="N1091" s="6">
        <v>1245</v>
      </c>
      <c r="O1091" s="6">
        <f t="shared" si="300"/>
        <v>-1245</v>
      </c>
      <c r="P1091" s="6">
        <f t="shared" si="298"/>
        <v>0</v>
      </c>
      <c r="Q1091" s="7">
        <f t="shared" si="299"/>
        <v>1965162.9500000009</v>
      </c>
      <c r="R1091" s="44" t="str">
        <f>VLOOKUP(F1091,'Set up'!$A$2:$E$48,5,FALSE)</f>
        <v>Trsf</v>
      </c>
      <c r="S1091" s="1" t="s">
        <v>1227</v>
      </c>
    </row>
    <row r="1092" spans="1:19" hidden="1" x14ac:dyDescent="0.3">
      <c r="A1092" s="4">
        <v>44849</v>
      </c>
      <c r="B1092" s="5">
        <f t="shared" si="294"/>
        <v>10</v>
      </c>
      <c r="C1092" s="5">
        <f t="shared" si="295"/>
        <v>2022</v>
      </c>
      <c r="D1092" s="5" t="s">
        <v>1002</v>
      </c>
      <c r="E1092" s="5" t="str">
        <f>VLOOKUP(F1092,'Set up'!$A$2:$C$48,2,FALSE)</f>
        <v>C00000010</v>
      </c>
      <c r="F1092" s="1" t="s">
        <v>62</v>
      </c>
      <c r="G1092" s="11" t="s">
        <v>64</v>
      </c>
      <c r="H1092" s="5">
        <v>10</v>
      </c>
      <c r="I1092" s="5">
        <f>VLOOKUP(F1092,'Set up'!$A$2:$C$48,3,FALSE)</f>
        <v>120</v>
      </c>
      <c r="J1092" s="5">
        <f>VLOOKUP(F1092,'Set up'!$A$2:$D$48,4,FALSE)</f>
        <v>120</v>
      </c>
      <c r="K1092" s="4">
        <f t="shared" si="272"/>
        <v>44969</v>
      </c>
      <c r="L1092" s="5">
        <f t="shared" si="296"/>
        <v>2</v>
      </c>
      <c r="M1092" s="5">
        <f t="shared" si="297"/>
        <v>2023</v>
      </c>
      <c r="N1092" s="6">
        <v>575</v>
      </c>
      <c r="O1092" s="6">
        <f t="shared" si="300"/>
        <v>-575</v>
      </c>
      <c r="P1092" s="6">
        <f t="shared" si="298"/>
        <v>0</v>
      </c>
      <c r="Q1092" s="7">
        <f t="shared" si="299"/>
        <v>1965737.9500000009</v>
      </c>
      <c r="R1092" s="44" t="str">
        <f>VLOOKUP(F1092,'Set up'!$A$2:$E$48,5,FALSE)</f>
        <v>Trsf</v>
      </c>
      <c r="S1092" s="1" t="s">
        <v>1227</v>
      </c>
    </row>
    <row r="1093" spans="1:19" hidden="1" x14ac:dyDescent="0.3">
      <c r="A1093" s="4">
        <v>44849</v>
      </c>
      <c r="B1093" s="5">
        <f t="shared" si="294"/>
        <v>10</v>
      </c>
      <c r="C1093" s="5">
        <f t="shared" si="295"/>
        <v>2022</v>
      </c>
      <c r="D1093" s="5" t="s">
        <v>1002</v>
      </c>
      <c r="E1093" s="5" t="str">
        <f>VLOOKUP(F1093,'Set up'!$A$2:$C$48,2,FALSE)</f>
        <v>C00000010</v>
      </c>
      <c r="F1093" s="1" t="s">
        <v>62</v>
      </c>
      <c r="G1093" s="11" t="s">
        <v>946</v>
      </c>
      <c r="H1093" s="5">
        <v>4</v>
      </c>
      <c r="I1093" s="5">
        <f>VLOOKUP(F1093,'Set up'!$A$2:$C$48,3,FALSE)</f>
        <v>120</v>
      </c>
      <c r="J1093" s="5">
        <f>VLOOKUP(F1093,'Set up'!$A$2:$D$48,4,FALSE)</f>
        <v>120</v>
      </c>
      <c r="K1093" s="4">
        <f t="shared" si="272"/>
        <v>44969</v>
      </c>
      <c r="L1093" s="5">
        <f t="shared" si="296"/>
        <v>2</v>
      </c>
      <c r="M1093" s="5">
        <f t="shared" si="297"/>
        <v>2023</v>
      </c>
      <c r="N1093" s="6">
        <v>420</v>
      </c>
      <c r="O1093" s="6">
        <f t="shared" si="300"/>
        <v>-420</v>
      </c>
      <c r="P1093" s="6">
        <f t="shared" si="298"/>
        <v>0</v>
      </c>
      <c r="Q1093" s="7">
        <f t="shared" si="299"/>
        <v>1966157.9500000009</v>
      </c>
      <c r="R1093" s="44" t="str">
        <f>VLOOKUP(F1093,'Set up'!$A$2:$E$48,5,FALSE)</f>
        <v>Trsf</v>
      </c>
      <c r="S1093" s="1" t="s">
        <v>1227</v>
      </c>
    </row>
    <row r="1094" spans="1:19" hidden="1" x14ac:dyDescent="0.3">
      <c r="A1094" s="4">
        <v>44849</v>
      </c>
      <c r="B1094" s="5">
        <f t="shared" si="294"/>
        <v>10</v>
      </c>
      <c r="C1094" s="5">
        <f t="shared" si="295"/>
        <v>2022</v>
      </c>
      <c r="D1094" s="5" t="s">
        <v>1002</v>
      </c>
      <c r="E1094" s="5" t="str">
        <f>VLOOKUP(F1094,'Set up'!$A$2:$C$48,2,FALSE)</f>
        <v>C00000010</v>
      </c>
      <c r="F1094" s="1" t="s">
        <v>62</v>
      </c>
      <c r="G1094" s="11" t="s">
        <v>947</v>
      </c>
      <c r="H1094" s="5">
        <v>4</v>
      </c>
      <c r="I1094" s="5">
        <f>VLOOKUP(F1094,'Set up'!$A$2:$C$48,3,FALSE)</f>
        <v>120</v>
      </c>
      <c r="J1094" s="5">
        <f>VLOOKUP(F1094,'Set up'!$A$2:$D$48,4,FALSE)</f>
        <v>120</v>
      </c>
      <c r="K1094" s="4">
        <f t="shared" si="272"/>
        <v>44969</v>
      </c>
      <c r="L1094" s="5">
        <f t="shared" si="296"/>
        <v>2</v>
      </c>
      <c r="M1094" s="5">
        <f t="shared" si="297"/>
        <v>2023</v>
      </c>
      <c r="N1094" s="6">
        <v>220</v>
      </c>
      <c r="O1094" s="6">
        <f t="shared" si="300"/>
        <v>-220</v>
      </c>
      <c r="P1094" s="6">
        <f t="shared" si="298"/>
        <v>0</v>
      </c>
      <c r="Q1094" s="7">
        <f t="shared" si="299"/>
        <v>1966377.9500000009</v>
      </c>
      <c r="R1094" s="44" t="str">
        <f>VLOOKUP(F1094,'Set up'!$A$2:$E$48,5,FALSE)</f>
        <v>Trsf</v>
      </c>
      <c r="S1094" s="1" t="s">
        <v>1227</v>
      </c>
    </row>
    <row r="1095" spans="1:19" hidden="1" x14ac:dyDescent="0.3">
      <c r="A1095" s="4">
        <v>44851</v>
      </c>
      <c r="B1095" s="5">
        <f t="shared" si="294"/>
        <v>10</v>
      </c>
      <c r="C1095" s="5">
        <f t="shared" si="295"/>
        <v>2022</v>
      </c>
      <c r="D1095" s="5" t="s">
        <v>1005</v>
      </c>
      <c r="E1095" s="5" t="str">
        <f>VLOOKUP(F1095,'Set up'!$A$2:$C$48,2,FALSE)</f>
        <v>C00000026</v>
      </c>
      <c r="F1095" s="1" t="s">
        <v>785</v>
      </c>
      <c r="G1095" s="11" t="s">
        <v>717</v>
      </c>
      <c r="H1095" s="5">
        <v>1</v>
      </c>
      <c r="I1095" s="5" t="str">
        <f>VLOOKUP(F1095,'Set up'!$A$2:$C$48,3,FALSE)</f>
        <v>Cash</v>
      </c>
      <c r="J1095" s="5">
        <f>VLOOKUP(F1095,'Set up'!$A$2:$D$48,4,FALSE)</f>
        <v>0</v>
      </c>
      <c r="K1095" s="4">
        <f t="shared" si="272"/>
        <v>44851</v>
      </c>
      <c r="L1095" s="5">
        <f t="shared" si="296"/>
        <v>10</v>
      </c>
      <c r="M1095" s="5">
        <f t="shared" si="297"/>
        <v>2022</v>
      </c>
      <c r="N1095" s="6">
        <v>1958</v>
      </c>
      <c r="O1095" s="6">
        <f t="shared" ref="O1095:O1104" si="301">-N1095</f>
        <v>-1958</v>
      </c>
      <c r="P1095" s="6">
        <f t="shared" si="298"/>
        <v>0</v>
      </c>
      <c r="Q1095" s="7">
        <f t="shared" si="299"/>
        <v>1968335.9500000009</v>
      </c>
      <c r="R1095" s="44" t="str">
        <f>VLOOKUP(F1095,'Set up'!$A$2:$E$48,5,FALSE)</f>
        <v>Trsf</v>
      </c>
      <c r="S1095" s="1" t="s">
        <v>1027</v>
      </c>
    </row>
    <row r="1096" spans="1:19" hidden="1" x14ac:dyDescent="0.3">
      <c r="A1096" s="4">
        <v>44851</v>
      </c>
      <c r="B1096" s="5">
        <f t="shared" si="294"/>
        <v>10</v>
      </c>
      <c r="C1096" s="5">
        <f t="shared" si="295"/>
        <v>2022</v>
      </c>
      <c r="D1096" s="5" t="s">
        <v>1005</v>
      </c>
      <c r="E1096" s="5" t="str">
        <f>VLOOKUP(F1096,'Set up'!$A$2:$C$48,2,FALSE)</f>
        <v>C00000026</v>
      </c>
      <c r="F1096" s="1" t="s">
        <v>785</v>
      </c>
      <c r="G1096" s="11" t="s">
        <v>893</v>
      </c>
      <c r="H1096" s="5">
        <v>1</v>
      </c>
      <c r="I1096" s="5" t="str">
        <f>VLOOKUP(F1096,'Set up'!$A$2:$C$48,3,FALSE)</f>
        <v>Cash</v>
      </c>
      <c r="J1096" s="5">
        <f>VLOOKUP(F1096,'Set up'!$A$2:$D$48,4,FALSE)</f>
        <v>0</v>
      </c>
      <c r="K1096" s="4">
        <f t="shared" si="272"/>
        <v>44851</v>
      </c>
      <c r="L1096" s="5">
        <f t="shared" si="296"/>
        <v>10</v>
      </c>
      <c r="M1096" s="5">
        <f t="shared" si="297"/>
        <v>2022</v>
      </c>
      <c r="N1096" s="6">
        <v>603</v>
      </c>
      <c r="O1096" s="6">
        <f t="shared" si="301"/>
        <v>-603</v>
      </c>
      <c r="P1096" s="6">
        <f t="shared" si="298"/>
        <v>0</v>
      </c>
      <c r="Q1096" s="7">
        <f t="shared" si="299"/>
        <v>1968938.9500000009</v>
      </c>
      <c r="R1096" s="44" t="str">
        <f>VLOOKUP(F1096,'Set up'!$A$2:$E$48,5,FALSE)</f>
        <v>Trsf</v>
      </c>
      <c r="S1096" s="1" t="s">
        <v>1027</v>
      </c>
    </row>
    <row r="1097" spans="1:19" hidden="1" x14ac:dyDescent="0.3">
      <c r="A1097" s="4">
        <v>44851</v>
      </c>
      <c r="B1097" s="5">
        <f t="shared" si="294"/>
        <v>10</v>
      </c>
      <c r="C1097" s="5">
        <f t="shared" si="295"/>
        <v>2022</v>
      </c>
      <c r="D1097" s="5" t="s">
        <v>1005</v>
      </c>
      <c r="E1097" s="5" t="str">
        <f>VLOOKUP(F1097,'Set up'!$A$2:$C$48,2,FALSE)</f>
        <v>C00000026</v>
      </c>
      <c r="F1097" s="1" t="s">
        <v>785</v>
      </c>
      <c r="G1097" s="11" t="s">
        <v>866</v>
      </c>
      <c r="H1097" s="5">
        <v>1</v>
      </c>
      <c r="I1097" s="5" t="str">
        <f>VLOOKUP(F1097,'Set up'!$A$2:$C$48,3,FALSE)</f>
        <v>Cash</v>
      </c>
      <c r="J1097" s="5">
        <f>VLOOKUP(F1097,'Set up'!$A$2:$D$48,4,FALSE)</f>
        <v>0</v>
      </c>
      <c r="K1097" s="4">
        <f t="shared" si="272"/>
        <v>44851</v>
      </c>
      <c r="L1097" s="5">
        <f t="shared" si="296"/>
        <v>10</v>
      </c>
      <c r="M1097" s="5">
        <f t="shared" si="297"/>
        <v>2022</v>
      </c>
      <c r="N1097" s="6">
        <v>254</v>
      </c>
      <c r="O1097" s="6">
        <f t="shared" si="301"/>
        <v>-254</v>
      </c>
      <c r="P1097" s="6">
        <f t="shared" si="298"/>
        <v>0</v>
      </c>
      <c r="Q1097" s="7">
        <f t="shared" si="299"/>
        <v>1969192.9500000009</v>
      </c>
      <c r="R1097" s="44" t="str">
        <f>VLOOKUP(F1097,'Set up'!$A$2:$E$48,5,FALSE)</f>
        <v>Trsf</v>
      </c>
      <c r="S1097" s="1" t="s">
        <v>1027</v>
      </c>
    </row>
    <row r="1098" spans="1:19" hidden="1" x14ac:dyDescent="0.3">
      <c r="A1098" s="4">
        <v>44851</v>
      </c>
      <c r="B1098" s="5">
        <f t="shared" si="294"/>
        <v>10</v>
      </c>
      <c r="C1098" s="5">
        <f t="shared" si="295"/>
        <v>2022</v>
      </c>
      <c r="D1098" s="5" t="s">
        <v>1005</v>
      </c>
      <c r="E1098" s="5" t="str">
        <f>VLOOKUP(F1098,'Set up'!$A$2:$C$48,2,FALSE)</f>
        <v>C00000026</v>
      </c>
      <c r="F1098" s="1" t="s">
        <v>785</v>
      </c>
      <c r="G1098" s="11" t="s">
        <v>1003</v>
      </c>
      <c r="H1098" s="5">
        <v>1</v>
      </c>
      <c r="I1098" s="5" t="str">
        <f>VLOOKUP(F1098,'Set up'!$A$2:$C$48,3,FALSE)</f>
        <v>Cash</v>
      </c>
      <c r="J1098" s="5">
        <f>VLOOKUP(F1098,'Set up'!$A$2:$D$48,4,FALSE)</f>
        <v>0</v>
      </c>
      <c r="K1098" s="4">
        <f t="shared" si="272"/>
        <v>44851</v>
      </c>
      <c r="L1098" s="5">
        <f t="shared" si="296"/>
        <v>10</v>
      </c>
      <c r="M1098" s="5">
        <f t="shared" si="297"/>
        <v>2022</v>
      </c>
      <c r="N1098" s="6">
        <v>55</v>
      </c>
      <c r="O1098" s="6">
        <f t="shared" si="301"/>
        <v>-55</v>
      </c>
      <c r="P1098" s="6">
        <f t="shared" si="298"/>
        <v>0</v>
      </c>
      <c r="Q1098" s="7">
        <f t="shared" si="299"/>
        <v>1969247.9500000009</v>
      </c>
      <c r="R1098" s="44" t="str">
        <f>VLOOKUP(F1098,'Set up'!$A$2:$E$48,5,FALSE)</f>
        <v>Trsf</v>
      </c>
      <c r="S1098" s="1" t="s">
        <v>1027</v>
      </c>
    </row>
    <row r="1099" spans="1:19" hidden="1" x14ac:dyDescent="0.3">
      <c r="A1099" s="4">
        <v>44851</v>
      </c>
      <c r="B1099" s="5">
        <f t="shared" si="294"/>
        <v>10</v>
      </c>
      <c r="C1099" s="5">
        <f t="shared" si="295"/>
        <v>2022</v>
      </c>
      <c r="D1099" s="5" t="s">
        <v>1005</v>
      </c>
      <c r="E1099" s="5" t="str">
        <f>VLOOKUP(F1099,'Set up'!$A$2:$C$48,2,FALSE)</f>
        <v>C00000026</v>
      </c>
      <c r="F1099" s="1" t="s">
        <v>785</v>
      </c>
      <c r="G1099" s="11" t="s">
        <v>895</v>
      </c>
      <c r="H1099" s="5">
        <v>1</v>
      </c>
      <c r="I1099" s="5" t="str">
        <f>VLOOKUP(F1099,'Set up'!$A$2:$C$48,3,FALSE)</f>
        <v>Cash</v>
      </c>
      <c r="J1099" s="5">
        <f>VLOOKUP(F1099,'Set up'!$A$2:$D$48,4,FALSE)</f>
        <v>0</v>
      </c>
      <c r="K1099" s="4">
        <f t="shared" si="272"/>
        <v>44851</v>
      </c>
      <c r="L1099" s="5">
        <f t="shared" si="296"/>
        <v>10</v>
      </c>
      <c r="M1099" s="5">
        <f t="shared" si="297"/>
        <v>2022</v>
      </c>
      <c r="N1099" s="6">
        <v>160</v>
      </c>
      <c r="O1099" s="6">
        <f t="shared" si="301"/>
        <v>-160</v>
      </c>
      <c r="P1099" s="6">
        <f t="shared" si="298"/>
        <v>0</v>
      </c>
      <c r="Q1099" s="7">
        <f t="shared" si="299"/>
        <v>1969407.9500000009</v>
      </c>
      <c r="R1099" s="44" t="str">
        <f>VLOOKUP(F1099,'Set up'!$A$2:$E$48,5,FALSE)</f>
        <v>Trsf</v>
      </c>
      <c r="S1099" s="1" t="s">
        <v>1027</v>
      </c>
    </row>
    <row r="1100" spans="1:19" hidden="1" x14ac:dyDescent="0.3">
      <c r="A1100" s="4">
        <v>44851</v>
      </c>
      <c r="B1100" s="5">
        <f t="shared" si="294"/>
        <v>10</v>
      </c>
      <c r="C1100" s="5">
        <f t="shared" si="295"/>
        <v>2022</v>
      </c>
      <c r="D1100" s="5" t="s">
        <v>1005</v>
      </c>
      <c r="E1100" s="5" t="str">
        <f>VLOOKUP(F1100,'Set up'!$A$2:$C$48,2,FALSE)</f>
        <v>C00000026</v>
      </c>
      <c r="F1100" s="1" t="s">
        <v>785</v>
      </c>
      <c r="G1100" s="11" t="s">
        <v>1004</v>
      </c>
      <c r="H1100" s="5">
        <v>1</v>
      </c>
      <c r="I1100" s="5" t="str">
        <f>VLOOKUP(F1100,'Set up'!$A$2:$C$48,3,FALSE)</f>
        <v>Cash</v>
      </c>
      <c r="J1100" s="5">
        <f>VLOOKUP(F1100,'Set up'!$A$2:$D$48,4,FALSE)</f>
        <v>0</v>
      </c>
      <c r="K1100" s="4">
        <f t="shared" si="272"/>
        <v>44851</v>
      </c>
      <c r="L1100" s="5">
        <f t="shared" si="296"/>
        <v>10</v>
      </c>
      <c r="M1100" s="5">
        <f t="shared" si="297"/>
        <v>2022</v>
      </c>
      <c r="N1100" s="6">
        <v>240</v>
      </c>
      <c r="O1100" s="6">
        <f t="shared" si="301"/>
        <v>-240</v>
      </c>
      <c r="P1100" s="6">
        <f t="shared" si="298"/>
        <v>0</v>
      </c>
      <c r="Q1100" s="7">
        <f t="shared" si="299"/>
        <v>1969647.9500000009</v>
      </c>
      <c r="R1100" s="44" t="str">
        <f>VLOOKUP(F1100,'Set up'!$A$2:$E$48,5,FALSE)</f>
        <v>Trsf</v>
      </c>
      <c r="S1100" s="1" t="s">
        <v>1027</v>
      </c>
    </row>
    <row r="1101" spans="1:19" hidden="1" x14ac:dyDescent="0.3">
      <c r="A1101" s="4">
        <v>44851</v>
      </c>
      <c r="B1101" s="5">
        <f t="shared" si="294"/>
        <v>10</v>
      </c>
      <c r="C1101" s="5">
        <f t="shared" si="295"/>
        <v>2022</v>
      </c>
      <c r="D1101" s="5" t="s">
        <v>1005</v>
      </c>
      <c r="E1101" s="5" t="str">
        <f>VLOOKUP(F1101,'Set up'!$A$2:$C$48,2,FALSE)</f>
        <v>C00000026</v>
      </c>
      <c r="F1101" s="1" t="s">
        <v>785</v>
      </c>
      <c r="G1101" s="11" t="s">
        <v>946</v>
      </c>
      <c r="H1101" s="5">
        <v>1</v>
      </c>
      <c r="I1101" s="5" t="str">
        <f>VLOOKUP(F1101,'Set up'!$A$2:$C$48,3,FALSE)</f>
        <v>Cash</v>
      </c>
      <c r="J1101" s="5">
        <f>VLOOKUP(F1101,'Set up'!$A$2:$D$48,4,FALSE)</f>
        <v>0</v>
      </c>
      <c r="K1101" s="4">
        <f t="shared" si="272"/>
        <v>44851</v>
      </c>
      <c r="L1101" s="5">
        <f t="shared" si="296"/>
        <v>10</v>
      </c>
      <c r="M1101" s="5">
        <f t="shared" si="297"/>
        <v>2022</v>
      </c>
      <c r="N1101" s="6">
        <v>105</v>
      </c>
      <c r="O1101" s="6">
        <f t="shared" si="301"/>
        <v>-105</v>
      </c>
      <c r="P1101" s="6">
        <f t="shared" si="298"/>
        <v>0</v>
      </c>
      <c r="Q1101" s="7">
        <f t="shared" si="299"/>
        <v>1969752.9500000009</v>
      </c>
      <c r="R1101" s="44" t="str">
        <f>VLOOKUP(F1101,'Set up'!$A$2:$E$48,5,FALSE)</f>
        <v>Trsf</v>
      </c>
      <c r="S1101" s="1" t="s">
        <v>1027</v>
      </c>
    </row>
    <row r="1102" spans="1:19" hidden="1" x14ac:dyDescent="0.3">
      <c r="A1102" s="4">
        <v>44851</v>
      </c>
      <c r="B1102" s="5">
        <f t="shared" si="294"/>
        <v>10</v>
      </c>
      <c r="C1102" s="5">
        <f t="shared" si="295"/>
        <v>2022</v>
      </c>
      <c r="D1102" s="5" t="s">
        <v>1005</v>
      </c>
      <c r="E1102" s="5" t="str">
        <f>VLOOKUP(F1102,'Set up'!$A$2:$C$48,2,FALSE)</f>
        <v>C00000026</v>
      </c>
      <c r="F1102" s="1" t="s">
        <v>785</v>
      </c>
      <c r="G1102" s="11" t="s">
        <v>64</v>
      </c>
      <c r="H1102" s="5">
        <v>2</v>
      </c>
      <c r="I1102" s="5" t="str">
        <f>VLOOKUP(F1102,'Set up'!$A$2:$C$48,3,FALSE)</f>
        <v>Cash</v>
      </c>
      <c r="J1102" s="5">
        <f>VLOOKUP(F1102,'Set up'!$A$2:$D$48,4,FALSE)</f>
        <v>0</v>
      </c>
      <c r="K1102" s="4">
        <f t="shared" si="272"/>
        <v>44851</v>
      </c>
      <c r="L1102" s="5">
        <f t="shared" si="296"/>
        <v>10</v>
      </c>
      <c r="M1102" s="5">
        <f t="shared" si="297"/>
        <v>2022</v>
      </c>
      <c r="N1102" s="6">
        <v>125</v>
      </c>
      <c r="O1102" s="6">
        <f t="shared" si="301"/>
        <v>-125</v>
      </c>
      <c r="P1102" s="6">
        <f t="shared" si="298"/>
        <v>0</v>
      </c>
      <c r="Q1102" s="7">
        <f t="shared" si="299"/>
        <v>1969877.9500000009</v>
      </c>
      <c r="R1102" s="44" t="str">
        <f>VLOOKUP(F1102,'Set up'!$A$2:$E$48,5,FALSE)</f>
        <v>Trsf</v>
      </c>
      <c r="S1102" s="1" t="s">
        <v>1027</v>
      </c>
    </row>
    <row r="1103" spans="1:19" hidden="1" x14ac:dyDescent="0.3">
      <c r="A1103" s="4">
        <v>44851</v>
      </c>
      <c r="B1103" s="5">
        <f t="shared" si="294"/>
        <v>10</v>
      </c>
      <c r="C1103" s="5">
        <f t="shared" si="295"/>
        <v>2022</v>
      </c>
      <c r="D1103" s="5" t="s">
        <v>1005</v>
      </c>
      <c r="E1103" s="5" t="str">
        <f>VLOOKUP(F1103,'Set up'!$A$2:$C$48,2,FALSE)</f>
        <v>C00000026</v>
      </c>
      <c r="F1103" s="1" t="s">
        <v>785</v>
      </c>
      <c r="G1103" s="11" t="s">
        <v>950</v>
      </c>
      <c r="H1103" s="5">
        <v>2</v>
      </c>
      <c r="I1103" s="5" t="str">
        <f>VLOOKUP(F1103,'Set up'!$A$2:$C$48,3,FALSE)</f>
        <v>Cash</v>
      </c>
      <c r="J1103" s="5">
        <f>VLOOKUP(F1103,'Set up'!$A$2:$D$48,4,FALSE)</f>
        <v>0</v>
      </c>
      <c r="K1103" s="4">
        <f t="shared" si="272"/>
        <v>44851</v>
      </c>
      <c r="L1103" s="5">
        <f t="shared" si="296"/>
        <v>10</v>
      </c>
      <c r="M1103" s="5">
        <f t="shared" si="297"/>
        <v>2022</v>
      </c>
      <c r="N1103" s="6">
        <v>100</v>
      </c>
      <c r="O1103" s="6">
        <f t="shared" si="301"/>
        <v>-100</v>
      </c>
      <c r="P1103" s="6">
        <f t="shared" si="298"/>
        <v>0</v>
      </c>
      <c r="Q1103" s="7">
        <f t="shared" si="299"/>
        <v>1969977.9500000009</v>
      </c>
      <c r="R1103" s="44" t="str">
        <f>VLOOKUP(F1103,'Set up'!$A$2:$E$48,5,FALSE)</f>
        <v>Trsf</v>
      </c>
      <c r="S1103" s="1" t="s">
        <v>1027</v>
      </c>
    </row>
    <row r="1104" spans="1:19" hidden="1" x14ac:dyDescent="0.3">
      <c r="A1104" s="4">
        <v>44851</v>
      </c>
      <c r="B1104" s="5">
        <f t="shared" si="294"/>
        <v>10</v>
      </c>
      <c r="C1104" s="5">
        <f t="shared" si="295"/>
        <v>2022</v>
      </c>
      <c r="D1104" s="5" t="s">
        <v>1006</v>
      </c>
      <c r="E1104" s="5" t="str">
        <f>VLOOKUP(F1104,'Set up'!$A$2:$C$48,2,FALSE)</f>
        <v>C00000010</v>
      </c>
      <c r="F1104" s="1" t="s">
        <v>62</v>
      </c>
      <c r="G1104" s="11" t="s">
        <v>615</v>
      </c>
      <c r="H1104" s="5">
        <v>1</v>
      </c>
      <c r="I1104" s="5">
        <f>VLOOKUP(F1104,'Set up'!$A$2:$C$48,3,FALSE)</f>
        <v>120</v>
      </c>
      <c r="J1104" s="5">
        <f>VLOOKUP(F1104,'Set up'!$A$2:$D$48,4,FALSE)</f>
        <v>120</v>
      </c>
      <c r="K1104" s="4">
        <f t="shared" si="272"/>
        <v>44971</v>
      </c>
      <c r="L1104" s="5">
        <f t="shared" si="296"/>
        <v>2</v>
      </c>
      <c r="M1104" s="5">
        <f t="shared" si="297"/>
        <v>2023</v>
      </c>
      <c r="N1104" s="6">
        <v>395</v>
      </c>
      <c r="O1104" s="6">
        <f t="shared" si="301"/>
        <v>-395</v>
      </c>
      <c r="P1104" s="6">
        <f t="shared" si="298"/>
        <v>0</v>
      </c>
      <c r="Q1104" s="7">
        <f t="shared" si="299"/>
        <v>1970372.9500000009</v>
      </c>
      <c r="R1104" s="44" t="str">
        <f>VLOOKUP(F1104,'Set up'!$A$2:$E$48,5,FALSE)</f>
        <v>Trsf</v>
      </c>
      <c r="S1104" s="1" t="s">
        <v>1227</v>
      </c>
    </row>
    <row r="1105" spans="1:19" hidden="1" x14ac:dyDescent="0.3">
      <c r="A1105" s="4">
        <v>44852</v>
      </c>
      <c r="B1105" s="5">
        <f t="shared" si="294"/>
        <v>10</v>
      </c>
      <c r="C1105" s="5">
        <f t="shared" si="295"/>
        <v>2022</v>
      </c>
      <c r="D1105" s="5" t="s">
        <v>1007</v>
      </c>
      <c r="E1105" s="5" t="str">
        <f>VLOOKUP(F1105,'Set up'!$A$2:$C$48,2,FALSE)</f>
        <v>C00000009</v>
      </c>
      <c r="F1105" s="1" t="s">
        <v>58</v>
      </c>
      <c r="G1105" s="11" t="s">
        <v>893</v>
      </c>
      <c r="H1105" s="5">
        <v>2</v>
      </c>
      <c r="I1105" s="5">
        <f>VLOOKUP(F1105,'Set up'!$A$2:$C$48,3,FALSE)</f>
        <v>60</v>
      </c>
      <c r="J1105" s="5">
        <f>VLOOKUP(F1105,'Set up'!$A$2:$D$48,4,FALSE)</f>
        <v>60</v>
      </c>
      <c r="K1105" s="4">
        <f t="shared" si="272"/>
        <v>44912</v>
      </c>
      <c r="L1105" s="5">
        <f t="shared" si="296"/>
        <v>12</v>
      </c>
      <c r="M1105" s="5">
        <f t="shared" si="297"/>
        <v>2022</v>
      </c>
      <c r="N1105" s="6">
        <v>1085.4000000000001</v>
      </c>
      <c r="O1105" s="6">
        <f>-N1105</f>
        <v>-1085.4000000000001</v>
      </c>
      <c r="P1105" s="6">
        <f t="shared" si="298"/>
        <v>0</v>
      </c>
      <c r="Q1105" s="7">
        <f t="shared" si="299"/>
        <v>1971458.3500000008</v>
      </c>
      <c r="R1105" s="44" t="str">
        <f>VLOOKUP(F1105,'Set up'!$A$2:$E$48,5,FALSE)</f>
        <v>Chq</v>
      </c>
      <c r="S1105" s="1" t="s">
        <v>1383</v>
      </c>
    </row>
    <row r="1106" spans="1:19" hidden="1" x14ac:dyDescent="0.3">
      <c r="A1106" s="4">
        <v>44852</v>
      </c>
      <c r="B1106" s="5">
        <f t="shared" si="294"/>
        <v>10</v>
      </c>
      <c r="C1106" s="5">
        <f t="shared" si="295"/>
        <v>2022</v>
      </c>
      <c r="D1106" s="5" t="s">
        <v>1007</v>
      </c>
      <c r="E1106" s="5" t="str">
        <f>VLOOKUP(F1106,'Set up'!$A$2:$C$48,2,FALSE)</f>
        <v>C00000009</v>
      </c>
      <c r="F1106" s="1" t="s">
        <v>58</v>
      </c>
      <c r="G1106" s="11" t="s">
        <v>894</v>
      </c>
      <c r="H1106" s="5">
        <v>2</v>
      </c>
      <c r="I1106" s="5">
        <f>VLOOKUP(F1106,'Set up'!$A$2:$C$48,3,FALSE)</f>
        <v>60</v>
      </c>
      <c r="J1106" s="5">
        <f>VLOOKUP(F1106,'Set up'!$A$2:$D$48,4,FALSE)</f>
        <v>60</v>
      </c>
      <c r="K1106" s="4">
        <f t="shared" si="272"/>
        <v>44912</v>
      </c>
      <c r="L1106" s="5">
        <f t="shared" si="296"/>
        <v>12</v>
      </c>
      <c r="M1106" s="5">
        <f t="shared" si="297"/>
        <v>2022</v>
      </c>
      <c r="N1106" s="6">
        <v>874.8</v>
      </c>
      <c r="O1106" s="6">
        <f>-N1106</f>
        <v>-874.8</v>
      </c>
      <c r="P1106" s="6">
        <f t="shared" si="298"/>
        <v>0</v>
      </c>
      <c r="Q1106" s="7">
        <f t="shared" si="299"/>
        <v>1972333.1500000008</v>
      </c>
      <c r="R1106" s="44" t="str">
        <f>VLOOKUP(F1106,'Set up'!$A$2:$E$48,5,FALSE)</f>
        <v>Chq</v>
      </c>
      <c r="S1106" s="1" t="s">
        <v>1383</v>
      </c>
    </row>
    <row r="1107" spans="1:19" hidden="1" x14ac:dyDescent="0.3">
      <c r="A1107" s="4">
        <v>44854</v>
      </c>
      <c r="B1107" s="5">
        <f t="shared" si="294"/>
        <v>10</v>
      </c>
      <c r="C1107" s="5">
        <f t="shared" si="295"/>
        <v>2022</v>
      </c>
      <c r="D1107" s="5" t="s">
        <v>1009</v>
      </c>
      <c r="E1107" s="5" t="str">
        <f>VLOOKUP(F1107,'Set up'!$A$2:$C$48,2,FALSE)</f>
        <v>C00000004</v>
      </c>
      <c r="F1107" s="1" t="s">
        <v>23</v>
      </c>
      <c r="G1107" s="11" t="s">
        <v>720</v>
      </c>
      <c r="H1107" s="5">
        <v>6</v>
      </c>
      <c r="I1107" s="5">
        <f>VLOOKUP(F1107,'Set up'!$A$2:$C$48,3,FALSE)</f>
        <v>120</v>
      </c>
      <c r="J1107" s="5">
        <f>VLOOKUP(F1107,'Set up'!$A$2:$D$48,4,FALSE)</f>
        <v>120</v>
      </c>
      <c r="K1107" s="4">
        <f t="shared" si="272"/>
        <v>44974</v>
      </c>
      <c r="L1107" s="5">
        <f t="shared" si="296"/>
        <v>2</v>
      </c>
      <c r="M1107" s="5">
        <f t="shared" si="297"/>
        <v>2023</v>
      </c>
      <c r="N1107" s="6">
        <v>10824</v>
      </c>
      <c r="O1107" s="6">
        <f t="shared" ref="O1107:O1111" si="302">-N1107</f>
        <v>-10824</v>
      </c>
      <c r="P1107" s="6">
        <f t="shared" si="298"/>
        <v>0</v>
      </c>
      <c r="Q1107" s="7">
        <f t="shared" si="299"/>
        <v>1983157.1500000008</v>
      </c>
      <c r="R1107" s="44" t="str">
        <f>VLOOKUP(F1107,'Set up'!$A$2:$E$48,5,FALSE)</f>
        <v>Chq</v>
      </c>
      <c r="S1107" s="1" t="s">
        <v>1297</v>
      </c>
    </row>
    <row r="1108" spans="1:19" hidden="1" x14ac:dyDescent="0.3">
      <c r="A1108" s="4">
        <v>44854</v>
      </c>
      <c r="B1108" s="5">
        <f t="shared" si="294"/>
        <v>10</v>
      </c>
      <c r="C1108" s="5">
        <f t="shared" si="295"/>
        <v>2022</v>
      </c>
      <c r="D1108" s="5" t="s">
        <v>1009</v>
      </c>
      <c r="E1108" s="5" t="str">
        <f>VLOOKUP(F1108,'Set up'!$A$2:$C$48,2,FALSE)</f>
        <v>C00000004</v>
      </c>
      <c r="F1108" s="1" t="s">
        <v>23</v>
      </c>
      <c r="G1108" s="11" t="s">
        <v>617</v>
      </c>
      <c r="H1108" s="5">
        <v>1</v>
      </c>
      <c r="I1108" s="5">
        <f>VLOOKUP(F1108,'Set up'!$A$2:$C$48,3,FALSE)</f>
        <v>120</v>
      </c>
      <c r="J1108" s="5">
        <f>VLOOKUP(F1108,'Set up'!$A$2:$D$48,4,FALSE)</f>
        <v>120</v>
      </c>
      <c r="K1108" s="4">
        <f t="shared" si="272"/>
        <v>44974</v>
      </c>
      <c r="L1108" s="5">
        <f t="shared" si="296"/>
        <v>2</v>
      </c>
      <c r="M1108" s="5">
        <f t="shared" si="297"/>
        <v>2023</v>
      </c>
      <c r="N1108" s="6">
        <v>1804</v>
      </c>
      <c r="O1108" s="6">
        <f t="shared" si="302"/>
        <v>-1804</v>
      </c>
      <c r="P1108" s="6">
        <f t="shared" si="298"/>
        <v>0</v>
      </c>
      <c r="Q1108" s="7">
        <f t="shared" si="299"/>
        <v>1984961.1500000008</v>
      </c>
      <c r="R1108" s="44" t="str">
        <f>VLOOKUP(F1108,'Set up'!$A$2:$E$48,5,FALSE)</f>
        <v>Chq</v>
      </c>
      <c r="S1108" s="1" t="s">
        <v>1297</v>
      </c>
    </row>
    <row r="1109" spans="1:19" hidden="1" x14ac:dyDescent="0.3">
      <c r="A1109" s="4">
        <v>44854</v>
      </c>
      <c r="B1109" s="5">
        <f t="shared" si="294"/>
        <v>10</v>
      </c>
      <c r="C1109" s="5">
        <f t="shared" si="295"/>
        <v>2022</v>
      </c>
      <c r="D1109" s="5" t="s">
        <v>1009</v>
      </c>
      <c r="E1109" s="5" t="str">
        <f>VLOOKUP(F1109,'Set up'!$A$2:$C$48,2,FALSE)</f>
        <v>C00000004</v>
      </c>
      <c r="F1109" s="1" t="s">
        <v>23</v>
      </c>
      <c r="G1109" s="11" t="s">
        <v>708</v>
      </c>
      <c r="H1109" s="5">
        <v>3</v>
      </c>
      <c r="I1109" s="5">
        <f>VLOOKUP(F1109,'Set up'!$A$2:$C$48,3,FALSE)</f>
        <v>120</v>
      </c>
      <c r="J1109" s="5">
        <f>VLOOKUP(F1109,'Set up'!$A$2:$D$48,4,FALSE)</f>
        <v>120</v>
      </c>
      <c r="K1109" s="4">
        <f t="shared" si="272"/>
        <v>44974</v>
      </c>
      <c r="L1109" s="5">
        <f t="shared" si="296"/>
        <v>2</v>
      </c>
      <c r="M1109" s="5">
        <f t="shared" si="297"/>
        <v>2023</v>
      </c>
      <c r="N1109" s="6">
        <v>1344.6</v>
      </c>
      <c r="O1109" s="6">
        <f t="shared" si="302"/>
        <v>-1344.6</v>
      </c>
      <c r="P1109" s="6">
        <f t="shared" si="298"/>
        <v>0</v>
      </c>
      <c r="Q1109" s="7">
        <f t="shared" si="299"/>
        <v>1986305.7500000009</v>
      </c>
      <c r="R1109" s="44" t="str">
        <f>VLOOKUP(F1109,'Set up'!$A$2:$E$48,5,FALSE)</f>
        <v>Chq</v>
      </c>
      <c r="S1109" s="1" t="s">
        <v>1297</v>
      </c>
    </row>
    <row r="1110" spans="1:19" hidden="1" x14ac:dyDescent="0.3">
      <c r="A1110" s="4">
        <v>44854</v>
      </c>
      <c r="B1110" s="5">
        <f t="shared" si="294"/>
        <v>10</v>
      </c>
      <c r="C1110" s="5">
        <f t="shared" si="295"/>
        <v>2022</v>
      </c>
      <c r="D1110" s="5" t="s">
        <v>1009</v>
      </c>
      <c r="E1110" s="5" t="str">
        <f>VLOOKUP(F1110,'Set up'!$A$2:$C$48,2,FALSE)</f>
        <v>C00000004</v>
      </c>
      <c r="F1110" s="1" t="s">
        <v>23</v>
      </c>
      <c r="G1110" s="11" t="s">
        <v>1008</v>
      </c>
      <c r="H1110" s="5">
        <v>3</v>
      </c>
      <c r="I1110" s="5">
        <f>VLOOKUP(F1110,'Set up'!$A$2:$C$48,3,FALSE)</f>
        <v>120</v>
      </c>
      <c r="J1110" s="5">
        <f>VLOOKUP(F1110,'Set up'!$A$2:$D$48,4,FALSE)</f>
        <v>120</v>
      </c>
      <c r="K1110" s="4">
        <f t="shared" si="272"/>
        <v>44974</v>
      </c>
      <c r="L1110" s="5">
        <f t="shared" si="296"/>
        <v>2</v>
      </c>
      <c r="M1110" s="5">
        <f t="shared" si="297"/>
        <v>2023</v>
      </c>
      <c r="N1110" s="6">
        <v>1344.6</v>
      </c>
      <c r="O1110" s="6">
        <f t="shared" si="302"/>
        <v>-1344.6</v>
      </c>
      <c r="P1110" s="6">
        <f t="shared" si="298"/>
        <v>0</v>
      </c>
      <c r="Q1110" s="7">
        <f t="shared" si="299"/>
        <v>1987650.350000001</v>
      </c>
      <c r="R1110" s="44" t="str">
        <f>VLOOKUP(F1110,'Set up'!$A$2:$E$48,5,FALSE)</f>
        <v>Chq</v>
      </c>
      <c r="S1110" s="1" t="s">
        <v>1297</v>
      </c>
    </row>
    <row r="1111" spans="1:19" hidden="1" x14ac:dyDescent="0.3">
      <c r="A1111" s="4">
        <v>44854</v>
      </c>
      <c r="B1111" s="5">
        <f t="shared" si="294"/>
        <v>10</v>
      </c>
      <c r="C1111" s="5">
        <f t="shared" si="295"/>
        <v>2022</v>
      </c>
      <c r="D1111" s="5" t="s">
        <v>1009</v>
      </c>
      <c r="E1111" s="5" t="str">
        <f>VLOOKUP(F1111,'Set up'!$A$2:$C$48,2,FALSE)</f>
        <v>C00000004</v>
      </c>
      <c r="F1111" s="1" t="s">
        <v>23</v>
      </c>
      <c r="G1111" s="11" t="s">
        <v>667</v>
      </c>
      <c r="H1111" s="5">
        <v>4</v>
      </c>
      <c r="I1111" s="5">
        <f>VLOOKUP(F1111,'Set up'!$A$2:$C$48,3,FALSE)</f>
        <v>120</v>
      </c>
      <c r="J1111" s="5">
        <f>VLOOKUP(F1111,'Set up'!$A$2:$D$48,4,FALSE)</f>
        <v>120</v>
      </c>
      <c r="K1111" s="4">
        <f t="shared" si="272"/>
        <v>44974</v>
      </c>
      <c r="L1111" s="5">
        <f t="shared" si="296"/>
        <v>2</v>
      </c>
      <c r="M1111" s="5">
        <f t="shared" si="297"/>
        <v>2023</v>
      </c>
      <c r="N1111" s="6">
        <v>360</v>
      </c>
      <c r="O1111" s="6">
        <f t="shared" si="302"/>
        <v>-360</v>
      </c>
      <c r="P1111" s="6">
        <f t="shared" si="298"/>
        <v>0</v>
      </c>
      <c r="Q1111" s="7">
        <f t="shared" si="299"/>
        <v>1988010.350000001</v>
      </c>
      <c r="R1111" s="44" t="str">
        <f>VLOOKUP(F1111,'Set up'!$A$2:$E$48,5,FALSE)</f>
        <v>Chq</v>
      </c>
      <c r="S1111" s="1" t="s">
        <v>1297</v>
      </c>
    </row>
    <row r="1112" spans="1:19" hidden="1" x14ac:dyDescent="0.3">
      <c r="A1112" s="4">
        <v>44855</v>
      </c>
      <c r="B1112" s="5">
        <f t="shared" si="294"/>
        <v>10</v>
      </c>
      <c r="C1112" s="5">
        <f t="shared" si="295"/>
        <v>2022</v>
      </c>
      <c r="D1112" s="5" t="s">
        <v>1010</v>
      </c>
      <c r="E1112" s="5" t="str">
        <f>VLOOKUP(F1112,'Set up'!$A$2:$C$48,2,FALSE)</f>
        <v>C00000001</v>
      </c>
      <c r="F1112" s="1" t="s">
        <v>7</v>
      </c>
      <c r="G1112" s="11" t="s">
        <v>717</v>
      </c>
      <c r="H1112" s="5">
        <v>1</v>
      </c>
      <c r="I1112" s="5" t="str">
        <f>VLOOKUP(F1112,'Set up'!$A$2:$C$48,3,FALSE)</f>
        <v>Cash</v>
      </c>
      <c r="J1112" s="5">
        <f>VLOOKUP(F1112,'Set up'!$A$2:$D$48,4,FALSE)</f>
        <v>0</v>
      </c>
      <c r="K1112" s="4">
        <f t="shared" ref="K1112:K1175" si="303">A1112+J1112</f>
        <v>44855</v>
      </c>
      <c r="L1112" s="5">
        <f t="shared" si="296"/>
        <v>10</v>
      </c>
      <c r="M1112" s="5">
        <f t="shared" si="297"/>
        <v>2022</v>
      </c>
      <c r="N1112" s="6">
        <v>1936</v>
      </c>
      <c r="O1112" s="6">
        <f t="shared" ref="O1112:O1113" si="304">-N1112</f>
        <v>-1936</v>
      </c>
      <c r="P1112" s="6">
        <f t="shared" si="298"/>
        <v>0</v>
      </c>
      <c r="Q1112" s="7">
        <f t="shared" si="299"/>
        <v>1989946.350000001</v>
      </c>
      <c r="R1112" s="44" t="str">
        <f>VLOOKUP(F1112,'Set up'!$A$2:$E$48,5,FALSE)</f>
        <v>Trsf</v>
      </c>
      <c r="S1112" s="1" t="s">
        <v>1077</v>
      </c>
    </row>
    <row r="1113" spans="1:19" hidden="1" x14ac:dyDescent="0.3">
      <c r="A1113" s="4">
        <v>44855</v>
      </c>
      <c r="B1113" s="5">
        <f t="shared" si="294"/>
        <v>10</v>
      </c>
      <c r="C1113" s="5">
        <f t="shared" si="295"/>
        <v>2022</v>
      </c>
      <c r="D1113" s="5" t="s">
        <v>1010</v>
      </c>
      <c r="E1113" s="5" t="str">
        <f>VLOOKUP(F1113,'Set up'!$A$2:$C$48,2,FALSE)</f>
        <v>C00000001</v>
      </c>
      <c r="F1113" s="1" t="s">
        <v>7</v>
      </c>
      <c r="G1113" s="11" t="s">
        <v>655</v>
      </c>
      <c r="H1113" s="5">
        <v>4</v>
      </c>
      <c r="I1113" s="5" t="str">
        <f>VLOOKUP(F1113,'Set up'!$A$2:$C$48,3,FALSE)</f>
        <v>Cash</v>
      </c>
      <c r="J1113" s="5">
        <f>VLOOKUP(F1113,'Set up'!$A$2:$D$48,4,FALSE)</f>
        <v>0</v>
      </c>
      <c r="K1113" s="4">
        <f t="shared" si="303"/>
        <v>44855</v>
      </c>
      <c r="L1113" s="5">
        <f t="shared" si="296"/>
        <v>10</v>
      </c>
      <c r="M1113" s="5">
        <f t="shared" si="297"/>
        <v>2022</v>
      </c>
      <c r="N1113" s="6">
        <v>1068</v>
      </c>
      <c r="O1113" s="6">
        <f t="shared" si="304"/>
        <v>-1068</v>
      </c>
      <c r="P1113" s="6">
        <f t="shared" si="298"/>
        <v>0</v>
      </c>
      <c r="Q1113" s="7">
        <f t="shared" si="299"/>
        <v>1991014.350000001</v>
      </c>
      <c r="R1113" s="44" t="str">
        <f>VLOOKUP(F1113,'Set up'!$A$2:$E$48,5,FALSE)</f>
        <v>Trsf</v>
      </c>
      <c r="S1113" s="1" t="s">
        <v>1077</v>
      </c>
    </row>
    <row r="1114" spans="1:19" x14ac:dyDescent="0.3">
      <c r="A1114" s="4">
        <v>44856</v>
      </c>
      <c r="B1114" s="5">
        <f t="shared" si="294"/>
        <v>10</v>
      </c>
      <c r="C1114" s="5">
        <f t="shared" si="295"/>
        <v>2022</v>
      </c>
      <c r="D1114" s="5" t="s">
        <v>1011</v>
      </c>
      <c r="E1114" s="5" t="str">
        <f>VLOOKUP(F1114,'Set up'!$A$2:$C$48,2,FALSE)</f>
        <v>C00000020</v>
      </c>
      <c r="F1114" s="1" t="s">
        <v>410</v>
      </c>
      <c r="G1114" s="11" t="s">
        <v>717</v>
      </c>
      <c r="H1114" s="5">
        <v>2</v>
      </c>
      <c r="I1114" s="5" t="str">
        <f>VLOOKUP(F1114,'Set up'!$A$2:$C$48,3,FALSE)</f>
        <v>Cash</v>
      </c>
      <c r="J1114" s="5">
        <f>VLOOKUP(F1114,'Set up'!$A$2:$D$48,4,FALSE)</f>
        <v>0</v>
      </c>
      <c r="K1114" s="4">
        <f t="shared" si="303"/>
        <v>44856</v>
      </c>
      <c r="L1114" s="5">
        <f t="shared" si="296"/>
        <v>10</v>
      </c>
      <c r="M1114" s="5">
        <f t="shared" si="297"/>
        <v>2022</v>
      </c>
      <c r="N1114" s="6">
        <v>3608</v>
      </c>
      <c r="O1114" s="6">
        <f>-N1114</f>
        <v>-3608</v>
      </c>
      <c r="P1114" s="6">
        <f t="shared" si="298"/>
        <v>0</v>
      </c>
      <c r="Q1114" s="7">
        <f t="shared" si="299"/>
        <v>1994622.350000001</v>
      </c>
      <c r="R1114" s="44" t="str">
        <f>VLOOKUP(F1114,'Set up'!$A$2:$E$48,5,FALSE)</f>
        <v>Trsf</v>
      </c>
      <c r="S1114" s="1" t="s">
        <v>1035</v>
      </c>
    </row>
    <row r="1115" spans="1:19" x14ac:dyDescent="0.3">
      <c r="A1115" s="4">
        <v>44856</v>
      </c>
      <c r="B1115" s="5">
        <f t="shared" si="294"/>
        <v>10</v>
      </c>
      <c r="C1115" s="5">
        <f t="shared" si="295"/>
        <v>2022</v>
      </c>
      <c r="D1115" s="5" t="s">
        <v>1011</v>
      </c>
      <c r="E1115" s="5" t="str">
        <f>VLOOKUP(F1115,'Set up'!$A$2:$C$48,2,FALSE)</f>
        <v>C00000020</v>
      </c>
      <c r="F1115" s="1" t="s">
        <v>410</v>
      </c>
      <c r="G1115" s="11" t="s">
        <v>989</v>
      </c>
      <c r="H1115" s="5">
        <v>10</v>
      </c>
      <c r="I1115" s="5" t="str">
        <f>VLOOKUP(F1115,'Set up'!$A$2:$C$48,3,FALSE)</f>
        <v>Cash</v>
      </c>
      <c r="J1115" s="5">
        <f>VLOOKUP(F1115,'Set up'!$A$2:$D$48,4,FALSE)</f>
        <v>0</v>
      </c>
      <c r="K1115" s="4">
        <f t="shared" si="303"/>
        <v>44856</v>
      </c>
      <c r="L1115" s="5">
        <f t="shared" si="296"/>
        <v>10</v>
      </c>
      <c r="M1115" s="5">
        <f t="shared" si="297"/>
        <v>2022</v>
      </c>
      <c r="N1115" s="6">
        <v>2520</v>
      </c>
      <c r="O1115" s="6">
        <f>-N1115</f>
        <v>-2520</v>
      </c>
      <c r="P1115" s="6">
        <f t="shared" si="298"/>
        <v>0</v>
      </c>
      <c r="Q1115" s="7">
        <f t="shared" si="299"/>
        <v>1997142.350000001</v>
      </c>
      <c r="R1115" s="44" t="str">
        <f>VLOOKUP(F1115,'Set up'!$A$2:$E$48,5,FALSE)</f>
        <v>Trsf</v>
      </c>
      <c r="S1115" s="1" t="s">
        <v>1035</v>
      </c>
    </row>
    <row r="1116" spans="1:19" x14ac:dyDescent="0.3">
      <c r="A1116" s="4">
        <v>44856</v>
      </c>
      <c r="B1116" s="5">
        <f t="shared" si="294"/>
        <v>10</v>
      </c>
      <c r="C1116" s="5">
        <f t="shared" si="295"/>
        <v>2022</v>
      </c>
      <c r="D1116" s="5" t="s">
        <v>1011</v>
      </c>
      <c r="E1116" s="5" t="str">
        <f>VLOOKUP(F1116,'Set up'!$A$2:$C$48,2,FALSE)</f>
        <v>C00000020</v>
      </c>
      <c r="F1116" s="1" t="s">
        <v>410</v>
      </c>
      <c r="G1116" s="11" t="s">
        <v>793</v>
      </c>
      <c r="H1116" s="5">
        <v>5</v>
      </c>
      <c r="I1116" s="5" t="str">
        <f>VLOOKUP(F1116,'Set up'!$A$2:$C$48,3,FALSE)</f>
        <v>Cash</v>
      </c>
      <c r="J1116" s="5">
        <f>VLOOKUP(F1116,'Set up'!$A$2:$D$48,4,FALSE)</f>
        <v>0</v>
      </c>
      <c r="K1116" s="4">
        <f t="shared" si="303"/>
        <v>44856</v>
      </c>
      <c r="L1116" s="5">
        <f t="shared" si="296"/>
        <v>10</v>
      </c>
      <c r="M1116" s="5">
        <f t="shared" si="297"/>
        <v>2022</v>
      </c>
      <c r="N1116" s="6">
        <v>1462.5</v>
      </c>
      <c r="O1116" s="6">
        <f>-N1116</f>
        <v>-1462.5</v>
      </c>
      <c r="P1116" s="6">
        <f t="shared" si="298"/>
        <v>0</v>
      </c>
      <c r="Q1116" s="7">
        <f t="shared" si="299"/>
        <v>1998604.850000001</v>
      </c>
      <c r="R1116" s="44" t="str">
        <f>VLOOKUP(F1116,'Set up'!$A$2:$E$48,5,FALSE)</f>
        <v>Trsf</v>
      </c>
      <c r="S1116" s="1" t="s">
        <v>1035</v>
      </c>
    </row>
    <row r="1117" spans="1:19" hidden="1" x14ac:dyDescent="0.3">
      <c r="A1117" s="4">
        <v>44856</v>
      </c>
      <c r="B1117" s="5">
        <f t="shared" si="294"/>
        <v>10</v>
      </c>
      <c r="C1117" s="5">
        <f t="shared" si="295"/>
        <v>2022</v>
      </c>
      <c r="D1117" s="5" t="s">
        <v>1012</v>
      </c>
      <c r="E1117" s="5" t="str">
        <f>VLOOKUP(F1117,'Set up'!$A$2:$C$48,2,FALSE)</f>
        <v>C00000021</v>
      </c>
      <c r="F1117" s="1" t="s">
        <v>492</v>
      </c>
      <c r="G1117" s="11" t="s">
        <v>67</v>
      </c>
      <c r="H1117" s="5">
        <v>1</v>
      </c>
      <c r="I1117" s="5" t="str">
        <f>VLOOKUP(F1117,'Set up'!$A$2:$C$48,3,FALSE)</f>
        <v>Cash</v>
      </c>
      <c r="J1117" s="5">
        <f>VLOOKUP(F1117,'Set up'!$A$2:$D$48,4,FALSE)</f>
        <v>0</v>
      </c>
      <c r="K1117" s="4">
        <f t="shared" si="303"/>
        <v>44856</v>
      </c>
      <c r="L1117" s="5">
        <f t="shared" si="296"/>
        <v>10</v>
      </c>
      <c r="M1117" s="5">
        <f t="shared" si="297"/>
        <v>2022</v>
      </c>
      <c r="N1117" s="6">
        <v>1936</v>
      </c>
      <c r="O1117" s="6">
        <f t="shared" ref="O1117:O1119" si="305">-N1117</f>
        <v>-1936</v>
      </c>
      <c r="P1117" s="6">
        <f t="shared" si="298"/>
        <v>0</v>
      </c>
      <c r="Q1117" s="7">
        <f t="shared" si="299"/>
        <v>2000540.850000001</v>
      </c>
      <c r="R1117" s="44" t="str">
        <f>VLOOKUP(F1117,'Set up'!$A$2:$E$48,5,FALSE)</f>
        <v>PD Chq</v>
      </c>
      <c r="S1117" s="1" t="s">
        <v>1286</v>
      </c>
    </row>
    <row r="1118" spans="1:19" hidden="1" x14ac:dyDescent="0.3">
      <c r="A1118" s="4">
        <v>44856</v>
      </c>
      <c r="B1118" s="5">
        <f t="shared" si="294"/>
        <v>10</v>
      </c>
      <c r="C1118" s="5">
        <f t="shared" si="295"/>
        <v>2022</v>
      </c>
      <c r="D1118" s="5" t="s">
        <v>1012</v>
      </c>
      <c r="E1118" s="5" t="str">
        <f>VLOOKUP(F1118,'Set up'!$A$2:$C$48,2,FALSE)</f>
        <v>C00000021</v>
      </c>
      <c r="F1118" s="1" t="s">
        <v>492</v>
      </c>
      <c r="G1118" s="11" t="s">
        <v>989</v>
      </c>
      <c r="H1118" s="5">
        <v>3</v>
      </c>
      <c r="I1118" s="5" t="str">
        <f>VLOOKUP(F1118,'Set up'!$A$2:$C$48,3,FALSE)</f>
        <v>Cash</v>
      </c>
      <c r="J1118" s="5">
        <f>VLOOKUP(F1118,'Set up'!$A$2:$D$48,4,FALSE)</f>
        <v>0</v>
      </c>
      <c r="K1118" s="4">
        <f t="shared" si="303"/>
        <v>44856</v>
      </c>
      <c r="L1118" s="5">
        <f t="shared" si="296"/>
        <v>10</v>
      </c>
      <c r="M1118" s="5">
        <f t="shared" si="297"/>
        <v>2022</v>
      </c>
      <c r="N1118" s="6">
        <v>801</v>
      </c>
      <c r="O1118" s="6">
        <f t="shared" si="305"/>
        <v>-801</v>
      </c>
      <c r="P1118" s="6">
        <f t="shared" si="298"/>
        <v>0</v>
      </c>
      <c r="Q1118" s="7">
        <f t="shared" si="299"/>
        <v>2001341.850000001</v>
      </c>
      <c r="R1118" s="44" t="str">
        <f>VLOOKUP(F1118,'Set up'!$A$2:$E$48,5,FALSE)</f>
        <v>PD Chq</v>
      </c>
      <c r="S1118" s="1" t="s">
        <v>1286</v>
      </c>
    </row>
    <row r="1119" spans="1:19" hidden="1" x14ac:dyDescent="0.3">
      <c r="A1119" s="4">
        <v>44856</v>
      </c>
      <c r="B1119" s="5">
        <f t="shared" si="294"/>
        <v>10</v>
      </c>
      <c r="C1119" s="5">
        <f t="shared" si="295"/>
        <v>2022</v>
      </c>
      <c r="D1119" s="5" t="s">
        <v>1012</v>
      </c>
      <c r="E1119" s="5" t="str">
        <f>VLOOKUP(F1119,'Set up'!$A$2:$C$48,2,FALSE)</f>
        <v>C00000021</v>
      </c>
      <c r="F1119" s="1" t="s">
        <v>492</v>
      </c>
      <c r="G1119" s="11" t="s">
        <v>949</v>
      </c>
      <c r="H1119" s="5">
        <v>1</v>
      </c>
      <c r="I1119" s="5" t="str">
        <f>VLOOKUP(F1119,'Set up'!$A$2:$C$48,3,FALSE)</f>
        <v>Cash</v>
      </c>
      <c r="J1119" s="5">
        <f>VLOOKUP(F1119,'Set up'!$A$2:$D$48,4,FALSE)</f>
        <v>0</v>
      </c>
      <c r="K1119" s="4">
        <f t="shared" si="303"/>
        <v>44856</v>
      </c>
      <c r="L1119" s="5">
        <f t="shared" si="296"/>
        <v>10</v>
      </c>
      <c r="M1119" s="5">
        <f t="shared" si="297"/>
        <v>2022</v>
      </c>
      <c r="N1119" s="6">
        <v>100</v>
      </c>
      <c r="O1119" s="6">
        <f t="shared" si="305"/>
        <v>-100</v>
      </c>
      <c r="P1119" s="6">
        <f t="shared" si="298"/>
        <v>0</v>
      </c>
      <c r="Q1119" s="7">
        <f t="shared" si="299"/>
        <v>2001441.850000001</v>
      </c>
      <c r="R1119" s="44" t="str">
        <f>VLOOKUP(F1119,'Set up'!$A$2:$E$48,5,FALSE)</f>
        <v>PD Chq</v>
      </c>
      <c r="S1119" s="1" t="s">
        <v>1286</v>
      </c>
    </row>
    <row r="1120" spans="1:19" x14ac:dyDescent="0.3">
      <c r="A1120" s="4">
        <v>44861</v>
      </c>
      <c r="B1120" s="5">
        <f t="shared" si="294"/>
        <v>10</v>
      </c>
      <c r="C1120" s="5">
        <f t="shared" si="295"/>
        <v>2022</v>
      </c>
      <c r="D1120" s="5" t="s">
        <v>1013</v>
      </c>
      <c r="E1120" s="5" t="str">
        <f>VLOOKUP(F1120,'Set up'!$A$2:$C$48,2,FALSE)</f>
        <v>C00000020</v>
      </c>
      <c r="F1120" s="1" t="s">
        <v>410</v>
      </c>
      <c r="G1120" s="11" t="s">
        <v>64</v>
      </c>
      <c r="H1120" s="5">
        <v>4</v>
      </c>
      <c r="I1120" s="5" t="str">
        <f>VLOOKUP(F1120,'Set up'!$A$2:$C$48,3,FALSE)</f>
        <v>Cash</v>
      </c>
      <c r="J1120" s="5">
        <f>VLOOKUP(F1120,'Set up'!$A$2:$D$48,4,FALSE)</f>
        <v>0</v>
      </c>
      <c r="K1120" s="4">
        <f t="shared" si="303"/>
        <v>44861</v>
      </c>
      <c r="L1120" s="5">
        <f t="shared" si="296"/>
        <v>10</v>
      </c>
      <c r="M1120" s="5">
        <f t="shared" si="297"/>
        <v>2022</v>
      </c>
      <c r="N1120" s="6">
        <v>250</v>
      </c>
      <c r="O1120" s="6">
        <f>-N1120</f>
        <v>-250</v>
      </c>
      <c r="P1120" s="6">
        <f t="shared" si="298"/>
        <v>0</v>
      </c>
      <c r="Q1120" s="7">
        <f t="shared" si="299"/>
        <v>2001691.850000001</v>
      </c>
      <c r="R1120" s="44" t="str">
        <f>VLOOKUP(F1120,'Set up'!$A$2:$E$48,5,FALSE)</f>
        <v>Trsf</v>
      </c>
      <c r="S1120" s="1" t="s">
        <v>1041</v>
      </c>
    </row>
    <row r="1121" spans="1:19" x14ac:dyDescent="0.3">
      <c r="A1121" s="4">
        <v>44865</v>
      </c>
      <c r="B1121" s="5">
        <f t="shared" si="294"/>
        <v>10</v>
      </c>
      <c r="C1121" s="5">
        <f t="shared" si="295"/>
        <v>2022</v>
      </c>
      <c r="D1121" s="5" t="s">
        <v>1015</v>
      </c>
      <c r="E1121" s="5" t="str">
        <f>VLOOKUP(F1121,'Set up'!$A$2:$C$48,2,FALSE)</f>
        <v>C00000020</v>
      </c>
      <c r="F1121" s="1" t="s">
        <v>410</v>
      </c>
      <c r="G1121" s="11" t="s">
        <v>720</v>
      </c>
      <c r="H1121" s="5">
        <v>15</v>
      </c>
      <c r="I1121" s="5" t="str">
        <f>VLOOKUP(F1121,'Set up'!$A$2:$C$48,3,FALSE)</f>
        <v>Cash</v>
      </c>
      <c r="J1121" s="5">
        <f>VLOOKUP(F1121,'Set up'!$A$2:$D$48,4,FALSE)</f>
        <v>0</v>
      </c>
      <c r="K1121" s="4">
        <f t="shared" si="303"/>
        <v>44865</v>
      </c>
      <c r="L1121" s="5">
        <f t="shared" si="296"/>
        <v>10</v>
      </c>
      <c r="M1121" s="5">
        <f t="shared" si="297"/>
        <v>2022</v>
      </c>
      <c r="N1121" s="6">
        <v>27060</v>
      </c>
      <c r="O1121" s="6">
        <f>-789.4-11000-10000-5270.6</f>
        <v>-27060</v>
      </c>
      <c r="P1121" s="6">
        <f t="shared" si="298"/>
        <v>0</v>
      </c>
      <c r="Q1121" s="7">
        <f t="shared" si="299"/>
        <v>2028751.850000001</v>
      </c>
      <c r="R1121" s="44" t="str">
        <f>VLOOKUP(F1121,'Set up'!$A$2:$E$48,5,FALSE)</f>
        <v>Trsf</v>
      </c>
      <c r="S1121" s="1" t="s">
        <v>1375</v>
      </c>
    </row>
    <row r="1122" spans="1:19" x14ac:dyDescent="0.3">
      <c r="A1122" s="4">
        <v>44865</v>
      </c>
      <c r="B1122" s="5">
        <f t="shared" si="294"/>
        <v>10</v>
      </c>
      <c r="C1122" s="5">
        <f t="shared" si="295"/>
        <v>2022</v>
      </c>
      <c r="D1122" s="5" t="s">
        <v>1015</v>
      </c>
      <c r="E1122" s="5" t="str">
        <f>VLOOKUP(F1122,'Set up'!$A$2:$C$48,2,FALSE)</f>
        <v>C00000020</v>
      </c>
      <c r="F1122" s="1" t="s">
        <v>410</v>
      </c>
      <c r="G1122" s="11" t="s">
        <v>989</v>
      </c>
      <c r="H1122" s="5">
        <v>45</v>
      </c>
      <c r="I1122" s="5" t="str">
        <f>VLOOKUP(F1122,'Set up'!$A$2:$C$48,3,FALSE)</f>
        <v>Cash</v>
      </c>
      <c r="J1122" s="5">
        <f>VLOOKUP(F1122,'Set up'!$A$2:$D$48,4,FALSE)</f>
        <v>0</v>
      </c>
      <c r="K1122" s="4">
        <f t="shared" si="303"/>
        <v>44865</v>
      </c>
      <c r="L1122" s="5">
        <f t="shared" si="296"/>
        <v>10</v>
      </c>
      <c r="M1122" s="5">
        <f t="shared" si="297"/>
        <v>2022</v>
      </c>
      <c r="N1122" s="6">
        <v>11340</v>
      </c>
      <c r="O1122" s="6">
        <f t="shared" ref="O1122:O1127" si="306">-N1122</f>
        <v>-11340</v>
      </c>
      <c r="P1122" s="6">
        <f t="shared" si="298"/>
        <v>0</v>
      </c>
      <c r="Q1122" s="7">
        <f t="shared" si="299"/>
        <v>2040091.850000001</v>
      </c>
      <c r="R1122" s="44" t="str">
        <f>VLOOKUP(F1122,'Set up'!$A$2:$E$48,5,FALSE)</f>
        <v>Trsf</v>
      </c>
      <c r="S1122" s="1" t="s">
        <v>1376</v>
      </c>
    </row>
    <row r="1123" spans="1:19" x14ac:dyDescent="0.3">
      <c r="A1123" s="4">
        <v>44865</v>
      </c>
      <c r="B1123" s="5">
        <f t="shared" si="294"/>
        <v>10</v>
      </c>
      <c r="C1123" s="5">
        <f t="shared" si="295"/>
        <v>2022</v>
      </c>
      <c r="D1123" s="5" t="s">
        <v>1015</v>
      </c>
      <c r="E1123" s="5" t="str">
        <f>VLOOKUP(F1123,'Set up'!$A$2:$C$48,2,FALSE)</f>
        <v>C00000020</v>
      </c>
      <c r="F1123" s="1" t="s">
        <v>410</v>
      </c>
      <c r="G1123" s="11" t="s">
        <v>990</v>
      </c>
      <c r="H1123" s="5">
        <v>7</v>
      </c>
      <c r="I1123" s="5" t="str">
        <f>VLOOKUP(F1123,'Set up'!$A$2:$C$48,3,FALSE)</f>
        <v>Cash</v>
      </c>
      <c r="J1123" s="5">
        <f>VLOOKUP(F1123,'Set up'!$A$2:$D$48,4,FALSE)</f>
        <v>0</v>
      </c>
      <c r="K1123" s="4">
        <f t="shared" si="303"/>
        <v>44865</v>
      </c>
      <c r="L1123" s="5">
        <f t="shared" si="296"/>
        <v>10</v>
      </c>
      <c r="M1123" s="5">
        <f t="shared" si="297"/>
        <v>2022</v>
      </c>
      <c r="N1123" s="6">
        <v>2047.5</v>
      </c>
      <c r="O1123" s="6">
        <f t="shared" si="306"/>
        <v>-2047.5</v>
      </c>
      <c r="P1123" s="6">
        <f t="shared" si="298"/>
        <v>0</v>
      </c>
      <c r="Q1123" s="7">
        <f t="shared" si="299"/>
        <v>2042139.350000001</v>
      </c>
      <c r="R1123" s="44" t="str">
        <f>VLOOKUP(F1123,'Set up'!$A$2:$E$48,5,FALSE)</f>
        <v>Trsf</v>
      </c>
      <c r="S1123" s="1" t="s">
        <v>1376</v>
      </c>
    </row>
    <row r="1124" spans="1:19" x14ac:dyDescent="0.3">
      <c r="A1124" s="4">
        <v>44865</v>
      </c>
      <c r="B1124" s="5">
        <f t="shared" si="294"/>
        <v>10</v>
      </c>
      <c r="C1124" s="5">
        <f t="shared" si="295"/>
        <v>2022</v>
      </c>
      <c r="D1124" s="5" t="s">
        <v>1015</v>
      </c>
      <c r="E1124" s="5" t="str">
        <f>VLOOKUP(F1124,'Set up'!$A$2:$C$48,2,FALSE)</f>
        <v>C00000020</v>
      </c>
      <c r="F1124" s="1" t="s">
        <v>410</v>
      </c>
      <c r="G1124" s="11" t="s">
        <v>1014</v>
      </c>
      <c r="H1124" s="5">
        <v>15</v>
      </c>
      <c r="I1124" s="5" t="str">
        <f>VLOOKUP(F1124,'Set up'!$A$2:$C$48,3,FALSE)</f>
        <v>Cash</v>
      </c>
      <c r="J1124" s="5">
        <f>VLOOKUP(F1124,'Set up'!$A$2:$D$48,4,FALSE)</f>
        <v>0</v>
      </c>
      <c r="K1124" s="4">
        <f t="shared" si="303"/>
        <v>44865</v>
      </c>
      <c r="L1124" s="5">
        <f t="shared" si="296"/>
        <v>10</v>
      </c>
      <c r="M1124" s="5">
        <f t="shared" si="297"/>
        <v>2022</v>
      </c>
      <c r="N1124" s="6">
        <v>3900</v>
      </c>
      <c r="O1124" s="6">
        <f t="shared" si="306"/>
        <v>-3900</v>
      </c>
      <c r="P1124" s="6">
        <f t="shared" si="298"/>
        <v>0</v>
      </c>
      <c r="Q1124" s="7">
        <f t="shared" si="299"/>
        <v>2046039.350000001</v>
      </c>
      <c r="R1124" s="44" t="str">
        <f>VLOOKUP(F1124,'Set up'!$A$2:$E$48,5,FALSE)</f>
        <v>Trsf</v>
      </c>
      <c r="S1124" s="1" t="s">
        <v>1376</v>
      </c>
    </row>
    <row r="1125" spans="1:19" x14ac:dyDescent="0.3">
      <c r="A1125" s="4">
        <v>44865</v>
      </c>
      <c r="B1125" s="5">
        <f t="shared" si="294"/>
        <v>10</v>
      </c>
      <c r="C1125" s="5">
        <f t="shared" si="295"/>
        <v>2022</v>
      </c>
      <c r="D1125" s="5" t="s">
        <v>1015</v>
      </c>
      <c r="E1125" s="5" t="str">
        <f>VLOOKUP(F1125,'Set up'!$A$2:$C$48,2,FALSE)</f>
        <v>C00000020</v>
      </c>
      <c r="F1125" s="1" t="s">
        <v>410</v>
      </c>
      <c r="G1125" s="11" t="s">
        <v>64</v>
      </c>
      <c r="H1125" s="5">
        <v>15</v>
      </c>
      <c r="I1125" s="5" t="str">
        <f>VLOOKUP(F1125,'Set up'!$A$2:$C$48,3,FALSE)</f>
        <v>Cash</v>
      </c>
      <c r="J1125" s="5">
        <f>VLOOKUP(F1125,'Set up'!$A$2:$D$48,4,FALSE)</f>
        <v>0</v>
      </c>
      <c r="K1125" s="4">
        <f t="shared" si="303"/>
        <v>44865</v>
      </c>
      <c r="L1125" s="5">
        <f t="shared" si="296"/>
        <v>10</v>
      </c>
      <c r="M1125" s="5">
        <f t="shared" si="297"/>
        <v>2022</v>
      </c>
      <c r="N1125" s="6">
        <v>937.5</v>
      </c>
      <c r="O1125" s="6">
        <f t="shared" si="306"/>
        <v>-937.5</v>
      </c>
      <c r="P1125" s="6">
        <f t="shared" si="298"/>
        <v>0</v>
      </c>
      <c r="Q1125" s="7">
        <f t="shared" si="299"/>
        <v>2046976.850000001</v>
      </c>
      <c r="R1125" s="44" t="str">
        <f>VLOOKUP(F1125,'Set up'!$A$2:$E$48,5,FALSE)</f>
        <v>Trsf</v>
      </c>
      <c r="S1125" s="1" t="s">
        <v>1376</v>
      </c>
    </row>
    <row r="1126" spans="1:19" x14ac:dyDescent="0.3">
      <c r="A1126" s="4">
        <v>44865</v>
      </c>
      <c r="B1126" s="5">
        <f t="shared" si="294"/>
        <v>10</v>
      </c>
      <c r="C1126" s="5">
        <f t="shared" si="295"/>
        <v>2022</v>
      </c>
      <c r="D1126" s="5" t="s">
        <v>1015</v>
      </c>
      <c r="E1126" s="5" t="str">
        <f>VLOOKUP(F1126,'Set up'!$A$2:$C$48,2,FALSE)</f>
        <v>C00000020</v>
      </c>
      <c r="F1126" s="1" t="s">
        <v>410</v>
      </c>
      <c r="G1126" s="11" t="s">
        <v>991</v>
      </c>
      <c r="H1126" s="5">
        <v>2</v>
      </c>
      <c r="I1126" s="5" t="str">
        <f>VLOOKUP(F1126,'Set up'!$A$2:$C$48,3,FALSE)</f>
        <v>Cash</v>
      </c>
      <c r="J1126" s="5">
        <f>VLOOKUP(F1126,'Set up'!$A$2:$D$48,4,FALSE)</f>
        <v>0</v>
      </c>
      <c r="K1126" s="4">
        <f t="shared" si="303"/>
        <v>44865</v>
      </c>
      <c r="L1126" s="5">
        <f t="shared" si="296"/>
        <v>10</v>
      </c>
      <c r="M1126" s="5">
        <f t="shared" si="297"/>
        <v>2022</v>
      </c>
      <c r="N1126" s="6">
        <v>2000</v>
      </c>
      <c r="O1126" s="6">
        <f t="shared" si="306"/>
        <v>-2000</v>
      </c>
      <c r="P1126" s="6">
        <f t="shared" si="298"/>
        <v>0</v>
      </c>
      <c r="Q1126" s="7">
        <f t="shared" si="299"/>
        <v>2048976.850000001</v>
      </c>
      <c r="R1126" s="44" t="str">
        <f>VLOOKUP(F1126,'Set up'!$A$2:$E$48,5,FALSE)</f>
        <v>Trsf</v>
      </c>
      <c r="S1126" s="1" t="s">
        <v>1376</v>
      </c>
    </row>
    <row r="1127" spans="1:19" x14ac:dyDescent="0.3">
      <c r="A1127" s="4">
        <v>44865</v>
      </c>
      <c r="B1127" s="5">
        <f t="shared" si="294"/>
        <v>10</v>
      </c>
      <c r="C1127" s="5">
        <f t="shared" si="295"/>
        <v>2022</v>
      </c>
      <c r="D1127" s="5" t="s">
        <v>1015</v>
      </c>
      <c r="E1127" s="5" t="str">
        <f>VLOOKUP(F1127,'Set up'!$A$2:$C$48,2,FALSE)</f>
        <v>C00000020</v>
      </c>
      <c r="F1127" s="1" t="s">
        <v>410</v>
      </c>
      <c r="G1127" s="11" t="s">
        <v>992</v>
      </c>
      <c r="H1127" s="5">
        <v>4</v>
      </c>
      <c r="I1127" s="5" t="str">
        <f>VLOOKUP(F1127,'Set up'!$A$2:$C$48,3,FALSE)</f>
        <v>Cash</v>
      </c>
      <c r="J1127" s="5">
        <f>VLOOKUP(F1127,'Set up'!$A$2:$D$48,4,FALSE)</f>
        <v>0</v>
      </c>
      <c r="K1127" s="4">
        <f t="shared" si="303"/>
        <v>44865</v>
      </c>
      <c r="L1127" s="5">
        <f t="shared" si="296"/>
        <v>10</v>
      </c>
      <c r="M1127" s="5">
        <f t="shared" si="297"/>
        <v>2022</v>
      </c>
      <c r="N1127" s="6">
        <v>400</v>
      </c>
      <c r="O1127" s="6">
        <f t="shared" si="306"/>
        <v>-400</v>
      </c>
      <c r="P1127" s="6">
        <f t="shared" si="298"/>
        <v>0</v>
      </c>
      <c r="Q1127" s="7">
        <f t="shared" si="299"/>
        <v>2049376.850000001</v>
      </c>
      <c r="R1127" s="44" t="str">
        <f>VLOOKUP(F1127,'Set up'!$A$2:$E$48,5,FALSE)</f>
        <v>Trsf</v>
      </c>
      <c r="S1127" s="1" t="s">
        <v>1376</v>
      </c>
    </row>
    <row r="1128" spans="1:19" hidden="1" x14ac:dyDescent="0.3">
      <c r="A1128" s="4">
        <v>44865</v>
      </c>
      <c r="B1128" s="5">
        <f t="shared" si="294"/>
        <v>10</v>
      </c>
      <c r="C1128" s="5">
        <f t="shared" si="295"/>
        <v>2022</v>
      </c>
      <c r="D1128" s="5" t="s">
        <v>1016</v>
      </c>
      <c r="E1128" s="5" t="str">
        <f>VLOOKUP(F1128,'Set up'!$A$2:$C$48,2,FALSE)</f>
        <v>C00000021</v>
      </c>
      <c r="F1128" s="1" t="s">
        <v>492</v>
      </c>
      <c r="G1128" s="11" t="s">
        <v>67</v>
      </c>
      <c r="H1128" s="5">
        <v>1</v>
      </c>
      <c r="I1128" s="5" t="str">
        <f>VLOOKUP(F1128,'Set up'!$A$2:$C$48,3,FALSE)</f>
        <v>Cash</v>
      </c>
      <c r="J1128" s="5">
        <f>VLOOKUP(F1128,'Set up'!$A$2:$D$48,4,FALSE)</f>
        <v>0</v>
      </c>
      <c r="K1128" s="4">
        <f t="shared" si="303"/>
        <v>44865</v>
      </c>
      <c r="L1128" s="5">
        <f t="shared" si="296"/>
        <v>10</v>
      </c>
      <c r="M1128" s="5">
        <f t="shared" si="297"/>
        <v>2022</v>
      </c>
      <c r="N1128" s="6">
        <v>1936</v>
      </c>
      <c r="O1128" s="6">
        <f t="shared" ref="O1128:O1137" si="307">-N1128</f>
        <v>-1936</v>
      </c>
      <c r="P1128" s="6">
        <f t="shared" si="298"/>
        <v>0</v>
      </c>
      <c r="Q1128" s="7">
        <f t="shared" si="299"/>
        <v>2051312.850000001</v>
      </c>
      <c r="R1128" s="44" t="str">
        <f>VLOOKUP(F1128,'Set up'!$A$2:$E$48,5,FALSE)</f>
        <v>PD Chq</v>
      </c>
      <c r="S1128" s="1" t="s">
        <v>1296</v>
      </c>
    </row>
    <row r="1129" spans="1:19" hidden="1" x14ac:dyDescent="0.3">
      <c r="A1129" s="4">
        <v>44865</v>
      </c>
      <c r="B1129" s="5">
        <f t="shared" si="294"/>
        <v>10</v>
      </c>
      <c r="C1129" s="5">
        <f t="shared" si="295"/>
        <v>2022</v>
      </c>
      <c r="D1129" s="5" t="s">
        <v>1016</v>
      </c>
      <c r="E1129" s="5" t="str">
        <f>VLOOKUP(F1129,'Set up'!$A$2:$C$48,2,FALSE)</f>
        <v>C00000021</v>
      </c>
      <c r="F1129" s="1" t="s">
        <v>492</v>
      </c>
      <c r="G1129" s="11" t="s">
        <v>655</v>
      </c>
      <c r="H1129" s="5">
        <v>3</v>
      </c>
      <c r="I1129" s="5" t="str">
        <f>VLOOKUP(F1129,'Set up'!$A$2:$C$48,3,FALSE)</f>
        <v>Cash</v>
      </c>
      <c r="J1129" s="5">
        <f>VLOOKUP(F1129,'Set up'!$A$2:$D$48,4,FALSE)</f>
        <v>0</v>
      </c>
      <c r="K1129" s="4">
        <f t="shared" si="303"/>
        <v>44865</v>
      </c>
      <c r="L1129" s="5">
        <f t="shared" si="296"/>
        <v>10</v>
      </c>
      <c r="M1129" s="5">
        <f t="shared" si="297"/>
        <v>2022</v>
      </c>
      <c r="N1129" s="6">
        <v>801</v>
      </c>
      <c r="O1129" s="6">
        <f t="shared" si="307"/>
        <v>-801</v>
      </c>
      <c r="P1129" s="6">
        <f t="shared" si="298"/>
        <v>0</v>
      </c>
      <c r="Q1129" s="7">
        <f t="shared" si="299"/>
        <v>2052113.850000001</v>
      </c>
      <c r="R1129" s="44" t="str">
        <f>VLOOKUP(F1129,'Set up'!$A$2:$E$48,5,FALSE)</f>
        <v>PD Chq</v>
      </c>
      <c r="S1129" s="1" t="s">
        <v>1296</v>
      </c>
    </row>
    <row r="1130" spans="1:19" hidden="1" x14ac:dyDescent="0.3">
      <c r="A1130" s="4">
        <v>44865</v>
      </c>
      <c r="B1130" s="5">
        <f t="shared" si="294"/>
        <v>10</v>
      </c>
      <c r="C1130" s="5">
        <f t="shared" si="295"/>
        <v>2022</v>
      </c>
      <c r="D1130" s="5" t="s">
        <v>1016</v>
      </c>
      <c r="E1130" s="5" t="str">
        <f>VLOOKUP(F1130,'Set up'!$A$2:$C$48,2,FALSE)</f>
        <v>C00000021</v>
      </c>
      <c r="F1130" s="1" t="s">
        <v>492</v>
      </c>
      <c r="G1130" s="11" t="s">
        <v>992</v>
      </c>
      <c r="H1130" s="5">
        <v>1</v>
      </c>
      <c r="I1130" s="5" t="str">
        <f>VLOOKUP(F1130,'Set up'!$A$2:$C$48,3,FALSE)</f>
        <v>Cash</v>
      </c>
      <c r="J1130" s="5">
        <f>VLOOKUP(F1130,'Set up'!$A$2:$D$48,4,FALSE)</f>
        <v>0</v>
      </c>
      <c r="K1130" s="4">
        <f t="shared" si="303"/>
        <v>44865</v>
      </c>
      <c r="L1130" s="5">
        <f t="shared" si="296"/>
        <v>10</v>
      </c>
      <c r="M1130" s="5">
        <f t="shared" si="297"/>
        <v>2022</v>
      </c>
      <c r="N1130" s="6">
        <v>100</v>
      </c>
      <c r="O1130" s="6">
        <f t="shared" si="307"/>
        <v>-100</v>
      </c>
      <c r="P1130" s="6">
        <f t="shared" si="298"/>
        <v>0</v>
      </c>
      <c r="Q1130" s="7">
        <f t="shared" si="299"/>
        <v>2052213.850000001</v>
      </c>
      <c r="R1130" s="44" t="str">
        <f>VLOOKUP(F1130,'Set up'!$A$2:$E$48,5,FALSE)</f>
        <v>PD Chq</v>
      </c>
      <c r="S1130" s="1" t="s">
        <v>1296</v>
      </c>
    </row>
    <row r="1131" spans="1:19" hidden="1" x14ac:dyDescent="0.3">
      <c r="A1131" s="4">
        <v>44865</v>
      </c>
      <c r="B1131" s="5">
        <f t="shared" si="294"/>
        <v>10</v>
      </c>
      <c r="C1131" s="5">
        <f t="shared" si="295"/>
        <v>2022</v>
      </c>
      <c r="D1131" s="5" t="s">
        <v>1016</v>
      </c>
      <c r="E1131" s="5" t="str">
        <f>VLOOKUP(F1131,'Set up'!$A$2:$C$48,2,FALSE)</f>
        <v>C00000021</v>
      </c>
      <c r="F1131" s="1" t="s">
        <v>492</v>
      </c>
      <c r="G1131" s="11" t="s">
        <v>1017</v>
      </c>
      <c r="H1131" s="5">
        <v>1</v>
      </c>
      <c r="I1131" s="5" t="str">
        <f>VLOOKUP(F1131,'Set up'!$A$2:$C$48,3,FALSE)</f>
        <v>Cash</v>
      </c>
      <c r="J1131" s="5">
        <f>VLOOKUP(F1131,'Set up'!$A$2:$D$48,4,FALSE)</f>
        <v>0</v>
      </c>
      <c r="K1131" s="4">
        <f t="shared" si="303"/>
        <v>44865</v>
      </c>
      <c r="L1131" s="5">
        <f t="shared" si="296"/>
        <v>10</v>
      </c>
      <c r="M1131" s="5">
        <f t="shared" si="297"/>
        <v>2022</v>
      </c>
      <c r="N1131" s="6">
        <v>258</v>
      </c>
      <c r="O1131" s="6">
        <f t="shared" si="307"/>
        <v>-258</v>
      </c>
      <c r="P1131" s="6">
        <f t="shared" si="298"/>
        <v>0</v>
      </c>
      <c r="Q1131" s="7">
        <f t="shared" si="299"/>
        <v>2052471.850000001</v>
      </c>
      <c r="R1131" s="44" t="str">
        <f>VLOOKUP(F1131,'Set up'!$A$2:$E$48,5,FALSE)</f>
        <v>PD Chq</v>
      </c>
      <c r="S1131" s="1" t="s">
        <v>1296</v>
      </c>
    </row>
    <row r="1132" spans="1:19" hidden="1" x14ac:dyDescent="0.3">
      <c r="A1132" s="4">
        <v>44866</v>
      </c>
      <c r="B1132" s="5">
        <f t="shared" si="294"/>
        <v>11</v>
      </c>
      <c r="C1132" s="5">
        <f t="shared" si="295"/>
        <v>2022</v>
      </c>
      <c r="D1132" s="5" t="s">
        <v>1047</v>
      </c>
      <c r="E1132" s="5" t="str">
        <f>VLOOKUP(F1132,'Set up'!$A$2:$C$48,2,FALSE)</f>
        <v>C00000004</v>
      </c>
      <c r="F1132" s="1" t="s">
        <v>23</v>
      </c>
      <c r="G1132" s="89" t="s">
        <v>720</v>
      </c>
      <c r="H1132" s="5">
        <v>5</v>
      </c>
      <c r="I1132" s="5">
        <f>VLOOKUP(F1132,'Set up'!$A$2:$C$48,3,FALSE)</f>
        <v>120</v>
      </c>
      <c r="J1132" s="5">
        <f>VLOOKUP(F1132,'Set up'!$A$2:$D$48,4,FALSE)</f>
        <v>120</v>
      </c>
      <c r="K1132" s="4">
        <f t="shared" si="303"/>
        <v>44986</v>
      </c>
      <c r="L1132" s="5">
        <f t="shared" ref="L1132:L1139" si="308">MONTH(K1132)</f>
        <v>3</v>
      </c>
      <c r="M1132" s="5">
        <f t="shared" ref="M1132:M1139" si="309">YEAR(K1132)</f>
        <v>2023</v>
      </c>
      <c r="N1132" s="6">
        <v>9020</v>
      </c>
      <c r="O1132" s="6">
        <f t="shared" si="307"/>
        <v>-9020</v>
      </c>
      <c r="P1132" s="6">
        <f t="shared" si="298"/>
        <v>0</v>
      </c>
      <c r="Q1132" s="7">
        <f t="shared" si="299"/>
        <v>2061491.850000001</v>
      </c>
      <c r="R1132" s="44" t="str">
        <f>VLOOKUP(F1132,'Set up'!$A$2:$E$48,5,FALSE)</f>
        <v>Chq</v>
      </c>
      <c r="S1132" s="1" t="s">
        <v>1786</v>
      </c>
    </row>
    <row r="1133" spans="1:19" hidden="1" x14ac:dyDescent="0.3">
      <c r="A1133" s="4">
        <v>44866</v>
      </c>
      <c r="B1133" s="5">
        <f t="shared" ref="B1133:B1139" si="310">MONTH(A1133)</f>
        <v>11</v>
      </c>
      <c r="C1133" s="5">
        <f t="shared" ref="C1133:C1139" si="311">YEAR(A1133)</f>
        <v>2022</v>
      </c>
      <c r="D1133" s="5" t="s">
        <v>1047</v>
      </c>
      <c r="E1133" s="5" t="str">
        <f>VLOOKUP(F1133,'Set up'!$A$2:$C$48,2,FALSE)</f>
        <v>C00000004</v>
      </c>
      <c r="F1133" s="1" t="s">
        <v>23</v>
      </c>
      <c r="G1133" s="89" t="s">
        <v>617</v>
      </c>
      <c r="H1133" s="5">
        <v>1</v>
      </c>
      <c r="I1133" s="5">
        <f>VLOOKUP(F1133,'Set up'!$A$2:$C$48,3,FALSE)</f>
        <v>120</v>
      </c>
      <c r="J1133" s="5">
        <f>VLOOKUP(F1133,'Set up'!$A$2:$D$48,4,FALSE)</f>
        <v>120</v>
      </c>
      <c r="K1133" s="4">
        <f t="shared" si="303"/>
        <v>44986</v>
      </c>
      <c r="L1133" s="5">
        <f t="shared" si="308"/>
        <v>3</v>
      </c>
      <c r="M1133" s="5">
        <f t="shared" si="309"/>
        <v>2023</v>
      </c>
      <c r="N1133" s="6">
        <v>1804</v>
      </c>
      <c r="O1133" s="6">
        <f t="shared" si="307"/>
        <v>-1804</v>
      </c>
      <c r="P1133" s="6">
        <f t="shared" si="298"/>
        <v>0</v>
      </c>
      <c r="Q1133" s="7">
        <f t="shared" si="299"/>
        <v>2063295.850000001</v>
      </c>
      <c r="R1133" s="44" t="str">
        <f>VLOOKUP(F1133,'Set up'!$A$2:$E$48,5,FALSE)</f>
        <v>Chq</v>
      </c>
      <c r="S1133" s="1" t="s">
        <v>1786</v>
      </c>
    </row>
    <row r="1134" spans="1:19" hidden="1" x14ac:dyDescent="0.3">
      <c r="A1134" s="4">
        <v>44866</v>
      </c>
      <c r="B1134" s="5">
        <f t="shared" si="310"/>
        <v>11</v>
      </c>
      <c r="C1134" s="5">
        <f t="shared" si="311"/>
        <v>2022</v>
      </c>
      <c r="D1134" s="5" t="s">
        <v>1048</v>
      </c>
      <c r="E1134" s="5" t="str">
        <f>VLOOKUP(F1134,'Set up'!$A$2:$C$48,2,FALSE)</f>
        <v>C00000010</v>
      </c>
      <c r="F1134" s="1" t="s">
        <v>62</v>
      </c>
      <c r="G1134" s="89" t="s">
        <v>304</v>
      </c>
      <c r="H1134" s="5">
        <v>5</v>
      </c>
      <c r="I1134" s="5">
        <f>VLOOKUP(F1134,'Set up'!$A$2:$C$48,3,FALSE)</f>
        <v>120</v>
      </c>
      <c r="J1134" s="5">
        <f>VLOOKUP(F1134,'Set up'!$A$2:$D$48,4,FALSE)</f>
        <v>120</v>
      </c>
      <c r="K1134" s="4">
        <f t="shared" si="303"/>
        <v>44986</v>
      </c>
      <c r="L1134" s="5">
        <f t="shared" si="308"/>
        <v>3</v>
      </c>
      <c r="M1134" s="5">
        <f t="shared" si="309"/>
        <v>2023</v>
      </c>
      <c r="N1134" s="6">
        <v>9020</v>
      </c>
      <c r="O1134" s="6">
        <f t="shared" si="307"/>
        <v>-9020</v>
      </c>
      <c r="P1134" s="6">
        <f t="shared" si="298"/>
        <v>0</v>
      </c>
      <c r="Q1134" s="7">
        <f t="shared" si="299"/>
        <v>2072315.850000001</v>
      </c>
      <c r="R1134" s="44" t="str">
        <f>VLOOKUP(F1134,'Set up'!$A$2:$E$48,5,FALSE)</f>
        <v>Trsf</v>
      </c>
      <c r="S1134" s="1" t="s">
        <v>1299</v>
      </c>
    </row>
    <row r="1135" spans="1:19" hidden="1" x14ac:dyDescent="0.3">
      <c r="A1135" s="4">
        <v>44866</v>
      </c>
      <c r="B1135" s="5">
        <f t="shared" si="310"/>
        <v>11</v>
      </c>
      <c r="C1135" s="5">
        <f t="shared" si="311"/>
        <v>2022</v>
      </c>
      <c r="D1135" s="5" t="s">
        <v>1048</v>
      </c>
      <c r="E1135" s="5" t="str">
        <f>VLOOKUP(F1135,'Set up'!$A$2:$C$48,2,FALSE)</f>
        <v>C00000010</v>
      </c>
      <c r="F1135" s="1" t="s">
        <v>62</v>
      </c>
      <c r="G1135" s="89" t="s">
        <v>914</v>
      </c>
      <c r="H1135" s="5">
        <v>5</v>
      </c>
      <c r="I1135" s="5">
        <f>VLOOKUP(F1135,'Set up'!$A$2:$C$48,3,FALSE)</f>
        <v>120</v>
      </c>
      <c r="J1135" s="5">
        <f>VLOOKUP(F1135,'Set up'!$A$2:$D$48,4,FALSE)</f>
        <v>120</v>
      </c>
      <c r="K1135" s="4">
        <f t="shared" si="303"/>
        <v>44986</v>
      </c>
      <c r="L1135" s="5">
        <f t="shared" si="308"/>
        <v>3</v>
      </c>
      <c r="M1135" s="5">
        <f t="shared" si="309"/>
        <v>2023</v>
      </c>
      <c r="N1135" s="6">
        <v>1245</v>
      </c>
      <c r="O1135" s="6">
        <f t="shared" si="307"/>
        <v>-1245</v>
      </c>
      <c r="P1135" s="6">
        <f t="shared" si="298"/>
        <v>0</v>
      </c>
      <c r="Q1135" s="7">
        <f t="shared" si="299"/>
        <v>2073560.850000001</v>
      </c>
      <c r="R1135" s="44" t="str">
        <f>VLOOKUP(F1135,'Set up'!$A$2:$E$48,5,FALSE)</f>
        <v>Trsf</v>
      </c>
      <c r="S1135" s="1" t="s">
        <v>1299</v>
      </c>
    </row>
    <row r="1136" spans="1:19" hidden="1" x14ac:dyDescent="0.3">
      <c r="A1136" s="4">
        <v>44866</v>
      </c>
      <c r="B1136" s="5">
        <f t="shared" si="310"/>
        <v>11</v>
      </c>
      <c r="C1136" s="5">
        <f t="shared" si="311"/>
        <v>2022</v>
      </c>
      <c r="D1136" s="5" t="s">
        <v>1048</v>
      </c>
      <c r="E1136" s="5" t="str">
        <f>VLOOKUP(F1136,'Set up'!$A$2:$C$48,2,FALSE)</f>
        <v>C00000010</v>
      </c>
      <c r="F1136" s="1" t="s">
        <v>62</v>
      </c>
      <c r="G1136" s="89" t="s">
        <v>64</v>
      </c>
      <c r="H1136" s="5">
        <v>10</v>
      </c>
      <c r="I1136" s="5">
        <f>VLOOKUP(F1136,'Set up'!$A$2:$C$48,3,FALSE)</f>
        <v>120</v>
      </c>
      <c r="J1136" s="5">
        <f>VLOOKUP(F1136,'Set up'!$A$2:$D$48,4,FALSE)</f>
        <v>120</v>
      </c>
      <c r="K1136" s="4">
        <f t="shared" si="303"/>
        <v>44986</v>
      </c>
      <c r="L1136" s="5">
        <f t="shared" si="308"/>
        <v>3</v>
      </c>
      <c r="M1136" s="5">
        <f t="shared" si="309"/>
        <v>2023</v>
      </c>
      <c r="N1136" s="6">
        <v>575</v>
      </c>
      <c r="O1136" s="6">
        <f t="shared" si="307"/>
        <v>-575</v>
      </c>
      <c r="P1136" s="6">
        <f t="shared" si="298"/>
        <v>0</v>
      </c>
      <c r="Q1136" s="7">
        <f t="shared" si="299"/>
        <v>2074135.850000001</v>
      </c>
      <c r="R1136" s="44" t="str">
        <f>VLOOKUP(F1136,'Set up'!$A$2:$E$48,5,FALSE)</f>
        <v>Trsf</v>
      </c>
      <c r="S1136" s="1" t="s">
        <v>1299</v>
      </c>
    </row>
    <row r="1137" spans="1:19" hidden="1" x14ac:dyDescent="0.3">
      <c r="A1137" s="4">
        <v>44866</v>
      </c>
      <c r="B1137" s="5">
        <f t="shared" si="310"/>
        <v>11</v>
      </c>
      <c r="C1137" s="5">
        <f t="shared" si="311"/>
        <v>2022</v>
      </c>
      <c r="D1137" s="5" t="s">
        <v>1048</v>
      </c>
      <c r="E1137" s="5" t="str">
        <f>VLOOKUP(F1137,'Set up'!$A$2:$C$48,2,FALSE)</f>
        <v>C00000010</v>
      </c>
      <c r="F1137" s="1" t="s">
        <v>62</v>
      </c>
      <c r="G1137" s="89" t="s">
        <v>946</v>
      </c>
      <c r="H1137" s="5">
        <v>4</v>
      </c>
      <c r="I1137" s="5">
        <f>VLOOKUP(F1137,'Set up'!$A$2:$C$48,3,FALSE)</f>
        <v>120</v>
      </c>
      <c r="J1137" s="5">
        <f>VLOOKUP(F1137,'Set up'!$A$2:$D$48,4,FALSE)</f>
        <v>120</v>
      </c>
      <c r="K1137" s="4">
        <f t="shared" si="303"/>
        <v>44986</v>
      </c>
      <c r="L1137" s="5">
        <f t="shared" si="308"/>
        <v>3</v>
      </c>
      <c r="M1137" s="5">
        <f t="shared" si="309"/>
        <v>2023</v>
      </c>
      <c r="N1137" s="6">
        <v>420</v>
      </c>
      <c r="O1137" s="6">
        <f t="shared" si="307"/>
        <v>-420</v>
      </c>
      <c r="P1137" s="6">
        <f t="shared" si="298"/>
        <v>0</v>
      </c>
      <c r="Q1137" s="7">
        <f t="shared" si="299"/>
        <v>2074555.850000001</v>
      </c>
      <c r="R1137" s="44" t="str">
        <f>VLOOKUP(F1137,'Set up'!$A$2:$E$48,5,FALSE)</f>
        <v>Trsf</v>
      </c>
      <c r="S1137" s="1" t="s">
        <v>1299</v>
      </c>
    </row>
    <row r="1138" spans="1:19" hidden="1" x14ac:dyDescent="0.3">
      <c r="A1138" s="4">
        <v>44868</v>
      </c>
      <c r="B1138" s="5">
        <f t="shared" si="310"/>
        <v>11</v>
      </c>
      <c r="C1138" s="5">
        <f t="shared" si="311"/>
        <v>2022</v>
      </c>
      <c r="D1138" s="5" t="s">
        <v>1049</v>
      </c>
      <c r="E1138" s="5" t="str">
        <f>VLOOKUP(F1138,'Set up'!$A$2:$C$48,2,FALSE)</f>
        <v>C00000009</v>
      </c>
      <c r="F1138" s="1" t="s">
        <v>58</v>
      </c>
      <c r="G1138" s="89" t="s">
        <v>720</v>
      </c>
      <c r="H1138" s="5">
        <v>2</v>
      </c>
      <c r="I1138" s="5">
        <f>VLOOKUP(F1138,'Set up'!$A$2:$C$48,3,FALSE)</f>
        <v>60</v>
      </c>
      <c r="J1138" s="5">
        <f>VLOOKUP(F1138,'Set up'!$A$2:$D$48,4,FALSE)</f>
        <v>60</v>
      </c>
      <c r="K1138" s="4">
        <f t="shared" si="303"/>
        <v>44928</v>
      </c>
      <c r="L1138" s="5">
        <f t="shared" si="308"/>
        <v>1</v>
      </c>
      <c r="M1138" s="5">
        <f t="shared" si="309"/>
        <v>2023</v>
      </c>
      <c r="N1138" s="6">
        <v>3608</v>
      </c>
      <c r="O1138" s="6">
        <f t="shared" ref="O1138:O1145" si="312">-N1138</f>
        <v>-3608</v>
      </c>
      <c r="P1138" s="6">
        <f t="shared" si="298"/>
        <v>0</v>
      </c>
      <c r="Q1138" s="7">
        <f t="shared" si="299"/>
        <v>2078163.850000001</v>
      </c>
      <c r="R1138" s="44" t="str">
        <f>VLOOKUP(F1138,'Set up'!$A$2:$E$48,5,FALSE)</f>
        <v>Chq</v>
      </c>
      <c r="S1138" s="1" t="s">
        <v>1383</v>
      </c>
    </row>
    <row r="1139" spans="1:19" hidden="1" x14ac:dyDescent="0.3">
      <c r="A1139" s="4">
        <v>44868</v>
      </c>
      <c r="B1139" s="5">
        <f t="shared" si="310"/>
        <v>11</v>
      </c>
      <c r="C1139" s="5">
        <f t="shared" si="311"/>
        <v>2022</v>
      </c>
      <c r="D1139" s="5" t="s">
        <v>1049</v>
      </c>
      <c r="E1139" s="5" t="str">
        <f>VLOOKUP(F1139,'Set up'!$A$2:$C$48,2,FALSE)</f>
        <v>C00000009</v>
      </c>
      <c r="F1139" s="1" t="s">
        <v>58</v>
      </c>
      <c r="G1139" s="89" t="s">
        <v>708</v>
      </c>
      <c r="H1139" s="5">
        <v>1</v>
      </c>
      <c r="I1139" s="5">
        <f>VLOOKUP(F1139,'Set up'!$A$2:$C$48,3,FALSE)</f>
        <v>60</v>
      </c>
      <c r="J1139" s="5">
        <f>VLOOKUP(F1139,'Set up'!$A$2:$D$48,4,FALSE)</f>
        <v>60</v>
      </c>
      <c r="K1139" s="4">
        <f t="shared" si="303"/>
        <v>44928</v>
      </c>
      <c r="L1139" s="5">
        <f t="shared" si="308"/>
        <v>1</v>
      </c>
      <c r="M1139" s="5">
        <f t="shared" si="309"/>
        <v>2023</v>
      </c>
      <c r="N1139" s="6">
        <v>437.4</v>
      </c>
      <c r="O1139" s="6">
        <f t="shared" si="312"/>
        <v>-437.4</v>
      </c>
      <c r="P1139" s="6">
        <f t="shared" si="298"/>
        <v>0</v>
      </c>
      <c r="Q1139" s="7">
        <f t="shared" si="299"/>
        <v>2078601.2500000009</v>
      </c>
      <c r="R1139" s="44" t="str">
        <f>VLOOKUP(F1139,'Set up'!$A$2:$E$48,5,FALSE)</f>
        <v>Chq</v>
      </c>
      <c r="S1139" s="1" t="s">
        <v>1383</v>
      </c>
    </row>
    <row r="1140" spans="1:19" hidden="1" x14ac:dyDescent="0.3">
      <c r="A1140" s="4">
        <v>44868</v>
      </c>
      <c r="B1140" s="5">
        <f t="shared" ref="B1140" si="313">MONTH(A1140)</f>
        <v>11</v>
      </c>
      <c r="C1140" s="5">
        <f t="shared" ref="C1140" si="314">YEAR(A1140)</f>
        <v>2022</v>
      </c>
      <c r="D1140" s="5" t="s">
        <v>1049</v>
      </c>
      <c r="E1140" s="5" t="str">
        <f>VLOOKUP(F1140,'Set up'!$A$2:$C$48,2,FALSE)</f>
        <v>C00000009</v>
      </c>
      <c r="F1140" s="1" t="s">
        <v>58</v>
      </c>
      <c r="G1140" s="89" t="s">
        <v>894</v>
      </c>
      <c r="H1140" s="5">
        <v>1</v>
      </c>
      <c r="I1140" s="5">
        <f>VLOOKUP(F1140,'Set up'!$A$2:$C$48,3,FALSE)</f>
        <v>60</v>
      </c>
      <c r="J1140" s="5">
        <f>VLOOKUP(F1140,'Set up'!$A$2:$D$48,4,FALSE)</f>
        <v>60</v>
      </c>
      <c r="K1140" s="4">
        <f t="shared" si="303"/>
        <v>44928</v>
      </c>
      <c r="L1140" s="5">
        <f t="shared" ref="L1140" si="315">MONTH(K1140)</f>
        <v>1</v>
      </c>
      <c r="M1140" s="5">
        <f t="shared" ref="M1140" si="316">YEAR(K1140)</f>
        <v>2023</v>
      </c>
      <c r="N1140" s="6">
        <v>437.4</v>
      </c>
      <c r="O1140" s="6">
        <f t="shared" si="312"/>
        <v>-437.4</v>
      </c>
      <c r="P1140" s="6">
        <f t="shared" si="298"/>
        <v>0</v>
      </c>
      <c r="Q1140" s="7">
        <f t="shared" si="299"/>
        <v>2079038.6500000008</v>
      </c>
      <c r="R1140" s="44" t="str">
        <f>VLOOKUP(F1140,'Set up'!$A$2:$E$48,5,FALSE)</f>
        <v>Chq</v>
      </c>
      <c r="S1140" s="1" t="s">
        <v>1383</v>
      </c>
    </row>
    <row r="1141" spans="1:19" x14ac:dyDescent="0.3">
      <c r="A1141" s="4">
        <v>44869</v>
      </c>
      <c r="B1141" s="5">
        <f t="shared" ref="B1141:B1150" si="317">MONTH(A1141)</f>
        <v>11</v>
      </c>
      <c r="C1141" s="5">
        <f t="shared" ref="C1141:C1150" si="318">YEAR(A1141)</f>
        <v>2022</v>
      </c>
      <c r="D1141" s="5" t="s">
        <v>1051</v>
      </c>
      <c r="E1141" s="5" t="str">
        <f>VLOOKUP(F1141,'Set up'!$A$2:$C$48,2,FALSE)</f>
        <v>C00000020</v>
      </c>
      <c r="F1141" s="1" t="s">
        <v>410</v>
      </c>
      <c r="G1141" s="89" t="s">
        <v>667</v>
      </c>
      <c r="H1141" s="5">
        <v>4</v>
      </c>
      <c r="I1141" s="5" t="str">
        <f>VLOOKUP(F1141,'Set up'!$A$2:$C$48,3,FALSE)</f>
        <v>Cash</v>
      </c>
      <c r="J1141" s="5">
        <f>VLOOKUP(F1141,'Set up'!$A$2:$D$48,4,FALSE)</f>
        <v>0</v>
      </c>
      <c r="K1141" s="4">
        <f t="shared" si="303"/>
        <v>44869</v>
      </c>
      <c r="L1141" s="5">
        <f t="shared" ref="L1141:L1142" si="319">MONTH(K1141)</f>
        <v>11</v>
      </c>
      <c r="M1141" s="5">
        <f t="shared" ref="M1141:M1142" si="320">YEAR(K1141)</f>
        <v>2022</v>
      </c>
      <c r="N1141" s="6">
        <v>360</v>
      </c>
      <c r="O1141" s="6">
        <f t="shared" si="312"/>
        <v>-360</v>
      </c>
      <c r="P1141" s="6">
        <f t="shared" si="298"/>
        <v>0</v>
      </c>
      <c r="Q1141" s="7">
        <f t="shared" si="299"/>
        <v>2079398.6500000008</v>
      </c>
      <c r="R1141" s="44" t="str">
        <f>VLOOKUP(F1141,'Set up'!$A$2:$E$48,5,FALSE)</f>
        <v>Trsf</v>
      </c>
      <c r="S1141" s="1" t="s">
        <v>1079</v>
      </c>
    </row>
    <row r="1142" spans="1:19" x14ac:dyDescent="0.3">
      <c r="A1142" s="4">
        <v>44869</v>
      </c>
      <c r="B1142" s="5">
        <f t="shared" si="317"/>
        <v>11</v>
      </c>
      <c r="C1142" s="5">
        <f t="shared" si="318"/>
        <v>2022</v>
      </c>
      <c r="D1142" s="5" t="s">
        <v>1051</v>
      </c>
      <c r="E1142" s="5" t="str">
        <f>VLOOKUP(F1142,'Set up'!$A$2:$C$48,2,FALSE)</f>
        <v>C00000020</v>
      </c>
      <c r="F1142" s="1" t="s">
        <v>410</v>
      </c>
      <c r="G1142" s="89" t="s">
        <v>1050</v>
      </c>
      <c r="H1142" s="5">
        <v>1</v>
      </c>
      <c r="I1142" s="5" t="str">
        <f>VLOOKUP(F1142,'Set up'!$A$2:$C$48,3,FALSE)</f>
        <v>Cash</v>
      </c>
      <c r="J1142" s="5">
        <f>VLOOKUP(F1142,'Set up'!$A$2:$D$48,4,FALSE)</f>
        <v>0</v>
      </c>
      <c r="K1142" s="4">
        <f t="shared" si="303"/>
        <v>44869</v>
      </c>
      <c r="L1142" s="5">
        <f t="shared" si="319"/>
        <v>11</v>
      </c>
      <c r="M1142" s="5">
        <f t="shared" si="320"/>
        <v>2022</v>
      </c>
      <c r="N1142" s="6">
        <v>43.8</v>
      </c>
      <c r="O1142" s="6">
        <f t="shared" si="312"/>
        <v>-43.8</v>
      </c>
      <c r="P1142" s="6">
        <f t="shared" si="298"/>
        <v>0</v>
      </c>
      <c r="Q1142" s="7">
        <f t="shared" si="299"/>
        <v>2079442.4500000009</v>
      </c>
      <c r="R1142" s="44" t="str">
        <f>VLOOKUP(F1142,'Set up'!$A$2:$E$48,5,FALSE)</f>
        <v>Trsf</v>
      </c>
      <c r="S1142" s="1" t="s">
        <v>1079</v>
      </c>
    </row>
    <row r="1143" spans="1:19" hidden="1" x14ac:dyDescent="0.3">
      <c r="A1143" s="4">
        <v>44870</v>
      </c>
      <c r="B1143" s="5">
        <f t="shared" si="317"/>
        <v>11</v>
      </c>
      <c r="C1143" s="5">
        <f t="shared" si="318"/>
        <v>2022</v>
      </c>
      <c r="D1143" s="5" t="s">
        <v>1054</v>
      </c>
      <c r="E1143" s="5" t="str">
        <f>VLOOKUP(F1143,'Set up'!$A$2:$C$48,2,FALSE)</f>
        <v>C00000031</v>
      </c>
      <c r="F1143" s="1" t="s">
        <v>1052</v>
      </c>
      <c r="G1143" s="89" t="s">
        <v>1055</v>
      </c>
      <c r="H1143" s="5">
        <v>1</v>
      </c>
      <c r="I1143" s="5" t="str">
        <f>VLOOKUP(F1143,'Set up'!$A$2:$C$48,3,FALSE)</f>
        <v>Cash</v>
      </c>
      <c r="J1143" s="5">
        <f>VLOOKUP(F1143,'Set up'!$A$2:$D$48,4,FALSE)</f>
        <v>0</v>
      </c>
      <c r="K1143" s="4">
        <f t="shared" si="303"/>
        <v>44870</v>
      </c>
      <c r="L1143" s="5">
        <f t="shared" ref="L1143:L1182" si="321">MONTH(K1143)</f>
        <v>11</v>
      </c>
      <c r="M1143" s="5">
        <f t="shared" ref="M1143:M1182" si="322">YEAR(K1143)</f>
        <v>2022</v>
      </c>
      <c r="N1143" s="6">
        <v>260</v>
      </c>
      <c r="O1143" s="6">
        <f t="shared" si="312"/>
        <v>-260</v>
      </c>
      <c r="P1143" s="6">
        <f t="shared" si="298"/>
        <v>0</v>
      </c>
      <c r="Q1143" s="7">
        <f t="shared" si="299"/>
        <v>2079702.4500000009</v>
      </c>
      <c r="R1143" s="44" t="str">
        <f>VLOOKUP(F1143,'Set up'!$A$2:$E$48,5,FALSE)</f>
        <v>Trsf</v>
      </c>
      <c r="S1143" s="1" t="s">
        <v>1084</v>
      </c>
    </row>
    <row r="1144" spans="1:19" hidden="1" x14ac:dyDescent="0.3">
      <c r="A1144" s="4">
        <v>44870</v>
      </c>
      <c r="B1144" s="5">
        <f t="shared" si="317"/>
        <v>11</v>
      </c>
      <c r="C1144" s="5">
        <f t="shared" si="318"/>
        <v>2022</v>
      </c>
      <c r="D1144" s="5" t="s">
        <v>1054</v>
      </c>
      <c r="E1144" s="5" t="str">
        <f>VLOOKUP(F1144,'Set up'!$A$2:$C$48,2,FALSE)</f>
        <v>C00000031</v>
      </c>
      <c r="F1144" s="1" t="s">
        <v>1052</v>
      </c>
      <c r="G1144" s="89" t="s">
        <v>708</v>
      </c>
      <c r="H1144" s="5">
        <v>1</v>
      </c>
      <c r="I1144" s="5" t="str">
        <f>VLOOKUP(F1144,'Set up'!$A$2:$C$48,3,FALSE)</f>
        <v>Cash</v>
      </c>
      <c r="J1144" s="5">
        <f>VLOOKUP(F1144,'Set up'!$A$2:$D$48,4,FALSE)</f>
        <v>0</v>
      </c>
      <c r="K1144" s="4">
        <f t="shared" si="303"/>
        <v>44870</v>
      </c>
      <c r="L1144" s="5">
        <f t="shared" si="321"/>
        <v>11</v>
      </c>
      <c r="M1144" s="5">
        <f t="shared" si="322"/>
        <v>2022</v>
      </c>
      <c r="N1144" s="6">
        <v>534.6</v>
      </c>
      <c r="O1144" s="6">
        <f t="shared" si="312"/>
        <v>-534.6</v>
      </c>
      <c r="P1144" s="6">
        <f t="shared" ref="P1144:P1150" si="323">SUM(N1144+O1144)</f>
        <v>0</v>
      </c>
      <c r="Q1144" s="7">
        <f t="shared" ref="Q1144:Q1150" si="324">SUM(Q1143+N1144)</f>
        <v>2080237.050000001</v>
      </c>
      <c r="R1144" s="44" t="str">
        <f>VLOOKUP(F1144,'Set up'!$A$2:$E$48,5,FALSE)</f>
        <v>Trsf</v>
      </c>
      <c r="S1144" s="1" t="s">
        <v>1084</v>
      </c>
    </row>
    <row r="1145" spans="1:19" hidden="1" x14ac:dyDescent="0.3">
      <c r="A1145" s="4">
        <v>44870</v>
      </c>
      <c r="B1145" s="5">
        <f t="shared" si="317"/>
        <v>11</v>
      </c>
      <c r="C1145" s="5">
        <f t="shared" si="318"/>
        <v>2022</v>
      </c>
      <c r="D1145" s="5" t="s">
        <v>1054</v>
      </c>
      <c r="E1145" s="5" t="str">
        <f>VLOOKUP(F1145,'Set up'!$A$2:$C$48,2,FALSE)</f>
        <v>C00000031</v>
      </c>
      <c r="F1145" s="1" t="s">
        <v>1052</v>
      </c>
      <c r="G1145" s="89" t="s">
        <v>667</v>
      </c>
      <c r="H1145" s="5">
        <v>1</v>
      </c>
      <c r="I1145" s="5" t="str">
        <f>VLOOKUP(F1145,'Set up'!$A$2:$C$48,3,FALSE)</f>
        <v>Cash</v>
      </c>
      <c r="J1145" s="5">
        <f>VLOOKUP(F1145,'Set up'!$A$2:$D$48,4,FALSE)</f>
        <v>0</v>
      </c>
      <c r="K1145" s="4">
        <f t="shared" si="303"/>
        <v>44870</v>
      </c>
      <c r="L1145" s="5">
        <f t="shared" si="321"/>
        <v>11</v>
      </c>
      <c r="M1145" s="5">
        <f t="shared" si="322"/>
        <v>2022</v>
      </c>
      <c r="N1145" s="6">
        <v>98</v>
      </c>
      <c r="O1145" s="6">
        <f t="shared" si="312"/>
        <v>-98</v>
      </c>
      <c r="P1145" s="6">
        <f t="shared" si="323"/>
        <v>0</v>
      </c>
      <c r="Q1145" s="7">
        <f t="shared" si="324"/>
        <v>2080335.050000001</v>
      </c>
      <c r="R1145" s="44" t="str">
        <f>VLOOKUP(F1145,'Set up'!$A$2:$E$48,5,FALSE)</f>
        <v>Trsf</v>
      </c>
      <c r="S1145" s="1" t="s">
        <v>1084</v>
      </c>
    </row>
    <row r="1146" spans="1:19" hidden="1" x14ac:dyDescent="0.3">
      <c r="A1146" s="4">
        <v>44872</v>
      </c>
      <c r="B1146" s="5">
        <f t="shared" si="317"/>
        <v>11</v>
      </c>
      <c r="C1146" s="5">
        <f t="shared" si="318"/>
        <v>2022</v>
      </c>
      <c r="D1146" s="5" t="s">
        <v>1056</v>
      </c>
      <c r="E1146" s="5" t="str">
        <f>VLOOKUP(F1146,'Set up'!$A$2:$C$48,2,FALSE)</f>
        <v>C00000022</v>
      </c>
      <c r="F1146" s="1" t="s">
        <v>638</v>
      </c>
      <c r="G1146" s="89" t="s">
        <v>659</v>
      </c>
      <c r="H1146" s="5">
        <v>1</v>
      </c>
      <c r="I1146" s="5" t="str">
        <f>VLOOKUP(F1146,'Set up'!$A$2:$C$48,3,FALSE)</f>
        <v>Cash</v>
      </c>
      <c r="J1146" s="5">
        <f>VLOOKUP(F1146,'Set up'!$A$2:$D$48,4,FALSE)</f>
        <v>0</v>
      </c>
      <c r="K1146" s="4">
        <f t="shared" si="303"/>
        <v>44872</v>
      </c>
      <c r="L1146" s="5">
        <f t="shared" si="321"/>
        <v>11</v>
      </c>
      <c r="M1146" s="5">
        <f t="shared" si="322"/>
        <v>2022</v>
      </c>
      <c r="N1146" s="6">
        <v>1141</v>
      </c>
      <c r="O1146" s="6">
        <f t="shared" ref="O1146:O1147" si="325">-N1146</f>
        <v>-1141</v>
      </c>
      <c r="P1146" s="6">
        <f t="shared" si="323"/>
        <v>0</v>
      </c>
      <c r="Q1146" s="7">
        <f t="shared" si="324"/>
        <v>2081476.050000001</v>
      </c>
      <c r="R1146" s="44" t="str">
        <f>VLOOKUP(F1146,'Set up'!$A$2:$E$48,5,FALSE)</f>
        <v>Trsf</v>
      </c>
      <c r="S1146" s="1" t="s">
        <v>1152</v>
      </c>
    </row>
    <row r="1147" spans="1:19" hidden="1" x14ac:dyDescent="0.3">
      <c r="A1147" s="4">
        <v>44872</v>
      </c>
      <c r="B1147" s="5">
        <f t="shared" si="317"/>
        <v>11</v>
      </c>
      <c r="C1147" s="5">
        <f t="shared" si="318"/>
        <v>2022</v>
      </c>
      <c r="D1147" s="5" t="s">
        <v>1056</v>
      </c>
      <c r="E1147" s="5" t="str">
        <f>VLOOKUP(F1147,'Set up'!$A$2:$C$48,2,FALSE)</f>
        <v>C00000022</v>
      </c>
      <c r="F1147" s="1" t="s">
        <v>638</v>
      </c>
      <c r="G1147" s="89" t="s">
        <v>1057</v>
      </c>
      <c r="H1147" s="5">
        <v>1</v>
      </c>
      <c r="I1147" s="5" t="str">
        <f>VLOOKUP(F1147,'Set up'!$A$2:$C$48,3,FALSE)</f>
        <v>Cash</v>
      </c>
      <c r="J1147" s="5">
        <f>VLOOKUP(F1147,'Set up'!$A$2:$D$48,4,FALSE)</f>
        <v>0</v>
      </c>
      <c r="K1147" s="4">
        <f t="shared" si="303"/>
        <v>44872</v>
      </c>
      <c r="L1147" s="5">
        <f t="shared" si="321"/>
        <v>11</v>
      </c>
      <c r="M1147" s="5">
        <f t="shared" si="322"/>
        <v>2022</v>
      </c>
      <c r="N1147" s="6">
        <v>175</v>
      </c>
      <c r="O1147" s="6">
        <f t="shared" si="325"/>
        <v>-175</v>
      </c>
      <c r="P1147" s="6">
        <f t="shared" si="323"/>
        <v>0</v>
      </c>
      <c r="Q1147" s="7">
        <f t="shared" si="324"/>
        <v>2081651.050000001</v>
      </c>
      <c r="R1147" s="44" t="str">
        <f>VLOOKUP(F1147,'Set up'!$A$2:$E$48,5,FALSE)</f>
        <v>Trsf</v>
      </c>
      <c r="S1147" s="1" t="s">
        <v>1152</v>
      </c>
    </row>
    <row r="1148" spans="1:19" hidden="1" x14ac:dyDescent="0.3">
      <c r="A1148" s="4">
        <v>44873</v>
      </c>
      <c r="B1148" s="5">
        <f t="shared" si="317"/>
        <v>11</v>
      </c>
      <c r="C1148" s="5">
        <f t="shared" si="318"/>
        <v>2022</v>
      </c>
      <c r="D1148" s="5" t="s">
        <v>1063</v>
      </c>
      <c r="E1148" s="5" t="str">
        <f>VLOOKUP(F1148,'Set up'!$A$2:$C$48,2,FALSE)</f>
        <v>C00000030</v>
      </c>
      <c r="F1148" s="1" t="s">
        <v>1058</v>
      </c>
      <c r="G1148" s="89" t="s">
        <v>1059</v>
      </c>
      <c r="H1148" s="5">
        <v>4</v>
      </c>
      <c r="I1148" s="5" t="str">
        <f>VLOOKUP(F1148,'Set up'!$A$2:$C$48,3,FALSE)</f>
        <v>Cash</v>
      </c>
      <c r="J1148" s="5">
        <f>VLOOKUP(F1148,'Set up'!$A$2:$D$48,4,FALSE)</f>
        <v>0</v>
      </c>
      <c r="K1148" s="4">
        <f t="shared" si="303"/>
        <v>44873</v>
      </c>
      <c r="L1148" s="5">
        <f t="shared" si="321"/>
        <v>11</v>
      </c>
      <c r="M1148" s="5">
        <f t="shared" si="322"/>
        <v>2022</v>
      </c>
      <c r="N1148" s="6">
        <v>1170</v>
      </c>
      <c r="O1148" s="6">
        <f>-N1148</f>
        <v>-1170</v>
      </c>
      <c r="P1148" s="6">
        <f t="shared" si="323"/>
        <v>0</v>
      </c>
      <c r="Q1148" s="7">
        <f t="shared" si="324"/>
        <v>2082821.050000001</v>
      </c>
      <c r="R1148" s="44" t="str">
        <f>VLOOKUP(F1148,'Set up'!$A$2:$E$48,5,FALSE)</f>
        <v>Trsf</v>
      </c>
      <c r="S1148" s="1" t="s">
        <v>1085</v>
      </c>
    </row>
    <row r="1149" spans="1:19" hidden="1" x14ac:dyDescent="0.3">
      <c r="A1149" s="4">
        <v>44873</v>
      </c>
      <c r="B1149" s="5">
        <f t="shared" si="317"/>
        <v>11</v>
      </c>
      <c r="C1149" s="5">
        <f t="shared" si="318"/>
        <v>2022</v>
      </c>
      <c r="D1149" s="5" t="s">
        <v>1063</v>
      </c>
      <c r="E1149" s="5" t="str">
        <f>VLOOKUP(F1149,'Set up'!$A$2:$C$48,2,FALSE)</f>
        <v>C00000030</v>
      </c>
      <c r="F1149" s="1" t="s">
        <v>1058</v>
      </c>
      <c r="G1149" s="89" t="s">
        <v>1060</v>
      </c>
      <c r="H1149" s="5">
        <v>4</v>
      </c>
      <c r="I1149" s="5" t="str">
        <f>VLOOKUP(F1149,'Set up'!$A$2:$C$48,3,FALSE)</f>
        <v>Cash</v>
      </c>
      <c r="J1149" s="5">
        <f>VLOOKUP(F1149,'Set up'!$A$2:$D$48,4,FALSE)</f>
        <v>0</v>
      </c>
      <c r="K1149" s="4">
        <f t="shared" si="303"/>
        <v>44873</v>
      </c>
      <c r="L1149" s="5">
        <f t="shared" si="321"/>
        <v>11</v>
      </c>
      <c r="M1149" s="5">
        <f t="shared" si="322"/>
        <v>2022</v>
      </c>
      <c r="N1149" s="6">
        <v>2250</v>
      </c>
      <c r="O1149" s="6">
        <f>-N1149</f>
        <v>-2250</v>
      </c>
      <c r="P1149" s="6">
        <f t="shared" si="323"/>
        <v>0</v>
      </c>
      <c r="Q1149" s="7">
        <f t="shared" si="324"/>
        <v>2085071.050000001</v>
      </c>
      <c r="R1149" s="44" t="str">
        <f>VLOOKUP(F1149,'Set up'!$A$2:$E$48,5,FALSE)</f>
        <v>Trsf</v>
      </c>
      <c r="S1149" s="1" t="s">
        <v>1085</v>
      </c>
    </row>
    <row r="1150" spans="1:19" hidden="1" x14ac:dyDescent="0.3">
      <c r="A1150" s="4">
        <v>44873</v>
      </c>
      <c r="B1150" s="5">
        <f t="shared" si="317"/>
        <v>11</v>
      </c>
      <c r="C1150" s="5">
        <f t="shared" si="318"/>
        <v>2022</v>
      </c>
      <c r="D1150" s="5" t="s">
        <v>1063</v>
      </c>
      <c r="E1150" s="5" t="str">
        <f>VLOOKUP(F1150,'Set up'!$A$2:$C$48,2,FALSE)</f>
        <v>C00000030</v>
      </c>
      <c r="F1150" s="1" t="s">
        <v>1058</v>
      </c>
      <c r="G1150" s="89" t="s">
        <v>1061</v>
      </c>
      <c r="H1150" s="5">
        <v>3</v>
      </c>
      <c r="I1150" s="5" t="str">
        <f>VLOOKUP(F1150,'Set up'!$A$2:$C$48,3,FALSE)</f>
        <v>Cash</v>
      </c>
      <c r="J1150" s="5">
        <f>VLOOKUP(F1150,'Set up'!$A$2:$D$48,4,FALSE)</f>
        <v>0</v>
      </c>
      <c r="K1150" s="4">
        <f t="shared" si="303"/>
        <v>44873</v>
      </c>
      <c r="L1150" s="5">
        <f t="shared" si="321"/>
        <v>11</v>
      </c>
      <c r="M1150" s="5">
        <f t="shared" si="322"/>
        <v>2022</v>
      </c>
      <c r="N1150" s="6">
        <v>855</v>
      </c>
      <c r="O1150" s="6">
        <f>-N1150</f>
        <v>-855</v>
      </c>
      <c r="P1150" s="6">
        <f t="shared" si="323"/>
        <v>0</v>
      </c>
      <c r="Q1150" s="7">
        <f t="shared" si="324"/>
        <v>2085926.050000001</v>
      </c>
      <c r="R1150" s="44" t="str">
        <f>VLOOKUP(F1150,'Set up'!$A$2:$E$48,5,FALSE)</f>
        <v>Trsf</v>
      </c>
      <c r="S1150" s="1" t="s">
        <v>1085</v>
      </c>
    </row>
    <row r="1151" spans="1:19" hidden="1" x14ac:dyDescent="0.3">
      <c r="A1151" s="4">
        <v>44873</v>
      </c>
      <c r="B1151" s="5">
        <f t="shared" ref="B1151:B1182" si="326">MONTH(A1151)</f>
        <v>11</v>
      </c>
      <c r="C1151" s="5">
        <f t="shared" ref="C1151:C1182" si="327">YEAR(A1151)</f>
        <v>2022</v>
      </c>
      <c r="D1151" s="5" t="s">
        <v>1063</v>
      </c>
      <c r="E1151" s="5" t="str">
        <f>VLOOKUP(F1151,'Set up'!$A$2:$C$48,2,FALSE)</f>
        <v>C00000030</v>
      </c>
      <c r="F1151" s="1" t="s">
        <v>1058</v>
      </c>
      <c r="G1151" s="90" t="s">
        <v>1062</v>
      </c>
      <c r="H1151" s="5">
        <v>1</v>
      </c>
      <c r="I1151" s="5" t="str">
        <f>VLOOKUP(F1151,'Set up'!$A$2:$C$48,3,FALSE)</f>
        <v>Cash</v>
      </c>
      <c r="J1151" s="5">
        <f>VLOOKUP(F1151,'Set up'!$A$2:$D$48,4,FALSE)</f>
        <v>0</v>
      </c>
      <c r="K1151" s="4">
        <f t="shared" si="303"/>
        <v>44873</v>
      </c>
      <c r="L1151" s="5">
        <f t="shared" si="321"/>
        <v>11</v>
      </c>
      <c r="M1151" s="5">
        <f t="shared" si="322"/>
        <v>2022</v>
      </c>
      <c r="N1151" s="6">
        <v>98</v>
      </c>
      <c r="O1151" s="6">
        <f>-N1151</f>
        <v>-98</v>
      </c>
      <c r="P1151" s="6">
        <f t="shared" ref="P1151:P1214" si="328">SUM(N1151+O1151)</f>
        <v>0</v>
      </c>
      <c r="Q1151" s="7">
        <f t="shared" ref="Q1151:Q1214" si="329">SUM(Q1150+N1151)</f>
        <v>2086024.050000001</v>
      </c>
      <c r="R1151" s="44" t="str">
        <f>VLOOKUP(F1151,'Set up'!$A$2:$E$48,5,FALSE)</f>
        <v>Trsf</v>
      </c>
      <c r="S1151" s="1" t="s">
        <v>1085</v>
      </c>
    </row>
    <row r="1152" spans="1:19" hidden="1" x14ac:dyDescent="0.3">
      <c r="A1152" s="4">
        <v>44874</v>
      </c>
      <c r="B1152" s="5">
        <f t="shared" si="326"/>
        <v>11</v>
      </c>
      <c r="C1152" s="5">
        <f t="shared" si="327"/>
        <v>2022</v>
      </c>
      <c r="D1152" s="5" t="s">
        <v>1064</v>
      </c>
      <c r="E1152" s="5" t="str">
        <f>VLOOKUP(F1152,'Set up'!$A$2:$C$48,2,FALSE)</f>
        <v>C00000021</v>
      </c>
      <c r="F1152" s="1" t="s">
        <v>492</v>
      </c>
      <c r="G1152" s="89" t="s">
        <v>67</v>
      </c>
      <c r="H1152" s="5">
        <v>1</v>
      </c>
      <c r="I1152" s="5" t="str">
        <f>VLOOKUP(F1152,'Set up'!$A$2:$C$48,3,FALSE)</f>
        <v>Cash</v>
      </c>
      <c r="J1152" s="5">
        <f>VLOOKUP(F1152,'Set up'!$A$2:$D$48,4,FALSE)</f>
        <v>0</v>
      </c>
      <c r="K1152" s="4">
        <f t="shared" si="303"/>
        <v>44874</v>
      </c>
      <c r="L1152" s="5">
        <f t="shared" si="321"/>
        <v>11</v>
      </c>
      <c r="M1152" s="5">
        <f t="shared" si="322"/>
        <v>2022</v>
      </c>
      <c r="N1152" s="6">
        <v>1936</v>
      </c>
      <c r="O1152" s="6">
        <f t="shared" ref="O1152:O1154" si="330">-N1152</f>
        <v>-1936</v>
      </c>
      <c r="P1152" s="6">
        <f t="shared" si="328"/>
        <v>0</v>
      </c>
      <c r="Q1152" s="7">
        <f t="shared" si="329"/>
        <v>2087960.050000001</v>
      </c>
      <c r="R1152" s="44" t="str">
        <f>VLOOKUP(F1152,'Set up'!$A$2:$E$48,5,FALSE)</f>
        <v>PD Chq</v>
      </c>
      <c r="S1152" s="1" t="s">
        <v>1373</v>
      </c>
    </row>
    <row r="1153" spans="1:19" hidden="1" x14ac:dyDescent="0.3">
      <c r="A1153" s="4">
        <v>44874</v>
      </c>
      <c r="B1153" s="5">
        <f t="shared" si="326"/>
        <v>11</v>
      </c>
      <c r="C1153" s="5">
        <f t="shared" si="327"/>
        <v>2022</v>
      </c>
      <c r="D1153" s="5" t="s">
        <v>1064</v>
      </c>
      <c r="E1153" s="5" t="str">
        <f>VLOOKUP(F1153,'Set up'!$A$2:$C$48,2,FALSE)</f>
        <v>C00000021</v>
      </c>
      <c r="F1153" s="1" t="s">
        <v>492</v>
      </c>
      <c r="G1153" s="89" t="s">
        <v>655</v>
      </c>
      <c r="H1153" s="5">
        <v>4</v>
      </c>
      <c r="I1153" s="5" t="str">
        <f>VLOOKUP(F1153,'Set up'!$A$2:$C$48,3,FALSE)</f>
        <v>Cash</v>
      </c>
      <c r="J1153" s="5">
        <f>VLOOKUP(F1153,'Set up'!$A$2:$D$48,4,FALSE)</f>
        <v>0</v>
      </c>
      <c r="K1153" s="4">
        <f t="shared" si="303"/>
        <v>44874</v>
      </c>
      <c r="L1153" s="5">
        <f t="shared" si="321"/>
        <v>11</v>
      </c>
      <c r="M1153" s="5">
        <f t="shared" si="322"/>
        <v>2022</v>
      </c>
      <c r="N1153" s="6">
        <v>1068</v>
      </c>
      <c r="O1153" s="6">
        <f t="shared" si="330"/>
        <v>-1068</v>
      </c>
      <c r="P1153" s="6">
        <f t="shared" si="328"/>
        <v>0</v>
      </c>
      <c r="Q1153" s="7">
        <f t="shared" si="329"/>
        <v>2089028.050000001</v>
      </c>
      <c r="R1153" s="44" t="str">
        <f>VLOOKUP(F1153,'Set up'!$A$2:$E$48,5,FALSE)</f>
        <v>PD Chq</v>
      </c>
      <c r="S1153" s="1" t="s">
        <v>1373</v>
      </c>
    </row>
    <row r="1154" spans="1:19" hidden="1" x14ac:dyDescent="0.3">
      <c r="A1154" s="4">
        <v>44874</v>
      </c>
      <c r="B1154" s="5">
        <f t="shared" si="326"/>
        <v>11</v>
      </c>
      <c r="C1154" s="5">
        <f t="shared" si="327"/>
        <v>2022</v>
      </c>
      <c r="D1154" s="5" t="s">
        <v>1064</v>
      </c>
      <c r="E1154" s="5" t="str">
        <f>VLOOKUP(F1154,'Set up'!$A$2:$C$48,2,FALSE)</f>
        <v>C00000021</v>
      </c>
      <c r="F1154" s="1" t="s">
        <v>492</v>
      </c>
      <c r="G1154" s="89" t="s">
        <v>667</v>
      </c>
      <c r="H1154" s="5">
        <v>1</v>
      </c>
      <c r="I1154" s="5" t="str">
        <f>VLOOKUP(F1154,'Set up'!$A$2:$C$48,3,FALSE)</f>
        <v>Cash</v>
      </c>
      <c r="J1154" s="5">
        <f>VLOOKUP(F1154,'Set up'!$A$2:$D$48,4,FALSE)</f>
        <v>0</v>
      </c>
      <c r="K1154" s="4">
        <f t="shared" si="303"/>
        <v>44874</v>
      </c>
      <c r="L1154" s="5">
        <f t="shared" si="321"/>
        <v>11</v>
      </c>
      <c r="M1154" s="5">
        <f t="shared" si="322"/>
        <v>2022</v>
      </c>
      <c r="N1154" s="6">
        <v>90</v>
      </c>
      <c r="O1154" s="6">
        <f t="shared" si="330"/>
        <v>-90</v>
      </c>
      <c r="P1154" s="6">
        <f t="shared" si="328"/>
        <v>0</v>
      </c>
      <c r="Q1154" s="7">
        <f t="shared" si="329"/>
        <v>2089118.050000001</v>
      </c>
      <c r="R1154" s="44" t="str">
        <f>VLOOKUP(F1154,'Set up'!$A$2:$E$48,5,FALSE)</f>
        <v>PD Chq</v>
      </c>
      <c r="S1154" s="1" t="s">
        <v>1373</v>
      </c>
    </row>
    <row r="1155" spans="1:19" x14ac:dyDescent="0.3">
      <c r="A1155" s="4">
        <v>44876</v>
      </c>
      <c r="B1155" s="5">
        <f t="shared" si="326"/>
        <v>11</v>
      </c>
      <c r="C1155" s="5">
        <f t="shared" si="327"/>
        <v>2022</v>
      </c>
      <c r="D1155" s="5" t="s">
        <v>1065</v>
      </c>
      <c r="E1155" s="5" t="str">
        <f>VLOOKUP(F1155,'Set up'!$A$2:$C$48,2,FALSE)</f>
        <v>C00000020</v>
      </c>
      <c r="F1155" s="1" t="s">
        <v>410</v>
      </c>
      <c r="G1155" s="89" t="s">
        <v>720</v>
      </c>
      <c r="H1155" s="5">
        <v>5</v>
      </c>
      <c r="I1155" s="5" t="str">
        <f>VLOOKUP(F1155,'Set up'!$A$2:$C$48,3,FALSE)</f>
        <v>Cash</v>
      </c>
      <c r="J1155" s="5">
        <f>VLOOKUP(F1155,'Set up'!$A$2:$D$48,4,FALSE)</f>
        <v>0</v>
      </c>
      <c r="K1155" s="4">
        <f t="shared" si="303"/>
        <v>44876</v>
      </c>
      <c r="L1155" s="5">
        <f t="shared" si="321"/>
        <v>11</v>
      </c>
      <c r="M1155" s="5">
        <f t="shared" si="322"/>
        <v>2022</v>
      </c>
      <c r="N1155" s="6">
        <v>9020</v>
      </c>
      <c r="O1155" s="6">
        <f>-8104.4-915.6</f>
        <v>-9020</v>
      </c>
      <c r="P1155" s="6">
        <f t="shared" si="328"/>
        <v>0</v>
      </c>
      <c r="Q1155" s="7">
        <f t="shared" si="329"/>
        <v>2098138.0500000007</v>
      </c>
      <c r="R1155" s="44" t="str">
        <f>VLOOKUP(F1155,'Set up'!$A$2:$E$48,5,FALSE)</f>
        <v>Trsf</v>
      </c>
      <c r="S1155" s="1" t="s">
        <v>1501</v>
      </c>
    </row>
    <row r="1156" spans="1:19" x14ac:dyDescent="0.3">
      <c r="A1156" s="4">
        <v>44876</v>
      </c>
      <c r="B1156" s="5">
        <f t="shared" si="326"/>
        <v>11</v>
      </c>
      <c r="C1156" s="5">
        <f t="shared" si="327"/>
        <v>2022</v>
      </c>
      <c r="D1156" s="5" t="s">
        <v>1065</v>
      </c>
      <c r="E1156" s="5" t="str">
        <f>VLOOKUP(F1156,'Set up'!$A$2:$C$48,2,FALSE)</f>
        <v>C00000020</v>
      </c>
      <c r="F1156" s="1" t="s">
        <v>410</v>
      </c>
      <c r="G1156" s="89" t="s">
        <v>989</v>
      </c>
      <c r="H1156" s="5">
        <v>12</v>
      </c>
      <c r="I1156" s="5" t="str">
        <f>VLOOKUP(F1156,'Set up'!$A$2:$C$48,3,FALSE)</f>
        <v>Cash</v>
      </c>
      <c r="J1156" s="5">
        <f>VLOOKUP(F1156,'Set up'!$A$2:$D$48,4,FALSE)</f>
        <v>0</v>
      </c>
      <c r="K1156" s="4">
        <f t="shared" si="303"/>
        <v>44876</v>
      </c>
      <c r="L1156" s="5">
        <f t="shared" si="321"/>
        <v>11</v>
      </c>
      <c r="M1156" s="5">
        <f t="shared" si="322"/>
        <v>2022</v>
      </c>
      <c r="N1156" s="6">
        <v>3024</v>
      </c>
      <c r="O1156" s="6">
        <f t="shared" ref="O1156" si="331">-N1156</f>
        <v>-3024</v>
      </c>
      <c r="P1156" s="6">
        <f t="shared" si="328"/>
        <v>0</v>
      </c>
      <c r="Q1156" s="7">
        <f t="shared" si="329"/>
        <v>2101162.0500000007</v>
      </c>
      <c r="R1156" s="44" t="str">
        <f>VLOOKUP(F1156,'Set up'!$A$2:$E$48,5,FALSE)</f>
        <v>Trsf</v>
      </c>
      <c r="S1156" s="1" t="s">
        <v>1502</v>
      </c>
    </row>
    <row r="1157" spans="1:19" x14ac:dyDescent="0.3">
      <c r="A1157" s="4">
        <v>44876</v>
      </c>
      <c r="B1157" s="5">
        <f t="shared" si="326"/>
        <v>11</v>
      </c>
      <c r="C1157" s="5">
        <f t="shared" si="327"/>
        <v>2022</v>
      </c>
      <c r="D1157" s="5" t="s">
        <v>1065</v>
      </c>
      <c r="E1157" s="5" t="str">
        <f>VLOOKUP(F1157,'Set up'!$A$2:$C$48,2,FALSE)</f>
        <v>C00000020</v>
      </c>
      <c r="F1157" s="1" t="s">
        <v>410</v>
      </c>
      <c r="G1157" s="89" t="s">
        <v>990</v>
      </c>
      <c r="H1157" s="5">
        <v>4</v>
      </c>
      <c r="I1157" s="5" t="str">
        <f>VLOOKUP(F1157,'Set up'!$A$2:$C$48,3,FALSE)</f>
        <v>Cash</v>
      </c>
      <c r="J1157" s="5">
        <f>VLOOKUP(F1157,'Set up'!$A$2:$D$48,4,FALSE)</f>
        <v>0</v>
      </c>
      <c r="K1157" s="4">
        <f t="shared" si="303"/>
        <v>44876</v>
      </c>
      <c r="L1157" s="5">
        <f t="shared" si="321"/>
        <v>11</v>
      </c>
      <c r="M1157" s="5">
        <f t="shared" si="322"/>
        <v>2022</v>
      </c>
      <c r="N1157" s="6">
        <v>1170</v>
      </c>
      <c r="O1157" s="6">
        <f>-1060.4-109.6</f>
        <v>-1170</v>
      </c>
      <c r="P1157" s="6">
        <f t="shared" si="328"/>
        <v>0</v>
      </c>
      <c r="Q1157" s="7">
        <f t="shared" si="329"/>
        <v>2102332.0500000007</v>
      </c>
      <c r="R1157" s="44" t="str">
        <f>VLOOKUP(F1157,'Set up'!$A$2:$E$48,5,FALSE)</f>
        <v>Trsf</v>
      </c>
      <c r="S1157" s="1" t="s">
        <v>1503</v>
      </c>
    </row>
    <row r="1158" spans="1:19" x14ac:dyDescent="0.3">
      <c r="A1158" s="4">
        <v>44876</v>
      </c>
      <c r="B1158" s="5">
        <f t="shared" si="326"/>
        <v>11</v>
      </c>
      <c r="C1158" s="5">
        <f t="shared" si="327"/>
        <v>2022</v>
      </c>
      <c r="D1158" s="5" t="s">
        <v>1065</v>
      </c>
      <c r="E1158" s="5" t="str">
        <f>VLOOKUP(F1158,'Set up'!$A$2:$C$48,2,FALSE)</f>
        <v>C00000020</v>
      </c>
      <c r="F1158" s="1" t="s">
        <v>410</v>
      </c>
      <c r="G1158" s="89" t="s">
        <v>64</v>
      </c>
      <c r="H1158" s="5">
        <v>5</v>
      </c>
      <c r="I1158" s="5" t="str">
        <f>VLOOKUP(F1158,'Set up'!$A$2:$C$48,3,FALSE)</f>
        <v>Cash</v>
      </c>
      <c r="J1158" s="5">
        <f>VLOOKUP(F1158,'Set up'!$A$2:$D$48,4,FALSE)</f>
        <v>0</v>
      </c>
      <c r="K1158" s="4">
        <f t="shared" si="303"/>
        <v>44876</v>
      </c>
      <c r="L1158" s="5">
        <f t="shared" si="321"/>
        <v>11</v>
      </c>
      <c r="M1158" s="5">
        <f t="shared" si="322"/>
        <v>2022</v>
      </c>
      <c r="N1158" s="6">
        <v>312.5</v>
      </c>
      <c r="O1158" s="6">
        <f t="shared" ref="O1158:O1160" si="332">-N1158</f>
        <v>-312.5</v>
      </c>
      <c r="P1158" s="6">
        <f t="shared" si="328"/>
        <v>0</v>
      </c>
      <c r="Q1158" s="7">
        <f t="shared" si="329"/>
        <v>2102644.5500000007</v>
      </c>
      <c r="R1158" s="44" t="str">
        <f>VLOOKUP(F1158,'Set up'!$A$2:$E$48,5,FALSE)</f>
        <v>Trsf</v>
      </c>
      <c r="S1158" s="1" t="s">
        <v>1504</v>
      </c>
    </row>
    <row r="1159" spans="1:19" x14ac:dyDescent="0.3">
      <c r="A1159" s="4">
        <v>44876</v>
      </c>
      <c r="B1159" s="5">
        <f t="shared" si="326"/>
        <v>11</v>
      </c>
      <c r="C1159" s="5">
        <f t="shared" si="327"/>
        <v>2022</v>
      </c>
      <c r="D1159" s="5" t="s">
        <v>1065</v>
      </c>
      <c r="E1159" s="5" t="str">
        <f>VLOOKUP(F1159,'Set up'!$A$2:$C$48,2,FALSE)</f>
        <v>C00000020</v>
      </c>
      <c r="F1159" s="1" t="s">
        <v>410</v>
      </c>
      <c r="G1159" s="89" t="s">
        <v>991</v>
      </c>
      <c r="H1159" s="5">
        <v>1</v>
      </c>
      <c r="I1159" s="5" t="str">
        <f>VLOOKUP(F1159,'Set up'!$A$2:$C$48,3,FALSE)</f>
        <v>Cash</v>
      </c>
      <c r="J1159" s="5">
        <f>VLOOKUP(F1159,'Set up'!$A$2:$D$48,4,FALSE)</f>
        <v>0</v>
      </c>
      <c r="K1159" s="4">
        <f t="shared" si="303"/>
        <v>44876</v>
      </c>
      <c r="L1159" s="5">
        <f t="shared" si="321"/>
        <v>11</v>
      </c>
      <c r="M1159" s="5">
        <f t="shared" si="322"/>
        <v>2022</v>
      </c>
      <c r="N1159" s="6">
        <v>1000</v>
      </c>
      <c r="O1159" s="6">
        <f t="shared" si="332"/>
        <v>-1000</v>
      </c>
      <c r="P1159" s="6">
        <f t="shared" si="328"/>
        <v>0</v>
      </c>
      <c r="Q1159" s="7">
        <f t="shared" si="329"/>
        <v>2103644.5500000007</v>
      </c>
      <c r="R1159" s="44" t="str">
        <f>VLOOKUP(F1159,'Set up'!$A$2:$E$48,5,FALSE)</f>
        <v>Trsf</v>
      </c>
      <c r="S1159" s="1" t="s">
        <v>1505</v>
      </c>
    </row>
    <row r="1160" spans="1:19" x14ac:dyDescent="0.3">
      <c r="A1160" s="4">
        <v>44876</v>
      </c>
      <c r="B1160" s="5">
        <f t="shared" si="326"/>
        <v>11</v>
      </c>
      <c r="C1160" s="5">
        <f t="shared" si="327"/>
        <v>2022</v>
      </c>
      <c r="D1160" s="5" t="s">
        <v>1065</v>
      </c>
      <c r="E1160" s="5" t="str">
        <f>VLOOKUP(F1160,'Set up'!$A$2:$C$48,2,FALSE)</f>
        <v>C00000020</v>
      </c>
      <c r="F1160" s="1" t="s">
        <v>410</v>
      </c>
      <c r="G1160" s="89" t="s">
        <v>667</v>
      </c>
      <c r="H1160" s="5">
        <v>4</v>
      </c>
      <c r="I1160" s="5" t="str">
        <f>VLOOKUP(F1160,'Set up'!$A$2:$C$48,3,FALSE)</f>
        <v>Cash</v>
      </c>
      <c r="J1160" s="5">
        <f>VLOOKUP(F1160,'Set up'!$A$2:$D$48,4,FALSE)</f>
        <v>0</v>
      </c>
      <c r="K1160" s="4">
        <f t="shared" si="303"/>
        <v>44876</v>
      </c>
      <c r="L1160" s="5">
        <f t="shared" si="321"/>
        <v>11</v>
      </c>
      <c r="M1160" s="5">
        <f t="shared" si="322"/>
        <v>2022</v>
      </c>
      <c r="N1160" s="6">
        <v>360</v>
      </c>
      <c r="O1160" s="6">
        <f t="shared" si="332"/>
        <v>-360</v>
      </c>
      <c r="P1160" s="6">
        <f t="shared" si="328"/>
        <v>0</v>
      </c>
      <c r="Q1160" s="7">
        <f t="shared" si="329"/>
        <v>2104004.5500000007</v>
      </c>
      <c r="R1160" s="44" t="str">
        <f>VLOOKUP(F1160,'Set up'!$A$2:$E$48,5,FALSE)</f>
        <v>Trsf</v>
      </c>
      <c r="S1160" s="1" t="s">
        <v>1506</v>
      </c>
    </row>
    <row r="1161" spans="1:19" hidden="1" x14ac:dyDescent="0.3">
      <c r="A1161" s="4">
        <v>44879</v>
      </c>
      <c r="B1161" s="5">
        <f t="shared" si="326"/>
        <v>11</v>
      </c>
      <c r="C1161" s="5">
        <f t="shared" si="327"/>
        <v>2022</v>
      </c>
      <c r="D1161" s="5" t="s">
        <v>1066</v>
      </c>
      <c r="E1161" s="5" t="str">
        <f>VLOOKUP(F1161,'Set up'!$A$2:$C$48,2,FALSE)</f>
        <v>C00000027</v>
      </c>
      <c r="F1161" s="1" t="s">
        <v>860</v>
      </c>
      <c r="G1161" s="89" t="s">
        <v>717</v>
      </c>
      <c r="H1161" s="5">
        <v>4</v>
      </c>
      <c r="I1161" s="5" t="str">
        <f>VLOOKUP(F1161,'Set up'!$A$2:$C$48,3,FALSE)</f>
        <v>Cash</v>
      </c>
      <c r="J1161" s="5">
        <f>VLOOKUP(F1161,'Set up'!$A$2:$D$48,4,FALSE)</f>
        <v>0</v>
      </c>
      <c r="K1161" s="4">
        <f t="shared" si="303"/>
        <v>44879</v>
      </c>
      <c r="L1161" s="5">
        <f t="shared" si="321"/>
        <v>11</v>
      </c>
      <c r="M1161" s="5">
        <f t="shared" si="322"/>
        <v>2022</v>
      </c>
      <c r="N1161" s="6">
        <v>7920</v>
      </c>
      <c r="O1161" s="6">
        <f t="shared" ref="O1161:O1170" si="333">-N1161</f>
        <v>-7920</v>
      </c>
      <c r="P1161" s="6">
        <f t="shared" si="328"/>
        <v>0</v>
      </c>
      <c r="Q1161" s="7">
        <f t="shared" si="329"/>
        <v>2111924.5500000007</v>
      </c>
      <c r="R1161" s="44" t="str">
        <f>VLOOKUP(F1161,'Set up'!$A$2:$E$48,5,FALSE)</f>
        <v>Trsf</v>
      </c>
      <c r="S1161" s="1" t="s">
        <v>1478</v>
      </c>
    </row>
    <row r="1162" spans="1:19" hidden="1" x14ac:dyDescent="0.3">
      <c r="A1162" s="4">
        <v>44879</v>
      </c>
      <c r="B1162" s="5">
        <f t="shared" si="326"/>
        <v>11</v>
      </c>
      <c r="C1162" s="5">
        <f t="shared" si="327"/>
        <v>2022</v>
      </c>
      <c r="D1162" s="5" t="s">
        <v>1066</v>
      </c>
      <c r="E1162" s="5" t="str">
        <f>VLOOKUP(F1162,'Set up'!$A$2:$C$48,2,FALSE)</f>
        <v>C00000027</v>
      </c>
      <c r="F1162" s="1" t="s">
        <v>860</v>
      </c>
      <c r="G1162" s="89" t="s">
        <v>708</v>
      </c>
      <c r="H1162" s="5">
        <v>2</v>
      </c>
      <c r="I1162" s="5" t="str">
        <f>VLOOKUP(F1162,'Set up'!$A$2:$C$48,3,FALSE)</f>
        <v>Cash</v>
      </c>
      <c r="J1162" s="5">
        <f>VLOOKUP(F1162,'Set up'!$A$2:$D$48,4,FALSE)</f>
        <v>0</v>
      </c>
      <c r="K1162" s="4">
        <f t="shared" si="303"/>
        <v>44879</v>
      </c>
      <c r="L1162" s="5">
        <f t="shared" si="321"/>
        <v>11</v>
      </c>
      <c r="M1162" s="5">
        <f t="shared" si="322"/>
        <v>2022</v>
      </c>
      <c r="N1162" s="6">
        <v>993.6</v>
      </c>
      <c r="O1162" s="6">
        <f t="shared" si="333"/>
        <v>-993.6</v>
      </c>
      <c r="P1162" s="6">
        <f t="shared" si="328"/>
        <v>0</v>
      </c>
      <c r="Q1162" s="7">
        <f t="shared" si="329"/>
        <v>2112918.1500000008</v>
      </c>
      <c r="R1162" s="44" t="str">
        <f>VLOOKUP(F1162,'Set up'!$A$2:$E$48,5,FALSE)</f>
        <v>Trsf</v>
      </c>
      <c r="S1162" s="1" t="s">
        <v>1478</v>
      </c>
    </row>
    <row r="1163" spans="1:19" hidden="1" x14ac:dyDescent="0.3">
      <c r="A1163" s="4">
        <v>44879</v>
      </c>
      <c r="B1163" s="5">
        <f t="shared" si="326"/>
        <v>11</v>
      </c>
      <c r="C1163" s="5">
        <f t="shared" si="327"/>
        <v>2022</v>
      </c>
      <c r="D1163" s="5" t="s">
        <v>1066</v>
      </c>
      <c r="E1163" s="5" t="str">
        <f>VLOOKUP(F1163,'Set up'!$A$2:$C$48,2,FALSE)</f>
        <v>C00000027</v>
      </c>
      <c r="F1163" s="1" t="s">
        <v>860</v>
      </c>
      <c r="G1163" s="89" t="s">
        <v>1008</v>
      </c>
      <c r="H1163" s="5">
        <v>2</v>
      </c>
      <c r="I1163" s="5" t="str">
        <f>VLOOKUP(F1163,'Set up'!$A$2:$C$48,3,FALSE)</f>
        <v>Cash</v>
      </c>
      <c r="J1163" s="5">
        <f>VLOOKUP(F1163,'Set up'!$A$2:$D$48,4,FALSE)</f>
        <v>0</v>
      </c>
      <c r="K1163" s="4">
        <f t="shared" si="303"/>
        <v>44879</v>
      </c>
      <c r="L1163" s="5">
        <f t="shared" si="321"/>
        <v>11</v>
      </c>
      <c r="M1163" s="5">
        <f t="shared" si="322"/>
        <v>2022</v>
      </c>
      <c r="N1163" s="6">
        <v>993.6</v>
      </c>
      <c r="O1163" s="6">
        <f t="shared" si="333"/>
        <v>-993.6</v>
      </c>
      <c r="P1163" s="6">
        <f t="shared" si="328"/>
        <v>0</v>
      </c>
      <c r="Q1163" s="7">
        <f t="shared" si="329"/>
        <v>2113911.7500000009</v>
      </c>
      <c r="R1163" s="44" t="str">
        <f>VLOOKUP(F1163,'Set up'!$A$2:$E$48,5,FALSE)</f>
        <v>Trsf</v>
      </c>
      <c r="S1163" s="1" t="s">
        <v>1478</v>
      </c>
    </row>
    <row r="1164" spans="1:19" hidden="1" x14ac:dyDescent="0.3">
      <c r="A1164" s="4">
        <v>44879</v>
      </c>
      <c r="B1164" s="5">
        <f t="shared" si="326"/>
        <v>11</v>
      </c>
      <c r="C1164" s="5">
        <f t="shared" si="327"/>
        <v>2022</v>
      </c>
      <c r="D1164" s="5" t="s">
        <v>1066</v>
      </c>
      <c r="E1164" s="5" t="str">
        <f>VLOOKUP(F1164,'Set up'!$A$2:$C$48,2,FALSE)</f>
        <v>C00000027</v>
      </c>
      <c r="F1164" s="1" t="s">
        <v>860</v>
      </c>
      <c r="G1164" s="89" t="s">
        <v>958</v>
      </c>
      <c r="H1164" s="5">
        <v>1</v>
      </c>
      <c r="I1164" s="5" t="str">
        <f>VLOOKUP(F1164,'Set up'!$A$2:$C$48,3,FALSE)</f>
        <v>Cash</v>
      </c>
      <c r="J1164" s="5">
        <f>VLOOKUP(F1164,'Set up'!$A$2:$D$48,4,FALSE)</f>
        <v>0</v>
      </c>
      <c r="K1164" s="4">
        <f t="shared" si="303"/>
        <v>44879</v>
      </c>
      <c r="L1164" s="5">
        <f t="shared" si="321"/>
        <v>11</v>
      </c>
      <c r="M1164" s="5">
        <f t="shared" si="322"/>
        <v>2022</v>
      </c>
      <c r="N1164" s="6">
        <v>315</v>
      </c>
      <c r="O1164" s="6">
        <f t="shared" si="333"/>
        <v>-315</v>
      </c>
      <c r="P1164" s="6">
        <f t="shared" si="328"/>
        <v>0</v>
      </c>
      <c r="Q1164" s="7">
        <f t="shared" si="329"/>
        <v>2114226.7500000009</v>
      </c>
      <c r="R1164" s="44" t="str">
        <f>VLOOKUP(F1164,'Set up'!$A$2:$E$48,5,FALSE)</f>
        <v>Trsf</v>
      </c>
      <c r="S1164" s="1" t="s">
        <v>1478</v>
      </c>
    </row>
    <row r="1165" spans="1:19" hidden="1" x14ac:dyDescent="0.3">
      <c r="A1165" s="4">
        <v>44879</v>
      </c>
      <c r="B1165" s="5">
        <f t="shared" si="326"/>
        <v>11</v>
      </c>
      <c r="C1165" s="5">
        <f t="shared" si="327"/>
        <v>2022</v>
      </c>
      <c r="D1165" s="5" t="s">
        <v>1066</v>
      </c>
      <c r="E1165" s="5" t="str">
        <f>VLOOKUP(F1165,'Set up'!$A$2:$C$48,2,FALSE)</f>
        <v>C00000027</v>
      </c>
      <c r="F1165" s="1" t="s">
        <v>860</v>
      </c>
      <c r="G1165" s="89" t="s">
        <v>895</v>
      </c>
      <c r="H1165" s="5">
        <v>4</v>
      </c>
      <c r="I1165" s="5" t="str">
        <f>VLOOKUP(F1165,'Set up'!$A$2:$C$48,3,FALSE)</f>
        <v>Cash</v>
      </c>
      <c r="J1165" s="5">
        <f>VLOOKUP(F1165,'Set up'!$A$2:$D$48,4,FALSE)</f>
        <v>0</v>
      </c>
      <c r="K1165" s="4">
        <f t="shared" si="303"/>
        <v>44879</v>
      </c>
      <c r="L1165" s="5">
        <f t="shared" si="321"/>
        <v>11</v>
      </c>
      <c r="M1165" s="5">
        <f t="shared" si="322"/>
        <v>2022</v>
      </c>
      <c r="N1165" s="6">
        <v>640</v>
      </c>
      <c r="O1165" s="6">
        <f t="shared" si="333"/>
        <v>-640</v>
      </c>
      <c r="P1165" s="6">
        <f t="shared" si="328"/>
        <v>0</v>
      </c>
      <c r="Q1165" s="7">
        <f t="shared" si="329"/>
        <v>2114866.7500000009</v>
      </c>
      <c r="R1165" s="44" t="str">
        <f>VLOOKUP(F1165,'Set up'!$A$2:$E$48,5,FALSE)</f>
        <v>Trsf</v>
      </c>
      <c r="S1165" s="1" t="s">
        <v>1478</v>
      </c>
    </row>
    <row r="1166" spans="1:19" hidden="1" x14ac:dyDescent="0.3">
      <c r="A1166" s="4">
        <v>44879</v>
      </c>
      <c r="B1166" s="5">
        <f t="shared" si="326"/>
        <v>11</v>
      </c>
      <c r="C1166" s="5">
        <f t="shared" si="327"/>
        <v>2022</v>
      </c>
      <c r="D1166" s="5" t="s">
        <v>1066</v>
      </c>
      <c r="E1166" s="5" t="str">
        <f>VLOOKUP(F1166,'Set up'!$A$2:$C$48,2,FALSE)</f>
        <v>C00000027</v>
      </c>
      <c r="F1166" s="1" t="s">
        <v>860</v>
      </c>
      <c r="G1166" s="89" t="s">
        <v>667</v>
      </c>
      <c r="H1166" s="5">
        <v>4</v>
      </c>
      <c r="I1166" s="5" t="str">
        <f>VLOOKUP(F1166,'Set up'!$A$2:$C$48,3,FALSE)</f>
        <v>Cash</v>
      </c>
      <c r="J1166" s="5">
        <f>VLOOKUP(F1166,'Set up'!$A$2:$D$48,4,FALSE)</f>
        <v>0</v>
      </c>
      <c r="K1166" s="4">
        <f t="shared" si="303"/>
        <v>44879</v>
      </c>
      <c r="L1166" s="5">
        <f t="shared" si="321"/>
        <v>11</v>
      </c>
      <c r="M1166" s="5">
        <f t="shared" si="322"/>
        <v>2022</v>
      </c>
      <c r="N1166" s="6">
        <v>360</v>
      </c>
      <c r="O1166" s="6">
        <f t="shared" si="333"/>
        <v>-360</v>
      </c>
      <c r="P1166" s="6">
        <f t="shared" si="328"/>
        <v>0</v>
      </c>
      <c r="Q1166" s="7">
        <f t="shared" si="329"/>
        <v>2115226.7500000009</v>
      </c>
      <c r="R1166" s="44" t="str">
        <f>VLOOKUP(F1166,'Set up'!$A$2:$E$48,5,FALSE)</f>
        <v>Trsf</v>
      </c>
      <c r="S1166" s="1" t="s">
        <v>1478</v>
      </c>
    </row>
    <row r="1167" spans="1:19" hidden="1" x14ac:dyDescent="0.3">
      <c r="A1167" s="4">
        <v>44879</v>
      </c>
      <c r="B1167" s="5">
        <f t="shared" si="326"/>
        <v>11</v>
      </c>
      <c r="C1167" s="5">
        <f t="shared" si="327"/>
        <v>2022</v>
      </c>
      <c r="D1167" s="5" t="s">
        <v>1066</v>
      </c>
      <c r="E1167" s="5" t="str">
        <f>VLOOKUP(F1167,'Set up'!$A$2:$C$48,2,FALSE)</f>
        <v>C00000027</v>
      </c>
      <c r="F1167" s="1" t="s">
        <v>860</v>
      </c>
      <c r="G1167" s="89" t="s">
        <v>864</v>
      </c>
      <c r="H1167" s="5">
        <v>6</v>
      </c>
      <c r="I1167" s="5" t="str">
        <f>VLOOKUP(F1167,'Set up'!$A$2:$C$48,3,FALSE)</f>
        <v>Cash</v>
      </c>
      <c r="J1167" s="5">
        <f>VLOOKUP(F1167,'Set up'!$A$2:$D$48,4,FALSE)</f>
        <v>0</v>
      </c>
      <c r="K1167" s="4">
        <f t="shared" si="303"/>
        <v>44879</v>
      </c>
      <c r="L1167" s="5">
        <f t="shared" si="321"/>
        <v>11</v>
      </c>
      <c r="M1167" s="5">
        <f t="shared" si="322"/>
        <v>2022</v>
      </c>
      <c r="N1167" s="6">
        <v>270</v>
      </c>
      <c r="O1167" s="6">
        <f t="shared" si="333"/>
        <v>-270</v>
      </c>
      <c r="P1167" s="6">
        <f t="shared" si="328"/>
        <v>0</v>
      </c>
      <c r="Q1167" s="7">
        <f t="shared" si="329"/>
        <v>2115496.7500000009</v>
      </c>
      <c r="R1167" s="44" t="str">
        <f>VLOOKUP(F1167,'Set up'!$A$2:$E$48,5,FALSE)</f>
        <v>Trsf</v>
      </c>
      <c r="S1167" s="1" t="s">
        <v>1478</v>
      </c>
    </row>
    <row r="1168" spans="1:19" hidden="1" x14ac:dyDescent="0.3">
      <c r="A1168" s="4">
        <v>44879</v>
      </c>
      <c r="B1168" s="5">
        <f t="shared" si="326"/>
        <v>11</v>
      </c>
      <c r="C1168" s="5">
        <f t="shared" si="327"/>
        <v>2022</v>
      </c>
      <c r="D1168" s="5" t="s">
        <v>1066</v>
      </c>
      <c r="E1168" s="5" t="str">
        <f>VLOOKUP(F1168,'Set up'!$A$2:$C$48,2,FALSE)</f>
        <v>C00000027</v>
      </c>
      <c r="F1168" s="1" t="s">
        <v>860</v>
      </c>
      <c r="G1168" s="89" t="s">
        <v>945</v>
      </c>
      <c r="H1168" s="5">
        <v>1</v>
      </c>
      <c r="I1168" s="5" t="str">
        <f>VLOOKUP(F1168,'Set up'!$A$2:$C$48,3,FALSE)</f>
        <v>Cash</v>
      </c>
      <c r="J1168" s="5">
        <f>VLOOKUP(F1168,'Set up'!$A$2:$D$48,4,FALSE)</f>
        <v>0</v>
      </c>
      <c r="K1168" s="4">
        <f t="shared" si="303"/>
        <v>44879</v>
      </c>
      <c r="L1168" s="5">
        <f t="shared" si="321"/>
        <v>11</v>
      </c>
      <c r="M1168" s="5">
        <f t="shared" si="322"/>
        <v>2022</v>
      </c>
      <c r="N1168" s="6">
        <v>440</v>
      </c>
      <c r="O1168" s="6">
        <f t="shared" si="333"/>
        <v>-440</v>
      </c>
      <c r="P1168" s="6">
        <f t="shared" si="328"/>
        <v>0</v>
      </c>
      <c r="Q1168" s="7">
        <f t="shared" si="329"/>
        <v>2115936.7500000009</v>
      </c>
      <c r="R1168" s="44" t="str">
        <f>VLOOKUP(F1168,'Set up'!$A$2:$E$48,5,FALSE)</f>
        <v>Trsf</v>
      </c>
      <c r="S1168" s="1" t="s">
        <v>1478</v>
      </c>
    </row>
    <row r="1169" spans="1:19" hidden="1" x14ac:dyDescent="0.3">
      <c r="A1169" s="4">
        <v>44879</v>
      </c>
      <c r="B1169" s="5">
        <f t="shared" si="326"/>
        <v>11</v>
      </c>
      <c r="C1169" s="5">
        <f t="shared" si="327"/>
        <v>2022</v>
      </c>
      <c r="D1169" s="5" t="s">
        <v>1066</v>
      </c>
      <c r="E1169" s="5" t="str">
        <f>VLOOKUP(F1169,'Set up'!$A$2:$C$48,2,FALSE)</f>
        <v>C00000027</v>
      </c>
      <c r="F1169" s="1" t="s">
        <v>860</v>
      </c>
      <c r="G1169" s="89" t="s">
        <v>866</v>
      </c>
      <c r="H1169" s="5">
        <v>6</v>
      </c>
      <c r="I1169" s="5" t="str">
        <f>VLOOKUP(F1169,'Set up'!$A$2:$C$48,3,FALSE)</f>
        <v>Cash</v>
      </c>
      <c r="J1169" s="5">
        <f>VLOOKUP(F1169,'Set up'!$A$2:$D$48,4,FALSE)</f>
        <v>0</v>
      </c>
      <c r="K1169" s="4">
        <f t="shared" si="303"/>
        <v>44879</v>
      </c>
      <c r="L1169" s="5">
        <f t="shared" si="321"/>
        <v>11</v>
      </c>
      <c r="M1169" s="5">
        <f t="shared" si="322"/>
        <v>2022</v>
      </c>
      <c r="N1169" s="6">
        <v>1524</v>
      </c>
      <c r="O1169" s="6">
        <f t="shared" si="333"/>
        <v>-1524</v>
      </c>
      <c r="P1169" s="6">
        <f t="shared" si="328"/>
        <v>0</v>
      </c>
      <c r="Q1169" s="7">
        <f t="shared" si="329"/>
        <v>2117460.7500000009</v>
      </c>
      <c r="R1169" s="44" t="str">
        <f>VLOOKUP(F1169,'Set up'!$A$2:$E$48,5,FALSE)</f>
        <v>Trsf</v>
      </c>
      <c r="S1169" s="1" t="s">
        <v>1478</v>
      </c>
    </row>
    <row r="1170" spans="1:19" hidden="1" x14ac:dyDescent="0.3">
      <c r="A1170" s="4">
        <v>44879</v>
      </c>
      <c r="B1170" s="5">
        <f t="shared" si="326"/>
        <v>11</v>
      </c>
      <c r="C1170" s="5">
        <f t="shared" si="327"/>
        <v>2022</v>
      </c>
      <c r="D1170" s="5" t="s">
        <v>1066</v>
      </c>
      <c r="E1170" s="5" t="str">
        <f>VLOOKUP(F1170,'Set up'!$A$2:$C$48,2,FALSE)</f>
        <v>C00000027</v>
      </c>
      <c r="F1170" s="1" t="s">
        <v>860</v>
      </c>
      <c r="G1170" s="89" t="s">
        <v>659</v>
      </c>
      <c r="H1170" s="5">
        <v>1</v>
      </c>
      <c r="I1170" s="5" t="str">
        <f>VLOOKUP(F1170,'Set up'!$A$2:$C$48,3,FALSE)</f>
        <v>Cash</v>
      </c>
      <c r="J1170" s="5">
        <f>VLOOKUP(F1170,'Set up'!$A$2:$D$48,4,FALSE)</f>
        <v>0</v>
      </c>
      <c r="K1170" s="4">
        <f t="shared" si="303"/>
        <v>44879</v>
      </c>
      <c r="L1170" s="5">
        <f t="shared" si="321"/>
        <v>11</v>
      </c>
      <c r="M1170" s="5">
        <f t="shared" si="322"/>
        <v>2022</v>
      </c>
      <c r="N1170" s="6">
        <v>1108.4000000000001</v>
      </c>
      <c r="O1170" s="6">
        <f t="shared" si="333"/>
        <v>-1108.4000000000001</v>
      </c>
      <c r="P1170" s="6">
        <f t="shared" si="328"/>
        <v>0</v>
      </c>
      <c r="Q1170" s="7">
        <f t="shared" si="329"/>
        <v>2118569.1500000008</v>
      </c>
      <c r="R1170" s="44" t="str">
        <f>VLOOKUP(F1170,'Set up'!$A$2:$E$48,5,FALSE)</f>
        <v>Trsf</v>
      </c>
      <c r="S1170" s="1" t="s">
        <v>1478</v>
      </c>
    </row>
    <row r="1171" spans="1:19" hidden="1" x14ac:dyDescent="0.3">
      <c r="A1171" s="4">
        <v>44880</v>
      </c>
      <c r="B1171" s="5">
        <f t="shared" si="326"/>
        <v>11</v>
      </c>
      <c r="C1171" s="5">
        <f t="shared" si="327"/>
        <v>2022</v>
      </c>
      <c r="D1171" s="5" t="s">
        <v>1067</v>
      </c>
      <c r="E1171" s="5" t="str">
        <f>VLOOKUP(F1171,'Set up'!$A$2:$C$48,2,FALSE)</f>
        <v>C00000019</v>
      </c>
      <c r="F1171" s="1" t="s">
        <v>401</v>
      </c>
      <c r="G1171" s="89" t="s">
        <v>720</v>
      </c>
      <c r="H1171" s="5">
        <v>2</v>
      </c>
      <c r="I1171" s="5" t="str">
        <f>VLOOKUP(F1171,'Set up'!$A$2:$C$48,3,FALSE)</f>
        <v>Cash</v>
      </c>
      <c r="J1171" s="5">
        <f>VLOOKUP(F1171,'Set up'!$A$2:$D$48,4,FALSE)</f>
        <v>0</v>
      </c>
      <c r="K1171" s="4">
        <f t="shared" si="303"/>
        <v>44880</v>
      </c>
      <c r="L1171" s="5">
        <f t="shared" si="321"/>
        <v>11</v>
      </c>
      <c r="M1171" s="5">
        <f t="shared" si="322"/>
        <v>2022</v>
      </c>
      <c r="N1171" s="6">
        <v>3872</v>
      </c>
      <c r="O1171" s="6">
        <f>-1500-1500-872</f>
        <v>-3872</v>
      </c>
      <c r="P1171" s="6">
        <f t="shared" si="328"/>
        <v>0</v>
      </c>
      <c r="Q1171" s="7">
        <f t="shared" si="329"/>
        <v>2122441.1500000008</v>
      </c>
      <c r="R1171" s="44" t="str">
        <f>VLOOKUP(F1171,'Set up'!$A$2:$E$48,5,FALSE)</f>
        <v>Trsf</v>
      </c>
      <c r="S1171" s="1" t="s">
        <v>1217</v>
      </c>
    </row>
    <row r="1172" spans="1:19" hidden="1" x14ac:dyDescent="0.3">
      <c r="A1172" s="4">
        <v>44880</v>
      </c>
      <c r="B1172" s="5">
        <f t="shared" si="326"/>
        <v>11</v>
      </c>
      <c r="C1172" s="5">
        <f t="shared" si="327"/>
        <v>2022</v>
      </c>
      <c r="D1172" s="5" t="s">
        <v>1067</v>
      </c>
      <c r="E1172" s="5" t="str">
        <f>VLOOKUP(F1172,'Set up'!$A$2:$C$48,2,FALSE)</f>
        <v>C00000019</v>
      </c>
      <c r="F1172" s="1" t="s">
        <v>401</v>
      </c>
      <c r="G1172" s="89" t="s">
        <v>708</v>
      </c>
      <c r="H1172" s="5">
        <v>2</v>
      </c>
      <c r="I1172" s="5" t="str">
        <f>VLOOKUP(F1172,'Set up'!$A$2:$C$48,3,FALSE)</f>
        <v>Cash</v>
      </c>
      <c r="J1172" s="5">
        <f>VLOOKUP(F1172,'Set up'!$A$2:$D$48,4,FALSE)</f>
        <v>0</v>
      </c>
      <c r="K1172" s="4">
        <f t="shared" si="303"/>
        <v>44880</v>
      </c>
      <c r="L1172" s="5">
        <f t="shared" si="321"/>
        <v>11</v>
      </c>
      <c r="M1172" s="5">
        <f t="shared" si="322"/>
        <v>2022</v>
      </c>
      <c r="N1172" s="6">
        <v>961.2</v>
      </c>
      <c r="O1172" s="6">
        <f t="shared" ref="O1172" si="334">-N1172</f>
        <v>-961.2</v>
      </c>
      <c r="P1172" s="6">
        <f t="shared" si="328"/>
        <v>0</v>
      </c>
      <c r="Q1172" s="7">
        <f t="shared" si="329"/>
        <v>2123402.350000001</v>
      </c>
      <c r="R1172" s="44" t="str">
        <f>VLOOKUP(F1172,'Set up'!$A$2:$E$48,5,FALSE)</f>
        <v>Trsf</v>
      </c>
      <c r="S1172" s="1" t="s">
        <v>1216</v>
      </c>
    </row>
    <row r="1173" spans="1:19" hidden="1" x14ac:dyDescent="0.3">
      <c r="A1173" s="4">
        <v>44880</v>
      </c>
      <c r="B1173" s="5">
        <f t="shared" si="326"/>
        <v>11</v>
      </c>
      <c r="C1173" s="5">
        <f t="shared" si="327"/>
        <v>2022</v>
      </c>
      <c r="D1173" s="5" t="s">
        <v>1067</v>
      </c>
      <c r="E1173" s="5" t="str">
        <f>VLOOKUP(F1173,'Set up'!$A$2:$C$48,2,FALSE)</f>
        <v>C00000019</v>
      </c>
      <c r="F1173" s="1" t="s">
        <v>401</v>
      </c>
      <c r="G1173" s="89" t="s">
        <v>293</v>
      </c>
      <c r="H1173" s="5">
        <v>1</v>
      </c>
      <c r="I1173" s="5" t="str">
        <f>VLOOKUP(F1173,'Set up'!$A$2:$C$48,3,FALSE)</f>
        <v>Cash</v>
      </c>
      <c r="J1173" s="5">
        <f>VLOOKUP(F1173,'Set up'!$A$2:$D$48,4,FALSE)</f>
        <v>0</v>
      </c>
      <c r="K1173" s="4">
        <f t="shared" si="303"/>
        <v>44880</v>
      </c>
      <c r="L1173" s="5">
        <f t="shared" si="321"/>
        <v>11</v>
      </c>
      <c r="M1173" s="5">
        <f t="shared" si="322"/>
        <v>2022</v>
      </c>
      <c r="N1173" s="6">
        <v>450</v>
      </c>
      <c r="O1173" s="6">
        <f>-166.8-283.2</f>
        <v>-450</v>
      </c>
      <c r="P1173" s="6">
        <f t="shared" si="328"/>
        <v>0</v>
      </c>
      <c r="Q1173" s="7">
        <f t="shared" si="329"/>
        <v>2123852.350000001</v>
      </c>
      <c r="R1173" s="44" t="str">
        <f>VLOOKUP(F1173,'Set up'!$A$2:$E$48,5,FALSE)</f>
        <v>Trsf</v>
      </c>
      <c r="S1173" s="1" t="s">
        <v>1218</v>
      </c>
    </row>
    <row r="1174" spans="1:19" hidden="1" x14ac:dyDescent="0.3">
      <c r="A1174" s="97" t="s">
        <v>1070</v>
      </c>
      <c r="B1174" s="5">
        <f t="shared" si="326"/>
        <v>11</v>
      </c>
      <c r="C1174" s="5">
        <f t="shared" si="327"/>
        <v>2022</v>
      </c>
      <c r="D1174" s="5" t="s">
        <v>1068</v>
      </c>
      <c r="E1174" s="5" t="str">
        <f>VLOOKUP(F1174,'Set up'!$A$2:$C$48,2,FALSE)</f>
        <v>C00000019</v>
      </c>
      <c r="F1174" s="1" t="s">
        <v>401</v>
      </c>
      <c r="G1174" s="89" t="s">
        <v>46</v>
      </c>
      <c r="H1174" s="5">
        <v>1</v>
      </c>
      <c r="I1174" s="5" t="str">
        <f>VLOOKUP(F1174,'Set up'!$A$2:$C$48,3,FALSE)</f>
        <v>Cash</v>
      </c>
      <c r="J1174" s="5">
        <f>VLOOKUP(F1174,'Set up'!$A$2:$D$48,4,FALSE)</f>
        <v>0</v>
      </c>
      <c r="K1174" s="4">
        <f t="shared" si="303"/>
        <v>44882</v>
      </c>
      <c r="L1174" s="5">
        <f t="shared" si="321"/>
        <v>11</v>
      </c>
      <c r="M1174" s="5">
        <f t="shared" si="322"/>
        <v>2022</v>
      </c>
      <c r="N1174" s="6">
        <v>105</v>
      </c>
      <c r="O1174" s="6">
        <f t="shared" ref="O1174" si="335">-N1174</f>
        <v>-105</v>
      </c>
      <c r="P1174" s="6">
        <f>SUM(N1174+O1174)</f>
        <v>0</v>
      </c>
      <c r="Q1174" s="7">
        <f>SUM(Q1173+N1174)</f>
        <v>2123957.350000001</v>
      </c>
      <c r="R1174" s="44" t="str">
        <f>VLOOKUP(F1174,'Set up'!$A$2:$E$48,5,FALSE)</f>
        <v>Trsf</v>
      </c>
      <c r="S1174" s="1" t="s">
        <v>1219</v>
      </c>
    </row>
    <row r="1175" spans="1:19" hidden="1" x14ac:dyDescent="0.3">
      <c r="A1175" s="97" t="s">
        <v>1071</v>
      </c>
      <c r="B1175" s="5">
        <f t="shared" si="326"/>
        <v>11</v>
      </c>
      <c r="C1175" s="5">
        <f t="shared" si="327"/>
        <v>2022</v>
      </c>
      <c r="D1175" s="5" t="s">
        <v>1069</v>
      </c>
      <c r="E1175" s="5" t="str">
        <f>VLOOKUP(F1175,'Set up'!$A$2:$C$48,2,FALSE)</f>
        <v>C00000001</v>
      </c>
      <c r="F1175" s="1" t="s">
        <v>7</v>
      </c>
      <c r="G1175" s="89" t="s">
        <v>717</v>
      </c>
      <c r="H1175" s="5">
        <v>1</v>
      </c>
      <c r="I1175" s="5" t="str">
        <f>VLOOKUP(F1175,'Set up'!$A$2:$C$48,3,FALSE)</f>
        <v>Cash</v>
      </c>
      <c r="J1175" s="5">
        <f>VLOOKUP(F1175,'Set up'!$A$2:$D$48,4,FALSE)</f>
        <v>0</v>
      </c>
      <c r="K1175" s="4">
        <f t="shared" si="303"/>
        <v>44887</v>
      </c>
      <c r="L1175" s="5">
        <f t="shared" si="321"/>
        <v>11</v>
      </c>
      <c r="M1175" s="5">
        <f t="shared" si="322"/>
        <v>2022</v>
      </c>
      <c r="N1175" s="6">
        <v>1936</v>
      </c>
      <c r="O1175" s="6">
        <f>-N1175</f>
        <v>-1936</v>
      </c>
      <c r="P1175" s="6">
        <f t="shared" si="328"/>
        <v>0</v>
      </c>
      <c r="Q1175" s="7">
        <f t="shared" si="329"/>
        <v>2125893.350000001</v>
      </c>
      <c r="R1175" s="44" t="str">
        <f>VLOOKUP(F1175,'Set up'!$A$2:$E$48,5,FALSE)</f>
        <v>Trsf</v>
      </c>
      <c r="S1175" s="1" t="s">
        <v>1142</v>
      </c>
    </row>
    <row r="1176" spans="1:19" hidden="1" x14ac:dyDescent="0.3">
      <c r="A1176" s="97" t="s">
        <v>1071</v>
      </c>
      <c r="B1176" s="5">
        <f t="shared" si="326"/>
        <v>11</v>
      </c>
      <c r="C1176" s="5">
        <f t="shared" si="327"/>
        <v>2022</v>
      </c>
      <c r="D1176" s="5" t="s">
        <v>1072</v>
      </c>
      <c r="E1176" s="5" t="str">
        <f>VLOOKUP(F1176,'Set up'!$A$2:$C$48,2,FALSE)</f>
        <v>C00000031</v>
      </c>
      <c r="F1176" s="1" t="s">
        <v>1052</v>
      </c>
      <c r="G1176" s="1" t="s">
        <v>1055</v>
      </c>
      <c r="H1176" s="5">
        <v>3</v>
      </c>
      <c r="I1176" s="5" t="str">
        <f>VLOOKUP(F1176,'Set up'!$A$2:$C$48,3,FALSE)</f>
        <v>Cash</v>
      </c>
      <c r="J1176" s="5">
        <f>VLOOKUP(F1176,'Set up'!$A$2:$D$48,4,FALSE)</f>
        <v>0</v>
      </c>
      <c r="K1176" s="4">
        <f t="shared" ref="K1176:K1239" si="336">A1176+J1176</f>
        <v>44887</v>
      </c>
      <c r="L1176" s="5">
        <f t="shared" si="321"/>
        <v>11</v>
      </c>
      <c r="M1176" s="5">
        <f t="shared" si="322"/>
        <v>2022</v>
      </c>
      <c r="N1176" s="6">
        <v>780</v>
      </c>
      <c r="O1176" s="6">
        <f>-N1176</f>
        <v>-780</v>
      </c>
      <c r="P1176" s="6">
        <f t="shared" si="328"/>
        <v>0</v>
      </c>
      <c r="Q1176" s="7">
        <f t="shared" si="329"/>
        <v>2126673.350000001</v>
      </c>
      <c r="R1176" s="44" t="str">
        <f>VLOOKUP(F1176,'Set up'!$A$2:$E$48,5,FALSE)</f>
        <v>Trsf</v>
      </c>
      <c r="S1176" s="1" t="s">
        <v>1091</v>
      </c>
    </row>
    <row r="1177" spans="1:19" x14ac:dyDescent="0.3">
      <c r="A1177" s="97" t="s">
        <v>1071</v>
      </c>
      <c r="B1177" s="5">
        <f t="shared" si="326"/>
        <v>11</v>
      </c>
      <c r="C1177" s="5">
        <f t="shared" si="327"/>
        <v>2022</v>
      </c>
      <c r="D1177" s="5" t="s">
        <v>1076</v>
      </c>
      <c r="E1177" s="5" t="str">
        <f>VLOOKUP(F1177,'Set up'!$A$2:$C$48,2,FALSE)</f>
        <v>C00000020</v>
      </c>
      <c r="F1177" s="1" t="s">
        <v>410</v>
      </c>
      <c r="G1177" s="89" t="s">
        <v>720</v>
      </c>
      <c r="H1177" s="5">
        <v>6</v>
      </c>
      <c r="I1177" s="5" t="str">
        <f>VLOOKUP(F1177,'Set up'!$A$2:$C$48,3,FALSE)</f>
        <v>Cash</v>
      </c>
      <c r="J1177" s="5">
        <f>VLOOKUP(F1177,'Set up'!$A$2:$D$48,4,FALSE)</f>
        <v>0</v>
      </c>
      <c r="K1177" s="4">
        <f t="shared" si="336"/>
        <v>44887</v>
      </c>
      <c r="L1177" s="5">
        <f t="shared" si="321"/>
        <v>11</v>
      </c>
      <c r="M1177" s="5">
        <f t="shared" si="322"/>
        <v>2022</v>
      </c>
      <c r="N1177" s="6">
        <v>10824</v>
      </c>
      <c r="O1177" s="6">
        <f t="shared" ref="O1177" si="337">-N1177</f>
        <v>-10824</v>
      </c>
      <c r="P1177" s="6">
        <f t="shared" si="328"/>
        <v>0</v>
      </c>
      <c r="Q1177" s="7">
        <f t="shared" si="329"/>
        <v>2137497.350000001</v>
      </c>
      <c r="R1177" s="44" t="str">
        <f>VLOOKUP(F1177,'Set up'!$A$2:$E$48,5,FALSE)</f>
        <v>Trsf</v>
      </c>
      <c r="S1177" s="1" t="s">
        <v>1507</v>
      </c>
    </row>
    <row r="1178" spans="1:19" x14ac:dyDescent="0.3">
      <c r="A1178" s="97" t="s">
        <v>1071</v>
      </c>
      <c r="B1178" s="5">
        <f t="shared" si="326"/>
        <v>11</v>
      </c>
      <c r="C1178" s="5">
        <f t="shared" si="327"/>
        <v>2022</v>
      </c>
      <c r="D1178" s="5" t="s">
        <v>1076</v>
      </c>
      <c r="E1178" s="5" t="str">
        <f>VLOOKUP(F1178,'Set up'!$A$2:$C$48,2,FALSE)</f>
        <v>C00000020</v>
      </c>
      <c r="F1178" s="1" t="s">
        <v>410</v>
      </c>
      <c r="G1178" s="89" t="s">
        <v>989</v>
      </c>
      <c r="H1178" s="5">
        <v>12</v>
      </c>
      <c r="I1178" s="5" t="str">
        <f>VLOOKUP(F1178,'Set up'!$A$2:$C$48,3,FALSE)</f>
        <v>Cash</v>
      </c>
      <c r="J1178" s="5">
        <f>VLOOKUP(F1178,'Set up'!$A$2:$D$48,4,FALSE)</f>
        <v>0</v>
      </c>
      <c r="K1178" s="4">
        <f t="shared" si="336"/>
        <v>44887</v>
      </c>
      <c r="L1178" s="5">
        <f t="shared" si="321"/>
        <v>11</v>
      </c>
      <c r="M1178" s="5">
        <f t="shared" si="322"/>
        <v>2022</v>
      </c>
      <c r="N1178" s="6">
        <v>3024</v>
      </c>
      <c r="O1178" s="6">
        <f>-2393.9-630.1</f>
        <v>-3024</v>
      </c>
      <c r="P1178" s="6">
        <f t="shared" si="328"/>
        <v>0</v>
      </c>
      <c r="Q1178" s="7">
        <f t="shared" si="329"/>
        <v>2140521.350000001</v>
      </c>
      <c r="R1178" s="44" t="str">
        <f>VLOOKUP(F1178,'Set up'!$A$2:$E$48,5,FALSE)</f>
        <v>Trsf</v>
      </c>
      <c r="S1178" s="1" t="s">
        <v>1508</v>
      </c>
    </row>
    <row r="1179" spans="1:19" x14ac:dyDescent="0.3">
      <c r="A1179" s="97" t="s">
        <v>1071</v>
      </c>
      <c r="B1179" s="5">
        <f t="shared" si="326"/>
        <v>11</v>
      </c>
      <c r="C1179" s="5">
        <f t="shared" si="327"/>
        <v>2022</v>
      </c>
      <c r="D1179" s="5" t="s">
        <v>1076</v>
      </c>
      <c r="E1179" s="5" t="str">
        <f>VLOOKUP(F1179,'Set up'!$A$2:$C$48,2,FALSE)</f>
        <v>C00000020</v>
      </c>
      <c r="F1179" s="1" t="s">
        <v>410</v>
      </c>
      <c r="G1179" s="89" t="s">
        <v>1073</v>
      </c>
      <c r="H1179" s="5">
        <v>6</v>
      </c>
      <c r="I1179" s="5" t="str">
        <f>VLOOKUP(F1179,'Set up'!$A$2:$C$48,3,FALSE)</f>
        <v>Cash</v>
      </c>
      <c r="J1179" s="5">
        <f>VLOOKUP(F1179,'Set up'!$A$2:$D$48,4,FALSE)</f>
        <v>0</v>
      </c>
      <c r="K1179" s="4">
        <f t="shared" si="336"/>
        <v>44887</v>
      </c>
      <c r="L1179" s="5">
        <f t="shared" si="321"/>
        <v>11</v>
      </c>
      <c r="M1179" s="5">
        <f t="shared" si="322"/>
        <v>2022</v>
      </c>
      <c r="N1179" s="6">
        <v>1560</v>
      </c>
      <c r="O1179" s="6">
        <f t="shared" ref="O1179:O1182" si="338">-N1179</f>
        <v>-1560</v>
      </c>
      <c r="P1179" s="6">
        <f t="shared" si="328"/>
        <v>0</v>
      </c>
      <c r="Q1179" s="7">
        <f t="shared" si="329"/>
        <v>2142081.350000001</v>
      </c>
      <c r="R1179" s="44" t="str">
        <f>VLOOKUP(F1179,'Set up'!$A$2:$E$48,5,FALSE)</f>
        <v>Trsf</v>
      </c>
      <c r="S1179" s="1" t="s">
        <v>1509</v>
      </c>
    </row>
    <row r="1180" spans="1:19" x14ac:dyDescent="0.3">
      <c r="A1180" s="97" t="s">
        <v>1071</v>
      </c>
      <c r="B1180" s="5">
        <f t="shared" si="326"/>
        <v>11</v>
      </c>
      <c r="C1180" s="5">
        <f t="shared" si="327"/>
        <v>2022</v>
      </c>
      <c r="D1180" s="5" t="s">
        <v>1076</v>
      </c>
      <c r="E1180" s="5" t="str">
        <f>VLOOKUP(F1180,'Set up'!$A$2:$C$48,2,FALSE)</f>
        <v>C00000020</v>
      </c>
      <c r="F1180" s="1" t="s">
        <v>410</v>
      </c>
      <c r="G1180" s="89" t="s">
        <v>54</v>
      </c>
      <c r="H1180" s="5">
        <v>6</v>
      </c>
      <c r="I1180" s="5" t="str">
        <f>VLOOKUP(F1180,'Set up'!$A$2:$C$48,3,FALSE)</f>
        <v>Cash</v>
      </c>
      <c r="J1180" s="5">
        <f>VLOOKUP(F1180,'Set up'!$A$2:$D$48,4,FALSE)</f>
        <v>0</v>
      </c>
      <c r="K1180" s="4">
        <f t="shared" si="336"/>
        <v>44887</v>
      </c>
      <c r="L1180" s="5">
        <f t="shared" si="321"/>
        <v>11</v>
      </c>
      <c r="M1180" s="5">
        <f t="shared" si="322"/>
        <v>2022</v>
      </c>
      <c r="N1180" s="6">
        <v>375</v>
      </c>
      <c r="O1180" s="6">
        <f t="shared" si="338"/>
        <v>-375</v>
      </c>
      <c r="P1180" s="6">
        <f t="shared" si="328"/>
        <v>0</v>
      </c>
      <c r="Q1180" s="7">
        <f t="shared" si="329"/>
        <v>2142456.350000001</v>
      </c>
      <c r="R1180" s="44" t="str">
        <f>VLOOKUP(F1180,'Set up'!$A$2:$E$48,5,FALSE)</f>
        <v>Trsf</v>
      </c>
      <c r="S1180" s="1" t="s">
        <v>1510</v>
      </c>
    </row>
    <row r="1181" spans="1:19" x14ac:dyDescent="0.3">
      <c r="A1181" s="97" t="s">
        <v>1071</v>
      </c>
      <c r="B1181" s="5">
        <f t="shared" si="326"/>
        <v>11</v>
      </c>
      <c r="C1181" s="5">
        <f t="shared" si="327"/>
        <v>2022</v>
      </c>
      <c r="D1181" s="5" t="s">
        <v>1076</v>
      </c>
      <c r="E1181" s="5" t="str">
        <f>VLOOKUP(F1181,'Set up'!$A$2:$C$48,2,FALSE)</f>
        <v>C00000020</v>
      </c>
      <c r="F1181" s="1" t="s">
        <v>410</v>
      </c>
      <c r="G1181" s="89" t="s">
        <v>1074</v>
      </c>
      <c r="H1181" s="5">
        <v>1</v>
      </c>
      <c r="I1181" s="5" t="str">
        <f>VLOOKUP(F1181,'Set up'!$A$2:$C$48,3,FALSE)</f>
        <v>Cash</v>
      </c>
      <c r="J1181" s="5">
        <f>VLOOKUP(F1181,'Set up'!$A$2:$D$48,4,FALSE)</f>
        <v>0</v>
      </c>
      <c r="K1181" s="4">
        <f t="shared" si="336"/>
        <v>44887</v>
      </c>
      <c r="L1181" s="5">
        <f t="shared" si="321"/>
        <v>11</v>
      </c>
      <c r="M1181" s="5">
        <f t="shared" si="322"/>
        <v>2022</v>
      </c>
      <c r="N1181" s="6">
        <v>1000</v>
      </c>
      <c r="O1181" s="6">
        <f t="shared" si="338"/>
        <v>-1000</v>
      </c>
      <c r="P1181" s="6">
        <f t="shared" si="328"/>
        <v>0</v>
      </c>
      <c r="Q1181" s="7">
        <f t="shared" si="329"/>
        <v>2143456.350000001</v>
      </c>
      <c r="R1181" s="44" t="str">
        <f>VLOOKUP(F1181,'Set up'!$A$2:$E$48,5,FALSE)</f>
        <v>Trsf</v>
      </c>
      <c r="S1181" s="1" t="s">
        <v>1512</v>
      </c>
    </row>
    <row r="1182" spans="1:19" x14ac:dyDescent="0.3">
      <c r="A1182" s="97" t="s">
        <v>1071</v>
      </c>
      <c r="B1182" s="5">
        <f t="shared" si="326"/>
        <v>11</v>
      </c>
      <c r="C1182" s="5">
        <f t="shared" si="327"/>
        <v>2022</v>
      </c>
      <c r="D1182" s="5" t="s">
        <v>1076</v>
      </c>
      <c r="E1182" s="5" t="str">
        <f>VLOOKUP(F1182,'Set up'!$A$2:$C$48,2,FALSE)</f>
        <v>C00000020</v>
      </c>
      <c r="F1182" s="1" t="s">
        <v>410</v>
      </c>
      <c r="G1182" s="89" t="s">
        <v>1075</v>
      </c>
      <c r="H1182" s="5">
        <v>6</v>
      </c>
      <c r="I1182" s="5" t="str">
        <f>VLOOKUP(F1182,'Set up'!$A$2:$C$48,3,FALSE)</f>
        <v>Cash</v>
      </c>
      <c r="J1182" s="5">
        <f>VLOOKUP(F1182,'Set up'!$A$2:$D$48,4,FALSE)</f>
        <v>0</v>
      </c>
      <c r="K1182" s="4">
        <f t="shared" si="336"/>
        <v>44887</v>
      </c>
      <c r="L1182" s="5">
        <f t="shared" si="321"/>
        <v>11</v>
      </c>
      <c r="M1182" s="5">
        <f t="shared" si="322"/>
        <v>2022</v>
      </c>
      <c r="N1182" s="6">
        <v>453.59999999999997</v>
      </c>
      <c r="O1182" s="6">
        <f t="shared" si="338"/>
        <v>-453.59999999999997</v>
      </c>
      <c r="P1182" s="6">
        <f t="shared" si="328"/>
        <v>0</v>
      </c>
      <c r="Q1182" s="7">
        <f t="shared" si="329"/>
        <v>2143909.9500000011</v>
      </c>
      <c r="R1182" s="44" t="str">
        <f>VLOOKUP(F1182,'Set up'!$A$2:$E$48,5,FALSE)</f>
        <v>Trsf</v>
      </c>
      <c r="S1182" s="1" t="s">
        <v>1513</v>
      </c>
    </row>
    <row r="1183" spans="1:19" hidden="1" x14ac:dyDescent="0.3">
      <c r="A1183" s="4">
        <v>44894</v>
      </c>
      <c r="B1183" s="5">
        <f t="shared" ref="B1183:B1193" si="339">MONTH(A1183)</f>
        <v>11</v>
      </c>
      <c r="C1183" s="5">
        <f t="shared" ref="C1183:C1193" si="340">YEAR(A1183)</f>
        <v>2022</v>
      </c>
      <c r="D1183" s="5" t="s">
        <v>1092</v>
      </c>
      <c r="E1183" s="5" t="str">
        <f>VLOOKUP(F1183,'Set up'!$A$2:$C$48,2,FALSE)</f>
        <v>C00000003</v>
      </c>
      <c r="F1183" s="1" t="s">
        <v>20</v>
      </c>
      <c r="G1183" s="89" t="s">
        <v>67</v>
      </c>
      <c r="H1183" s="5">
        <v>3</v>
      </c>
      <c r="I1183" s="5">
        <f>VLOOKUP(F1183,'Set up'!$A$2:$C$48,3,FALSE)</f>
        <v>45</v>
      </c>
      <c r="J1183" s="5">
        <f>VLOOKUP(F1183,'Set up'!$A$2:$D$48,4,FALSE)</f>
        <v>45</v>
      </c>
      <c r="K1183" s="4">
        <f t="shared" si="336"/>
        <v>44939</v>
      </c>
      <c r="L1183" s="5">
        <f t="shared" ref="L1183:L1196" si="341">MONTH(K1183)</f>
        <v>1</v>
      </c>
      <c r="M1183" s="5">
        <f t="shared" ref="M1183:M1196" si="342">YEAR(K1183)</f>
        <v>2023</v>
      </c>
      <c r="N1183" s="6">
        <v>5808</v>
      </c>
      <c r="O1183" s="6">
        <f>-N1183</f>
        <v>-5808</v>
      </c>
      <c r="P1183" s="6">
        <f t="shared" si="328"/>
        <v>0</v>
      </c>
      <c r="Q1183" s="7">
        <f t="shared" si="329"/>
        <v>2149717.9500000011</v>
      </c>
      <c r="R1183" s="44" t="str">
        <f>VLOOKUP(F1183,'Set up'!$A$2:$E$48,5,FALSE)</f>
        <v>PD Chq</v>
      </c>
      <c r="S1183" s="1" t="s">
        <v>1224</v>
      </c>
    </row>
    <row r="1184" spans="1:19" hidden="1" x14ac:dyDescent="0.3">
      <c r="A1184" s="4">
        <v>44894</v>
      </c>
      <c r="B1184" s="5">
        <f t="shared" si="339"/>
        <v>11</v>
      </c>
      <c r="C1184" s="5">
        <f t="shared" si="340"/>
        <v>2022</v>
      </c>
      <c r="D1184" s="5" t="s">
        <v>1092</v>
      </c>
      <c r="E1184" s="5" t="str">
        <f>VLOOKUP(F1184,'Set up'!$A$2:$C$48,2,FALSE)</f>
        <v>C00000003</v>
      </c>
      <c r="F1184" s="1" t="s">
        <v>20</v>
      </c>
      <c r="G1184" s="89" t="s">
        <v>955</v>
      </c>
      <c r="H1184" s="5">
        <v>1</v>
      </c>
      <c r="I1184" s="5">
        <f>VLOOKUP(F1184,'Set up'!$A$2:$C$48,3,FALSE)</f>
        <v>45</v>
      </c>
      <c r="J1184" s="5">
        <f>VLOOKUP(F1184,'Set up'!$A$2:$D$48,4,FALSE)</f>
        <v>45</v>
      </c>
      <c r="K1184" s="4">
        <f t="shared" si="336"/>
        <v>44939</v>
      </c>
      <c r="L1184" s="5">
        <f t="shared" si="341"/>
        <v>1</v>
      </c>
      <c r="M1184" s="5">
        <f t="shared" si="342"/>
        <v>2023</v>
      </c>
      <c r="N1184" s="6">
        <v>306</v>
      </c>
      <c r="O1184" s="6">
        <f>-192-114</f>
        <v>-306</v>
      </c>
      <c r="P1184" s="6">
        <f t="shared" si="328"/>
        <v>0</v>
      </c>
      <c r="Q1184" s="7">
        <f t="shared" si="329"/>
        <v>2150023.9500000011</v>
      </c>
      <c r="R1184" s="44" t="str">
        <f>VLOOKUP(F1184,'Set up'!$A$2:$E$48,5,FALSE)</f>
        <v>PD Chq</v>
      </c>
      <c r="S1184" s="1" t="s">
        <v>1291</v>
      </c>
    </row>
    <row r="1185" spans="1:19" hidden="1" x14ac:dyDescent="0.3">
      <c r="A1185" s="4">
        <v>44894</v>
      </c>
      <c r="B1185" s="5">
        <f t="shared" si="339"/>
        <v>11</v>
      </c>
      <c r="C1185" s="5">
        <f t="shared" si="340"/>
        <v>2022</v>
      </c>
      <c r="D1185" s="5" t="s">
        <v>1092</v>
      </c>
      <c r="E1185" s="5" t="str">
        <f>VLOOKUP(F1185,'Set up'!$A$2:$C$48,2,FALSE)</f>
        <v>C00000003</v>
      </c>
      <c r="F1185" s="1" t="s">
        <v>20</v>
      </c>
      <c r="G1185" s="89" t="s">
        <v>64</v>
      </c>
      <c r="H1185" s="5">
        <v>5</v>
      </c>
      <c r="I1185" s="5">
        <f>VLOOKUP(F1185,'Set up'!$A$2:$C$48,3,FALSE)</f>
        <v>45</v>
      </c>
      <c r="J1185" s="5">
        <f>VLOOKUP(F1185,'Set up'!$A$2:$D$48,4,FALSE)</f>
        <v>45</v>
      </c>
      <c r="K1185" s="4">
        <f t="shared" si="336"/>
        <v>44939</v>
      </c>
      <c r="L1185" s="5">
        <f t="shared" si="341"/>
        <v>1</v>
      </c>
      <c r="M1185" s="5">
        <f t="shared" si="342"/>
        <v>2023</v>
      </c>
      <c r="N1185" s="6">
        <v>325</v>
      </c>
      <c r="O1185" s="6">
        <f>-N1185</f>
        <v>-325</v>
      </c>
      <c r="P1185" s="6">
        <f t="shared" si="328"/>
        <v>0</v>
      </c>
      <c r="Q1185" s="7">
        <f t="shared" si="329"/>
        <v>2150348.9500000011</v>
      </c>
      <c r="R1185" s="44" t="str">
        <f>VLOOKUP(F1185,'Set up'!$A$2:$E$48,5,FALSE)</f>
        <v>PD Chq</v>
      </c>
      <c r="S1185" s="1" t="s">
        <v>1292</v>
      </c>
    </row>
    <row r="1186" spans="1:19" hidden="1" x14ac:dyDescent="0.3">
      <c r="A1186" s="4">
        <v>44894</v>
      </c>
      <c r="B1186" s="5">
        <f t="shared" si="339"/>
        <v>11</v>
      </c>
      <c r="C1186" s="5">
        <f t="shared" si="340"/>
        <v>2022</v>
      </c>
      <c r="D1186" s="5" t="s">
        <v>1092</v>
      </c>
      <c r="E1186" s="5" t="str">
        <f>VLOOKUP(F1186,'Set up'!$A$2:$C$48,2,FALSE)</f>
        <v>C00000003</v>
      </c>
      <c r="F1186" s="1" t="s">
        <v>20</v>
      </c>
      <c r="G1186" s="89" t="s">
        <v>17</v>
      </c>
      <c r="H1186" s="5">
        <v>6</v>
      </c>
      <c r="I1186" s="5">
        <f>VLOOKUP(F1186,'Set up'!$A$2:$C$48,3,FALSE)</f>
        <v>45</v>
      </c>
      <c r="J1186" s="5">
        <f>VLOOKUP(F1186,'Set up'!$A$2:$D$48,4,FALSE)</f>
        <v>45</v>
      </c>
      <c r="K1186" s="4">
        <f t="shared" si="336"/>
        <v>44939</v>
      </c>
      <c r="L1186" s="5">
        <f t="shared" si="341"/>
        <v>1</v>
      </c>
      <c r="M1186" s="5">
        <f t="shared" si="342"/>
        <v>2023</v>
      </c>
      <c r="N1186" s="6">
        <v>630</v>
      </c>
      <c r="O1186" s="6">
        <f>-N1186</f>
        <v>-630</v>
      </c>
      <c r="P1186" s="6">
        <f t="shared" si="328"/>
        <v>0</v>
      </c>
      <c r="Q1186" s="7">
        <f t="shared" si="329"/>
        <v>2150978.9500000011</v>
      </c>
      <c r="R1186" s="44" t="str">
        <f>VLOOKUP(F1186,'Set up'!$A$2:$E$48,5,FALSE)</f>
        <v>PD Chq</v>
      </c>
      <c r="S1186" s="1" t="s">
        <v>1293</v>
      </c>
    </row>
    <row r="1187" spans="1:19" hidden="1" x14ac:dyDescent="0.3">
      <c r="A1187" s="4">
        <v>44894</v>
      </c>
      <c r="B1187" s="5">
        <f t="shared" si="339"/>
        <v>11</v>
      </c>
      <c r="C1187" s="5">
        <f t="shared" si="340"/>
        <v>2022</v>
      </c>
      <c r="D1187" s="5" t="s">
        <v>1092</v>
      </c>
      <c r="E1187" s="5" t="str">
        <f>VLOOKUP(F1187,'Set up'!$A$2:$C$48,2,FALSE)</f>
        <v>C00000003</v>
      </c>
      <c r="F1187" s="1" t="s">
        <v>20</v>
      </c>
      <c r="G1187" s="89" t="s">
        <v>950</v>
      </c>
      <c r="H1187" s="5">
        <v>3</v>
      </c>
      <c r="I1187" s="5">
        <f>VLOOKUP(F1187,'Set up'!$A$2:$C$48,3,FALSE)</f>
        <v>45</v>
      </c>
      <c r="J1187" s="5">
        <f>VLOOKUP(F1187,'Set up'!$A$2:$D$48,4,FALSE)</f>
        <v>45</v>
      </c>
      <c r="K1187" s="4">
        <f t="shared" si="336"/>
        <v>44939</v>
      </c>
      <c r="L1187" s="5">
        <f t="shared" si="341"/>
        <v>1</v>
      </c>
      <c r="M1187" s="5">
        <f t="shared" si="342"/>
        <v>2023</v>
      </c>
      <c r="N1187" s="6">
        <v>150</v>
      </c>
      <c r="O1187" s="6">
        <f>-N1187</f>
        <v>-150</v>
      </c>
      <c r="P1187" s="6">
        <f t="shared" si="328"/>
        <v>0</v>
      </c>
      <c r="Q1187" s="7">
        <f t="shared" si="329"/>
        <v>2151128.9500000011</v>
      </c>
      <c r="R1187" s="44" t="str">
        <f>VLOOKUP(F1187,'Set up'!$A$2:$E$48,5,FALSE)</f>
        <v>PD Chq</v>
      </c>
      <c r="S1187" s="1" t="s">
        <v>1294</v>
      </c>
    </row>
    <row r="1188" spans="1:19" hidden="1" x14ac:dyDescent="0.3">
      <c r="A1188" s="4">
        <v>44894</v>
      </c>
      <c r="B1188" s="5">
        <f t="shared" si="339"/>
        <v>11</v>
      </c>
      <c r="C1188" s="5">
        <f t="shared" si="340"/>
        <v>2022</v>
      </c>
      <c r="D1188" s="5" t="s">
        <v>1093</v>
      </c>
      <c r="E1188" s="5" t="str">
        <f>VLOOKUP(F1188,'Set up'!$A$2:$C$48,2,FALSE)</f>
        <v>C00000010</v>
      </c>
      <c r="F1188" s="1" t="s">
        <v>62</v>
      </c>
      <c r="G1188" s="89" t="s">
        <v>304</v>
      </c>
      <c r="H1188" s="5">
        <v>5</v>
      </c>
      <c r="I1188" s="5">
        <f>VLOOKUP(F1188,'Set up'!$A$2:$C$48,3,FALSE)</f>
        <v>120</v>
      </c>
      <c r="J1188" s="5">
        <f>VLOOKUP(F1188,'Set up'!$A$2:$D$48,4,FALSE)</f>
        <v>120</v>
      </c>
      <c r="K1188" s="4">
        <f t="shared" si="336"/>
        <v>45014</v>
      </c>
      <c r="L1188" s="5">
        <f t="shared" si="341"/>
        <v>3</v>
      </c>
      <c r="M1188" s="5">
        <f t="shared" si="342"/>
        <v>2023</v>
      </c>
      <c r="N1188" s="6">
        <v>9020</v>
      </c>
      <c r="O1188" s="6">
        <f t="shared" ref="O1188:O1193" si="343">-N1188</f>
        <v>-9020</v>
      </c>
      <c r="P1188" s="6">
        <f t="shared" si="328"/>
        <v>0</v>
      </c>
      <c r="Q1188" s="7">
        <f t="shared" si="329"/>
        <v>2160148.9500000011</v>
      </c>
      <c r="R1188" s="44" t="str">
        <f>VLOOKUP(F1188,'Set up'!$A$2:$E$48,5,FALSE)</f>
        <v>Trsf</v>
      </c>
      <c r="S1188" s="1" t="s">
        <v>1299</v>
      </c>
    </row>
    <row r="1189" spans="1:19" hidden="1" x14ac:dyDescent="0.3">
      <c r="A1189" s="4">
        <v>44894</v>
      </c>
      <c r="B1189" s="5">
        <f t="shared" si="339"/>
        <v>11</v>
      </c>
      <c r="C1189" s="5">
        <f t="shared" si="340"/>
        <v>2022</v>
      </c>
      <c r="D1189" s="5" t="s">
        <v>1093</v>
      </c>
      <c r="E1189" s="5" t="str">
        <f>VLOOKUP(F1189,'Set up'!$A$2:$C$48,2,FALSE)</f>
        <v>C00000010</v>
      </c>
      <c r="F1189" s="1" t="s">
        <v>62</v>
      </c>
      <c r="G1189" s="90" t="s">
        <v>914</v>
      </c>
      <c r="H1189" s="5">
        <v>5</v>
      </c>
      <c r="I1189" s="5">
        <f>VLOOKUP(F1189,'Set up'!$A$2:$C$48,3,FALSE)</f>
        <v>120</v>
      </c>
      <c r="J1189" s="5">
        <f>VLOOKUP(F1189,'Set up'!$A$2:$D$48,4,FALSE)</f>
        <v>120</v>
      </c>
      <c r="K1189" s="4">
        <f t="shared" si="336"/>
        <v>45014</v>
      </c>
      <c r="L1189" s="5">
        <f t="shared" si="341"/>
        <v>3</v>
      </c>
      <c r="M1189" s="5">
        <f t="shared" si="342"/>
        <v>2023</v>
      </c>
      <c r="N1189" s="6">
        <v>1245</v>
      </c>
      <c r="O1189" s="6">
        <f t="shared" si="343"/>
        <v>-1245</v>
      </c>
      <c r="P1189" s="6">
        <f t="shared" si="328"/>
        <v>0</v>
      </c>
      <c r="Q1189" s="7">
        <f t="shared" si="329"/>
        <v>2161393.9500000011</v>
      </c>
      <c r="R1189" s="44" t="str">
        <f>VLOOKUP(F1189,'Set up'!$A$2:$E$48,5,FALSE)</f>
        <v>Trsf</v>
      </c>
      <c r="S1189" s="1" t="s">
        <v>1299</v>
      </c>
    </row>
    <row r="1190" spans="1:19" hidden="1" x14ac:dyDescent="0.3">
      <c r="A1190" s="4">
        <v>44894</v>
      </c>
      <c r="B1190" s="5">
        <f t="shared" si="339"/>
        <v>11</v>
      </c>
      <c r="C1190" s="5">
        <f t="shared" si="340"/>
        <v>2022</v>
      </c>
      <c r="D1190" s="5" t="s">
        <v>1093</v>
      </c>
      <c r="E1190" s="5" t="str">
        <f>VLOOKUP(F1190,'Set up'!$A$2:$C$48,2,FALSE)</f>
        <v>C00000010</v>
      </c>
      <c r="F1190" s="1" t="s">
        <v>62</v>
      </c>
      <c r="G1190" s="90" t="s">
        <v>792</v>
      </c>
      <c r="H1190" s="5">
        <v>5</v>
      </c>
      <c r="I1190" s="5">
        <f>VLOOKUP(F1190,'Set up'!$A$2:$C$48,3,FALSE)</f>
        <v>120</v>
      </c>
      <c r="J1190" s="5">
        <f>VLOOKUP(F1190,'Set up'!$A$2:$D$48,4,FALSE)</f>
        <v>120</v>
      </c>
      <c r="K1190" s="4">
        <f t="shared" si="336"/>
        <v>45014</v>
      </c>
      <c r="L1190" s="5">
        <f t="shared" si="341"/>
        <v>3</v>
      </c>
      <c r="M1190" s="5">
        <f t="shared" si="342"/>
        <v>2023</v>
      </c>
      <c r="N1190" s="6">
        <v>287.5</v>
      </c>
      <c r="O1190" s="6">
        <f t="shared" si="343"/>
        <v>-287.5</v>
      </c>
      <c r="P1190" s="6">
        <f t="shared" si="328"/>
        <v>0</v>
      </c>
      <c r="Q1190" s="7">
        <f t="shared" si="329"/>
        <v>2161681.4500000011</v>
      </c>
      <c r="R1190" s="44" t="str">
        <f>VLOOKUP(F1190,'Set up'!$A$2:$E$48,5,FALSE)</f>
        <v>Trsf</v>
      </c>
      <c r="S1190" s="1" t="s">
        <v>1299</v>
      </c>
    </row>
    <row r="1191" spans="1:19" hidden="1" x14ac:dyDescent="0.3">
      <c r="A1191" s="4">
        <v>44894</v>
      </c>
      <c r="B1191" s="5">
        <f t="shared" si="339"/>
        <v>11</v>
      </c>
      <c r="C1191" s="5">
        <f t="shared" si="340"/>
        <v>2022</v>
      </c>
      <c r="D1191" s="5" t="s">
        <v>1093</v>
      </c>
      <c r="E1191" s="5" t="str">
        <f>VLOOKUP(F1191,'Set up'!$A$2:$C$48,2,FALSE)</f>
        <v>C00000010</v>
      </c>
      <c r="F1191" s="1" t="s">
        <v>62</v>
      </c>
      <c r="G1191" s="11" t="s">
        <v>46</v>
      </c>
      <c r="H1191" s="5">
        <v>4</v>
      </c>
      <c r="I1191" s="5">
        <f>VLOOKUP(F1191,'Set up'!$A$2:$C$48,3,FALSE)</f>
        <v>120</v>
      </c>
      <c r="J1191" s="5">
        <f>VLOOKUP(F1191,'Set up'!$A$2:$D$48,4,FALSE)</f>
        <v>120</v>
      </c>
      <c r="K1191" s="4">
        <f t="shared" si="336"/>
        <v>45014</v>
      </c>
      <c r="L1191" s="5">
        <f t="shared" si="341"/>
        <v>3</v>
      </c>
      <c r="M1191" s="5">
        <f t="shared" si="342"/>
        <v>2023</v>
      </c>
      <c r="N1191" s="6">
        <v>420</v>
      </c>
      <c r="O1191" s="6">
        <f t="shared" si="343"/>
        <v>-420</v>
      </c>
      <c r="P1191" s="6">
        <f t="shared" si="328"/>
        <v>0</v>
      </c>
      <c r="Q1191" s="7">
        <f t="shared" si="329"/>
        <v>2162101.4500000011</v>
      </c>
      <c r="R1191" s="44" t="str">
        <f>VLOOKUP(F1191,'Set up'!$A$2:$E$48,5,FALSE)</f>
        <v>Trsf</v>
      </c>
      <c r="S1191" s="1" t="s">
        <v>1299</v>
      </c>
    </row>
    <row r="1192" spans="1:19" hidden="1" x14ac:dyDescent="0.3">
      <c r="A1192" s="4">
        <v>44894</v>
      </c>
      <c r="B1192" s="5">
        <f t="shared" si="339"/>
        <v>11</v>
      </c>
      <c r="C1192" s="5">
        <f t="shared" si="340"/>
        <v>2022</v>
      </c>
      <c r="D1192" s="5" t="s">
        <v>1093</v>
      </c>
      <c r="E1192" s="5" t="str">
        <f>VLOOKUP(F1192,'Set up'!$A$2:$C$48,2,FALSE)</f>
        <v>C00000010</v>
      </c>
      <c r="F1192" s="1" t="s">
        <v>62</v>
      </c>
      <c r="G1192" s="90" t="s">
        <v>1094</v>
      </c>
      <c r="H1192" s="5">
        <v>4</v>
      </c>
      <c r="I1192" s="5">
        <f>VLOOKUP(F1192,'Set up'!$A$2:$C$48,3,FALSE)</f>
        <v>120</v>
      </c>
      <c r="J1192" s="5">
        <f>VLOOKUP(F1192,'Set up'!$A$2:$D$48,4,FALSE)</f>
        <v>120</v>
      </c>
      <c r="K1192" s="4">
        <f t="shared" si="336"/>
        <v>45014</v>
      </c>
      <c r="L1192" s="5">
        <f t="shared" si="341"/>
        <v>3</v>
      </c>
      <c r="M1192" s="5">
        <f t="shared" si="342"/>
        <v>2023</v>
      </c>
      <c r="N1192" s="6">
        <v>200</v>
      </c>
      <c r="O1192" s="6">
        <f t="shared" si="343"/>
        <v>-200</v>
      </c>
      <c r="P1192" s="6">
        <f t="shared" si="328"/>
        <v>0</v>
      </c>
      <c r="Q1192" s="7">
        <f t="shared" si="329"/>
        <v>2162301.4500000011</v>
      </c>
      <c r="R1192" s="44" t="str">
        <f>VLOOKUP(F1192,'Set up'!$A$2:$E$48,5,FALSE)</f>
        <v>Trsf</v>
      </c>
      <c r="S1192" s="1" t="s">
        <v>1299</v>
      </c>
    </row>
    <row r="1193" spans="1:19" hidden="1" x14ac:dyDescent="0.3">
      <c r="A1193" s="4">
        <v>44894</v>
      </c>
      <c r="B1193" s="5">
        <f t="shared" si="339"/>
        <v>11</v>
      </c>
      <c r="C1193" s="5">
        <f t="shared" si="340"/>
        <v>2022</v>
      </c>
      <c r="D1193" s="5" t="s">
        <v>1093</v>
      </c>
      <c r="E1193" s="5" t="str">
        <f>VLOOKUP(F1193,'Set up'!$A$2:$C$48,2,FALSE)</f>
        <v>C00000010</v>
      </c>
      <c r="F1193" s="1" t="s">
        <v>62</v>
      </c>
      <c r="G1193" s="90" t="s">
        <v>866</v>
      </c>
      <c r="H1193" s="5">
        <v>1</v>
      </c>
      <c r="I1193" s="5">
        <f>VLOOKUP(F1193,'Set up'!$A$2:$C$48,3,FALSE)</f>
        <v>120</v>
      </c>
      <c r="J1193" s="5">
        <f>VLOOKUP(F1193,'Set up'!$A$2:$D$48,4,FALSE)</f>
        <v>120</v>
      </c>
      <c r="K1193" s="4">
        <f t="shared" si="336"/>
        <v>45014</v>
      </c>
      <c r="L1193" s="5">
        <f t="shared" si="341"/>
        <v>3</v>
      </c>
      <c r="M1193" s="5">
        <f t="shared" si="342"/>
        <v>2023</v>
      </c>
      <c r="N1193" s="6">
        <v>238</v>
      </c>
      <c r="O1193" s="6">
        <f t="shared" si="343"/>
        <v>-238</v>
      </c>
      <c r="P1193" s="6">
        <f t="shared" si="328"/>
        <v>0</v>
      </c>
      <c r="Q1193" s="7">
        <f t="shared" si="329"/>
        <v>2162539.4500000011</v>
      </c>
      <c r="R1193" s="44" t="str">
        <f>VLOOKUP(F1193,'Set up'!$A$2:$E$48,5,FALSE)</f>
        <v>Trsf</v>
      </c>
      <c r="S1193" s="1" t="s">
        <v>1299</v>
      </c>
    </row>
    <row r="1194" spans="1:19" hidden="1" x14ac:dyDescent="0.3">
      <c r="A1194" s="4">
        <v>44895</v>
      </c>
      <c r="B1194" s="5">
        <f t="shared" ref="B1194:B1197" si="344">MONTH(A1194)</f>
        <v>11</v>
      </c>
      <c r="C1194" s="5">
        <f t="shared" ref="C1194:C1197" si="345">YEAR(A1194)</f>
        <v>2022</v>
      </c>
      <c r="D1194" s="5" t="s">
        <v>1097</v>
      </c>
      <c r="E1194" s="5" t="str">
        <f>VLOOKUP(F1194,'Set up'!$A$2:$C$48,2,FALSE)</f>
        <v>C00000032</v>
      </c>
      <c r="F1194" s="1" t="s">
        <v>1102</v>
      </c>
      <c r="G1194" s="89" t="s">
        <v>1055</v>
      </c>
      <c r="H1194" s="5">
        <v>1</v>
      </c>
      <c r="I1194" s="5" t="str">
        <f>VLOOKUP(F1194,'Set up'!$A$2:$C$48,3,FALSE)</f>
        <v>Cash</v>
      </c>
      <c r="J1194" s="5">
        <f>VLOOKUP(F1194,'Set up'!$A$2:$D$48,4,FALSE)</f>
        <v>0</v>
      </c>
      <c r="K1194" s="4">
        <f t="shared" si="336"/>
        <v>44895</v>
      </c>
      <c r="L1194" s="5">
        <f t="shared" si="341"/>
        <v>11</v>
      </c>
      <c r="M1194" s="5">
        <f t="shared" si="342"/>
        <v>2022</v>
      </c>
      <c r="N1194" s="6">
        <v>260</v>
      </c>
      <c r="O1194" s="6">
        <f>-N1194</f>
        <v>-260</v>
      </c>
      <c r="P1194" s="6">
        <f t="shared" si="328"/>
        <v>0</v>
      </c>
      <c r="Q1194" s="7">
        <f t="shared" si="329"/>
        <v>2162799.4500000011</v>
      </c>
      <c r="R1194" s="44" t="str">
        <f>VLOOKUP(F1194,'Set up'!$A$2:$E$48,5,FALSE)</f>
        <v>Trsf</v>
      </c>
      <c r="S1194" s="1" t="s">
        <v>1103</v>
      </c>
    </row>
    <row r="1195" spans="1:19" hidden="1" x14ac:dyDescent="0.3">
      <c r="A1195" s="4">
        <v>44895</v>
      </c>
      <c r="B1195" s="5">
        <f t="shared" si="344"/>
        <v>11</v>
      </c>
      <c r="C1195" s="5">
        <f t="shared" si="345"/>
        <v>2022</v>
      </c>
      <c r="D1195" s="5" t="s">
        <v>1098</v>
      </c>
      <c r="E1195" s="5" t="str">
        <f>VLOOKUP(F1195,'Set up'!$A$2:$C$48,2,FALSE)</f>
        <v>C00000033</v>
      </c>
      <c r="F1195" s="1" t="s">
        <v>1101</v>
      </c>
      <c r="G1195" s="89" t="s">
        <v>1055</v>
      </c>
      <c r="H1195" s="5">
        <v>1</v>
      </c>
      <c r="I1195" s="5" t="str">
        <f>VLOOKUP(F1195,'Set up'!$A$2:$C$48,3,FALSE)</f>
        <v>Cash</v>
      </c>
      <c r="J1195" s="5">
        <f>VLOOKUP(F1195,'Set up'!$A$2:$D$48,4,FALSE)</f>
        <v>0</v>
      </c>
      <c r="K1195" s="4">
        <f t="shared" si="336"/>
        <v>44895</v>
      </c>
      <c r="L1195" s="5">
        <f t="shared" si="341"/>
        <v>11</v>
      </c>
      <c r="M1195" s="5">
        <f t="shared" si="342"/>
        <v>2022</v>
      </c>
      <c r="N1195" s="6">
        <v>260</v>
      </c>
      <c r="O1195" s="6">
        <f>-N1195</f>
        <v>-260</v>
      </c>
      <c r="P1195" s="6">
        <f t="shared" si="328"/>
        <v>0</v>
      </c>
      <c r="Q1195" s="7">
        <f t="shared" si="329"/>
        <v>2163059.4500000011</v>
      </c>
      <c r="R1195" s="44" t="str">
        <f>VLOOKUP(F1195,'Set up'!$A$2:$E$48,5,FALSE)</f>
        <v>Trsf</v>
      </c>
      <c r="S1195" s="1" t="s">
        <v>1104</v>
      </c>
    </row>
    <row r="1196" spans="1:19" hidden="1" x14ac:dyDescent="0.3">
      <c r="A1196" s="4">
        <v>44895</v>
      </c>
      <c r="B1196" s="5">
        <f t="shared" si="344"/>
        <v>11</v>
      </c>
      <c r="C1196" s="5">
        <f t="shared" si="345"/>
        <v>2022</v>
      </c>
      <c r="D1196" s="5" t="s">
        <v>1098</v>
      </c>
      <c r="E1196" s="5" t="str">
        <f>VLOOKUP(F1196,'Set up'!$A$2:$C$48,2,FALSE)</f>
        <v>C00000033</v>
      </c>
      <c r="F1196" s="1" t="s">
        <v>1101</v>
      </c>
      <c r="G1196" s="89" t="s">
        <v>46</v>
      </c>
      <c r="H1196" s="5">
        <v>1</v>
      </c>
      <c r="I1196" s="5" t="str">
        <f>VLOOKUP(F1196,'Set up'!$A$2:$C$48,3,FALSE)</f>
        <v>Cash</v>
      </c>
      <c r="J1196" s="5">
        <f>VLOOKUP(F1196,'Set up'!$A$2:$D$48,4,FALSE)</f>
        <v>0</v>
      </c>
      <c r="K1196" s="4">
        <f t="shared" si="336"/>
        <v>44895</v>
      </c>
      <c r="L1196" s="5">
        <f t="shared" si="341"/>
        <v>11</v>
      </c>
      <c r="M1196" s="5">
        <f t="shared" si="342"/>
        <v>2022</v>
      </c>
      <c r="N1196" s="6">
        <v>115</v>
      </c>
      <c r="O1196" s="6">
        <f>-N1196</f>
        <v>-115</v>
      </c>
      <c r="P1196" s="6">
        <f t="shared" si="328"/>
        <v>0</v>
      </c>
      <c r="Q1196" s="7">
        <f t="shared" si="329"/>
        <v>2163174.4500000011</v>
      </c>
      <c r="R1196" s="44" t="str">
        <f>VLOOKUP(F1196,'Set up'!$A$2:$E$48,5,FALSE)</f>
        <v>Trsf</v>
      </c>
      <c r="S1196" s="1" t="s">
        <v>1104</v>
      </c>
    </row>
    <row r="1197" spans="1:19" hidden="1" x14ac:dyDescent="0.3">
      <c r="A1197" s="4">
        <v>44896</v>
      </c>
      <c r="B1197" s="5">
        <f t="shared" si="344"/>
        <v>12</v>
      </c>
      <c r="C1197" s="5">
        <f t="shared" si="345"/>
        <v>2022</v>
      </c>
      <c r="D1197" s="5" t="s">
        <v>1107</v>
      </c>
      <c r="E1197" s="5" t="str">
        <f>VLOOKUP(F1197,'Set up'!$A$2:$C$48,2,FALSE)</f>
        <v>C00000031</v>
      </c>
      <c r="F1197" s="1" t="s">
        <v>1052</v>
      </c>
      <c r="G1197" s="89" t="s">
        <v>950</v>
      </c>
      <c r="H1197" s="5">
        <v>1</v>
      </c>
      <c r="I1197" s="5" t="str">
        <f>VLOOKUP(F1197,'Set up'!$A$2:$C$48,3,FALSE)</f>
        <v>Cash</v>
      </c>
      <c r="J1197" s="5">
        <f>VLOOKUP(F1197,'Set up'!$A$2:$D$48,4,FALSE)</f>
        <v>0</v>
      </c>
      <c r="K1197" s="4">
        <f t="shared" si="336"/>
        <v>44896</v>
      </c>
      <c r="L1197" s="5">
        <f t="shared" ref="L1197" si="346">MONTH(K1197)</f>
        <v>12</v>
      </c>
      <c r="M1197" s="5">
        <f t="shared" ref="M1197" si="347">YEAR(K1197)</f>
        <v>2022</v>
      </c>
      <c r="N1197" s="6">
        <v>60</v>
      </c>
      <c r="O1197" s="6">
        <f>-N1197</f>
        <v>-60</v>
      </c>
      <c r="P1197" s="6">
        <f t="shared" si="328"/>
        <v>0</v>
      </c>
      <c r="Q1197" s="7">
        <f t="shared" si="329"/>
        <v>2163234.4500000011</v>
      </c>
      <c r="R1197" s="44" t="str">
        <f>VLOOKUP(F1197,'Set up'!$A$2:$E$48,5,FALSE)</f>
        <v>Trsf</v>
      </c>
    </row>
    <row r="1198" spans="1:19" hidden="1" x14ac:dyDescent="0.3">
      <c r="A1198" s="4">
        <v>44896</v>
      </c>
      <c r="B1198" s="5">
        <f t="shared" ref="B1198:B1210" si="348">MONTH(A1198)</f>
        <v>12</v>
      </c>
      <c r="C1198" s="5">
        <f t="shared" ref="C1198:C1210" si="349">YEAR(A1198)</f>
        <v>2022</v>
      </c>
      <c r="D1198" s="5" t="s">
        <v>1109</v>
      </c>
      <c r="E1198" s="5" t="str">
        <f>VLOOKUP(F1198,'Set up'!$A$2:$C$48,2,FALSE)</f>
        <v>C00000022</v>
      </c>
      <c r="F1198" s="1" t="s">
        <v>638</v>
      </c>
      <c r="G1198" s="89" t="s">
        <v>1108</v>
      </c>
      <c r="H1198" s="5">
        <v>3</v>
      </c>
      <c r="I1198" s="5" t="str">
        <f>VLOOKUP(F1198,'Set up'!$A$2:$C$48,3,FALSE)</f>
        <v>Cash</v>
      </c>
      <c r="J1198" s="5">
        <f>VLOOKUP(F1198,'Set up'!$A$2:$D$48,4,FALSE)</f>
        <v>0</v>
      </c>
      <c r="K1198" s="4">
        <f t="shared" si="336"/>
        <v>44896</v>
      </c>
      <c r="L1198" s="5">
        <f t="shared" ref="L1198:L1202" si="350">MONTH(K1198)</f>
        <v>12</v>
      </c>
      <c r="M1198" s="5">
        <f t="shared" ref="M1198:M1202" si="351">YEAR(K1198)</f>
        <v>2022</v>
      </c>
      <c r="N1198" s="6">
        <v>855</v>
      </c>
      <c r="O1198" s="6">
        <f t="shared" ref="O1198:O1210" si="352">-N1198</f>
        <v>-855</v>
      </c>
      <c r="P1198" s="6">
        <f t="shared" si="328"/>
        <v>0</v>
      </c>
      <c r="Q1198" s="7">
        <f t="shared" si="329"/>
        <v>2164089.4500000011</v>
      </c>
      <c r="R1198" s="44" t="str">
        <f>VLOOKUP(F1198,'Set up'!$A$2:$E$48,5,FALSE)</f>
        <v>Trsf</v>
      </c>
      <c r="S1198" s="1" t="s">
        <v>1215</v>
      </c>
    </row>
    <row r="1199" spans="1:19" x14ac:dyDescent="0.3">
      <c r="A1199" s="4">
        <v>44897</v>
      </c>
      <c r="B1199" s="5">
        <f t="shared" si="348"/>
        <v>12</v>
      </c>
      <c r="C1199" s="5">
        <f t="shared" si="349"/>
        <v>2022</v>
      </c>
      <c r="D1199" s="5" t="s">
        <v>1110</v>
      </c>
      <c r="E1199" s="5" t="str">
        <f>VLOOKUP(F1199,'Set up'!$A$2:$C$48,2,FALSE)</f>
        <v>C00000020</v>
      </c>
      <c r="F1199" s="1" t="s">
        <v>410</v>
      </c>
      <c r="G1199" s="89" t="s">
        <v>95</v>
      </c>
      <c r="H1199" s="5">
        <v>2</v>
      </c>
      <c r="I1199" s="5" t="str">
        <f>VLOOKUP(F1199,'Set up'!$A$2:$C$48,3,FALSE)</f>
        <v>Cash</v>
      </c>
      <c r="J1199" s="5">
        <f>VLOOKUP(F1199,'Set up'!$A$2:$D$48,4,FALSE)</f>
        <v>0</v>
      </c>
      <c r="K1199" s="4">
        <f t="shared" si="336"/>
        <v>44897</v>
      </c>
      <c r="L1199" s="5">
        <f t="shared" si="350"/>
        <v>12</v>
      </c>
      <c r="M1199" s="5">
        <f t="shared" si="351"/>
        <v>2022</v>
      </c>
      <c r="N1199" s="6">
        <v>3608</v>
      </c>
      <c r="O1199" s="6">
        <f t="shared" si="352"/>
        <v>-3608</v>
      </c>
      <c r="P1199" s="6">
        <f t="shared" si="328"/>
        <v>0</v>
      </c>
      <c r="Q1199" s="7">
        <f t="shared" si="329"/>
        <v>2167697.4500000011</v>
      </c>
      <c r="R1199" s="44" t="str">
        <f>VLOOKUP(F1199,'Set up'!$A$2:$E$48,5,FALSE)</f>
        <v>Trsf</v>
      </c>
      <c r="S1199" s="1" t="s">
        <v>1514</v>
      </c>
    </row>
    <row r="1200" spans="1:19" x14ac:dyDescent="0.3">
      <c r="A1200" s="4">
        <v>44897</v>
      </c>
      <c r="B1200" s="5">
        <f t="shared" si="348"/>
        <v>12</v>
      </c>
      <c r="C1200" s="5">
        <f t="shared" si="349"/>
        <v>2022</v>
      </c>
      <c r="D1200" s="5" t="s">
        <v>1110</v>
      </c>
      <c r="E1200" s="5" t="str">
        <f>VLOOKUP(F1200,'Set up'!$A$2:$C$48,2,FALSE)</f>
        <v>C00000020</v>
      </c>
      <c r="F1200" s="1" t="s">
        <v>410</v>
      </c>
      <c r="G1200" s="89" t="s">
        <v>989</v>
      </c>
      <c r="H1200" s="5">
        <v>3</v>
      </c>
      <c r="I1200" s="5" t="str">
        <f>VLOOKUP(F1200,'Set up'!$A$2:$C$48,3,FALSE)</f>
        <v>Cash</v>
      </c>
      <c r="J1200" s="5">
        <f>VLOOKUP(F1200,'Set up'!$A$2:$D$48,4,FALSE)</f>
        <v>0</v>
      </c>
      <c r="K1200" s="4">
        <f t="shared" si="336"/>
        <v>44897</v>
      </c>
      <c r="L1200" s="5">
        <f t="shared" si="350"/>
        <v>12</v>
      </c>
      <c r="M1200" s="5">
        <f t="shared" si="351"/>
        <v>2022</v>
      </c>
      <c r="N1200" s="6">
        <v>756</v>
      </c>
      <c r="O1200" s="6">
        <f t="shared" si="352"/>
        <v>-756</v>
      </c>
      <c r="P1200" s="6">
        <f t="shared" si="328"/>
        <v>0</v>
      </c>
      <c r="Q1200" s="7">
        <f t="shared" si="329"/>
        <v>2168453.4500000011</v>
      </c>
      <c r="R1200" s="44" t="str">
        <f>VLOOKUP(F1200,'Set up'!$A$2:$E$48,5,FALSE)</f>
        <v>Trsf</v>
      </c>
      <c r="S1200" s="1" t="s">
        <v>1511</v>
      </c>
    </row>
    <row r="1201" spans="1:19" x14ac:dyDescent="0.3">
      <c r="A1201" s="4">
        <v>44897</v>
      </c>
      <c r="B1201" s="5">
        <f t="shared" si="348"/>
        <v>12</v>
      </c>
      <c r="C1201" s="5">
        <f t="shared" si="349"/>
        <v>2022</v>
      </c>
      <c r="D1201" s="5" t="s">
        <v>1110</v>
      </c>
      <c r="E1201" s="5" t="str">
        <f>VLOOKUP(F1201,'Set up'!$A$2:$C$48,2,FALSE)</f>
        <v>C00000020</v>
      </c>
      <c r="F1201" s="1" t="s">
        <v>410</v>
      </c>
      <c r="G1201" s="89" t="s">
        <v>1111</v>
      </c>
      <c r="H1201" s="5">
        <v>2</v>
      </c>
      <c r="I1201" s="5" t="str">
        <f>VLOOKUP(F1201,'Set up'!$A$2:$C$48,3,FALSE)</f>
        <v>Cash</v>
      </c>
      <c r="J1201" s="5">
        <f>VLOOKUP(F1201,'Set up'!$A$2:$D$48,4,FALSE)</f>
        <v>0</v>
      </c>
      <c r="K1201" s="4">
        <f t="shared" si="336"/>
        <v>44897</v>
      </c>
      <c r="L1201" s="5">
        <f t="shared" si="350"/>
        <v>12</v>
      </c>
      <c r="M1201" s="5">
        <f t="shared" si="351"/>
        <v>2022</v>
      </c>
      <c r="N1201" s="6">
        <v>125</v>
      </c>
      <c r="O1201" s="6">
        <f t="shared" si="352"/>
        <v>-125</v>
      </c>
      <c r="P1201" s="6">
        <f t="shared" si="328"/>
        <v>0</v>
      </c>
      <c r="Q1201" s="7">
        <f t="shared" si="329"/>
        <v>2168578.4500000011</v>
      </c>
      <c r="R1201" s="44" t="str">
        <f>VLOOKUP(F1201,'Set up'!$A$2:$E$48,5,FALSE)</f>
        <v>Trsf</v>
      </c>
      <c r="S1201" s="1" t="s">
        <v>1515</v>
      </c>
    </row>
    <row r="1202" spans="1:19" x14ac:dyDescent="0.3">
      <c r="A1202" s="4">
        <v>44897</v>
      </c>
      <c r="B1202" s="5">
        <f t="shared" si="348"/>
        <v>12</v>
      </c>
      <c r="C1202" s="5">
        <f t="shared" si="349"/>
        <v>2022</v>
      </c>
      <c r="D1202" s="5" t="s">
        <v>1112</v>
      </c>
      <c r="E1202" s="5" t="str">
        <f>VLOOKUP(F1202,'Set up'!$A$2:$C$48,2,FALSE)</f>
        <v>C00000020</v>
      </c>
      <c r="F1202" s="1" t="s">
        <v>410</v>
      </c>
      <c r="G1202" s="89" t="s">
        <v>95</v>
      </c>
      <c r="H1202" s="5">
        <v>1</v>
      </c>
      <c r="I1202" s="5" t="str">
        <f>VLOOKUP(F1202,'Set up'!$A$2:$C$48,3,FALSE)</f>
        <v>Cash</v>
      </c>
      <c r="J1202" s="5">
        <f>VLOOKUP(F1202,'Set up'!$A$2:$D$48,4,FALSE)</f>
        <v>0</v>
      </c>
      <c r="K1202" s="4">
        <f t="shared" si="336"/>
        <v>44897</v>
      </c>
      <c r="L1202" s="5">
        <f t="shared" si="350"/>
        <v>12</v>
      </c>
      <c r="M1202" s="5">
        <f t="shared" si="351"/>
        <v>2022</v>
      </c>
      <c r="N1202" s="6">
        <v>1804</v>
      </c>
      <c r="O1202" s="6">
        <f>-1492.3-311.7</f>
        <v>-1804</v>
      </c>
      <c r="P1202" s="6">
        <f t="shared" si="328"/>
        <v>0</v>
      </c>
      <c r="Q1202" s="7">
        <f t="shared" si="329"/>
        <v>2170382.4500000011</v>
      </c>
      <c r="R1202" s="44" t="str">
        <f>VLOOKUP(F1202,'Set up'!$A$2:$E$48,5,FALSE)</f>
        <v>Trsf</v>
      </c>
      <c r="S1202" s="1" t="s">
        <v>1516</v>
      </c>
    </row>
    <row r="1203" spans="1:19" x14ac:dyDescent="0.3">
      <c r="A1203" s="4">
        <v>44897</v>
      </c>
      <c r="B1203" s="5">
        <f t="shared" si="348"/>
        <v>12</v>
      </c>
      <c r="C1203" s="5">
        <f t="shared" si="349"/>
        <v>2022</v>
      </c>
      <c r="D1203" s="5" t="s">
        <v>1112</v>
      </c>
      <c r="E1203" s="5" t="str">
        <f>VLOOKUP(F1203,'Set up'!$A$2:$C$48,2,FALSE)</f>
        <v>C00000020</v>
      </c>
      <c r="F1203" s="1" t="s">
        <v>410</v>
      </c>
      <c r="G1203" s="89" t="s">
        <v>989</v>
      </c>
      <c r="H1203" s="5">
        <v>3</v>
      </c>
      <c r="I1203" s="5" t="str">
        <f>VLOOKUP(F1203,'Set up'!$A$2:$C$48,3,FALSE)</f>
        <v>Cash</v>
      </c>
      <c r="J1203" s="5">
        <f>VLOOKUP(F1203,'Set up'!$A$2:$D$48,4,FALSE)</f>
        <v>0</v>
      </c>
      <c r="K1203" s="4">
        <f t="shared" si="336"/>
        <v>44897</v>
      </c>
      <c r="L1203" s="5">
        <f t="shared" ref="L1203:L1206" si="353">MONTH(K1203)</f>
        <v>12</v>
      </c>
      <c r="M1203" s="5">
        <f t="shared" ref="M1203:M1206" si="354">YEAR(K1203)</f>
        <v>2022</v>
      </c>
      <c r="N1203" s="6">
        <v>756</v>
      </c>
      <c r="O1203" s="6">
        <f t="shared" si="352"/>
        <v>-756</v>
      </c>
      <c r="P1203" s="6">
        <f t="shared" si="328"/>
        <v>0</v>
      </c>
      <c r="Q1203" s="7">
        <f t="shared" si="329"/>
        <v>2171138.4500000011</v>
      </c>
      <c r="R1203" s="44" t="str">
        <f>VLOOKUP(F1203,'Set up'!$A$2:$E$48,5,FALSE)</f>
        <v>Trsf</v>
      </c>
      <c r="S1203" s="1" t="s">
        <v>1517</v>
      </c>
    </row>
    <row r="1204" spans="1:19" x14ac:dyDescent="0.3">
      <c r="A1204" s="4">
        <v>44897</v>
      </c>
      <c r="B1204" s="5">
        <f t="shared" si="348"/>
        <v>12</v>
      </c>
      <c r="C1204" s="5">
        <f t="shared" si="349"/>
        <v>2022</v>
      </c>
      <c r="D1204" s="5" t="s">
        <v>1112</v>
      </c>
      <c r="E1204" s="5" t="str">
        <f>VLOOKUP(F1204,'Set up'!$A$2:$C$48,2,FALSE)</f>
        <v>C00000020</v>
      </c>
      <c r="F1204" s="1" t="s">
        <v>410</v>
      </c>
      <c r="G1204" s="89" t="s">
        <v>1113</v>
      </c>
      <c r="H1204" s="5">
        <v>1</v>
      </c>
      <c r="I1204" s="5" t="str">
        <f>VLOOKUP(F1204,'Set up'!$A$2:$C$48,3,FALSE)</f>
        <v>Cash</v>
      </c>
      <c r="J1204" s="5">
        <f>VLOOKUP(F1204,'Set up'!$A$2:$D$48,4,FALSE)</f>
        <v>0</v>
      </c>
      <c r="K1204" s="4">
        <f t="shared" si="336"/>
        <v>44897</v>
      </c>
      <c r="L1204" s="5">
        <f t="shared" si="353"/>
        <v>12</v>
      </c>
      <c r="M1204" s="5">
        <f t="shared" si="354"/>
        <v>2022</v>
      </c>
      <c r="N1204" s="6">
        <v>292.5</v>
      </c>
      <c r="O1204" s="6">
        <f t="shared" si="352"/>
        <v>-292.5</v>
      </c>
      <c r="P1204" s="6">
        <f t="shared" si="328"/>
        <v>0</v>
      </c>
      <c r="Q1204" s="7">
        <f t="shared" si="329"/>
        <v>2171430.9500000011</v>
      </c>
      <c r="R1204" s="44" t="str">
        <f>VLOOKUP(F1204,'Set up'!$A$2:$E$48,5,FALSE)</f>
        <v>Trsf</v>
      </c>
      <c r="S1204" s="1" t="s">
        <v>1518</v>
      </c>
    </row>
    <row r="1205" spans="1:19" x14ac:dyDescent="0.3">
      <c r="A1205" s="4">
        <v>44897</v>
      </c>
      <c r="B1205" s="5">
        <f t="shared" si="348"/>
        <v>12</v>
      </c>
      <c r="C1205" s="5">
        <f t="shared" si="349"/>
        <v>2022</v>
      </c>
      <c r="D1205" s="5" t="s">
        <v>1112</v>
      </c>
      <c r="E1205" s="5" t="str">
        <f>VLOOKUP(F1205,'Set up'!$A$2:$C$48,2,FALSE)</f>
        <v>C00000020</v>
      </c>
      <c r="F1205" s="1" t="s">
        <v>410</v>
      </c>
      <c r="G1205" s="89" t="s">
        <v>1111</v>
      </c>
      <c r="H1205" s="5">
        <v>1</v>
      </c>
      <c r="I1205" s="5" t="str">
        <f>VLOOKUP(F1205,'Set up'!$A$2:$C$48,3,FALSE)</f>
        <v>Cash</v>
      </c>
      <c r="J1205" s="5">
        <f>VLOOKUP(F1205,'Set up'!$A$2:$D$48,4,FALSE)</f>
        <v>0</v>
      </c>
      <c r="K1205" s="4">
        <f t="shared" si="336"/>
        <v>44897</v>
      </c>
      <c r="L1205" s="5">
        <f t="shared" si="353"/>
        <v>12</v>
      </c>
      <c r="M1205" s="5">
        <f t="shared" si="354"/>
        <v>2022</v>
      </c>
      <c r="N1205" s="6">
        <v>62.5</v>
      </c>
      <c r="O1205" s="6">
        <f t="shared" si="352"/>
        <v>-62.5</v>
      </c>
      <c r="P1205" s="6">
        <f t="shared" si="328"/>
        <v>0</v>
      </c>
      <c r="Q1205" s="7">
        <f t="shared" si="329"/>
        <v>2171493.4500000011</v>
      </c>
      <c r="R1205" s="44" t="str">
        <f>VLOOKUP(F1205,'Set up'!$A$2:$E$48,5,FALSE)</f>
        <v>Trsf</v>
      </c>
      <c r="S1205" s="1" t="s">
        <v>1519</v>
      </c>
    </row>
    <row r="1206" spans="1:19" x14ac:dyDescent="0.3">
      <c r="A1206" s="4">
        <v>44897</v>
      </c>
      <c r="B1206" s="5">
        <f t="shared" si="348"/>
        <v>12</v>
      </c>
      <c r="C1206" s="5">
        <f t="shared" si="349"/>
        <v>2022</v>
      </c>
      <c r="D1206" s="5" t="s">
        <v>1112</v>
      </c>
      <c r="E1206" s="5" t="str">
        <f>VLOOKUP(F1206,'Set up'!$A$2:$C$48,2,FALSE)</f>
        <v>C00000020</v>
      </c>
      <c r="F1206" s="1" t="s">
        <v>410</v>
      </c>
      <c r="G1206" s="89" t="s">
        <v>1074</v>
      </c>
      <c r="H1206" s="5">
        <v>1</v>
      </c>
      <c r="I1206" s="5" t="str">
        <f>VLOOKUP(F1206,'Set up'!$A$2:$C$48,3,FALSE)</f>
        <v>Cash</v>
      </c>
      <c r="J1206" s="5">
        <f>VLOOKUP(F1206,'Set up'!$A$2:$D$48,4,FALSE)</f>
        <v>0</v>
      </c>
      <c r="K1206" s="4">
        <f t="shared" si="336"/>
        <v>44897</v>
      </c>
      <c r="L1206" s="5">
        <f t="shared" si="353"/>
        <v>12</v>
      </c>
      <c r="M1206" s="5">
        <f t="shared" si="354"/>
        <v>2022</v>
      </c>
      <c r="N1206" s="6">
        <v>1000</v>
      </c>
      <c r="O1206" s="6">
        <f t="shared" si="352"/>
        <v>-1000</v>
      </c>
      <c r="P1206" s="6">
        <f t="shared" si="328"/>
        <v>0</v>
      </c>
      <c r="Q1206" s="7">
        <f t="shared" si="329"/>
        <v>2172493.4500000011</v>
      </c>
      <c r="R1206" s="44" t="str">
        <f>VLOOKUP(F1206,'Set up'!$A$2:$E$48,5,FALSE)</f>
        <v>Trsf</v>
      </c>
      <c r="S1206" s="1" t="s">
        <v>1520</v>
      </c>
    </row>
    <row r="1207" spans="1:19" hidden="1" x14ac:dyDescent="0.3">
      <c r="A1207" s="4">
        <v>44898</v>
      </c>
      <c r="B1207" s="5">
        <f t="shared" si="348"/>
        <v>12</v>
      </c>
      <c r="C1207" s="5">
        <f t="shared" si="349"/>
        <v>2022</v>
      </c>
      <c r="D1207" s="5" t="s">
        <v>1114</v>
      </c>
      <c r="E1207" s="5" t="str">
        <f>VLOOKUP(F1207,'Set up'!$A$2:$C$48,2,FALSE)</f>
        <v>C00000009</v>
      </c>
      <c r="F1207" s="1" t="s">
        <v>58</v>
      </c>
      <c r="G1207" s="89" t="s">
        <v>95</v>
      </c>
      <c r="H1207" s="5">
        <v>1</v>
      </c>
      <c r="I1207" s="5">
        <f>VLOOKUP(F1207,'Set up'!$A$2:$C$48,3,FALSE)</f>
        <v>60</v>
      </c>
      <c r="J1207" s="5">
        <f>VLOOKUP(F1207,'Set up'!$A$2:$D$48,4,FALSE)</f>
        <v>60</v>
      </c>
      <c r="K1207" s="4">
        <f t="shared" si="336"/>
        <v>44958</v>
      </c>
      <c r="L1207" s="5">
        <f t="shared" ref="L1207:L1210" si="355">MONTH(K1207)</f>
        <v>2</v>
      </c>
      <c r="M1207" s="5">
        <f t="shared" ref="M1207:M1210" si="356">YEAR(K1207)</f>
        <v>2023</v>
      </c>
      <c r="N1207" s="6">
        <v>1804</v>
      </c>
      <c r="O1207" s="6">
        <f t="shared" si="352"/>
        <v>-1804</v>
      </c>
      <c r="P1207" s="6">
        <f t="shared" si="328"/>
        <v>0</v>
      </c>
      <c r="Q1207" s="7">
        <f t="shared" si="329"/>
        <v>2174297.4500000011</v>
      </c>
      <c r="R1207" s="44" t="str">
        <f>VLOOKUP(F1207,'Set up'!$A$2:$E$48,5,FALSE)</f>
        <v>Chq</v>
      </c>
      <c r="S1207" s="1" t="s">
        <v>1683</v>
      </c>
    </row>
    <row r="1208" spans="1:19" hidden="1" x14ac:dyDescent="0.3">
      <c r="A1208" s="4">
        <v>44898</v>
      </c>
      <c r="B1208" s="5">
        <f t="shared" si="348"/>
        <v>12</v>
      </c>
      <c r="C1208" s="5">
        <f t="shared" si="349"/>
        <v>2022</v>
      </c>
      <c r="D1208" s="5" t="s">
        <v>1114</v>
      </c>
      <c r="E1208" s="5" t="str">
        <f>VLOOKUP(F1208,'Set up'!$A$2:$C$48,2,FALSE)</f>
        <v>C00000009</v>
      </c>
      <c r="F1208" s="1" t="s">
        <v>58</v>
      </c>
      <c r="G1208" s="89" t="s">
        <v>617</v>
      </c>
      <c r="H1208" s="5">
        <v>1</v>
      </c>
      <c r="I1208" s="5">
        <f>VLOOKUP(F1208,'Set up'!$A$2:$C$48,3,FALSE)</f>
        <v>60</v>
      </c>
      <c r="J1208" s="5">
        <f>VLOOKUP(F1208,'Set up'!$A$2:$D$48,4,FALSE)</f>
        <v>60</v>
      </c>
      <c r="K1208" s="4">
        <f t="shared" si="336"/>
        <v>44958</v>
      </c>
      <c r="L1208" s="5">
        <f t="shared" si="355"/>
        <v>2</v>
      </c>
      <c r="M1208" s="5">
        <f t="shared" si="356"/>
        <v>2023</v>
      </c>
      <c r="N1208" s="6">
        <v>1804</v>
      </c>
      <c r="O1208" s="6">
        <f t="shared" si="352"/>
        <v>-1804</v>
      </c>
      <c r="P1208" s="6">
        <f t="shared" si="328"/>
        <v>0</v>
      </c>
      <c r="Q1208" s="7">
        <f t="shared" si="329"/>
        <v>2176101.4500000011</v>
      </c>
      <c r="R1208" s="44" t="str">
        <f>VLOOKUP(F1208,'Set up'!$A$2:$E$48,5,FALSE)</f>
        <v>Chq</v>
      </c>
      <c r="S1208" s="1" t="s">
        <v>1683</v>
      </c>
    </row>
    <row r="1209" spans="1:19" hidden="1" x14ac:dyDescent="0.3">
      <c r="A1209" s="4">
        <v>44898</v>
      </c>
      <c r="B1209" s="5">
        <f t="shared" si="348"/>
        <v>12</v>
      </c>
      <c r="C1209" s="5">
        <f t="shared" si="349"/>
        <v>2022</v>
      </c>
      <c r="D1209" s="5" t="s">
        <v>1114</v>
      </c>
      <c r="E1209" s="5" t="str">
        <f>VLOOKUP(F1209,'Set up'!$A$2:$C$48,2,FALSE)</f>
        <v>C00000009</v>
      </c>
      <c r="F1209" s="1" t="s">
        <v>58</v>
      </c>
      <c r="G1209" s="89" t="s">
        <v>708</v>
      </c>
      <c r="H1209" s="5">
        <v>2</v>
      </c>
      <c r="I1209" s="5">
        <f>VLOOKUP(F1209,'Set up'!$A$2:$C$48,3,FALSE)</f>
        <v>60</v>
      </c>
      <c r="J1209" s="5">
        <f>VLOOKUP(F1209,'Set up'!$A$2:$D$48,4,FALSE)</f>
        <v>60</v>
      </c>
      <c r="K1209" s="4">
        <f t="shared" si="336"/>
        <v>44958</v>
      </c>
      <c r="L1209" s="5">
        <f t="shared" si="355"/>
        <v>2</v>
      </c>
      <c r="M1209" s="5">
        <f t="shared" si="356"/>
        <v>2023</v>
      </c>
      <c r="N1209" s="6">
        <v>874.8</v>
      </c>
      <c r="O1209" s="6">
        <f t="shared" si="352"/>
        <v>-874.8</v>
      </c>
      <c r="P1209" s="6">
        <f t="shared" si="328"/>
        <v>0</v>
      </c>
      <c r="Q1209" s="7">
        <f t="shared" si="329"/>
        <v>2176976.2500000009</v>
      </c>
      <c r="R1209" s="44" t="str">
        <f>VLOOKUP(F1209,'Set up'!$A$2:$E$48,5,FALSE)</f>
        <v>Chq</v>
      </c>
      <c r="S1209" s="1" t="s">
        <v>1683</v>
      </c>
    </row>
    <row r="1210" spans="1:19" hidden="1" x14ac:dyDescent="0.3">
      <c r="A1210" s="4">
        <v>44898</v>
      </c>
      <c r="B1210" s="5">
        <f t="shared" si="348"/>
        <v>12</v>
      </c>
      <c r="C1210" s="5">
        <f t="shared" si="349"/>
        <v>2022</v>
      </c>
      <c r="D1210" s="5" t="s">
        <v>1114</v>
      </c>
      <c r="E1210" s="5" t="str">
        <f>VLOOKUP(F1210,'Set up'!$A$2:$C$48,2,FALSE)</f>
        <v>C00000009</v>
      </c>
      <c r="F1210" s="1" t="s">
        <v>58</v>
      </c>
      <c r="G1210" s="89" t="s">
        <v>1057</v>
      </c>
      <c r="H1210" s="5">
        <v>1</v>
      </c>
      <c r="I1210" s="5">
        <f>VLOOKUP(F1210,'Set up'!$A$2:$C$48,3,FALSE)</f>
        <v>60</v>
      </c>
      <c r="J1210" s="5">
        <f>VLOOKUP(F1210,'Set up'!$A$2:$D$48,4,FALSE)</f>
        <v>60</v>
      </c>
      <c r="K1210" s="4">
        <f t="shared" si="336"/>
        <v>44958</v>
      </c>
      <c r="L1210" s="5">
        <f t="shared" si="355"/>
        <v>2</v>
      </c>
      <c r="M1210" s="5">
        <f t="shared" si="356"/>
        <v>2023</v>
      </c>
      <c r="N1210" s="6">
        <v>150</v>
      </c>
      <c r="O1210" s="6">
        <f t="shared" si="352"/>
        <v>-150</v>
      </c>
      <c r="P1210" s="6">
        <f t="shared" si="328"/>
        <v>0</v>
      </c>
      <c r="Q1210" s="7">
        <f t="shared" si="329"/>
        <v>2177126.2500000009</v>
      </c>
      <c r="R1210" s="44" t="str">
        <f>VLOOKUP(F1210,'Set up'!$A$2:$E$48,5,FALSE)</f>
        <v>Chq</v>
      </c>
      <c r="S1210" s="1" t="s">
        <v>1683</v>
      </c>
    </row>
    <row r="1211" spans="1:19" x14ac:dyDescent="0.3">
      <c r="A1211" s="4">
        <v>44898</v>
      </c>
      <c r="B1211" s="5">
        <f t="shared" ref="B1211:B1220" si="357">MONTH(A1211)</f>
        <v>12</v>
      </c>
      <c r="C1211" s="5">
        <f t="shared" ref="C1211:C1220" si="358">YEAR(A1211)</f>
        <v>2022</v>
      </c>
      <c r="D1211" s="5" t="s">
        <v>1116</v>
      </c>
      <c r="E1211" s="5" t="str">
        <f>VLOOKUP(F1211,'Set up'!$A$2:$C$48,2,FALSE)</f>
        <v>C00000020</v>
      </c>
      <c r="F1211" s="1" t="s">
        <v>410</v>
      </c>
      <c r="G1211" s="89" t="s">
        <v>95</v>
      </c>
      <c r="H1211" s="5">
        <v>3</v>
      </c>
      <c r="I1211" s="5" t="str">
        <f>VLOOKUP(F1211,'Set up'!$A$2:$C$48,3,FALSE)</f>
        <v>Cash</v>
      </c>
      <c r="J1211" s="5">
        <f>VLOOKUP(F1211,'Set up'!$A$2:$D$48,4,FALSE)</f>
        <v>0</v>
      </c>
      <c r="K1211" s="4">
        <f t="shared" si="336"/>
        <v>44898</v>
      </c>
      <c r="L1211" s="5">
        <f t="shared" ref="L1211:L1214" si="359">MONTH(K1211)</f>
        <v>12</v>
      </c>
      <c r="M1211" s="5">
        <f t="shared" ref="M1211:M1214" si="360">YEAR(K1211)</f>
        <v>2022</v>
      </c>
      <c r="N1211" s="6">
        <v>5412</v>
      </c>
      <c r="O1211" s="6">
        <f t="shared" ref="O1211:O1214" si="361">-N1211</f>
        <v>-5412</v>
      </c>
      <c r="P1211" s="6">
        <f t="shared" si="328"/>
        <v>0</v>
      </c>
      <c r="Q1211" s="7">
        <f t="shared" si="329"/>
        <v>2182538.2500000009</v>
      </c>
      <c r="R1211" s="44" t="str">
        <f>VLOOKUP(F1211,'Set up'!$A$2:$E$48,5,FALSE)</f>
        <v>Trsf</v>
      </c>
      <c r="S1211" s="1" t="s">
        <v>1521</v>
      </c>
    </row>
    <row r="1212" spans="1:19" x14ac:dyDescent="0.3">
      <c r="A1212" s="4">
        <v>44898</v>
      </c>
      <c r="B1212" s="5">
        <f t="shared" si="357"/>
        <v>12</v>
      </c>
      <c r="C1212" s="5">
        <f t="shared" si="358"/>
        <v>2022</v>
      </c>
      <c r="D1212" s="5" t="s">
        <v>1116</v>
      </c>
      <c r="E1212" s="5" t="str">
        <f>VLOOKUP(F1212,'Set up'!$A$2:$C$48,2,FALSE)</f>
        <v>C00000020</v>
      </c>
      <c r="F1212" s="1" t="s">
        <v>410</v>
      </c>
      <c r="G1212" s="89" t="s">
        <v>989</v>
      </c>
      <c r="H1212" s="5">
        <v>3</v>
      </c>
      <c r="I1212" s="5" t="str">
        <f>VLOOKUP(F1212,'Set up'!$A$2:$C$48,3,FALSE)</f>
        <v>Cash</v>
      </c>
      <c r="J1212" s="5">
        <f>VLOOKUP(F1212,'Set up'!$A$2:$D$48,4,FALSE)</f>
        <v>0</v>
      </c>
      <c r="K1212" s="4">
        <f t="shared" si="336"/>
        <v>44898</v>
      </c>
      <c r="L1212" s="5">
        <f t="shared" si="359"/>
        <v>12</v>
      </c>
      <c r="M1212" s="5">
        <f t="shared" si="360"/>
        <v>2022</v>
      </c>
      <c r="N1212" s="6">
        <v>756</v>
      </c>
      <c r="O1212" s="6">
        <f t="shared" si="361"/>
        <v>-756</v>
      </c>
      <c r="P1212" s="6">
        <f t="shared" si="328"/>
        <v>0</v>
      </c>
      <c r="Q1212" s="7">
        <f t="shared" si="329"/>
        <v>2183294.2500000009</v>
      </c>
      <c r="R1212" s="44" t="str">
        <f>VLOOKUP(F1212,'Set up'!$A$2:$E$48,5,FALSE)</f>
        <v>Trsf</v>
      </c>
      <c r="S1212" s="1" t="s">
        <v>1517</v>
      </c>
    </row>
    <row r="1213" spans="1:19" x14ac:dyDescent="0.3">
      <c r="A1213" s="4">
        <v>44898</v>
      </c>
      <c r="B1213" s="5">
        <f t="shared" si="357"/>
        <v>12</v>
      </c>
      <c r="C1213" s="5">
        <f t="shared" si="358"/>
        <v>2022</v>
      </c>
      <c r="D1213" s="5" t="s">
        <v>1116</v>
      </c>
      <c r="E1213" s="5" t="str">
        <f>VLOOKUP(F1213,'Set up'!$A$2:$C$48,2,FALSE)</f>
        <v>C00000020</v>
      </c>
      <c r="F1213" s="1" t="s">
        <v>410</v>
      </c>
      <c r="G1213" s="89" t="s">
        <v>1115</v>
      </c>
      <c r="H1213" s="5">
        <v>4</v>
      </c>
      <c r="I1213" s="5" t="str">
        <f>VLOOKUP(F1213,'Set up'!$A$2:$C$48,3,FALSE)</f>
        <v>Cash</v>
      </c>
      <c r="J1213" s="5">
        <f>VLOOKUP(F1213,'Set up'!$A$2:$D$48,4,FALSE)</f>
        <v>0</v>
      </c>
      <c r="K1213" s="4">
        <f t="shared" si="336"/>
        <v>44898</v>
      </c>
      <c r="L1213" s="5">
        <f t="shared" si="359"/>
        <v>12</v>
      </c>
      <c r="M1213" s="5">
        <f t="shared" si="360"/>
        <v>2022</v>
      </c>
      <c r="N1213" s="6">
        <v>1040</v>
      </c>
      <c r="O1213" s="6">
        <f t="shared" si="361"/>
        <v>-1040</v>
      </c>
      <c r="P1213" s="6">
        <f t="shared" si="328"/>
        <v>0</v>
      </c>
      <c r="Q1213" s="7">
        <f t="shared" si="329"/>
        <v>2184334.2500000009</v>
      </c>
      <c r="R1213" s="44" t="str">
        <f>VLOOKUP(F1213,'Set up'!$A$2:$E$48,5,FALSE)</f>
        <v>Trsf</v>
      </c>
      <c r="S1213" s="1" t="s">
        <v>1522</v>
      </c>
    </row>
    <row r="1214" spans="1:19" x14ac:dyDescent="0.3">
      <c r="A1214" s="4">
        <v>44898</v>
      </c>
      <c r="B1214" s="5">
        <f t="shared" si="357"/>
        <v>12</v>
      </c>
      <c r="C1214" s="5">
        <f t="shared" si="358"/>
        <v>2022</v>
      </c>
      <c r="D1214" s="5" t="s">
        <v>1116</v>
      </c>
      <c r="E1214" s="5" t="str">
        <f>VLOOKUP(F1214,'Set up'!$A$2:$C$48,2,FALSE)</f>
        <v>C00000020</v>
      </c>
      <c r="F1214" s="1" t="s">
        <v>410</v>
      </c>
      <c r="G1214" s="89" t="s">
        <v>1111</v>
      </c>
      <c r="H1214" s="5">
        <v>3</v>
      </c>
      <c r="I1214" s="5" t="str">
        <f>VLOOKUP(F1214,'Set up'!$A$2:$C$48,3,FALSE)</f>
        <v>Cash</v>
      </c>
      <c r="J1214" s="5">
        <f>VLOOKUP(F1214,'Set up'!$A$2:$D$48,4,FALSE)</f>
        <v>0</v>
      </c>
      <c r="K1214" s="4">
        <f t="shared" si="336"/>
        <v>44898</v>
      </c>
      <c r="L1214" s="5">
        <f t="shared" si="359"/>
        <v>12</v>
      </c>
      <c r="M1214" s="5">
        <f t="shared" si="360"/>
        <v>2022</v>
      </c>
      <c r="N1214" s="6">
        <v>187.5</v>
      </c>
      <c r="O1214" s="6">
        <f t="shared" si="361"/>
        <v>-187.5</v>
      </c>
      <c r="P1214" s="6">
        <f t="shared" si="328"/>
        <v>0</v>
      </c>
      <c r="Q1214" s="7">
        <f t="shared" si="329"/>
        <v>2184521.7500000009</v>
      </c>
      <c r="R1214" s="44" t="str">
        <f>VLOOKUP(F1214,'Set up'!$A$2:$E$48,5,FALSE)</f>
        <v>Trsf</v>
      </c>
      <c r="S1214" s="1" t="s">
        <v>1523</v>
      </c>
    </row>
    <row r="1215" spans="1:19" hidden="1" x14ac:dyDescent="0.3">
      <c r="A1215" s="4">
        <v>44900</v>
      </c>
      <c r="B1215" s="5">
        <f t="shared" si="357"/>
        <v>12</v>
      </c>
      <c r="C1215" s="5">
        <f t="shared" si="358"/>
        <v>2022</v>
      </c>
      <c r="D1215" s="5" t="s">
        <v>1117</v>
      </c>
      <c r="E1215" s="5" t="str">
        <f>VLOOKUP(F1215,'Set up'!$A$2:$C$48,2,FALSE)</f>
        <v>C00000022</v>
      </c>
      <c r="F1215" s="1" t="s">
        <v>638</v>
      </c>
      <c r="G1215" s="89" t="s">
        <v>1118</v>
      </c>
      <c r="H1215" s="5">
        <v>1</v>
      </c>
      <c r="I1215" s="5" t="str">
        <f>VLOOKUP(F1215,'Set up'!$A$2:$C$48,3,FALSE)</f>
        <v>Cash</v>
      </c>
      <c r="J1215" s="5">
        <f>VLOOKUP(F1215,'Set up'!$A$2:$D$48,4,FALSE)</f>
        <v>0</v>
      </c>
      <c r="K1215" s="4">
        <f t="shared" si="336"/>
        <v>44900</v>
      </c>
      <c r="L1215" s="5">
        <f t="shared" ref="L1215:L1223" si="362">MONTH(K1215)</f>
        <v>12</v>
      </c>
      <c r="M1215" s="5">
        <f t="shared" ref="M1215:M1223" si="363">YEAR(K1215)</f>
        <v>2022</v>
      </c>
      <c r="N1215" s="6">
        <v>45</v>
      </c>
      <c r="O1215" s="6">
        <f t="shared" ref="O1215:O1220" si="364">-N1215</f>
        <v>-45</v>
      </c>
      <c r="P1215" s="6">
        <f t="shared" ref="P1215:P1278" si="365">SUM(N1215+O1215)</f>
        <v>0</v>
      </c>
      <c r="Q1215" s="7">
        <f t="shared" ref="Q1215:Q1278" si="366">SUM(Q1214+N1215)</f>
        <v>2184566.7500000009</v>
      </c>
      <c r="R1215" s="44" t="str">
        <f>VLOOKUP(F1215,'Set up'!$A$2:$E$48,5,FALSE)</f>
        <v>Trsf</v>
      </c>
      <c r="S1215" s="1" t="s">
        <v>1152</v>
      </c>
    </row>
    <row r="1216" spans="1:19" hidden="1" x14ac:dyDescent="0.3">
      <c r="A1216" s="4">
        <v>44900</v>
      </c>
      <c r="B1216" s="5">
        <f t="shared" si="357"/>
        <v>12</v>
      </c>
      <c r="C1216" s="5">
        <f t="shared" si="358"/>
        <v>2022</v>
      </c>
      <c r="D1216" s="5" t="s">
        <v>1117</v>
      </c>
      <c r="E1216" s="5" t="str">
        <f>VLOOKUP(F1216,'Set up'!$A$2:$C$48,2,FALSE)</f>
        <v>C00000022</v>
      </c>
      <c r="F1216" s="1" t="s">
        <v>638</v>
      </c>
      <c r="G1216" s="89" t="s">
        <v>1119</v>
      </c>
      <c r="H1216" s="5">
        <v>1</v>
      </c>
      <c r="I1216" s="5" t="str">
        <f>VLOOKUP(F1216,'Set up'!$A$2:$C$48,3,FALSE)</f>
        <v>Cash</v>
      </c>
      <c r="J1216" s="5">
        <f>VLOOKUP(F1216,'Set up'!$A$2:$D$48,4,FALSE)</f>
        <v>0</v>
      </c>
      <c r="K1216" s="4">
        <f t="shared" si="336"/>
        <v>44900</v>
      </c>
      <c r="L1216" s="5">
        <f t="shared" si="362"/>
        <v>12</v>
      </c>
      <c r="M1216" s="5">
        <f t="shared" si="363"/>
        <v>2022</v>
      </c>
      <c r="N1216" s="6">
        <v>48</v>
      </c>
      <c r="O1216" s="6">
        <f t="shared" si="364"/>
        <v>-48</v>
      </c>
      <c r="P1216" s="6">
        <f t="shared" si="365"/>
        <v>0</v>
      </c>
      <c r="Q1216" s="7">
        <f t="shared" si="366"/>
        <v>2184614.7500000009</v>
      </c>
      <c r="R1216" s="44" t="str">
        <f>VLOOKUP(F1216,'Set up'!$A$2:$E$48,5,FALSE)</f>
        <v>Trsf</v>
      </c>
      <c r="S1216" s="1" t="s">
        <v>1152</v>
      </c>
    </row>
    <row r="1217" spans="1:19" hidden="1" x14ac:dyDescent="0.3">
      <c r="A1217" s="4">
        <v>44901</v>
      </c>
      <c r="B1217" s="5">
        <f t="shared" si="357"/>
        <v>12</v>
      </c>
      <c r="C1217" s="5">
        <f t="shared" si="358"/>
        <v>2022</v>
      </c>
      <c r="D1217" s="5" t="s">
        <v>1120</v>
      </c>
      <c r="E1217" s="5" t="str">
        <f>VLOOKUP(F1217,'Set up'!$A$2:$C$48,2,FALSE)</f>
        <v>C00000021</v>
      </c>
      <c r="F1217" s="1" t="s">
        <v>492</v>
      </c>
      <c r="G1217" s="89" t="s">
        <v>717</v>
      </c>
      <c r="H1217" s="5">
        <v>1</v>
      </c>
      <c r="I1217" s="5" t="str">
        <f>VLOOKUP(F1217,'Set up'!$A$2:$C$48,3,FALSE)</f>
        <v>Cash</v>
      </c>
      <c r="J1217" s="5">
        <f>VLOOKUP(F1217,'Set up'!$A$2:$D$48,4,FALSE)</f>
        <v>0</v>
      </c>
      <c r="K1217" s="4">
        <f t="shared" si="336"/>
        <v>44901</v>
      </c>
      <c r="L1217" s="5">
        <f t="shared" si="362"/>
        <v>12</v>
      </c>
      <c r="M1217" s="5">
        <f t="shared" si="363"/>
        <v>2022</v>
      </c>
      <c r="N1217" s="6">
        <v>1936</v>
      </c>
      <c r="O1217" s="6">
        <f t="shared" si="364"/>
        <v>-1936</v>
      </c>
      <c r="P1217" s="6">
        <f t="shared" si="365"/>
        <v>0</v>
      </c>
      <c r="Q1217" s="7">
        <f t="shared" si="366"/>
        <v>2186550.7500000009</v>
      </c>
      <c r="R1217" s="44" t="str">
        <f>VLOOKUP(F1217,'Set up'!$A$2:$E$48,5,FALSE)</f>
        <v>PD Chq</v>
      </c>
      <c r="S1217" s="1" t="s">
        <v>1374</v>
      </c>
    </row>
    <row r="1218" spans="1:19" hidden="1" x14ac:dyDescent="0.3">
      <c r="A1218" s="4">
        <v>44901</v>
      </c>
      <c r="B1218" s="5">
        <f t="shared" si="357"/>
        <v>12</v>
      </c>
      <c r="C1218" s="5">
        <f t="shared" si="358"/>
        <v>2022</v>
      </c>
      <c r="D1218" s="5" t="s">
        <v>1120</v>
      </c>
      <c r="E1218" s="5" t="str">
        <f>VLOOKUP(F1218,'Set up'!$A$2:$C$48,2,FALSE)</f>
        <v>C00000021</v>
      </c>
      <c r="F1218" s="1" t="s">
        <v>492</v>
      </c>
      <c r="G1218" s="89" t="s">
        <v>655</v>
      </c>
      <c r="H1218" s="5">
        <v>3</v>
      </c>
      <c r="I1218" s="5" t="str">
        <f>VLOOKUP(F1218,'Set up'!$A$2:$C$48,3,FALSE)</f>
        <v>Cash</v>
      </c>
      <c r="J1218" s="5">
        <f>VLOOKUP(F1218,'Set up'!$A$2:$D$48,4,FALSE)</f>
        <v>0</v>
      </c>
      <c r="K1218" s="4">
        <f t="shared" si="336"/>
        <v>44901</v>
      </c>
      <c r="L1218" s="5">
        <f t="shared" si="362"/>
        <v>12</v>
      </c>
      <c r="M1218" s="5">
        <f t="shared" si="363"/>
        <v>2022</v>
      </c>
      <c r="N1218" s="6">
        <v>801</v>
      </c>
      <c r="O1218" s="6">
        <f t="shared" si="364"/>
        <v>-801</v>
      </c>
      <c r="P1218" s="6">
        <f t="shared" si="365"/>
        <v>0</v>
      </c>
      <c r="Q1218" s="7">
        <f t="shared" si="366"/>
        <v>2187351.7500000009</v>
      </c>
      <c r="R1218" s="44" t="str">
        <f>VLOOKUP(F1218,'Set up'!$A$2:$E$48,5,FALSE)</f>
        <v>PD Chq</v>
      </c>
      <c r="S1218" s="1" t="s">
        <v>1374</v>
      </c>
    </row>
    <row r="1219" spans="1:19" hidden="1" x14ac:dyDescent="0.3">
      <c r="A1219" s="4">
        <v>44901</v>
      </c>
      <c r="B1219" s="5">
        <f t="shared" si="357"/>
        <v>12</v>
      </c>
      <c r="C1219" s="5">
        <f t="shared" si="358"/>
        <v>2022</v>
      </c>
      <c r="D1219" s="5" t="s">
        <v>1120</v>
      </c>
      <c r="E1219" s="5" t="str">
        <f>VLOOKUP(F1219,'Set up'!$A$2:$C$48,2,FALSE)</f>
        <v>C00000021</v>
      </c>
      <c r="F1219" s="1" t="s">
        <v>492</v>
      </c>
      <c r="G1219" s="89" t="s">
        <v>46</v>
      </c>
      <c r="H1219" s="5">
        <v>1</v>
      </c>
      <c r="I1219" s="5" t="str">
        <f>VLOOKUP(F1219,'Set up'!$A$2:$C$48,3,FALSE)</f>
        <v>Cash</v>
      </c>
      <c r="J1219" s="5">
        <f>VLOOKUP(F1219,'Set up'!$A$2:$D$48,4,FALSE)</f>
        <v>0</v>
      </c>
      <c r="K1219" s="4">
        <f t="shared" si="336"/>
        <v>44901</v>
      </c>
      <c r="L1219" s="5">
        <f t="shared" si="362"/>
        <v>12</v>
      </c>
      <c r="M1219" s="5">
        <f t="shared" si="363"/>
        <v>2022</v>
      </c>
      <c r="N1219" s="6">
        <v>105</v>
      </c>
      <c r="O1219" s="6">
        <f t="shared" si="364"/>
        <v>-105</v>
      </c>
      <c r="P1219" s="6">
        <f t="shared" si="365"/>
        <v>0</v>
      </c>
      <c r="Q1219" s="7">
        <f t="shared" si="366"/>
        <v>2187456.7500000009</v>
      </c>
      <c r="R1219" s="44" t="str">
        <f>VLOOKUP(F1219,'Set up'!$A$2:$E$48,5,FALSE)</f>
        <v>PD Chq</v>
      </c>
      <c r="S1219" s="1" t="s">
        <v>1374</v>
      </c>
    </row>
    <row r="1220" spans="1:19" hidden="1" x14ac:dyDescent="0.3">
      <c r="A1220" s="4">
        <v>44901</v>
      </c>
      <c r="B1220" s="5">
        <f t="shared" si="357"/>
        <v>12</v>
      </c>
      <c r="C1220" s="5">
        <f t="shared" si="358"/>
        <v>2022</v>
      </c>
      <c r="D1220" s="5" t="s">
        <v>1120</v>
      </c>
      <c r="E1220" s="5" t="str">
        <f>VLOOKUP(F1220,'Set up'!$A$2:$C$48,2,FALSE)</f>
        <v>C00000021</v>
      </c>
      <c r="F1220" s="1" t="s">
        <v>492</v>
      </c>
      <c r="G1220" s="89" t="s">
        <v>801</v>
      </c>
      <c r="H1220" s="5">
        <v>1</v>
      </c>
      <c r="I1220" s="5" t="str">
        <f>VLOOKUP(F1220,'Set up'!$A$2:$C$48,3,FALSE)</f>
        <v>Cash</v>
      </c>
      <c r="J1220" s="5">
        <f>VLOOKUP(F1220,'Set up'!$A$2:$D$48,4,FALSE)</f>
        <v>0</v>
      </c>
      <c r="K1220" s="4">
        <f t="shared" si="336"/>
        <v>44901</v>
      </c>
      <c r="L1220" s="5">
        <f t="shared" si="362"/>
        <v>12</v>
      </c>
      <c r="M1220" s="5">
        <f t="shared" si="363"/>
        <v>2022</v>
      </c>
      <c r="N1220" s="6">
        <v>225</v>
      </c>
      <c r="O1220" s="6">
        <f t="shared" si="364"/>
        <v>-225</v>
      </c>
      <c r="P1220" s="6">
        <f t="shared" si="365"/>
        <v>0</v>
      </c>
      <c r="Q1220" s="7">
        <f t="shared" si="366"/>
        <v>2187681.7500000009</v>
      </c>
      <c r="R1220" s="44" t="str">
        <f>VLOOKUP(F1220,'Set up'!$A$2:$E$48,5,FALSE)</f>
        <v>PD Chq</v>
      </c>
      <c r="S1220" s="1" t="s">
        <v>1374</v>
      </c>
    </row>
    <row r="1221" spans="1:19" hidden="1" x14ac:dyDescent="0.3">
      <c r="A1221" s="4">
        <v>44902</v>
      </c>
      <c r="B1221" s="5">
        <f t="shared" ref="B1221:B1241" si="367">MONTH(A1221)</f>
        <v>12</v>
      </c>
      <c r="C1221" s="5">
        <f t="shared" ref="C1221:C1241" si="368">YEAR(A1221)</f>
        <v>2022</v>
      </c>
      <c r="D1221" s="5" t="s">
        <v>1121</v>
      </c>
      <c r="E1221" s="5" t="str">
        <f>VLOOKUP(F1221,'Set up'!$A$2:$C$48,2,FALSE)</f>
        <v>C00000022</v>
      </c>
      <c r="F1221" s="1" t="s">
        <v>638</v>
      </c>
      <c r="G1221" s="89" t="s">
        <v>95</v>
      </c>
      <c r="H1221" s="5">
        <v>1</v>
      </c>
      <c r="I1221" s="5" t="str">
        <f>VLOOKUP(F1221,'Set up'!$A$2:$C$48,3,FALSE)</f>
        <v>Cash</v>
      </c>
      <c r="J1221" s="5">
        <f>VLOOKUP(F1221,'Set up'!$A$2:$D$48,4,FALSE)</f>
        <v>0</v>
      </c>
      <c r="K1221" s="4">
        <f t="shared" si="336"/>
        <v>44902</v>
      </c>
      <c r="L1221" s="5">
        <f t="shared" si="362"/>
        <v>12</v>
      </c>
      <c r="M1221" s="5">
        <f t="shared" si="363"/>
        <v>2022</v>
      </c>
      <c r="N1221" s="6">
        <v>2024</v>
      </c>
      <c r="O1221" s="6">
        <f>-1500-524</f>
        <v>-2024</v>
      </c>
      <c r="P1221" s="6">
        <f t="shared" si="365"/>
        <v>0</v>
      </c>
      <c r="Q1221" s="7">
        <f t="shared" si="366"/>
        <v>2189705.7500000009</v>
      </c>
      <c r="R1221" s="44" t="str">
        <f>VLOOKUP(F1221,'Set up'!$A$2:$E$48,5,FALSE)</f>
        <v>Trsf</v>
      </c>
      <c r="S1221" s="1" t="s">
        <v>1300</v>
      </c>
    </row>
    <row r="1222" spans="1:19" x14ac:dyDescent="0.3">
      <c r="A1222" s="4">
        <v>44904</v>
      </c>
      <c r="B1222" s="5">
        <f t="shared" si="367"/>
        <v>12</v>
      </c>
      <c r="C1222" s="5">
        <f t="shared" si="368"/>
        <v>2022</v>
      </c>
      <c r="D1222" s="5" t="s">
        <v>1123</v>
      </c>
      <c r="E1222" s="5" t="str">
        <f>VLOOKUP(F1222,'Set up'!$A$2:$C$48,2,FALSE)</f>
        <v>C00000020</v>
      </c>
      <c r="F1222" s="1" t="s">
        <v>410</v>
      </c>
      <c r="G1222" s="89" t="s">
        <v>720</v>
      </c>
      <c r="H1222" s="5">
        <v>10</v>
      </c>
      <c r="I1222" s="5" t="str">
        <f>VLOOKUP(F1222,'Set up'!$A$2:$C$48,3,FALSE)</f>
        <v>Cash</v>
      </c>
      <c r="J1222" s="5">
        <f>VLOOKUP(F1222,'Set up'!$A$2:$D$48,4,FALSE)</f>
        <v>0</v>
      </c>
      <c r="K1222" s="4">
        <f t="shared" si="336"/>
        <v>44904</v>
      </c>
      <c r="L1222" s="5">
        <f t="shared" si="362"/>
        <v>12</v>
      </c>
      <c r="M1222" s="5">
        <f t="shared" si="363"/>
        <v>2022</v>
      </c>
      <c r="N1222" s="6">
        <v>18040</v>
      </c>
      <c r="O1222" s="6">
        <f>-181.8-17858.2</f>
        <v>-18040</v>
      </c>
      <c r="P1222" s="6">
        <f t="shared" si="365"/>
        <v>0</v>
      </c>
      <c r="Q1222" s="7">
        <f t="shared" si="366"/>
        <v>2207745.7500000009</v>
      </c>
      <c r="R1222" s="44" t="str">
        <f>VLOOKUP(F1222,'Set up'!$A$2:$E$48,5,FALSE)</f>
        <v>Trsf</v>
      </c>
      <c r="S1222" s="1" t="s">
        <v>1524</v>
      </c>
    </row>
    <row r="1223" spans="1:19" x14ac:dyDescent="0.3">
      <c r="A1223" s="4">
        <v>44904</v>
      </c>
      <c r="B1223" s="5">
        <f t="shared" si="367"/>
        <v>12</v>
      </c>
      <c r="C1223" s="5">
        <f t="shared" si="368"/>
        <v>2022</v>
      </c>
      <c r="D1223" s="5" t="s">
        <v>1123</v>
      </c>
      <c r="E1223" s="5" t="str">
        <f>VLOOKUP(F1223,'Set up'!$A$2:$C$48,2,FALSE)</f>
        <v>C00000020</v>
      </c>
      <c r="F1223" s="1" t="s">
        <v>410</v>
      </c>
      <c r="G1223" s="89" t="s">
        <v>717</v>
      </c>
      <c r="H1223" s="5">
        <v>5</v>
      </c>
      <c r="I1223" s="5" t="str">
        <f>VLOOKUP(F1223,'Set up'!$A$2:$C$48,3,FALSE)</f>
        <v>Cash</v>
      </c>
      <c r="J1223" s="5">
        <f>VLOOKUP(F1223,'Set up'!$A$2:$D$48,4,FALSE)</f>
        <v>0</v>
      </c>
      <c r="K1223" s="4">
        <f t="shared" si="336"/>
        <v>44904</v>
      </c>
      <c r="L1223" s="5">
        <f t="shared" si="362"/>
        <v>12</v>
      </c>
      <c r="M1223" s="5">
        <f t="shared" si="363"/>
        <v>2022</v>
      </c>
      <c r="N1223" s="6">
        <v>9020</v>
      </c>
      <c r="O1223" s="6">
        <f>-2141.8-6878.2</f>
        <v>-9020</v>
      </c>
      <c r="P1223" s="6">
        <f t="shared" si="365"/>
        <v>0</v>
      </c>
      <c r="Q1223" s="7">
        <f t="shared" si="366"/>
        <v>2216765.7500000009</v>
      </c>
      <c r="R1223" s="44" t="str">
        <f>VLOOKUP(F1223,'Set up'!$A$2:$E$48,5,FALSE)</f>
        <v>Trsf</v>
      </c>
      <c r="S1223" s="1" t="s">
        <v>1571</v>
      </c>
    </row>
    <row r="1224" spans="1:19" x14ac:dyDescent="0.3">
      <c r="A1224" s="4">
        <v>44904</v>
      </c>
      <c r="B1224" s="5">
        <f t="shared" si="367"/>
        <v>12</v>
      </c>
      <c r="C1224" s="5">
        <f t="shared" si="368"/>
        <v>2022</v>
      </c>
      <c r="D1224" s="5" t="s">
        <v>1123</v>
      </c>
      <c r="E1224" s="5" t="str">
        <f>VLOOKUP(F1224,'Set up'!$A$2:$C$48,2,FALSE)</f>
        <v>C00000020</v>
      </c>
      <c r="F1224" s="1" t="s">
        <v>410</v>
      </c>
      <c r="G1224" s="89" t="s">
        <v>989</v>
      </c>
      <c r="H1224" s="5">
        <v>51</v>
      </c>
      <c r="I1224" s="5" t="str">
        <f>VLOOKUP(F1224,'Set up'!$A$2:$C$48,3,FALSE)</f>
        <v>Cash</v>
      </c>
      <c r="J1224" s="5">
        <f>VLOOKUP(F1224,'Set up'!$A$2:$D$48,4,FALSE)</f>
        <v>0</v>
      </c>
      <c r="K1224" s="4">
        <f t="shared" si="336"/>
        <v>44904</v>
      </c>
      <c r="L1224" s="5">
        <f t="shared" ref="L1224:L1225" si="369">MONTH(K1224)</f>
        <v>12</v>
      </c>
      <c r="M1224" s="5">
        <f t="shared" ref="M1224:M1225" si="370">YEAR(K1224)</f>
        <v>2022</v>
      </c>
      <c r="N1224" s="6">
        <v>12852</v>
      </c>
      <c r="O1224" s="6">
        <f>-4121.8-4000-4730.2</f>
        <v>-12852</v>
      </c>
      <c r="P1224" s="6">
        <f t="shared" si="365"/>
        <v>0</v>
      </c>
      <c r="Q1224" s="7">
        <f t="shared" si="366"/>
        <v>2229617.7500000009</v>
      </c>
      <c r="R1224" s="44" t="str">
        <f>VLOOKUP(F1224,'Set up'!$A$2:$E$48,5,FALSE)</f>
        <v>Trsf</v>
      </c>
      <c r="S1224" s="1" t="s">
        <v>1572</v>
      </c>
    </row>
    <row r="1225" spans="1:19" x14ac:dyDescent="0.3">
      <c r="A1225" s="4">
        <v>44904</v>
      </c>
      <c r="B1225" s="5">
        <f t="shared" si="367"/>
        <v>12</v>
      </c>
      <c r="C1225" s="5">
        <f t="shared" si="368"/>
        <v>2022</v>
      </c>
      <c r="D1225" s="5" t="s">
        <v>1123</v>
      </c>
      <c r="E1225" s="5" t="str">
        <f>VLOOKUP(F1225,'Set up'!$A$2:$C$48,2,FALSE)</f>
        <v>C00000020</v>
      </c>
      <c r="F1225" s="1" t="s">
        <v>410</v>
      </c>
      <c r="G1225" s="89" t="s">
        <v>990</v>
      </c>
      <c r="H1225" s="5">
        <v>2</v>
      </c>
      <c r="I1225" s="5" t="str">
        <f>VLOOKUP(F1225,'Set up'!$A$2:$C$48,3,FALSE)</f>
        <v>Cash</v>
      </c>
      <c r="J1225" s="5">
        <f>VLOOKUP(F1225,'Set up'!$A$2:$D$48,4,FALSE)</f>
        <v>0</v>
      </c>
      <c r="K1225" s="4">
        <f t="shared" si="336"/>
        <v>44904</v>
      </c>
      <c r="L1225" s="5">
        <f t="shared" si="369"/>
        <v>12</v>
      </c>
      <c r="M1225" s="5">
        <f t="shared" si="370"/>
        <v>2022</v>
      </c>
      <c r="N1225" s="6">
        <v>585</v>
      </c>
      <c r="O1225" s="6">
        <f>-269.8-315.2</f>
        <v>-585</v>
      </c>
      <c r="P1225" s="6">
        <f t="shared" si="365"/>
        <v>0</v>
      </c>
      <c r="Q1225" s="7">
        <f t="shared" si="366"/>
        <v>2230202.7500000009</v>
      </c>
      <c r="R1225" s="44" t="str">
        <f>VLOOKUP(F1225,'Set up'!$A$2:$E$48,5,FALSE)</f>
        <v>Trsf</v>
      </c>
      <c r="S1225" s="1" t="s">
        <v>1693</v>
      </c>
    </row>
    <row r="1226" spans="1:19" x14ac:dyDescent="0.3">
      <c r="A1226" s="4">
        <v>44904</v>
      </c>
      <c r="B1226" s="5">
        <f t="shared" si="367"/>
        <v>12</v>
      </c>
      <c r="C1226" s="5">
        <f t="shared" si="368"/>
        <v>2022</v>
      </c>
      <c r="D1226" s="5" t="s">
        <v>1123</v>
      </c>
      <c r="E1226" s="5" t="str">
        <f>VLOOKUP(F1226,'Set up'!$A$2:$C$48,2,FALSE)</f>
        <v>C00000020</v>
      </c>
      <c r="F1226" s="1" t="s">
        <v>410</v>
      </c>
      <c r="G1226" s="89" t="s">
        <v>1122</v>
      </c>
      <c r="H1226" s="5">
        <v>20</v>
      </c>
      <c r="I1226" s="5" t="str">
        <f>VLOOKUP(F1226,'Set up'!$A$2:$C$48,3,FALSE)</f>
        <v>Cash</v>
      </c>
      <c r="J1226" s="5">
        <f>VLOOKUP(F1226,'Set up'!$A$2:$D$48,4,FALSE)</f>
        <v>0</v>
      </c>
      <c r="K1226" s="4">
        <f t="shared" si="336"/>
        <v>44904</v>
      </c>
      <c r="L1226" s="5">
        <f t="shared" ref="L1226:L1289" si="371">MONTH(K1226)</f>
        <v>12</v>
      </c>
      <c r="M1226" s="5">
        <f t="shared" ref="M1226:M1289" si="372">YEAR(K1226)</f>
        <v>2022</v>
      </c>
      <c r="N1226" s="6">
        <v>5200</v>
      </c>
      <c r="O1226" s="6">
        <f>-N1226</f>
        <v>-5200</v>
      </c>
      <c r="P1226" s="6">
        <f t="shared" si="365"/>
        <v>0</v>
      </c>
      <c r="Q1226" s="7">
        <f t="shared" si="366"/>
        <v>2235402.7500000009</v>
      </c>
      <c r="R1226" s="44" t="str">
        <f>VLOOKUP(F1226,'Set up'!$A$2:$E$48,5,FALSE)</f>
        <v>Trsf</v>
      </c>
      <c r="S1226" s="1" t="s">
        <v>1694</v>
      </c>
    </row>
    <row r="1227" spans="1:19" x14ac:dyDescent="0.3">
      <c r="A1227" s="4">
        <v>44904</v>
      </c>
      <c r="B1227" s="5">
        <f t="shared" si="367"/>
        <v>12</v>
      </c>
      <c r="C1227" s="5">
        <f t="shared" si="368"/>
        <v>2022</v>
      </c>
      <c r="D1227" s="5" t="s">
        <v>1123</v>
      </c>
      <c r="E1227" s="5" t="str">
        <f>VLOOKUP(F1227,'Set up'!$A$2:$C$48,2,FALSE)</f>
        <v>C00000020</v>
      </c>
      <c r="F1227" s="1" t="s">
        <v>410</v>
      </c>
      <c r="G1227" s="89" t="s">
        <v>64</v>
      </c>
      <c r="H1227" s="5">
        <v>15</v>
      </c>
      <c r="I1227" s="5" t="str">
        <f>VLOOKUP(F1227,'Set up'!$A$2:$C$48,3,FALSE)</f>
        <v>Cash</v>
      </c>
      <c r="J1227" s="5">
        <f>VLOOKUP(F1227,'Set up'!$A$2:$D$48,4,FALSE)</f>
        <v>0</v>
      </c>
      <c r="K1227" s="4">
        <f t="shared" si="336"/>
        <v>44904</v>
      </c>
      <c r="L1227" s="5">
        <f t="shared" si="371"/>
        <v>12</v>
      </c>
      <c r="M1227" s="5">
        <f t="shared" si="372"/>
        <v>2022</v>
      </c>
      <c r="N1227" s="6">
        <v>937.5</v>
      </c>
      <c r="O1227" s="6">
        <f>-N1227</f>
        <v>-937.5</v>
      </c>
      <c r="P1227" s="6">
        <f t="shared" si="365"/>
        <v>0</v>
      </c>
      <c r="Q1227" s="7">
        <f t="shared" si="366"/>
        <v>2236340.2500000009</v>
      </c>
      <c r="R1227" s="44" t="str">
        <f>VLOOKUP(F1227,'Set up'!$A$2:$E$48,5,FALSE)</f>
        <v>Trsf</v>
      </c>
      <c r="S1227" s="1" t="s">
        <v>1694</v>
      </c>
    </row>
    <row r="1228" spans="1:19" x14ac:dyDescent="0.3">
      <c r="A1228" s="4">
        <v>44904</v>
      </c>
      <c r="B1228" s="5">
        <f t="shared" si="367"/>
        <v>12</v>
      </c>
      <c r="C1228" s="5">
        <f t="shared" si="368"/>
        <v>2022</v>
      </c>
      <c r="D1228" s="5" t="s">
        <v>1123</v>
      </c>
      <c r="E1228" s="5" t="str">
        <f>VLOOKUP(F1228,'Set up'!$A$2:$C$48,2,FALSE)</f>
        <v>C00000020</v>
      </c>
      <c r="F1228" s="1" t="s">
        <v>410</v>
      </c>
      <c r="G1228" s="89" t="s">
        <v>991</v>
      </c>
      <c r="H1228" s="5">
        <v>2</v>
      </c>
      <c r="I1228" s="5" t="str">
        <f>VLOOKUP(F1228,'Set up'!$A$2:$C$48,3,FALSE)</f>
        <v>Cash</v>
      </c>
      <c r="J1228" s="5">
        <f>VLOOKUP(F1228,'Set up'!$A$2:$D$48,4,FALSE)</f>
        <v>0</v>
      </c>
      <c r="K1228" s="4">
        <f t="shared" si="336"/>
        <v>44904</v>
      </c>
      <c r="L1228" s="5">
        <f t="shared" si="371"/>
        <v>12</v>
      </c>
      <c r="M1228" s="5">
        <f t="shared" si="372"/>
        <v>2022</v>
      </c>
      <c r="N1228" s="6">
        <v>2000</v>
      </c>
      <c r="O1228" s="6">
        <f>-N1228</f>
        <v>-2000</v>
      </c>
      <c r="P1228" s="6">
        <f t="shared" si="365"/>
        <v>0</v>
      </c>
      <c r="Q1228" s="7">
        <f t="shared" si="366"/>
        <v>2238340.2500000009</v>
      </c>
      <c r="R1228" s="44" t="str">
        <f>VLOOKUP(F1228,'Set up'!$A$2:$E$48,5,FALSE)</f>
        <v>Trsf</v>
      </c>
      <c r="S1228" s="1" t="s">
        <v>1694</v>
      </c>
    </row>
    <row r="1229" spans="1:19" x14ac:dyDescent="0.3">
      <c r="A1229" s="4">
        <v>44904</v>
      </c>
      <c r="B1229" s="5">
        <f t="shared" si="367"/>
        <v>12</v>
      </c>
      <c r="C1229" s="5">
        <f t="shared" si="368"/>
        <v>2022</v>
      </c>
      <c r="D1229" s="5" t="s">
        <v>1123</v>
      </c>
      <c r="E1229" s="5" t="str">
        <f>VLOOKUP(F1229,'Set up'!$A$2:$C$48,2,FALSE)</f>
        <v>C00000020</v>
      </c>
      <c r="F1229" s="1" t="s">
        <v>410</v>
      </c>
      <c r="G1229" s="89" t="s">
        <v>1075</v>
      </c>
      <c r="H1229" s="5">
        <v>6</v>
      </c>
      <c r="I1229" s="5" t="str">
        <f>VLOOKUP(F1229,'Set up'!$A$2:$C$48,3,FALSE)</f>
        <v>Cash</v>
      </c>
      <c r="J1229" s="5">
        <f>VLOOKUP(F1229,'Set up'!$A$2:$D$48,4,FALSE)</f>
        <v>0</v>
      </c>
      <c r="K1229" s="4">
        <f t="shared" si="336"/>
        <v>44904</v>
      </c>
      <c r="L1229" s="5">
        <f t="shared" si="371"/>
        <v>12</v>
      </c>
      <c r="M1229" s="5">
        <f t="shared" si="372"/>
        <v>2022</v>
      </c>
      <c r="N1229" s="6">
        <v>453.59999999999997</v>
      </c>
      <c r="O1229" s="6">
        <f>-N1229</f>
        <v>-453.59999999999997</v>
      </c>
      <c r="P1229" s="6">
        <f t="shared" si="365"/>
        <v>0</v>
      </c>
      <c r="Q1229" s="7">
        <f t="shared" si="366"/>
        <v>2238793.850000001</v>
      </c>
      <c r="R1229" s="44" t="str">
        <f>VLOOKUP(F1229,'Set up'!$A$2:$E$48,5,FALSE)</f>
        <v>Trsf</v>
      </c>
      <c r="S1229" s="1" t="s">
        <v>1694</v>
      </c>
    </row>
    <row r="1230" spans="1:19" hidden="1" x14ac:dyDescent="0.3">
      <c r="A1230" s="4">
        <v>44908</v>
      </c>
      <c r="B1230" s="5">
        <f t="shared" si="367"/>
        <v>12</v>
      </c>
      <c r="C1230" s="5">
        <f t="shared" si="368"/>
        <v>2022</v>
      </c>
      <c r="D1230" s="5" t="s">
        <v>1124</v>
      </c>
      <c r="E1230" s="5" t="str">
        <f>VLOOKUP(F1230,'Set up'!$A$2:$C$48,2,FALSE)</f>
        <v>C00000021</v>
      </c>
      <c r="F1230" s="1" t="s">
        <v>492</v>
      </c>
      <c r="G1230" s="89" t="s">
        <v>717</v>
      </c>
      <c r="H1230" s="5">
        <v>1</v>
      </c>
      <c r="I1230" s="5" t="str">
        <f>VLOOKUP(F1230,'Set up'!$A$2:$C$48,3,FALSE)</f>
        <v>Cash</v>
      </c>
      <c r="J1230" s="5">
        <f>VLOOKUP(F1230,'Set up'!$A$2:$D$48,4,FALSE)</f>
        <v>0</v>
      </c>
      <c r="K1230" s="4">
        <f t="shared" si="336"/>
        <v>44908</v>
      </c>
      <c r="L1230" s="5">
        <f t="shared" si="371"/>
        <v>12</v>
      </c>
      <c r="M1230" s="5">
        <f t="shared" si="372"/>
        <v>2022</v>
      </c>
      <c r="N1230" s="6">
        <v>1936</v>
      </c>
      <c r="O1230" s="6">
        <f t="shared" ref="O1230:O1232" si="373">-N1230</f>
        <v>-1936</v>
      </c>
      <c r="P1230" s="6">
        <f t="shared" si="365"/>
        <v>0</v>
      </c>
      <c r="Q1230" s="7">
        <f t="shared" si="366"/>
        <v>2240729.850000001</v>
      </c>
      <c r="R1230" s="44" t="str">
        <f>VLOOKUP(F1230,'Set up'!$A$2:$E$48,5,FALSE)</f>
        <v>PD Chq</v>
      </c>
      <c r="S1230" s="1" t="s">
        <v>1479</v>
      </c>
    </row>
    <row r="1231" spans="1:19" hidden="1" x14ac:dyDescent="0.3">
      <c r="A1231" s="4">
        <v>44908</v>
      </c>
      <c r="B1231" s="5">
        <f t="shared" si="367"/>
        <v>12</v>
      </c>
      <c r="C1231" s="5">
        <f t="shared" si="368"/>
        <v>2022</v>
      </c>
      <c r="D1231" s="5" t="s">
        <v>1124</v>
      </c>
      <c r="E1231" s="5" t="str">
        <f>VLOOKUP(F1231,'Set up'!$A$2:$C$48,2,FALSE)</f>
        <v>C00000021</v>
      </c>
      <c r="F1231" s="1" t="s">
        <v>492</v>
      </c>
      <c r="G1231" s="89" t="s">
        <v>655</v>
      </c>
      <c r="H1231" s="5">
        <v>3</v>
      </c>
      <c r="I1231" s="5" t="str">
        <f>VLOOKUP(F1231,'Set up'!$A$2:$C$48,3,FALSE)</f>
        <v>Cash</v>
      </c>
      <c r="J1231" s="5">
        <f>VLOOKUP(F1231,'Set up'!$A$2:$D$48,4,FALSE)</f>
        <v>0</v>
      </c>
      <c r="K1231" s="4">
        <f t="shared" si="336"/>
        <v>44908</v>
      </c>
      <c r="L1231" s="5">
        <f t="shared" si="371"/>
        <v>12</v>
      </c>
      <c r="M1231" s="5">
        <f t="shared" si="372"/>
        <v>2022</v>
      </c>
      <c r="N1231" s="6">
        <v>801</v>
      </c>
      <c r="O1231" s="6">
        <f t="shared" si="373"/>
        <v>-801</v>
      </c>
      <c r="P1231" s="6">
        <f t="shared" si="365"/>
        <v>0</v>
      </c>
      <c r="Q1231" s="7">
        <f t="shared" si="366"/>
        <v>2241530.850000001</v>
      </c>
      <c r="R1231" s="44" t="str">
        <f>VLOOKUP(F1231,'Set up'!$A$2:$E$48,5,FALSE)</f>
        <v>PD Chq</v>
      </c>
      <c r="S1231" s="1" t="s">
        <v>1479</v>
      </c>
    </row>
    <row r="1232" spans="1:19" hidden="1" x14ac:dyDescent="0.3">
      <c r="A1232" s="4">
        <v>44908</v>
      </c>
      <c r="B1232" s="5">
        <f t="shared" si="367"/>
        <v>12</v>
      </c>
      <c r="C1232" s="5">
        <f t="shared" si="368"/>
        <v>2022</v>
      </c>
      <c r="D1232" s="5" t="s">
        <v>1124</v>
      </c>
      <c r="E1232" s="5" t="str">
        <f>VLOOKUP(F1232,'Set up'!$A$2:$C$48,2,FALSE)</f>
        <v>C00000021</v>
      </c>
      <c r="F1232" s="1" t="s">
        <v>492</v>
      </c>
      <c r="G1232" s="89" t="s">
        <v>46</v>
      </c>
      <c r="H1232" s="5">
        <v>1</v>
      </c>
      <c r="I1232" s="5" t="str">
        <f>VLOOKUP(F1232,'Set up'!$A$2:$C$48,3,FALSE)</f>
        <v>Cash</v>
      </c>
      <c r="J1232" s="5">
        <f>VLOOKUP(F1232,'Set up'!$A$2:$D$48,4,FALSE)</f>
        <v>0</v>
      </c>
      <c r="K1232" s="4">
        <f t="shared" si="336"/>
        <v>44908</v>
      </c>
      <c r="L1232" s="5">
        <f t="shared" si="371"/>
        <v>12</v>
      </c>
      <c r="M1232" s="5">
        <f t="shared" si="372"/>
        <v>2022</v>
      </c>
      <c r="N1232" s="6">
        <v>105</v>
      </c>
      <c r="O1232" s="6">
        <f t="shared" si="373"/>
        <v>-105</v>
      </c>
      <c r="P1232" s="6">
        <f t="shared" si="365"/>
        <v>0</v>
      </c>
      <c r="Q1232" s="7">
        <f t="shared" si="366"/>
        <v>2241635.850000001</v>
      </c>
      <c r="R1232" s="44" t="str">
        <f>VLOOKUP(F1232,'Set up'!$A$2:$E$48,5,FALSE)</f>
        <v>PD Chq</v>
      </c>
      <c r="S1232" s="1" t="s">
        <v>1479</v>
      </c>
    </row>
    <row r="1233" spans="1:19" hidden="1" x14ac:dyDescent="0.3">
      <c r="A1233" s="4" t="s">
        <v>1125</v>
      </c>
      <c r="B1233" s="5">
        <f t="shared" si="367"/>
        <v>12</v>
      </c>
      <c r="C1233" s="5">
        <f t="shared" si="368"/>
        <v>2022</v>
      </c>
      <c r="D1233" s="5" t="s">
        <v>1126</v>
      </c>
      <c r="E1233" s="5" t="str">
        <f>VLOOKUP(F1233,'Set up'!$A$2:$C$48,2,FALSE)</f>
        <v>C00000026</v>
      </c>
      <c r="F1233" s="1" t="s">
        <v>785</v>
      </c>
      <c r="G1233" s="89" t="s">
        <v>717</v>
      </c>
      <c r="H1233" s="5">
        <v>1</v>
      </c>
      <c r="I1233" s="5" t="str">
        <f>VLOOKUP(F1233,'Set up'!$A$2:$C$48,3,FALSE)</f>
        <v>Cash</v>
      </c>
      <c r="J1233" s="5">
        <f>VLOOKUP(F1233,'Set up'!$A$2:$D$48,4,FALSE)</f>
        <v>0</v>
      </c>
      <c r="K1233" s="4">
        <f t="shared" si="336"/>
        <v>44909</v>
      </c>
      <c r="L1233" s="5">
        <f t="shared" si="371"/>
        <v>12</v>
      </c>
      <c r="M1233" s="5">
        <f t="shared" si="372"/>
        <v>2022</v>
      </c>
      <c r="N1233" s="6">
        <v>1958</v>
      </c>
      <c r="O1233" s="6">
        <f t="shared" ref="O1233:O1234" si="374">-N1233</f>
        <v>-1958</v>
      </c>
      <c r="P1233" s="6">
        <f t="shared" si="365"/>
        <v>0</v>
      </c>
      <c r="Q1233" s="7">
        <f t="shared" si="366"/>
        <v>2243593.850000001</v>
      </c>
      <c r="R1233" s="44" t="str">
        <f>VLOOKUP(F1233,'Set up'!$A$2:$E$48,5,FALSE)</f>
        <v>Trsf</v>
      </c>
      <c r="S1233" s="1" t="s">
        <v>1147</v>
      </c>
    </row>
    <row r="1234" spans="1:19" hidden="1" x14ac:dyDescent="0.3">
      <c r="A1234" s="4" t="s">
        <v>1125</v>
      </c>
      <c r="B1234" s="5">
        <f t="shared" si="367"/>
        <v>12</v>
      </c>
      <c r="C1234" s="5">
        <f t="shared" si="368"/>
        <v>2022</v>
      </c>
      <c r="D1234" s="5" t="s">
        <v>1126</v>
      </c>
      <c r="E1234" s="5" t="str">
        <f>VLOOKUP(F1234,'Set up'!$A$2:$C$48,2,FALSE)</f>
        <v>C00000026</v>
      </c>
      <c r="F1234" s="1" t="s">
        <v>785</v>
      </c>
      <c r="G1234" s="89" t="s">
        <v>946</v>
      </c>
      <c r="H1234" s="5">
        <v>1</v>
      </c>
      <c r="I1234" s="5" t="str">
        <f>VLOOKUP(F1234,'Set up'!$A$2:$C$48,3,FALSE)</f>
        <v>Cash</v>
      </c>
      <c r="J1234" s="5">
        <f>VLOOKUP(F1234,'Set up'!$A$2:$D$48,4,FALSE)</f>
        <v>0</v>
      </c>
      <c r="K1234" s="4">
        <f t="shared" si="336"/>
        <v>44909</v>
      </c>
      <c r="L1234" s="5">
        <f t="shared" si="371"/>
        <v>12</v>
      </c>
      <c r="M1234" s="5">
        <f t="shared" si="372"/>
        <v>2022</v>
      </c>
      <c r="N1234" s="6">
        <v>105</v>
      </c>
      <c r="O1234" s="6">
        <f t="shared" si="374"/>
        <v>-105</v>
      </c>
      <c r="P1234" s="6">
        <f t="shared" si="365"/>
        <v>0</v>
      </c>
      <c r="Q1234" s="7">
        <f t="shared" si="366"/>
        <v>2243698.850000001</v>
      </c>
      <c r="R1234" s="44" t="str">
        <f>VLOOKUP(F1234,'Set up'!$A$2:$E$48,5,FALSE)</f>
        <v>Trsf</v>
      </c>
      <c r="S1234" s="1" t="s">
        <v>1147</v>
      </c>
    </row>
    <row r="1235" spans="1:19" x14ac:dyDescent="0.3">
      <c r="A1235" s="4">
        <v>44917</v>
      </c>
      <c r="B1235" s="5">
        <f t="shared" si="367"/>
        <v>12</v>
      </c>
      <c r="C1235" s="5">
        <f t="shared" si="368"/>
        <v>2022</v>
      </c>
      <c r="D1235" s="5" t="s">
        <v>1128</v>
      </c>
      <c r="E1235" s="5" t="str">
        <f>VLOOKUP(F1235,'Set up'!$A$2:$C$48,2,FALSE)</f>
        <v>C00000020</v>
      </c>
      <c r="F1235" s="1" t="s">
        <v>410</v>
      </c>
      <c r="G1235" s="89" t="s">
        <v>720</v>
      </c>
      <c r="H1235" s="5">
        <v>9</v>
      </c>
      <c r="I1235" s="5" t="str">
        <f>VLOOKUP(F1235,'Set up'!$A$2:$C$48,3,FALSE)</f>
        <v>Cash</v>
      </c>
      <c r="J1235" s="5">
        <f>VLOOKUP(F1235,'Set up'!$A$2:$D$48,4,FALSE)</f>
        <v>0</v>
      </c>
      <c r="K1235" s="4">
        <f t="shared" si="336"/>
        <v>44917</v>
      </c>
      <c r="L1235" s="5">
        <f t="shared" si="371"/>
        <v>12</v>
      </c>
      <c r="M1235" s="5">
        <f t="shared" si="372"/>
        <v>2022</v>
      </c>
      <c r="N1235" s="6">
        <v>16236</v>
      </c>
      <c r="O1235" s="6">
        <f>-11093.7-200-4942.3</f>
        <v>-16236</v>
      </c>
      <c r="P1235" s="6">
        <f t="shared" si="365"/>
        <v>0</v>
      </c>
      <c r="Q1235" s="7">
        <f t="shared" si="366"/>
        <v>2259934.850000001</v>
      </c>
      <c r="R1235" s="44" t="str">
        <f>VLOOKUP(F1235,'Set up'!$A$2:$E$48,5,FALSE)</f>
        <v>Trsf</v>
      </c>
      <c r="S1235" s="1" t="s">
        <v>1761</v>
      </c>
    </row>
    <row r="1236" spans="1:19" x14ac:dyDescent="0.3">
      <c r="A1236" s="4">
        <v>44917</v>
      </c>
      <c r="B1236" s="5">
        <f t="shared" si="367"/>
        <v>12</v>
      </c>
      <c r="C1236" s="5">
        <f t="shared" si="368"/>
        <v>2022</v>
      </c>
      <c r="D1236" s="5" t="s">
        <v>1128</v>
      </c>
      <c r="E1236" s="5" t="str">
        <f>VLOOKUP(F1236,'Set up'!$A$2:$C$48,2,FALSE)</f>
        <v>C00000020</v>
      </c>
      <c r="F1236" s="1" t="s">
        <v>410</v>
      </c>
      <c r="G1236" s="89" t="s">
        <v>717</v>
      </c>
      <c r="H1236" s="5">
        <v>6</v>
      </c>
      <c r="I1236" s="5" t="str">
        <f>VLOOKUP(F1236,'Set up'!$A$2:$C$48,3,FALSE)</f>
        <v>Cash</v>
      </c>
      <c r="J1236" s="5">
        <f>VLOOKUP(F1236,'Set up'!$A$2:$D$48,4,FALSE)</f>
        <v>0</v>
      </c>
      <c r="K1236" s="4">
        <f t="shared" si="336"/>
        <v>44917</v>
      </c>
      <c r="L1236" s="5">
        <f t="shared" si="371"/>
        <v>12</v>
      </c>
      <c r="M1236" s="5">
        <f t="shared" si="372"/>
        <v>2022</v>
      </c>
      <c r="N1236" s="6">
        <v>10824</v>
      </c>
      <c r="O1236" s="6">
        <f>-N1236</f>
        <v>-10824</v>
      </c>
      <c r="P1236" s="6">
        <f t="shared" si="365"/>
        <v>0</v>
      </c>
      <c r="Q1236" s="7">
        <f t="shared" si="366"/>
        <v>2270758.850000001</v>
      </c>
      <c r="R1236" s="44" t="str">
        <f>VLOOKUP(F1236,'Set up'!$A$2:$E$48,5,FALSE)</f>
        <v>Trsf</v>
      </c>
      <c r="S1236" s="1" t="s">
        <v>1762</v>
      </c>
    </row>
    <row r="1237" spans="1:19" x14ac:dyDescent="0.3">
      <c r="A1237" s="4">
        <v>44917</v>
      </c>
      <c r="B1237" s="5">
        <f t="shared" si="367"/>
        <v>12</v>
      </c>
      <c r="C1237" s="5">
        <f t="shared" si="368"/>
        <v>2022</v>
      </c>
      <c r="D1237" s="5" t="s">
        <v>1128</v>
      </c>
      <c r="E1237" s="5" t="str">
        <f>VLOOKUP(F1237,'Set up'!$A$2:$C$48,2,FALSE)</f>
        <v>C00000020</v>
      </c>
      <c r="F1237" s="1" t="s">
        <v>410</v>
      </c>
      <c r="G1237" s="89" t="s">
        <v>989</v>
      </c>
      <c r="H1237" s="5">
        <v>42</v>
      </c>
      <c r="I1237" s="5" t="str">
        <f>VLOOKUP(F1237,'Set up'!$A$2:$C$48,3,FALSE)</f>
        <v>Cash</v>
      </c>
      <c r="J1237" s="5">
        <f>VLOOKUP(F1237,'Set up'!$A$2:$D$48,4,FALSE)</f>
        <v>0</v>
      </c>
      <c r="K1237" s="4">
        <f t="shared" si="336"/>
        <v>44917</v>
      </c>
      <c r="L1237" s="5">
        <f t="shared" si="371"/>
        <v>12</v>
      </c>
      <c r="M1237" s="5">
        <f t="shared" si="372"/>
        <v>2022</v>
      </c>
      <c r="N1237" s="6">
        <v>10584</v>
      </c>
      <c r="O1237" s="6">
        <f>-4233.7-6350.3</f>
        <v>-10584</v>
      </c>
      <c r="P1237" s="6">
        <f t="shared" si="365"/>
        <v>0</v>
      </c>
      <c r="Q1237" s="7">
        <f t="shared" si="366"/>
        <v>2281342.850000001</v>
      </c>
      <c r="R1237" s="44" t="str">
        <f>VLOOKUP(F1237,'Set up'!$A$2:$E$48,5,FALSE)</f>
        <v>Trsf</v>
      </c>
      <c r="S1237" s="1" t="s">
        <v>1763</v>
      </c>
    </row>
    <row r="1238" spans="1:19" x14ac:dyDescent="0.3">
      <c r="A1238" s="4">
        <v>44917</v>
      </c>
      <c r="B1238" s="5">
        <f t="shared" si="367"/>
        <v>12</v>
      </c>
      <c r="C1238" s="5">
        <f t="shared" si="368"/>
        <v>2022</v>
      </c>
      <c r="D1238" s="5" t="s">
        <v>1128</v>
      </c>
      <c r="E1238" s="5" t="str">
        <f>VLOOKUP(F1238,'Set up'!$A$2:$C$48,2,FALSE)</f>
        <v>C00000020</v>
      </c>
      <c r="F1238" s="1" t="s">
        <v>410</v>
      </c>
      <c r="G1238" s="89" t="s">
        <v>1122</v>
      </c>
      <c r="H1238" s="5">
        <v>20</v>
      </c>
      <c r="I1238" s="5" t="str">
        <f>VLOOKUP(F1238,'Set up'!$A$2:$C$48,3,FALSE)</f>
        <v>Cash</v>
      </c>
      <c r="J1238" s="5">
        <f>VLOOKUP(F1238,'Set up'!$A$2:$D$48,4,FALSE)</f>
        <v>0</v>
      </c>
      <c r="K1238" s="4">
        <f t="shared" si="336"/>
        <v>44917</v>
      </c>
      <c r="L1238" s="5">
        <f t="shared" si="371"/>
        <v>12</v>
      </c>
      <c r="M1238" s="5">
        <f t="shared" si="372"/>
        <v>2022</v>
      </c>
      <c r="N1238" s="6">
        <v>5200</v>
      </c>
      <c r="O1238" s="6">
        <f>-3649.7-1550.3</f>
        <v>-5200</v>
      </c>
      <c r="P1238" s="6">
        <f t="shared" si="365"/>
        <v>0</v>
      </c>
      <c r="Q1238" s="7">
        <f t="shared" si="366"/>
        <v>2286542.850000001</v>
      </c>
      <c r="R1238" s="44" t="str">
        <f>VLOOKUP(F1238,'Set up'!$A$2:$E$48,5,FALSE)</f>
        <v>Trsf</v>
      </c>
      <c r="S1238" s="1" t="s">
        <v>1765</v>
      </c>
    </row>
    <row r="1239" spans="1:19" x14ac:dyDescent="0.3">
      <c r="A1239" s="4">
        <v>44917</v>
      </c>
      <c r="B1239" s="5">
        <f t="shared" si="367"/>
        <v>12</v>
      </c>
      <c r="C1239" s="5">
        <f t="shared" si="368"/>
        <v>2022</v>
      </c>
      <c r="D1239" s="5" t="s">
        <v>1128</v>
      </c>
      <c r="E1239" s="5" t="str">
        <f>VLOOKUP(F1239,'Set up'!$A$2:$C$48,2,FALSE)</f>
        <v>C00000020</v>
      </c>
      <c r="F1239" s="1" t="s">
        <v>410</v>
      </c>
      <c r="G1239" s="89" t="s">
        <v>64</v>
      </c>
      <c r="H1239" s="5">
        <v>15</v>
      </c>
      <c r="I1239" s="5" t="str">
        <f>VLOOKUP(F1239,'Set up'!$A$2:$C$48,3,FALSE)</f>
        <v>Cash</v>
      </c>
      <c r="J1239" s="5">
        <f>VLOOKUP(F1239,'Set up'!$A$2:$D$48,4,FALSE)</f>
        <v>0</v>
      </c>
      <c r="K1239" s="4">
        <f t="shared" si="336"/>
        <v>44917</v>
      </c>
      <c r="L1239" s="5">
        <f t="shared" si="371"/>
        <v>12</v>
      </c>
      <c r="M1239" s="5">
        <f t="shared" si="372"/>
        <v>2022</v>
      </c>
      <c r="N1239" s="6">
        <v>937.5</v>
      </c>
      <c r="O1239" s="6">
        <f t="shared" ref="O1239:O1245" si="375">-N1239</f>
        <v>-937.5</v>
      </c>
      <c r="P1239" s="6">
        <f t="shared" si="365"/>
        <v>0</v>
      </c>
      <c r="Q1239" s="7">
        <f t="shared" si="366"/>
        <v>2287480.350000001</v>
      </c>
      <c r="R1239" s="44" t="str">
        <f>VLOOKUP(F1239,'Set up'!$A$2:$E$48,5,FALSE)</f>
        <v>Trsf</v>
      </c>
      <c r="S1239" s="1" t="s">
        <v>1766</v>
      </c>
    </row>
    <row r="1240" spans="1:19" x14ac:dyDescent="0.3">
      <c r="A1240" s="4">
        <v>44917</v>
      </c>
      <c r="B1240" s="5">
        <f t="shared" si="367"/>
        <v>12</v>
      </c>
      <c r="C1240" s="5">
        <f t="shared" si="368"/>
        <v>2022</v>
      </c>
      <c r="D1240" s="5" t="s">
        <v>1128</v>
      </c>
      <c r="E1240" s="5" t="str">
        <f>VLOOKUP(F1240,'Set up'!$A$2:$C$48,2,FALSE)</f>
        <v>C00000020</v>
      </c>
      <c r="F1240" s="1" t="s">
        <v>410</v>
      </c>
      <c r="G1240" s="89" t="s">
        <v>991</v>
      </c>
      <c r="H1240" s="5">
        <v>3</v>
      </c>
      <c r="I1240" s="5" t="str">
        <f>VLOOKUP(F1240,'Set up'!$A$2:$C$48,3,FALSE)</f>
        <v>Cash</v>
      </c>
      <c r="J1240" s="5">
        <f>VLOOKUP(F1240,'Set up'!$A$2:$D$48,4,FALSE)</f>
        <v>0</v>
      </c>
      <c r="K1240" s="4">
        <f t="shared" ref="K1240:K1303" si="376">A1240+J1240</f>
        <v>44917</v>
      </c>
      <c r="L1240" s="5">
        <f t="shared" si="371"/>
        <v>12</v>
      </c>
      <c r="M1240" s="5">
        <f t="shared" si="372"/>
        <v>2022</v>
      </c>
      <c r="N1240" s="6">
        <v>3000</v>
      </c>
      <c r="O1240" s="6">
        <f t="shared" si="375"/>
        <v>-3000</v>
      </c>
      <c r="P1240" s="6">
        <f t="shared" si="365"/>
        <v>0</v>
      </c>
      <c r="Q1240" s="7">
        <f t="shared" si="366"/>
        <v>2290480.350000001</v>
      </c>
      <c r="R1240" s="44" t="str">
        <f>VLOOKUP(F1240,'Set up'!$A$2:$E$48,5,FALSE)</f>
        <v>Trsf</v>
      </c>
      <c r="S1240" s="1" t="s">
        <v>1767</v>
      </c>
    </row>
    <row r="1241" spans="1:19" x14ac:dyDescent="0.3">
      <c r="A1241" s="4">
        <v>44917</v>
      </c>
      <c r="B1241" s="5">
        <f t="shared" si="367"/>
        <v>12</v>
      </c>
      <c r="C1241" s="5">
        <f t="shared" si="368"/>
        <v>2022</v>
      </c>
      <c r="D1241" s="5" t="s">
        <v>1128</v>
      </c>
      <c r="E1241" s="5" t="str">
        <f>VLOOKUP(F1241,'Set up'!$A$2:$C$48,2,FALSE)</f>
        <v>C00000020</v>
      </c>
      <c r="F1241" s="1" t="s">
        <v>410</v>
      </c>
      <c r="G1241" s="89" t="s">
        <v>946</v>
      </c>
      <c r="H1241" s="5">
        <v>8</v>
      </c>
      <c r="I1241" s="5" t="str">
        <f>VLOOKUP(F1241,'Set up'!$A$2:$C$48,3,FALSE)</f>
        <v>Cash</v>
      </c>
      <c r="J1241" s="5">
        <f>VLOOKUP(F1241,'Set up'!$A$2:$D$48,4,FALSE)</f>
        <v>0</v>
      </c>
      <c r="K1241" s="4">
        <f t="shared" si="376"/>
        <v>44917</v>
      </c>
      <c r="L1241" s="5">
        <f t="shared" si="371"/>
        <v>12</v>
      </c>
      <c r="M1241" s="5">
        <f t="shared" si="372"/>
        <v>2022</v>
      </c>
      <c r="N1241" s="6">
        <v>840</v>
      </c>
      <c r="O1241" s="6">
        <f t="shared" si="375"/>
        <v>-840</v>
      </c>
      <c r="P1241" s="6">
        <f t="shared" si="365"/>
        <v>0</v>
      </c>
      <c r="Q1241" s="7">
        <f t="shared" si="366"/>
        <v>2291320.350000001</v>
      </c>
      <c r="R1241" s="44" t="str">
        <f>VLOOKUP(F1241,'Set up'!$A$2:$E$48,5,FALSE)</f>
        <v>Trsf</v>
      </c>
      <c r="S1241" s="1" t="s">
        <v>1768</v>
      </c>
    </row>
    <row r="1242" spans="1:19" x14ac:dyDescent="0.3">
      <c r="A1242" s="4">
        <v>44917</v>
      </c>
      <c r="B1242" s="5">
        <f t="shared" ref="B1242:B1254" si="377">MONTH(A1242)</f>
        <v>12</v>
      </c>
      <c r="C1242" s="5">
        <f t="shared" ref="C1242:C1254" si="378">YEAR(A1242)</f>
        <v>2022</v>
      </c>
      <c r="D1242" s="5" t="s">
        <v>1128</v>
      </c>
      <c r="E1242" s="5" t="str">
        <f>VLOOKUP(F1242,'Set up'!$A$2:$C$48,2,FALSE)</f>
        <v>C00000020</v>
      </c>
      <c r="F1242" s="1" t="s">
        <v>410</v>
      </c>
      <c r="G1242" s="89" t="s">
        <v>1127</v>
      </c>
      <c r="H1242" s="5">
        <v>1</v>
      </c>
      <c r="I1242" s="5" t="str">
        <f>VLOOKUP(F1242,'Set up'!$A$2:$C$48,3,FALSE)</f>
        <v>Cash</v>
      </c>
      <c r="J1242" s="5">
        <f>VLOOKUP(F1242,'Set up'!$A$2:$D$48,4,FALSE)</f>
        <v>0</v>
      </c>
      <c r="K1242" s="4">
        <f t="shared" si="376"/>
        <v>44917</v>
      </c>
      <c r="L1242" s="5">
        <f t="shared" si="371"/>
        <v>12</v>
      </c>
      <c r="M1242" s="5">
        <f t="shared" si="372"/>
        <v>2022</v>
      </c>
      <c r="N1242" s="6">
        <v>65</v>
      </c>
      <c r="O1242" s="6">
        <f t="shared" si="375"/>
        <v>-65</v>
      </c>
      <c r="P1242" s="6">
        <f t="shared" si="365"/>
        <v>0</v>
      </c>
      <c r="Q1242" s="7">
        <f t="shared" si="366"/>
        <v>2291385.350000001</v>
      </c>
      <c r="R1242" s="44" t="str">
        <f>VLOOKUP(F1242,'Set up'!$A$2:$E$48,5,FALSE)</f>
        <v>Trsf</v>
      </c>
      <c r="S1242" s="1" t="s">
        <v>1769</v>
      </c>
    </row>
    <row r="1243" spans="1:19" hidden="1" x14ac:dyDescent="0.3">
      <c r="A1243" s="4">
        <v>44915</v>
      </c>
      <c r="B1243" s="5">
        <f t="shared" si="377"/>
        <v>12</v>
      </c>
      <c r="C1243" s="5">
        <f t="shared" si="378"/>
        <v>2022</v>
      </c>
      <c r="D1243" s="5" t="s">
        <v>1129</v>
      </c>
      <c r="E1243" s="5" t="str">
        <f>VLOOKUP(F1243,'Set up'!$A$2:$C$48,2,FALSE)</f>
        <v>C00000001</v>
      </c>
      <c r="F1243" s="1" t="s">
        <v>7</v>
      </c>
      <c r="G1243" s="89" t="s">
        <v>717</v>
      </c>
      <c r="H1243" s="5">
        <v>1</v>
      </c>
      <c r="I1243" s="5" t="str">
        <f>VLOOKUP(F1243,'Set up'!$A$2:$C$48,3,FALSE)</f>
        <v>Cash</v>
      </c>
      <c r="J1243" s="5">
        <f>VLOOKUP(F1243,'Set up'!$A$2:$D$48,4,FALSE)</f>
        <v>0</v>
      </c>
      <c r="K1243" s="4">
        <f t="shared" si="376"/>
        <v>44915</v>
      </c>
      <c r="L1243" s="5">
        <f t="shared" si="371"/>
        <v>12</v>
      </c>
      <c r="M1243" s="5">
        <f t="shared" si="372"/>
        <v>2022</v>
      </c>
      <c r="N1243" s="6">
        <v>1892</v>
      </c>
      <c r="O1243" s="6">
        <f t="shared" si="375"/>
        <v>-1892</v>
      </c>
      <c r="P1243" s="6">
        <f t="shared" si="365"/>
        <v>0</v>
      </c>
      <c r="Q1243" s="7">
        <f t="shared" si="366"/>
        <v>2293277.350000001</v>
      </c>
      <c r="R1243" s="44" t="str">
        <f>VLOOKUP(F1243,'Set up'!$A$2:$E$48,5,FALSE)</f>
        <v>Trsf</v>
      </c>
      <c r="S1243" s="1" t="s">
        <v>1146</v>
      </c>
    </row>
    <row r="1244" spans="1:19" hidden="1" x14ac:dyDescent="0.3">
      <c r="A1244" s="4">
        <v>44915</v>
      </c>
      <c r="B1244" s="5">
        <f t="shared" si="377"/>
        <v>12</v>
      </c>
      <c r="C1244" s="5">
        <f t="shared" si="378"/>
        <v>2022</v>
      </c>
      <c r="D1244" s="5" t="s">
        <v>1129</v>
      </c>
      <c r="E1244" s="5" t="str">
        <f>VLOOKUP(F1244,'Set up'!$A$2:$C$48,2,FALSE)</f>
        <v>C00000001</v>
      </c>
      <c r="F1244" s="1" t="s">
        <v>7</v>
      </c>
      <c r="G1244" s="89" t="s">
        <v>989</v>
      </c>
      <c r="H1244" s="5">
        <v>4</v>
      </c>
      <c r="I1244" s="5" t="str">
        <f>VLOOKUP(F1244,'Set up'!$A$2:$C$48,3,FALSE)</f>
        <v>Cash</v>
      </c>
      <c r="J1244" s="5">
        <f>VLOOKUP(F1244,'Set up'!$A$2:$D$48,4,FALSE)</f>
        <v>0</v>
      </c>
      <c r="K1244" s="4">
        <f t="shared" si="376"/>
        <v>44915</v>
      </c>
      <c r="L1244" s="5">
        <f t="shared" si="371"/>
        <v>12</v>
      </c>
      <c r="M1244" s="5">
        <f t="shared" si="372"/>
        <v>2022</v>
      </c>
      <c r="N1244" s="6">
        <v>1020</v>
      </c>
      <c r="O1244" s="6">
        <f t="shared" si="375"/>
        <v>-1020</v>
      </c>
      <c r="P1244" s="6">
        <f t="shared" si="365"/>
        <v>0</v>
      </c>
      <c r="Q1244" s="7">
        <f t="shared" si="366"/>
        <v>2294297.350000001</v>
      </c>
      <c r="R1244" s="44" t="str">
        <f>VLOOKUP(F1244,'Set up'!$A$2:$E$48,5,FALSE)</f>
        <v>Trsf</v>
      </c>
      <c r="S1244" s="1" t="s">
        <v>1146</v>
      </c>
    </row>
    <row r="1245" spans="1:19" hidden="1" x14ac:dyDescent="0.3">
      <c r="A1245" s="4">
        <v>44915</v>
      </c>
      <c r="B1245" s="5">
        <f t="shared" si="377"/>
        <v>12</v>
      </c>
      <c r="C1245" s="5">
        <f t="shared" si="378"/>
        <v>2022</v>
      </c>
      <c r="D1245" s="5" t="s">
        <v>1129</v>
      </c>
      <c r="E1245" s="5" t="str">
        <f>VLOOKUP(F1245,'Set up'!$A$2:$C$48,2,FALSE)</f>
        <v>C00000001</v>
      </c>
      <c r="F1245" s="1" t="s">
        <v>7</v>
      </c>
      <c r="G1245" s="89" t="s">
        <v>46</v>
      </c>
      <c r="H1245" s="5">
        <v>4</v>
      </c>
      <c r="I1245" s="5" t="str">
        <f>VLOOKUP(F1245,'Set up'!$A$2:$C$48,3,FALSE)</f>
        <v>Cash</v>
      </c>
      <c r="J1245" s="5">
        <f>VLOOKUP(F1245,'Set up'!$A$2:$D$48,4,FALSE)</f>
        <v>0</v>
      </c>
      <c r="K1245" s="4">
        <f t="shared" si="376"/>
        <v>44915</v>
      </c>
      <c r="L1245" s="5">
        <f t="shared" si="371"/>
        <v>12</v>
      </c>
      <c r="M1245" s="5">
        <f t="shared" si="372"/>
        <v>2022</v>
      </c>
      <c r="N1245" s="6">
        <v>420</v>
      </c>
      <c r="O1245" s="6">
        <f t="shared" si="375"/>
        <v>-420</v>
      </c>
      <c r="P1245" s="6">
        <f t="shared" si="365"/>
        <v>0</v>
      </c>
      <c r="Q1245" s="7">
        <f t="shared" si="366"/>
        <v>2294717.350000001</v>
      </c>
      <c r="R1245" s="44" t="str">
        <f>VLOOKUP(F1245,'Set up'!$A$2:$E$48,5,FALSE)</f>
        <v>Trsf</v>
      </c>
      <c r="S1245" s="1" t="s">
        <v>1146</v>
      </c>
    </row>
    <row r="1246" spans="1:19" hidden="1" x14ac:dyDescent="0.3">
      <c r="A1246" s="4">
        <v>44917</v>
      </c>
      <c r="B1246" s="5">
        <f t="shared" si="377"/>
        <v>12</v>
      </c>
      <c r="C1246" s="5">
        <f t="shared" si="378"/>
        <v>2022</v>
      </c>
      <c r="D1246" s="5" t="s">
        <v>1131</v>
      </c>
      <c r="E1246" s="5" t="str">
        <f>VLOOKUP(F1246,'Set up'!$A$2:$C$48,2,FALSE)</f>
        <v>C00000022</v>
      </c>
      <c r="F1246" s="1" t="s">
        <v>638</v>
      </c>
      <c r="G1246" s="89" t="s">
        <v>1130</v>
      </c>
      <c r="H1246" s="5">
        <v>1</v>
      </c>
      <c r="I1246" s="5" t="str">
        <f>VLOOKUP(F1246,'Set up'!$A$2:$C$48,3,FALSE)</f>
        <v>Cash</v>
      </c>
      <c r="J1246" s="5">
        <f>VLOOKUP(F1246,'Set up'!$A$2:$D$48,4,FALSE)</f>
        <v>0</v>
      </c>
      <c r="K1246" s="4">
        <f t="shared" si="376"/>
        <v>44917</v>
      </c>
      <c r="L1246" s="5">
        <f t="shared" si="371"/>
        <v>12</v>
      </c>
      <c r="M1246" s="5">
        <f t="shared" si="372"/>
        <v>2022</v>
      </c>
      <c r="N1246" s="6">
        <v>50</v>
      </c>
      <c r="O1246" s="6">
        <f t="shared" ref="O1246" si="379">-N1246</f>
        <v>-50</v>
      </c>
      <c r="P1246" s="6">
        <f t="shared" si="365"/>
        <v>0</v>
      </c>
      <c r="Q1246" s="7">
        <f t="shared" si="366"/>
        <v>2294767.350000001</v>
      </c>
      <c r="R1246" s="44" t="str">
        <f>VLOOKUP(F1246,'Set up'!$A$2:$E$48,5,FALSE)</f>
        <v>Trsf</v>
      </c>
      <c r="S1246" s="1" t="s">
        <v>1215</v>
      </c>
    </row>
    <row r="1247" spans="1:19" hidden="1" x14ac:dyDescent="0.3">
      <c r="A1247" s="4" t="s">
        <v>1135</v>
      </c>
      <c r="B1247" s="5">
        <f t="shared" si="377"/>
        <v>12</v>
      </c>
      <c r="C1247" s="5">
        <f t="shared" si="378"/>
        <v>2022</v>
      </c>
      <c r="D1247" s="5" t="s">
        <v>1134</v>
      </c>
      <c r="E1247" s="5" t="str">
        <f>VLOOKUP(F1247,'Set up'!$A$2:$C$48,2,FALSE)</f>
        <v>C00000019</v>
      </c>
      <c r="F1247" s="1" t="s">
        <v>401</v>
      </c>
      <c r="G1247" s="89" t="s">
        <v>720</v>
      </c>
      <c r="H1247" s="5">
        <v>2</v>
      </c>
      <c r="I1247" s="5" t="str">
        <f>VLOOKUP(F1247,'Set up'!$A$2:$C$48,3,FALSE)</f>
        <v>Cash</v>
      </c>
      <c r="J1247" s="5">
        <f>VLOOKUP(F1247,'Set up'!$A$2:$D$48,4,FALSE)</f>
        <v>0</v>
      </c>
      <c r="K1247" s="4">
        <f t="shared" si="376"/>
        <v>44918</v>
      </c>
      <c r="L1247" s="5">
        <f t="shared" si="371"/>
        <v>12</v>
      </c>
      <c r="M1247" s="5">
        <f t="shared" si="372"/>
        <v>2022</v>
      </c>
      <c r="N1247" s="6">
        <v>3784</v>
      </c>
      <c r="O1247" s="6">
        <f>-1611.8-1500-672.2</f>
        <v>-3784</v>
      </c>
      <c r="P1247" s="6">
        <f t="shared" si="365"/>
        <v>0</v>
      </c>
      <c r="Q1247" s="7">
        <f t="shared" si="366"/>
        <v>2298551.350000001</v>
      </c>
      <c r="R1247" s="44" t="str">
        <f>VLOOKUP(F1247,'Set up'!$A$2:$E$48,5,FALSE)</f>
        <v>Trsf</v>
      </c>
      <c r="S1247" s="1" t="s">
        <v>1368</v>
      </c>
    </row>
    <row r="1248" spans="1:19" hidden="1" x14ac:dyDescent="0.3">
      <c r="A1248" s="4" t="s">
        <v>1135</v>
      </c>
      <c r="B1248" s="5">
        <f t="shared" si="377"/>
        <v>12</v>
      </c>
      <c r="C1248" s="5">
        <f t="shared" si="378"/>
        <v>2022</v>
      </c>
      <c r="D1248" s="5" t="s">
        <v>1134</v>
      </c>
      <c r="E1248" s="5" t="str">
        <f>VLOOKUP(F1248,'Set up'!$A$2:$C$48,2,FALSE)</f>
        <v>C00000019</v>
      </c>
      <c r="F1248" s="1" t="s">
        <v>401</v>
      </c>
      <c r="G1248" s="89" t="s">
        <v>1132</v>
      </c>
      <c r="H1248" s="5">
        <v>2</v>
      </c>
      <c r="I1248" s="5" t="str">
        <f>VLOOKUP(F1248,'Set up'!$A$2:$C$48,3,FALSE)</f>
        <v>Cash</v>
      </c>
      <c r="J1248" s="5">
        <f>VLOOKUP(F1248,'Set up'!$A$2:$D$48,4,FALSE)</f>
        <v>0</v>
      </c>
      <c r="K1248" s="4">
        <f t="shared" si="376"/>
        <v>44918</v>
      </c>
      <c r="L1248" s="5">
        <f t="shared" si="371"/>
        <v>12</v>
      </c>
      <c r="M1248" s="5">
        <f t="shared" si="372"/>
        <v>2022</v>
      </c>
      <c r="N1248" s="6">
        <v>939.6</v>
      </c>
      <c r="O1248" s="6">
        <f>-827.8-111.8</f>
        <v>-939.59999999999991</v>
      </c>
      <c r="P1248" s="6">
        <v>0</v>
      </c>
      <c r="Q1248" s="7">
        <f t="shared" si="366"/>
        <v>2299490.9500000011</v>
      </c>
      <c r="R1248" s="44" t="str">
        <f>VLOOKUP(F1248,'Set up'!$A$2:$E$48,5,FALSE)</f>
        <v>Trsf</v>
      </c>
      <c r="S1248" s="1" t="s">
        <v>1484</v>
      </c>
    </row>
    <row r="1249" spans="1:19" hidden="1" x14ac:dyDescent="0.3">
      <c r="A1249" s="4" t="s">
        <v>1135</v>
      </c>
      <c r="B1249" s="5">
        <f t="shared" si="377"/>
        <v>12</v>
      </c>
      <c r="C1249" s="5">
        <f t="shared" si="378"/>
        <v>2022</v>
      </c>
      <c r="D1249" s="5" t="s">
        <v>1134</v>
      </c>
      <c r="E1249" s="5" t="str">
        <f>VLOOKUP(F1249,'Set up'!$A$2:$C$48,2,FALSE)</f>
        <v>C00000019</v>
      </c>
      <c r="F1249" s="1" t="s">
        <v>401</v>
      </c>
      <c r="G1249" s="89" t="s">
        <v>64</v>
      </c>
      <c r="H1249" s="5">
        <v>5</v>
      </c>
      <c r="I1249" s="5" t="str">
        <f>VLOOKUP(F1249,'Set up'!$A$2:$C$48,3,FALSE)</f>
        <v>Cash</v>
      </c>
      <c r="J1249" s="5">
        <f>VLOOKUP(F1249,'Set up'!$A$2:$D$48,4,FALSE)</f>
        <v>0</v>
      </c>
      <c r="K1249" s="4">
        <f t="shared" si="376"/>
        <v>44918</v>
      </c>
      <c r="L1249" s="5">
        <f t="shared" si="371"/>
        <v>12</v>
      </c>
      <c r="M1249" s="5">
        <f t="shared" si="372"/>
        <v>2022</v>
      </c>
      <c r="N1249" s="6">
        <v>312.5</v>
      </c>
      <c r="O1249" s="6">
        <f t="shared" ref="O1249:O1255" si="380">-N1249</f>
        <v>-312.5</v>
      </c>
      <c r="P1249" s="6">
        <f t="shared" si="365"/>
        <v>0</v>
      </c>
      <c r="Q1249" s="7">
        <f t="shared" si="366"/>
        <v>2299803.4500000011</v>
      </c>
      <c r="R1249" s="44" t="str">
        <f>VLOOKUP(F1249,'Set up'!$A$2:$E$48,5,FALSE)</f>
        <v>Trsf</v>
      </c>
      <c r="S1249" s="1" t="s">
        <v>1485</v>
      </c>
    </row>
    <row r="1250" spans="1:19" hidden="1" x14ac:dyDescent="0.3">
      <c r="A1250" s="4" t="s">
        <v>1135</v>
      </c>
      <c r="B1250" s="5">
        <f t="shared" si="377"/>
        <v>12</v>
      </c>
      <c r="C1250" s="5">
        <f t="shared" si="378"/>
        <v>2022</v>
      </c>
      <c r="D1250" s="5" t="s">
        <v>1134</v>
      </c>
      <c r="E1250" s="5" t="str">
        <f>VLOOKUP(F1250,'Set up'!$A$2:$C$48,2,FALSE)</f>
        <v>C00000019</v>
      </c>
      <c r="F1250" s="1" t="s">
        <v>401</v>
      </c>
      <c r="G1250" s="89" t="s">
        <v>567</v>
      </c>
      <c r="H1250" s="5">
        <v>2</v>
      </c>
      <c r="I1250" s="5" t="str">
        <f>VLOOKUP(F1250,'Set up'!$A$2:$C$48,3,FALSE)</f>
        <v>Cash</v>
      </c>
      <c r="J1250" s="5">
        <f>VLOOKUP(F1250,'Set up'!$A$2:$D$48,4,FALSE)</f>
        <v>0</v>
      </c>
      <c r="K1250" s="4">
        <f t="shared" si="376"/>
        <v>44918</v>
      </c>
      <c r="L1250" s="5">
        <f t="shared" si="371"/>
        <v>12</v>
      </c>
      <c r="M1250" s="5">
        <f t="shared" si="372"/>
        <v>2022</v>
      </c>
      <c r="N1250" s="6">
        <v>210</v>
      </c>
      <c r="O1250" s="6">
        <f t="shared" si="380"/>
        <v>-210</v>
      </c>
      <c r="P1250" s="6">
        <f t="shared" si="365"/>
        <v>0</v>
      </c>
      <c r="Q1250" s="7">
        <f t="shared" si="366"/>
        <v>2300013.4500000011</v>
      </c>
      <c r="R1250" s="44" t="str">
        <f>VLOOKUP(F1250,'Set up'!$A$2:$E$48,5,FALSE)</f>
        <v>Trsf</v>
      </c>
      <c r="S1250" s="1" t="s">
        <v>1485</v>
      </c>
    </row>
    <row r="1251" spans="1:19" hidden="1" x14ac:dyDescent="0.3">
      <c r="A1251" s="4" t="s">
        <v>1135</v>
      </c>
      <c r="B1251" s="5">
        <f t="shared" si="377"/>
        <v>12</v>
      </c>
      <c r="C1251" s="5">
        <f t="shared" si="378"/>
        <v>2022</v>
      </c>
      <c r="D1251" s="5" t="s">
        <v>1134</v>
      </c>
      <c r="E1251" s="5" t="str">
        <f>VLOOKUP(F1251,'Set up'!$A$2:$C$48,2,FALSE)</f>
        <v>C00000019</v>
      </c>
      <c r="F1251" s="1" t="s">
        <v>401</v>
      </c>
      <c r="G1251" s="89" t="s">
        <v>1133</v>
      </c>
      <c r="H1251" s="5">
        <v>1</v>
      </c>
      <c r="I1251" s="5" t="str">
        <f>VLOOKUP(F1251,'Set up'!$A$2:$C$48,3,FALSE)</f>
        <v>Cash</v>
      </c>
      <c r="J1251" s="5">
        <f>VLOOKUP(F1251,'Set up'!$A$2:$D$48,4,FALSE)</f>
        <v>0</v>
      </c>
      <c r="K1251" s="4">
        <f t="shared" si="376"/>
        <v>44918</v>
      </c>
      <c r="L1251" s="5">
        <f t="shared" si="371"/>
        <v>12</v>
      </c>
      <c r="M1251" s="5">
        <f t="shared" si="372"/>
        <v>2022</v>
      </c>
      <c r="N1251" s="6">
        <v>440</v>
      </c>
      <c r="O1251" s="6">
        <f t="shared" si="380"/>
        <v>-440</v>
      </c>
      <c r="P1251" s="6">
        <f t="shared" si="365"/>
        <v>0</v>
      </c>
      <c r="Q1251" s="7">
        <f t="shared" si="366"/>
        <v>2300453.4500000011</v>
      </c>
      <c r="R1251" s="44" t="str">
        <f>VLOOKUP(F1251,'Set up'!$A$2:$E$48,5,FALSE)</f>
        <v>Trsf</v>
      </c>
      <c r="S1251" s="1" t="s">
        <v>1485</v>
      </c>
    </row>
    <row r="1252" spans="1:19" hidden="1" x14ac:dyDescent="0.3">
      <c r="A1252" s="4" t="s">
        <v>1135</v>
      </c>
      <c r="B1252" s="5">
        <f t="shared" si="377"/>
        <v>12</v>
      </c>
      <c r="C1252" s="5">
        <f t="shared" si="378"/>
        <v>2022</v>
      </c>
      <c r="D1252" s="5" t="s">
        <v>1134</v>
      </c>
      <c r="E1252" s="5" t="str">
        <f>VLOOKUP(F1252,'Set up'!$A$2:$C$48,2,FALSE)</f>
        <v>C00000019</v>
      </c>
      <c r="F1252" s="1" t="s">
        <v>401</v>
      </c>
      <c r="G1252" s="89" t="s">
        <v>293</v>
      </c>
      <c r="H1252" s="5">
        <v>1</v>
      </c>
      <c r="I1252" s="5" t="str">
        <f>VLOOKUP(F1252,'Set up'!$A$2:$C$48,3,FALSE)</f>
        <v>Cash</v>
      </c>
      <c r="J1252" s="5">
        <f>VLOOKUP(F1252,'Set up'!$A$2:$D$48,4,FALSE)</f>
        <v>0</v>
      </c>
      <c r="K1252" s="4">
        <f t="shared" si="376"/>
        <v>44918</v>
      </c>
      <c r="L1252" s="5">
        <f t="shared" si="371"/>
        <v>12</v>
      </c>
      <c r="M1252" s="5">
        <f t="shared" si="372"/>
        <v>2022</v>
      </c>
      <c r="N1252" s="6">
        <v>450</v>
      </c>
      <c r="O1252" s="6">
        <f t="shared" si="380"/>
        <v>-450</v>
      </c>
      <c r="P1252" s="6">
        <f t="shared" si="365"/>
        <v>0</v>
      </c>
      <c r="Q1252" s="7">
        <f t="shared" si="366"/>
        <v>2300903.4500000011</v>
      </c>
      <c r="R1252" s="44" t="str">
        <f>VLOOKUP(F1252,'Set up'!$A$2:$E$48,5,FALSE)</f>
        <v>Trsf</v>
      </c>
      <c r="S1252" s="1" t="s">
        <v>1485</v>
      </c>
    </row>
    <row r="1253" spans="1:19" hidden="1" x14ac:dyDescent="0.3">
      <c r="A1253" s="4">
        <v>44919</v>
      </c>
      <c r="B1253" s="5">
        <f t="shared" si="377"/>
        <v>12</v>
      </c>
      <c r="C1253" s="5">
        <f t="shared" si="378"/>
        <v>2022</v>
      </c>
      <c r="D1253" s="5" t="s">
        <v>1136</v>
      </c>
      <c r="E1253" s="5" t="str">
        <f>VLOOKUP(F1253,'Set up'!$A$2:$C$48,2,FALSE)</f>
        <v>C00000021</v>
      </c>
      <c r="F1253" s="1" t="s">
        <v>492</v>
      </c>
      <c r="G1253" s="89" t="s">
        <v>717</v>
      </c>
      <c r="H1253" s="5">
        <v>1</v>
      </c>
      <c r="I1253" s="5" t="str">
        <f>VLOOKUP(F1253,'Set up'!$A$2:$C$48,3,FALSE)</f>
        <v>Cash</v>
      </c>
      <c r="J1253" s="5">
        <f>VLOOKUP(F1253,'Set up'!$A$2:$D$48,4,FALSE)</f>
        <v>0</v>
      </c>
      <c r="K1253" s="4">
        <f t="shared" si="376"/>
        <v>44919</v>
      </c>
      <c r="L1253" s="5">
        <f t="shared" si="371"/>
        <v>12</v>
      </c>
      <c r="M1253" s="5">
        <f t="shared" si="372"/>
        <v>2022</v>
      </c>
      <c r="N1253" s="6">
        <v>1936</v>
      </c>
      <c r="O1253" s="6">
        <f t="shared" si="380"/>
        <v>-1936</v>
      </c>
      <c r="P1253" s="6">
        <f t="shared" si="365"/>
        <v>0</v>
      </c>
      <c r="Q1253" s="7">
        <f t="shared" si="366"/>
        <v>2302839.4500000011</v>
      </c>
      <c r="R1253" s="44" t="str">
        <f>VLOOKUP(F1253,'Set up'!$A$2:$E$48,5,FALSE)</f>
        <v>PD Chq</v>
      </c>
      <c r="S1253" s="1" t="s">
        <v>1526</v>
      </c>
    </row>
    <row r="1254" spans="1:19" hidden="1" x14ac:dyDescent="0.3">
      <c r="A1254" s="4">
        <v>44919</v>
      </c>
      <c r="B1254" s="5">
        <f t="shared" si="377"/>
        <v>12</v>
      </c>
      <c r="C1254" s="5">
        <f t="shared" si="378"/>
        <v>2022</v>
      </c>
      <c r="D1254" s="5" t="s">
        <v>1136</v>
      </c>
      <c r="E1254" s="5" t="str">
        <f>VLOOKUP(F1254,'Set up'!$A$2:$C$48,2,FALSE)</f>
        <v>C00000021</v>
      </c>
      <c r="F1254" s="1" t="s">
        <v>492</v>
      </c>
      <c r="G1254" s="89" t="s">
        <v>655</v>
      </c>
      <c r="H1254" s="5">
        <v>3</v>
      </c>
      <c r="I1254" s="5" t="str">
        <f>VLOOKUP(F1254,'Set up'!$A$2:$C$48,3,FALSE)</f>
        <v>Cash</v>
      </c>
      <c r="J1254" s="5">
        <f>VLOOKUP(F1254,'Set up'!$A$2:$D$48,4,FALSE)</f>
        <v>0</v>
      </c>
      <c r="K1254" s="4">
        <f t="shared" si="376"/>
        <v>44919</v>
      </c>
      <c r="L1254" s="5">
        <f t="shared" si="371"/>
        <v>12</v>
      </c>
      <c r="M1254" s="5">
        <f t="shared" si="372"/>
        <v>2022</v>
      </c>
      <c r="N1254" s="6">
        <v>801</v>
      </c>
      <c r="O1254" s="6">
        <f t="shared" si="380"/>
        <v>-801</v>
      </c>
      <c r="P1254" s="6">
        <f t="shared" si="365"/>
        <v>0</v>
      </c>
      <c r="Q1254" s="7">
        <f t="shared" si="366"/>
        <v>2303640.4500000011</v>
      </c>
      <c r="R1254" s="44" t="str">
        <f>VLOOKUP(F1254,'Set up'!$A$2:$E$48,5,FALSE)</f>
        <v>PD Chq</v>
      </c>
      <c r="S1254" s="1" t="s">
        <v>1526</v>
      </c>
    </row>
    <row r="1255" spans="1:19" hidden="1" x14ac:dyDescent="0.3">
      <c r="A1255" s="4">
        <v>44919</v>
      </c>
      <c r="B1255" s="5">
        <f t="shared" ref="B1255" si="381">MONTH(A1255)</f>
        <v>12</v>
      </c>
      <c r="C1255" s="5">
        <f t="shared" ref="C1255" si="382">YEAR(A1255)</f>
        <v>2022</v>
      </c>
      <c r="D1255" s="5" t="s">
        <v>1136</v>
      </c>
      <c r="E1255" s="5" t="str">
        <f>VLOOKUP(F1255,'Set up'!$A$2:$C$48,2,FALSE)</f>
        <v>C00000021</v>
      </c>
      <c r="F1255" s="1" t="s">
        <v>492</v>
      </c>
      <c r="G1255" s="89" t="s">
        <v>46</v>
      </c>
      <c r="H1255" s="5">
        <v>1</v>
      </c>
      <c r="I1255" s="5" t="str">
        <f>VLOOKUP(F1255,'Set up'!$A$2:$C$48,3,FALSE)</f>
        <v>Cash</v>
      </c>
      <c r="J1255" s="5">
        <f>VLOOKUP(F1255,'Set up'!$A$2:$D$48,4,FALSE)</f>
        <v>0</v>
      </c>
      <c r="K1255" s="4">
        <f t="shared" si="376"/>
        <v>44919</v>
      </c>
      <c r="L1255" s="5">
        <f t="shared" si="371"/>
        <v>12</v>
      </c>
      <c r="M1255" s="5">
        <f t="shared" si="372"/>
        <v>2022</v>
      </c>
      <c r="N1255" s="6">
        <v>105</v>
      </c>
      <c r="O1255" s="6">
        <f t="shared" si="380"/>
        <v>-105</v>
      </c>
      <c r="P1255" s="6">
        <f t="shared" si="365"/>
        <v>0</v>
      </c>
      <c r="Q1255" s="7">
        <f t="shared" si="366"/>
        <v>2303745.4500000011</v>
      </c>
      <c r="R1255" s="44" t="str">
        <f>VLOOKUP(F1255,'Set up'!$A$2:$E$48,5,FALSE)</f>
        <v>PD Chq</v>
      </c>
      <c r="S1255" s="1" t="s">
        <v>1526</v>
      </c>
    </row>
    <row r="1256" spans="1:19" hidden="1" x14ac:dyDescent="0.3">
      <c r="A1256" s="4">
        <v>44922</v>
      </c>
      <c r="B1256" s="5">
        <f t="shared" ref="B1256:B1267" si="383">MONTH(A1256)</f>
        <v>12</v>
      </c>
      <c r="C1256" s="5">
        <f t="shared" ref="C1256:C1267" si="384">YEAR(A1256)</f>
        <v>2022</v>
      </c>
      <c r="D1256" s="5" t="s">
        <v>1138</v>
      </c>
      <c r="E1256" s="5" t="str">
        <f>VLOOKUP(F1256,'Set up'!$A$2:$C$48,2,FALSE)</f>
        <v>C00000010</v>
      </c>
      <c r="F1256" s="1" t="s">
        <v>62</v>
      </c>
      <c r="G1256" s="89" t="s">
        <v>723</v>
      </c>
      <c r="H1256" s="5">
        <v>6</v>
      </c>
      <c r="I1256" s="5">
        <f>VLOOKUP(F1256,'Set up'!$A$2:$C$48,3,FALSE)</f>
        <v>120</v>
      </c>
      <c r="J1256" s="5">
        <f>VLOOKUP(F1256,'Set up'!$A$2:$D$48,4,FALSE)</f>
        <v>120</v>
      </c>
      <c r="K1256" s="4">
        <f t="shared" si="376"/>
        <v>45042</v>
      </c>
      <c r="L1256" s="5">
        <f t="shared" si="371"/>
        <v>4</v>
      </c>
      <c r="M1256" s="5">
        <f t="shared" si="372"/>
        <v>2023</v>
      </c>
      <c r="N1256" s="6">
        <v>10032</v>
      </c>
      <c r="O1256" s="6">
        <f t="shared" ref="O1256:O1262" si="385">-N1256</f>
        <v>-10032</v>
      </c>
      <c r="P1256" s="6">
        <f t="shared" si="365"/>
        <v>0</v>
      </c>
      <c r="Q1256" s="7">
        <f t="shared" si="366"/>
        <v>2313777.4500000011</v>
      </c>
      <c r="R1256" s="44" t="str">
        <f>VLOOKUP(F1256,'Set up'!$A$2:$E$48,5,FALSE)</f>
        <v>Trsf</v>
      </c>
      <c r="S1256" s="1" t="s">
        <v>1384</v>
      </c>
    </row>
    <row r="1257" spans="1:19" hidden="1" x14ac:dyDescent="0.3">
      <c r="A1257" s="4">
        <v>44922</v>
      </c>
      <c r="B1257" s="5">
        <f t="shared" si="383"/>
        <v>12</v>
      </c>
      <c r="C1257" s="5">
        <f t="shared" si="384"/>
        <v>2022</v>
      </c>
      <c r="D1257" s="5" t="s">
        <v>1138</v>
      </c>
      <c r="E1257" s="5" t="str">
        <f>VLOOKUP(F1257,'Set up'!$A$2:$C$48,2,FALSE)</f>
        <v>C00000010</v>
      </c>
      <c r="F1257" s="1" t="s">
        <v>62</v>
      </c>
      <c r="G1257" s="89" t="s">
        <v>914</v>
      </c>
      <c r="H1257" s="5">
        <v>10</v>
      </c>
      <c r="I1257" s="5">
        <f>VLOOKUP(F1257,'Set up'!$A$2:$C$48,3,FALSE)</f>
        <v>120</v>
      </c>
      <c r="J1257" s="5">
        <f>VLOOKUP(F1257,'Set up'!$A$2:$D$48,4,FALSE)</f>
        <v>120</v>
      </c>
      <c r="K1257" s="4">
        <f t="shared" si="376"/>
        <v>45042</v>
      </c>
      <c r="L1257" s="5">
        <f t="shared" si="371"/>
        <v>4</v>
      </c>
      <c r="M1257" s="5">
        <f t="shared" si="372"/>
        <v>2023</v>
      </c>
      <c r="N1257" s="6">
        <v>2250</v>
      </c>
      <c r="O1257" s="6">
        <f t="shared" si="385"/>
        <v>-2250</v>
      </c>
      <c r="P1257" s="6">
        <f t="shared" si="365"/>
        <v>0</v>
      </c>
      <c r="Q1257" s="7">
        <f t="shared" si="366"/>
        <v>2316027.4500000011</v>
      </c>
      <c r="R1257" s="44" t="str">
        <f>VLOOKUP(F1257,'Set up'!$A$2:$E$48,5,FALSE)</f>
        <v>Trsf</v>
      </c>
      <c r="S1257" s="1" t="s">
        <v>1384</v>
      </c>
    </row>
    <row r="1258" spans="1:19" hidden="1" x14ac:dyDescent="0.3">
      <c r="A1258" s="4">
        <v>44922</v>
      </c>
      <c r="B1258" s="5">
        <f t="shared" si="383"/>
        <v>12</v>
      </c>
      <c r="C1258" s="5">
        <f t="shared" si="384"/>
        <v>2022</v>
      </c>
      <c r="D1258" s="5" t="s">
        <v>1138</v>
      </c>
      <c r="E1258" s="5" t="str">
        <f>VLOOKUP(F1258,'Set up'!$A$2:$C$48,2,FALSE)</f>
        <v>C00000010</v>
      </c>
      <c r="F1258" s="1" t="s">
        <v>62</v>
      </c>
      <c r="G1258" s="89" t="s">
        <v>64</v>
      </c>
      <c r="H1258" s="5">
        <v>10</v>
      </c>
      <c r="I1258" s="5">
        <f>VLOOKUP(F1258,'Set up'!$A$2:$C$48,3,FALSE)</f>
        <v>120</v>
      </c>
      <c r="J1258" s="5">
        <f>VLOOKUP(F1258,'Set up'!$A$2:$D$48,4,FALSE)</f>
        <v>120</v>
      </c>
      <c r="K1258" s="4">
        <f t="shared" si="376"/>
        <v>45042</v>
      </c>
      <c r="L1258" s="5">
        <f t="shared" si="371"/>
        <v>4</v>
      </c>
      <c r="M1258" s="5">
        <f t="shared" si="372"/>
        <v>2023</v>
      </c>
      <c r="N1258" s="6">
        <v>575</v>
      </c>
      <c r="O1258" s="6">
        <f t="shared" si="385"/>
        <v>-575</v>
      </c>
      <c r="P1258" s="6">
        <f t="shared" si="365"/>
        <v>0</v>
      </c>
      <c r="Q1258" s="7">
        <f t="shared" si="366"/>
        <v>2316602.4500000011</v>
      </c>
      <c r="R1258" s="44" t="str">
        <f>VLOOKUP(F1258,'Set up'!$A$2:$E$48,5,FALSE)</f>
        <v>Trsf</v>
      </c>
      <c r="S1258" s="1" t="s">
        <v>1384</v>
      </c>
    </row>
    <row r="1259" spans="1:19" hidden="1" x14ac:dyDescent="0.3">
      <c r="A1259" s="4">
        <v>44922</v>
      </c>
      <c r="B1259" s="5">
        <f t="shared" si="383"/>
        <v>12</v>
      </c>
      <c r="C1259" s="5">
        <f t="shared" si="384"/>
        <v>2022</v>
      </c>
      <c r="D1259" s="5" t="s">
        <v>1138</v>
      </c>
      <c r="E1259" s="5" t="str">
        <f>VLOOKUP(F1259,'Set up'!$A$2:$C$48,2,FALSE)</f>
        <v>C00000010</v>
      </c>
      <c r="F1259" s="1" t="s">
        <v>62</v>
      </c>
      <c r="G1259" s="89" t="s">
        <v>46</v>
      </c>
      <c r="H1259" s="5">
        <v>4</v>
      </c>
      <c r="I1259" s="5">
        <f>VLOOKUP(F1259,'Set up'!$A$2:$C$48,3,FALSE)</f>
        <v>120</v>
      </c>
      <c r="J1259" s="5">
        <f>VLOOKUP(F1259,'Set up'!$A$2:$D$48,4,FALSE)</f>
        <v>120</v>
      </c>
      <c r="K1259" s="4">
        <f t="shared" si="376"/>
        <v>45042</v>
      </c>
      <c r="L1259" s="5">
        <f t="shared" si="371"/>
        <v>4</v>
      </c>
      <c r="M1259" s="5">
        <f t="shared" si="372"/>
        <v>2023</v>
      </c>
      <c r="N1259" s="6">
        <v>420</v>
      </c>
      <c r="O1259" s="6">
        <f t="shared" si="385"/>
        <v>-420</v>
      </c>
      <c r="P1259" s="6">
        <f t="shared" si="365"/>
        <v>0</v>
      </c>
      <c r="Q1259" s="7">
        <f t="shared" si="366"/>
        <v>2317022.4500000011</v>
      </c>
      <c r="R1259" s="44" t="str">
        <f>VLOOKUP(F1259,'Set up'!$A$2:$E$48,5,FALSE)</f>
        <v>Trsf</v>
      </c>
      <c r="S1259" s="1" t="s">
        <v>1384</v>
      </c>
    </row>
    <row r="1260" spans="1:19" hidden="1" x14ac:dyDescent="0.3">
      <c r="A1260" s="4">
        <v>44922</v>
      </c>
      <c r="B1260" s="5">
        <f t="shared" si="383"/>
        <v>12</v>
      </c>
      <c r="C1260" s="5">
        <f t="shared" si="384"/>
        <v>2022</v>
      </c>
      <c r="D1260" s="5" t="s">
        <v>1138</v>
      </c>
      <c r="E1260" s="5" t="str">
        <f>VLOOKUP(F1260,'Set up'!$A$2:$C$48,2,FALSE)</f>
        <v>C00000010</v>
      </c>
      <c r="F1260" s="1" t="s">
        <v>62</v>
      </c>
      <c r="G1260" s="89" t="s">
        <v>1094</v>
      </c>
      <c r="H1260" s="5">
        <v>4</v>
      </c>
      <c r="I1260" s="5">
        <f>VLOOKUP(F1260,'Set up'!$A$2:$C$48,3,FALSE)</f>
        <v>120</v>
      </c>
      <c r="J1260" s="5">
        <f>VLOOKUP(F1260,'Set up'!$A$2:$D$48,4,FALSE)</f>
        <v>120</v>
      </c>
      <c r="K1260" s="4">
        <f t="shared" si="376"/>
        <v>45042</v>
      </c>
      <c r="L1260" s="5">
        <f t="shared" si="371"/>
        <v>4</v>
      </c>
      <c r="M1260" s="5">
        <f t="shared" si="372"/>
        <v>2023</v>
      </c>
      <c r="N1260" s="6">
        <v>200</v>
      </c>
      <c r="O1260" s="6">
        <f t="shared" si="385"/>
        <v>-200</v>
      </c>
      <c r="P1260" s="6">
        <f t="shared" si="365"/>
        <v>0</v>
      </c>
      <c r="Q1260" s="7">
        <f t="shared" si="366"/>
        <v>2317222.4500000011</v>
      </c>
      <c r="R1260" s="44" t="str">
        <f>VLOOKUP(F1260,'Set up'!$A$2:$E$48,5,FALSE)</f>
        <v>Trsf</v>
      </c>
      <c r="S1260" s="1" t="s">
        <v>1384</v>
      </c>
    </row>
    <row r="1261" spans="1:19" hidden="1" x14ac:dyDescent="0.3">
      <c r="A1261" s="4">
        <v>44922</v>
      </c>
      <c r="B1261" s="5">
        <f t="shared" si="383"/>
        <v>12</v>
      </c>
      <c r="C1261" s="5">
        <f t="shared" si="384"/>
        <v>2022</v>
      </c>
      <c r="D1261" s="5" t="s">
        <v>1138</v>
      </c>
      <c r="E1261" s="5" t="str">
        <f>VLOOKUP(F1261,'Set up'!$A$2:$C$48,2,FALSE)</f>
        <v>C00000010</v>
      </c>
      <c r="F1261" s="1" t="s">
        <v>62</v>
      </c>
      <c r="G1261" s="89" t="s">
        <v>1137</v>
      </c>
      <c r="H1261" s="5">
        <v>1</v>
      </c>
      <c r="I1261" s="5">
        <f>VLOOKUP(F1261,'Set up'!$A$2:$C$48,3,FALSE)</f>
        <v>120</v>
      </c>
      <c r="J1261" s="5">
        <f>VLOOKUP(F1261,'Set up'!$A$2:$D$48,4,FALSE)</f>
        <v>120</v>
      </c>
      <c r="K1261" s="4">
        <f t="shared" si="376"/>
        <v>45042</v>
      </c>
      <c r="L1261" s="5">
        <f t="shared" si="371"/>
        <v>4</v>
      </c>
      <c r="M1261" s="5">
        <f t="shared" si="372"/>
        <v>2023</v>
      </c>
      <c r="N1261" s="6">
        <v>330</v>
      </c>
      <c r="O1261" s="6">
        <f t="shared" si="385"/>
        <v>-330</v>
      </c>
      <c r="P1261" s="6">
        <f t="shared" si="365"/>
        <v>0</v>
      </c>
      <c r="Q1261" s="7">
        <f t="shared" si="366"/>
        <v>2317552.4500000011</v>
      </c>
      <c r="R1261" s="44" t="str">
        <f>VLOOKUP(F1261,'Set up'!$A$2:$E$48,5,FALSE)</f>
        <v>Trsf</v>
      </c>
      <c r="S1261" s="1" t="s">
        <v>1384</v>
      </c>
    </row>
    <row r="1262" spans="1:19" hidden="1" x14ac:dyDescent="0.3">
      <c r="A1262" s="4">
        <v>44922</v>
      </c>
      <c r="B1262" s="5">
        <f t="shared" si="383"/>
        <v>12</v>
      </c>
      <c r="C1262" s="5">
        <f t="shared" si="384"/>
        <v>2022</v>
      </c>
      <c r="D1262" s="5" t="s">
        <v>1138</v>
      </c>
      <c r="E1262" s="5" t="str">
        <f>VLOOKUP(F1262,'Set up'!$A$2:$C$48,2,FALSE)</f>
        <v>C00000010</v>
      </c>
      <c r="F1262" s="1" t="s">
        <v>62</v>
      </c>
      <c r="G1262" s="89" t="s">
        <v>945</v>
      </c>
      <c r="H1262" s="5">
        <v>1</v>
      </c>
      <c r="I1262" s="5">
        <f>VLOOKUP(F1262,'Set up'!$A$2:$C$48,3,FALSE)</f>
        <v>120</v>
      </c>
      <c r="J1262" s="5">
        <f>VLOOKUP(F1262,'Set up'!$A$2:$D$48,4,FALSE)</f>
        <v>120</v>
      </c>
      <c r="K1262" s="4">
        <f t="shared" si="376"/>
        <v>45042</v>
      </c>
      <c r="L1262" s="5">
        <f t="shared" si="371"/>
        <v>4</v>
      </c>
      <c r="M1262" s="5">
        <f t="shared" si="372"/>
        <v>2023</v>
      </c>
      <c r="N1262" s="6">
        <v>420</v>
      </c>
      <c r="O1262" s="6">
        <f t="shared" si="385"/>
        <v>-420</v>
      </c>
      <c r="P1262" s="6">
        <f t="shared" si="365"/>
        <v>0</v>
      </c>
      <c r="Q1262" s="7">
        <f t="shared" si="366"/>
        <v>2317972.4500000011</v>
      </c>
      <c r="R1262" s="44" t="str">
        <f>VLOOKUP(F1262,'Set up'!$A$2:$E$48,5,FALSE)</f>
        <v>Trsf</v>
      </c>
      <c r="S1262" s="1" t="s">
        <v>1384</v>
      </c>
    </row>
    <row r="1263" spans="1:19" x14ac:dyDescent="0.3">
      <c r="A1263" s="4">
        <v>44923</v>
      </c>
      <c r="B1263" s="5">
        <f t="shared" si="383"/>
        <v>12</v>
      </c>
      <c r="C1263" s="5">
        <f t="shared" si="384"/>
        <v>2022</v>
      </c>
      <c r="D1263" s="5" t="s">
        <v>1139</v>
      </c>
      <c r="E1263" s="5" t="str">
        <f>VLOOKUP(F1263,'Set up'!$A$2:$C$48,2,FALSE)</f>
        <v>C00000020</v>
      </c>
      <c r="F1263" s="1" t="s">
        <v>410</v>
      </c>
      <c r="G1263" s="89" t="s">
        <v>989</v>
      </c>
      <c r="H1263" s="5">
        <v>4</v>
      </c>
      <c r="I1263" s="5" t="str">
        <f>VLOOKUP(F1263,'Set up'!$A$2:$C$48,3,FALSE)</f>
        <v>Cash</v>
      </c>
      <c r="J1263" s="5">
        <f>VLOOKUP(F1263,'Set up'!$A$2:$D$48,4,FALSE)</f>
        <v>0</v>
      </c>
      <c r="K1263" s="4">
        <f t="shared" si="376"/>
        <v>44923</v>
      </c>
      <c r="L1263" s="5">
        <f t="shared" si="371"/>
        <v>12</v>
      </c>
      <c r="M1263" s="5">
        <f t="shared" si="372"/>
        <v>2022</v>
      </c>
      <c r="N1263" s="6">
        <v>1008</v>
      </c>
      <c r="O1263" s="6">
        <f>-N1263</f>
        <v>-1008</v>
      </c>
      <c r="P1263" s="6">
        <f t="shared" si="365"/>
        <v>0</v>
      </c>
      <c r="Q1263" s="7">
        <f t="shared" si="366"/>
        <v>2318980.4500000011</v>
      </c>
      <c r="R1263" s="44" t="str">
        <f>VLOOKUP(F1263,'Set up'!$A$2:$E$48,5,FALSE)</f>
        <v>Trsf</v>
      </c>
      <c r="S1263" s="1" t="s">
        <v>1167</v>
      </c>
    </row>
    <row r="1264" spans="1:19" x14ac:dyDescent="0.3">
      <c r="A1264" s="4">
        <v>44925</v>
      </c>
      <c r="B1264" s="5">
        <f t="shared" si="383"/>
        <v>12</v>
      </c>
      <c r="C1264" s="5">
        <f t="shared" si="384"/>
        <v>2022</v>
      </c>
      <c r="D1264" s="5" t="s">
        <v>1140</v>
      </c>
      <c r="E1264" s="5" t="str">
        <f>VLOOKUP(F1264,'Set up'!$A$2:$C$48,2,FALSE)</f>
        <v>C00000020</v>
      </c>
      <c r="F1264" s="1" t="s">
        <v>410</v>
      </c>
      <c r="G1264" s="89" t="s">
        <v>717</v>
      </c>
      <c r="H1264" s="5">
        <v>7</v>
      </c>
      <c r="I1264" s="5" t="str">
        <f>VLOOKUP(F1264,'Set up'!$A$2:$C$48,3,FALSE)</f>
        <v>Cash</v>
      </c>
      <c r="J1264" s="5">
        <f>VLOOKUP(F1264,'Set up'!$A$2:$D$48,4,FALSE)</f>
        <v>0</v>
      </c>
      <c r="K1264" s="4">
        <f t="shared" si="376"/>
        <v>44925</v>
      </c>
      <c r="L1264" s="5">
        <f t="shared" si="371"/>
        <v>12</v>
      </c>
      <c r="M1264" s="5">
        <f t="shared" si="372"/>
        <v>2022</v>
      </c>
      <c r="N1264" s="6">
        <v>12628</v>
      </c>
      <c r="O1264" s="6">
        <f>-1607.2-7310-3710.8</f>
        <v>-12628</v>
      </c>
      <c r="P1264" s="6">
        <f t="shared" si="365"/>
        <v>0</v>
      </c>
      <c r="Q1264" s="7">
        <f t="shared" si="366"/>
        <v>2331608.4500000011</v>
      </c>
      <c r="R1264" s="44" t="str">
        <f>VLOOKUP(F1264,'Set up'!$A$2:$E$48,5,FALSE)</f>
        <v>Trsf</v>
      </c>
      <c r="S1264" s="1" t="s">
        <v>1861</v>
      </c>
    </row>
    <row r="1265" spans="1:19" x14ac:dyDescent="0.3">
      <c r="A1265" s="4">
        <v>44925</v>
      </c>
      <c r="B1265" s="5">
        <f t="shared" si="383"/>
        <v>12</v>
      </c>
      <c r="C1265" s="5">
        <f t="shared" si="384"/>
        <v>2022</v>
      </c>
      <c r="D1265" s="5" t="s">
        <v>1140</v>
      </c>
      <c r="E1265" s="5" t="str">
        <f>VLOOKUP(F1265,'Set up'!$A$2:$C$48,2,FALSE)</f>
        <v>C00000020</v>
      </c>
      <c r="F1265" s="1" t="s">
        <v>410</v>
      </c>
      <c r="G1265" s="89" t="s">
        <v>1141</v>
      </c>
      <c r="H1265" s="5">
        <v>20</v>
      </c>
      <c r="I1265" s="5" t="str">
        <f>VLOOKUP(F1265,'Set up'!$A$2:$C$48,3,FALSE)</f>
        <v>Cash</v>
      </c>
      <c r="J1265" s="5">
        <f>VLOOKUP(F1265,'Set up'!$A$2:$D$48,4,FALSE)</f>
        <v>0</v>
      </c>
      <c r="K1265" s="4">
        <f t="shared" si="376"/>
        <v>44925</v>
      </c>
      <c r="L1265" s="5">
        <f t="shared" si="371"/>
        <v>12</v>
      </c>
      <c r="M1265" s="5">
        <f t="shared" si="372"/>
        <v>2022</v>
      </c>
      <c r="N1265" s="6">
        <v>5040</v>
      </c>
      <c r="O1265" s="6">
        <f>-2147.2-2892.8</f>
        <v>-5040</v>
      </c>
      <c r="P1265" s="6">
        <f t="shared" si="365"/>
        <v>0</v>
      </c>
      <c r="Q1265" s="7">
        <f t="shared" si="366"/>
        <v>2336648.4500000011</v>
      </c>
      <c r="R1265" s="44" t="str">
        <f>VLOOKUP(F1265,'Set up'!$A$2:$E$48,5,FALSE)</f>
        <v>Trsf</v>
      </c>
      <c r="S1265" s="1" t="s">
        <v>1863</v>
      </c>
    </row>
    <row r="1266" spans="1:19" x14ac:dyDescent="0.3">
      <c r="A1266" s="4">
        <v>44925</v>
      </c>
      <c r="B1266" s="5">
        <f t="shared" si="383"/>
        <v>12</v>
      </c>
      <c r="C1266" s="5">
        <f t="shared" si="384"/>
        <v>2022</v>
      </c>
      <c r="D1266" s="5" t="s">
        <v>1140</v>
      </c>
      <c r="E1266" s="5" t="str">
        <f>VLOOKUP(F1266,'Set up'!$A$2:$C$48,2,FALSE)</f>
        <v>C00000020</v>
      </c>
      <c r="F1266" s="1" t="s">
        <v>410</v>
      </c>
      <c r="G1266" s="89" t="s">
        <v>1122</v>
      </c>
      <c r="H1266" s="5">
        <v>9</v>
      </c>
      <c r="I1266" s="5" t="str">
        <f>VLOOKUP(F1266,'Set up'!$A$2:$C$48,3,FALSE)</f>
        <v>Cash</v>
      </c>
      <c r="J1266" s="5">
        <f>VLOOKUP(F1266,'Set up'!$A$2:$D$48,4,FALSE)</f>
        <v>0</v>
      </c>
      <c r="K1266" s="4">
        <f t="shared" si="376"/>
        <v>44925</v>
      </c>
      <c r="L1266" s="5">
        <f t="shared" si="371"/>
        <v>12</v>
      </c>
      <c r="M1266" s="5">
        <f t="shared" si="372"/>
        <v>2022</v>
      </c>
      <c r="N1266" s="6">
        <v>2340</v>
      </c>
      <c r="O1266" s="6">
        <f t="shared" ref="O1266:O1269" si="386">-N1266</f>
        <v>-2340</v>
      </c>
      <c r="P1266" s="6">
        <f t="shared" si="365"/>
        <v>0</v>
      </c>
      <c r="Q1266" s="7">
        <f t="shared" si="366"/>
        <v>2338988.4500000011</v>
      </c>
      <c r="R1266" s="44" t="str">
        <f>VLOOKUP(F1266,'Set up'!$A$2:$E$48,5,FALSE)</f>
        <v>Trsf</v>
      </c>
      <c r="S1266" s="1" t="s">
        <v>1864</v>
      </c>
    </row>
    <row r="1267" spans="1:19" x14ac:dyDescent="0.3">
      <c r="A1267" s="4">
        <v>44925</v>
      </c>
      <c r="B1267" s="5">
        <f t="shared" si="383"/>
        <v>12</v>
      </c>
      <c r="C1267" s="5">
        <f t="shared" si="384"/>
        <v>2022</v>
      </c>
      <c r="D1267" s="5" t="s">
        <v>1140</v>
      </c>
      <c r="E1267" s="5" t="str">
        <f>VLOOKUP(F1267,'Set up'!$A$2:$C$48,2,FALSE)</f>
        <v>C00000020</v>
      </c>
      <c r="F1267" s="1" t="s">
        <v>410</v>
      </c>
      <c r="G1267" s="89" t="s">
        <v>54</v>
      </c>
      <c r="H1267" s="5">
        <v>5</v>
      </c>
      <c r="I1267" s="5" t="str">
        <f>VLOOKUP(F1267,'Set up'!$A$2:$C$48,3,FALSE)</f>
        <v>Cash</v>
      </c>
      <c r="J1267" s="5">
        <f>VLOOKUP(F1267,'Set up'!$A$2:$D$48,4,FALSE)</f>
        <v>0</v>
      </c>
      <c r="K1267" s="4">
        <f t="shared" si="376"/>
        <v>44925</v>
      </c>
      <c r="L1267" s="5">
        <f t="shared" si="371"/>
        <v>12</v>
      </c>
      <c r="M1267" s="5">
        <f t="shared" si="372"/>
        <v>2022</v>
      </c>
      <c r="N1267" s="6">
        <v>312.5</v>
      </c>
      <c r="O1267" s="6">
        <f t="shared" si="386"/>
        <v>-312.5</v>
      </c>
      <c r="P1267" s="6">
        <f t="shared" si="365"/>
        <v>0</v>
      </c>
      <c r="Q1267" s="7">
        <f t="shared" si="366"/>
        <v>2339300.9500000011</v>
      </c>
      <c r="R1267" s="44" t="str">
        <f>VLOOKUP(F1267,'Set up'!$A$2:$E$48,5,FALSE)</f>
        <v>Trsf</v>
      </c>
      <c r="S1267" s="1" t="s">
        <v>1865</v>
      </c>
    </row>
    <row r="1268" spans="1:19" x14ac:dyDescent="0.3">
      <c r="A1268" s="4">
        <v>44925</v>
      </c>
      <c r="B1268" s="5">
        <f t="shared" ref="B1268:B1269" si="387">MONTH(A1268)</f>
        <v>12</v>
      </c>
      <c r="C1268" s="5">
        <f t="shared" ref="C1268:C1269" si="388">YEAR(A1268)</f>
        <v>2022</v>
      </c>
      <c r="D1268" s="5" t="s">
        <v>1140</v>
      </c>
      <c r="E1268" s="5" t="str">
        <f>VLOOKUP(F1268,'Set up'!$A$2:$C$48,2,FALSE)</f>
        <v>C00000020</v>
      </c>
      <c r="F1268" s="1" t="s">
        <v>410</v>
      </c>
      <c r="G1268" s="89" t="s">
        <v>1074</v>
      </c>
      <c r="H1268" s="5">
        <v>1</v>
      </c>
      <c r="I1268" s="5" t="str">
        <f>VLOOKUP(F1268,'Set up'!$A$2:$C$48,3,FALSE)</f>
        <v>Cash</v>
      </c>
      <c r="J1268" s="5">
        <f>VLOOKUP(F1268,'Set up'!$A$2:$D$48,4,FALSE)</f>
        <v>0</v>
      </c>
      <c r="K1268" s="4">
        <f t="shared" si="376"/>
        <v>44925</v>
      </c>
      <c r="L1268" s="5">
        <f t="shared" si="371"/>
        <v>12</v>
      </c>
      <c r="M1268" s="5">
        <f t="shared" si="372"/>
        <v>2022</v>
      </c>
      <c r="N1268" s="6">
        <v>1000</v>
      </c>
      <c r="O1268" s="6">
        <f t="shared" si="386"/>
        <v>-1000</v>
      </c>
      <c r="P1268" s="6">
        <f t="shared" si="365"/>
        <v>0</v>
      </c>
      <c r="Q1268" s="7">
        <f t="shared" si="366"/>
        <v>2340300.9500000011</v>
      </c>
      <c r="R1268" s="44" t="str">
        <f>VLOOKUP(F1268,'Set up'!$A$2:$E$48,5,FALSE)</f>
        <v>Trsf</v>
      </c>
      <c r="S1268" s="1" t="s">
        <v>1866</v>
      </c>
    </row>
    <row r="1269" spans="1:19" x14ac:dyDescent="0.3">
      <c r="A1269" s="4">
        <v>44925</v>
      </c>
      <c r="B1269" s="5">
        <f t="shared" si="387"/>
        <v>12</v>
      </c>
      <c r="C1269" s="5">
        <f t="shared" si="388"/>
        <v>2022</v>
      </c>
      <c r="D1269" s="5" t="s">
        <v>1140</v>
      </c>
      <c r="E1269" s="5" t="str">
        <f>VLOOKUP(F1269,'Set up'!$A$2:$C$48,2,FALSE)</f>
        <v>C00000020</v>
      </c>
      <c r="F1269" s="1" t="s">
        <v>410</v>
      </c>
      <c r="G1269" s="89" t="s">
        <v>946</v>
      </c>
      <c r="H1269" s="5">
        <v>4</v>
      </c>
      <c r="I1269" s="5" t="str">
        <f>VLOOKUP(F1269,'Set up'!$A$2:$C$48,3,FALSE)</f>
        <v>Cash</v>
      </c>
      <c r="J1269" s="5">
        <f>VLOOKUP(F1269,'Set up'!$A$2:$D$48,4,FALSE)</f>
        <v>0</v>
      </c>
      <c r="K1269" s="4">
        <f t="shared" si="376"/>
        <v>44925</v>
      </c>
      <c r="L1269" s="5">
        <f t="shared" si="371"/>
        <v>12</v>
      </c>
      <c r="M1269" s="5">
        <f t="shared" si="372"/>
        <v>2022</v>
      </c>
      <c r="N1269" s="6">
        <v>420</v>
      </c>
      <c r="O1269" s="6">
        <f t="shared" si="386"/>
        <v>-420</v>
      </c>
      <c r="P1269" s="6">
        <f t="shared" si="365"/>
        <v>0</v>
      </c>
      <c r="Q1269" s="7">
        <f t="shared" si="366"/>
        <v>2340720.9500000011</v>
      </c>
      <c r="R1269" s="44" t="str">
        <f>VLOOKUP(F1269,'Set up'!$A$2:$E$48,5,FALSE)</f>
        <v>Trsf</v>
      </c>
      <c r="S1269" s="1" t="s">
        <v>1862</v>
      </c>
    </row>
    <row r="1270" spans="1:19" x14ac:dyDescent="0.3">
      <c r="A1270" s="4">
        <v>44931</v>
      </c>
      <c r="B1270" s="5">
        <f t="shared" ref="B1270:B1276" si="389">MONTH(A1270)</f>
        <v>1</v>
      </c>
      <c r="C1270" s="5">
        <f t="shared" ref="C1270:C1276" si="390">YEAR(A1270)</f>
        <v>2023</v>
      </c>
      <c r="D1270" s="5" t="s">
        <v>1168</v>
      </c>
      <c r="E1270" s="5" t="str">
        <f>VLOOKUP(F1270,'Set up'!$A$2:$C$48,2,FALSE)</f>
        <v>C00000020</v>
      </c>
      <c r="F1270" s="1" t="s">
        <v>410</v>
      </c>
      <c r="G1270" s="89" t="s">
        <v>723</v>
      </c>
      <c r="H1270" s="5">
        <v>10</v>
      </c>
      <c r="I1270" s="5" t="str">
        <f>VLOOKUP(F1270,'Set up'!$A$2:$C$48,3,FALSE)</f>
        <v>Cash</v>
      </c>
      <c r="J1270" s="5">
        <f>VLOOKUP(F1270,'Set up'!$A$2:$D$48,4,FALSE)</f>
        <v>0</v>
      </c>
      <c r="K1270" s="4">
        <f t="shared" si="376"/>
        <v>44931</v>
      </c>
      <c r="L1270" s="5">
        <f t="shared" si="371"/>
        <v>1</v>
      </c>
      <c r="M1270" s="5">
        <f t="shared" si="372"/>
        <v>2023</v>
      </c>
      <c r="N1270" s="6">
        <v>17380</v>
      </c>
      <c r="O1270" s="6">
        <f>-4696.7-9000-3683.3</f>
        <v>-17380</v>
      </c>
      <c r="P1270" s="6">
        <f t="shared" si="365"/>
        <v>0</v>
      </c>
      <c r="Q1270" s="7">
        <f t="shared" si="366"/>
        <v>2358100.9500000011</v>
      </c>
      <c r="R1270" s="44" t="str">
        <f>VLOOKUP(F1270,'Set up'!$A$2:$E$48,5,FALSE)</f>
        <v>Trsf</v>
      </c>
      <c r="S1270" s="1" t="s">
        <v>1867</v>
      </c>
    </row>
    <row r="1271" spans="1:19" x14ac:dyDescent="0.3">
      <c r="A1271" s="4">
        <v>44931</v>
      </c>
      <c r="B1271" s="5">
        <f t="shared" si="389"/>
        <v>1</v>
      </c>
      <c r="C1271" s="5">
        <f t="shared" si="390"/>
        <v>2023</v>
      </c>
      <c r="D1271" s="5" t="s">
        <v>1168</v>
      </c>
      <c r="E1271" s="5" t="str">
        <f>VLOOKUP(F1271,'Set up'!$A$2:$C$48,2,FALSE)</f>
        <v>C00000020</v>
      </c>
      <c r="F1271" s="1" t="s">
        <v>410</v>
      </c>
      <c r="G1271" s="89" t="s">
        <v>1141</v>
      </c>
      <c r="H1271" s="5">
        <v>30</v>
      </c>
      <c r="I1271" s="5" t="str">
        <f>VLOOKUP(F1271,'Set up'!$A$2:$C$48,3,FALSE)</f>
        <v>Cash</v>
      </c>
      <c r="J1271" s="5">
        <f>VLOOKUP(F1271,'Set up'!$A$2:$D$48,4,FALSE)</f>
        <v>0</v>
      </c>
      <c r="K1271" s="4">
        <f t="shared" si="376"/>
        <v>44931</v>
      </c>
      <c r="L1271" s="5">
        <f t="shared" si="371"/>
        <v>1</v>
      </c>
      <c r="M1271" s="5">
        <f t="shared" si="372"/>
        <v>2023</v>
      </c>
      <c r="N1271" s="6">
        <v>7020</v>
      </c>
      <c r="O1271" s="6">
        <f>-3316.7-3703.3</f>
        <v>-7020</v>
      </c>
      <c r="P1271" s="6">
        <f t="shared" si="365"/>
        <v>0</v>
      </c>
      <c r="Q1271" s="7">
        <f t="shared" si="366"/>
        <v>2365120.9500000011</v>
      </c>
      <c r="R1271" s="44" t="str">
        <f>VLOOKUP(F1271,'Set up'!$A$2:$E$48,5,FALSE)</f>
        <v>Trsf</v>
      </c>
      <c r="S1271" s="1" t="s">
        <v>1868</v>
      </c>
    </row>
    <row r="1272" spans="1:19" x14ac:dyDescent="0.3">
      <c r="A1272" s="4">
        <v>44931</v>
      </c>
      <c r="B1272" s="5">
        <f t="shared" si="389"/>
        <v>1</v>
      </c>
      <c r="C1272" s="5">
        <f t="shared" si="390"/>
        <v>2023</v>
      </c>
      <c r="D1272" s="5" t="s">
        <v>1168</v>
      </c>
      <c r="E1272" s="5" t="str">
        <f>VLOOKUP(F1272,'Set up'!$A$2:$C$48,2,FALSE)</f>
        <v>C00000020</v>
      </c>
      <c r="F1272" s="1" t="s">
        <v>410</v>
      </c>
      <c r="G1272" s="89" t="s">
        <v>1169</v>
      </c>
      <c r="H1272" s="5">
        <v>15</v>
      </c>
      <c r="I1272" s="5" t="str">
        <f>VLOOKUP(F1272,'Set up'!$A$2:$C$48,3,FALSE)</f>
        <v>Cash</v>
      </c>
      <c r="J1272" s="5">
        <f>VLOOKUP(F1272,'Set up'!$A$2:$D$48,4,FALSE)</f>
        <v>0</v>
      </c>
      <c r="K1272" s="4">
        <f t="shared" si="376"/>
        <v>44931</v>
      </c>
      <c r="L1272" s="5">
        <f t="shared" si="371"/>
        <v>1</v>
      </c>
      <c r="M1272" s="5">
        <f t="shared" si="372"/>
        <v>2023</v>
      </c>
      <c r="N1272" s="6">
        <v>4095</v>
      </c>
      <c r="O1272" s="6">
        <f>-1796.7-2298.3</f>
        <v>-4095</v>
      </c>
      <c r="P1272" s="6">
        <f t="shared" si="365"/>
        <v>0</v>
      </c>
      <c r="Q1272" s="7">
        <f t="shared" si="366"/>
        <v>2369215.9500000011</v>
      </c>
      <c r="R1272" s="44" t="str">
        <f>VLOOKUP(F1272,'Set up'!$A$2:$E$48,5,FALSE)</f>
        <v>Trsf</v>
      </c>
      <c r="S1272" s="1" t="s">
        <v>1928</v>
      </c>
    </row>
    <row r="1273" spans="1:19" x14ac:dyDescent="0.3">
      <c r="A1273" s="4">
        <v>44931</v>
      </c>
      <c r="B1273" s="5">
        <f t="shared" si="389"/>
        <v>1</v>
      </c>
      <c r="C1273" s="5">
        <f t="shared" si="390"/>
        <v>2023</v>
      </c>
      <c r="D1273" s="5" t="s">
        <v>1168</v>
      </c>
      <c r="E1273" s="5" t="str">
        <f>VLOOKUP(F1273,'Set up'!$A$2:$C$48,2,FALSE)</f>
        <v>C00000020</v>
      </c>
      <c r="F1273" s="1" t="s">
        <v>410</v>
      </c>
      <c r="G1273" s="89" t="s">
        <v>54</v>
      </c>
      <c r="H1273" s="5">
        <v>10</v>
      </c>
      <c r="I1273" s="5" t="str">
        <f>VLOOKUP(F1273,'Set up'!$A$2:$C$48,3,FALSE)</f>
        <v>Cash</v>
      </c>
      <c r="J1273" s="5">
        <f>VLOOKUP(F1273,'Set up'!$A$2:$D$48,4,FALSE)</f>
        <v>0</v>
      </c>
      <c r="K1273" s="4">
        <f t="shared" si="376"/>
        <v>44931</v>
      </c>
      <c r="L1273" s="5">
        <f t="shared" si="371"/>
        <v>1</v>
      </c>
      <c r="M1273" s="5">
        <f t="shared" si="372"/>
        <v>2023</v>
      </c>
      <c r="N1273" s="6">
        <v>625</v>
      </c>
      <c r="O1273" s="6">
        <f t="shared" ref="O1273:O1275" si="391">-N1273</f>
        <v>-625</v>
      </c>
      <c r="P1273" s="6">
        <f t="shared" si="365"/>
        <v>0</v>
      </c>
      <c r="Q1273" s="7">
        <f t="shared" si="366"/>
        <v>2369840.9500000011</v>
      </c>
      <c r="R1273" s="44" t="str">
        <f>VLOOKUP(F1273,'Set up'!$A$2:$E$48,5,FALSE)</f>
        <v>Trsf</v>
      </c>
      <c r="S1273" s="1" t="s">
        <v>1929</v>
      </c>
    </row>
    <row r="1274" spans="1:19" x14ac:dyDescent="0.3">
      <c r="A1274" s="4">
        <v>44931</v>
      </c>
      <c r="B1274" s="5">
        <f t="shared" si="389"/>
        <v>1</v>
      </c>
      <c r="C1274" s="5">
        <f t="shared" si="390"/>
        <v>2023</v>
      </c>
      <c r="D1274" s="5" t="s">
        <v>1168</v>
      </c>
      <c r="E1274" s="5" t="str">
        <f>VLOOKUP(F1274,'Set up'!$A$2:$C$48,2,FALSE)</f>
        <v>C00000020</v>
      </c>
      <c r="F1274" s="1" t="s">
        <v>410</v>
      </c>
      <c r="G1274" s="89" t="s">
        <v>667</v>
      </c>
      <c r="H1274" s="5">
        <v>4</v>
      </c>
      <c r="I1274" s="5" t="str">
        <f>VLOOKUP(F1274,'Set up'!$A$2:$C$48,3,FALSE)</f>
        <v>Cash</v>
      </c>
      <c r="J1274" s="5">
        <f>VLOOKUP(F1274,'Set up'!$A$2:$D$48,4,FALSE)</f>
        <v>0</v>
      </c>
      <c r="K1274" s="4">
        <f t="shared" si="376"/>
        <v>44931</v>
      </c>
      <c r="L1274" s="5">
        <f t="shared" si="371"/>
        <v>1</v>
      </c>
      <c r="M1274" s="5">
        <f t="shared" si="372"/>
        <v>2023</v>
      </c>
      <c r="N1274" s="6">
        <v>380</v>
      </c>
      <c r="O1274" s="6">
        <f t="shared" si="391"/>
        <v>-380</v>
      </c>
      <c r="P1274" s="6">
        <f t="shared" si="365"/>
        <v>0</v>
      </c>
      <c r="Q1274" s="7">
        <f t="shared" si="366"/>
        <v>2370220.9500000011</v>
      </c>
      <c r="R1274" s="44" t="str">
        <f>VLOOKUP(F1274,'Set up'!$A$2:$E$48,5,FALSE)</f>
        <v>Trsf</v>
      </c>
      <c r="S1274" s="1" t="s">
        <v>1930</v>
      </c>
    </row>
    <row r="1275" spans="1:19" x14ac:dyDescent="0.3">
      <c r="A1275" s="4">
        <v>44931</v>
      </c>
      <c r="B1275" s="5">
        <f t="shared" si="389"/>
        <v>1</v>
      </c>
      <c r="C1275" s="5">
        <f t="shared" si="390"/>
        <v>2023</v>
      </c>
      <c r="D1275" s="5" t="s">
        <v>1168</v>
      </c>
      <c r="E1275" s="5" t="str">
        <f>VLOOKUP(F1275,'Set up'!$A$2:$C$48,2,FALSE)</f>
        <v>C00000020</v>
      </c>
      <c r="F1275" s="1" t="s">
        <v>410</v>
      </c>
      <c r="G1275" s="89" t="s">
        <v>1074</v>
      </c>
      <c r="H1275" s="5">
        <v>2</v>
      </c>
      <c r="I1275" s="5" t="str">
        <f>VLOOKUP(F1275,'Set up'!$A$2:$C$48,3,FALSE)</f>
        <v>Cash</v>
      </c>
      <c r="J1275" s="5">
        <f>VLOOKUP(F1275,'Set up'!$A$2:$D$48,4,FALSE)</f>
        <v>0</v>
      </c>
      <c r="K1275" s="4">
        <f t="shared" si="376"/>
        <v>44931</v>
      </c>
      <c r="L1275" s="5">
        <f t="shared" si="371"/>
        <v>1</v>
      </c>
      <c r="M1275" s="5">
        <f t="shared" si="372"/>
        <v>2023</v>
      </c>
      <c r="N1275" s="6">
        <v>2000</v>
      </c>
      <c r="O1275" s="6">
        <f t="shared" si="391"/>
        <v>-2000</v>
      </c>
      <c r="P1275" s="6">
        <f t="shared" si="365"/>
        <v>0</v>
      </c>
      <c r="Q1275" s="7">
        <f t="shared" si="366"/>
        <v>2372220.9500000011</v>
      </c>
      <c r="R1275" s="44" t="str">
        <f>VLOOKUP(F1275,'Set up'!$A$2:$E$48,5,FALSE)</f>
        <v>Trsf</v>
      </c>
      <c r="S1275" s="1" t="s">
        <v>1931</v>
      </c>
    </row>
    <row r="1276" spans="1:19" hidden="1" x14ac:dyDescent="0.3">
      <c r="A1276" s="4">
        <v>44932</v>
      </c>
      <c r="B1276" s="5">
        <f t="shared" si="389"/>
        <v>1</v>
      </c>
      <c r="C1276" s="5">
        <f t="shared" si="390"/>
        <v>2023</v>
      </c>
      <c r="D1276" s="5" t="s">
        <v>1171</v>
      </c>
      <c r="E1276" s="5" t="str">
        <f>VLOOKUP(F1276,'Set up'!$A$2:$C$48,2,FALSE)</f>
        <v>C00000023</v>
      </c>
      <c r="F1276" s="1" t="s">
        <v>666</v>
      </c>
      <c r="G1276" s="89" t="s">
        <v>717</v>
      </c>
      <c r="H1276" s="5">
        <v>2</v>
      </c>
      <c r="I1276" s="5" t="str">
        <f>VLOOKUP(F1276,'Set up'!$A$2:$C$48,3,FALSE)</f>
        <v>Cash</v>
      </c>
      <c r="J1276" s="5">
        <f>VLOOKUP(F1276,'Set up'!$A$2:$D$48,4,FALSE)</f>
        <v>0</v>
      </c>
      <c r="K1276" s="4">
        <f t="shared" si="376"/>
        <v>44932</v>
      </c>
      <c r="L1276" s="5">
        <f t="shared" si="371"/>
        <v>1</v>
      </c>
      <c r="M1276" s="5">
        <f t="shared" si="372"/>
        <v>2023</v>
      </c>
      <c r="N1276" s="6">
        <v>3476</v>
      </c>
      <c r="O1276" s="6">
        <f t="shared" ref="O1276:O1280" si="392">-N1276</f>
        <v>-3476</v>
      </c>
      <c r="P1276" s="6">
        <f t="shared" si="365"/>
        <v>0</v>
      </c>
      <c r="Q1276" s="7">
        <f t="shared" si="366"/>
        <v>2375696.9500000011</v>
      </c>
      <c r="R1276" s="44" t="str">
        <f>VLOOKUP(F1276,'Set up'!$A$2:$E$48,5,FALSE)</f>
        <v>Trsf</v>
      </c>
      <c r="S1276" s="1" t="s">
        <v>1214</v>
      </c>
    </row>
    <row r="1277" spans="1:19" hidden="1" x14ac:dyDescent="0.3">
      <c r="A1277" s="4">
        <v>44932</v>
      </c>
      <c r="B1277" s="5">
        <f t="shared" ref="B1277:B1290" si="393">MONTH(A1277)</f>
        <v>1</v>
      </c>
      <c r="C1277" s="5">
        <f t="shared" ref="C1277:C1290" si="394">YEAR(A1277)</f>
        <v>2023</v>
      </c>
      <c r="D1277" s="5" t="s">
        <v>1171</v>
      </c>
      <c r="E1277" s="5" t="str">
        <f>VLOOKUP(F1277,'Set up'!$A$2:$C$48,2,FALSE)</f>
        <v>C00000023</v>
      </c>
      <c r="F1277" s="1" t="s">
        <v>666</v>
      </c>
      <c r="G1277" s="89" t="s">
        <v>655</v>
      </c>
      <c r="H1277" s="5">
        <v>8</v>
      </c>
      <c r="I1277" s="5" t="str">
        <f>VLOOKUP(F1277,'Set up'!$A$2:$C$48,3,FALSE)</f>
        <v>Cash</v>
      </c>
      <c r="J1277" s="5">
        <f>VLOOKUP(F1277,'Set up'!$A$2:$D$48,4,FALSE)</f>
        <v>0</v>
      </c>
      <c r="K1277" s="4">
        <f t="shared" si="376"/>
        <v>44932</v>
      </c>
      <c r="L1277" s="5">
        <f t="shared" si="371"/>
        <v>1</v>
      </c>
      <c r="M1277" s="5">
        <f t="shared" si="372"/>
        <v>2023</v>
      </c>
      <c r="N1277" s="6">
        <v>1872</v>
      </c>
      <c r="O1277" s="6">
        <f t="shared" si="392"/>
        <v>-1872</v>
      </c>
      <c r="P1277" s="6">
        <f t="shared" si="365"/>
        <v>0</v>
      </c>
      <c r="Q1277" s="7">
        <f t="shared" si="366"/>
        <v>2377568.9500000011</v>
      </c>
      <c r="R1277" s="44" t="str">
        <f>VLOOKUP(F1277,'Set up'!$A$2:$E$48,5,FALSE)</f>
        <v>Trsf</v>
      </c>
      <c r="S1277" s="1" t="s">
        <v>1214</v>
      </c>
    </row>
    <row r="1278" spans="1:19" hidden="1" x14ac:dyDescent="0.3">
      <c r="A1278" s="4">
        <v>44932</v>
      </c>
      <c r="B1278" s="5">
        <f t="shared" si="393"/>
        <v>1</v>
      </c>
      <c r="C1278" s="5">
        <f t="shared" si="394"/>
        <v>2023</v>
      </c>
      <c r="D1278" s="5" t="s">
        <v>1171</v>
      </c>
      <c r="E1278" s="5" t="str">
        <f>VLOOKUP(F1278,'Set up'!$A$2:$C$48,2,FALSE)</f>
        <v>C00000023</v>
      </c>
      <c r="F1278" s="1" t="s">
        <v>666</v>
      </c>
      <c r="G1278" s="89" t="s">
        <v>667</v>
      </c>
      <c r="H1278" s="5">
        <v>6</v>
      </c>
      <c r="I1278" s="5" t="str">
        <f>VLOOKUP(F1278,'Set up'!$A$2:$C$48,3,FALSE)</f>
        <v>Cash</v>
      </c>
      <c r="J1278" s="5">
        <f>VLOOKUP(F1278,'Set up'!$A$2:$D$48,4,FALSE)</f>
        <v>0</v>
      </c>
      <c r="K1278" s="4">
        <f t="shared" si="376"/>
        <v>44932</v>
      </c>
      <c r="L1278" s="5">
        <f t="shared" si="371"/>
        <v>1</v>
      </c>
      <c r="M1278" s="5">
        <f t="shared" si="372"/>
        <v>2023</v>
      </c>
      <c r="N1278" s="6">
        <v>570</v>
      </c>
      <c r="O1278" s="6">
        <f t="shared" si="392"/>
        <v>-570</v>
      </c>
      <c r="P1278" s="6">
        <f t="shared" si="365"/>
        <v>0</v>
      </c>
      <c r="Q1278" s="7">
        <f t="shared" si="366"/>
        <v>2378138.9500000011</v>
      </c>
      <c r="R1278" s="44" t="str">
        <f>VLOOKUP(F1278,'Set up'!$A$2:$E$48,5,FALSE)</f>
        <v>Trsf</v>
      </c>
      <c r="S1278" s="1" t="s">
        <v>1214</v>
      </c>
    </row>
    <row r="1279" spans="1:19" hidden="1" x14ac:dyDescent="0.3">
      <c r="A1279" s="4">
        <v>44932</v>
      </c>
      <c r="B1279" s="5">
        <f t="shared" si="393"/>
        <v>1</v>
      </c>
      <c r="C1279" s="5">
        <f t="shared" si="394"/>
        <v>2023</v>
      </c>
      <c r="D1279" s="5" t="s">
        <v>1171</v>
      </c>
      <c r="E1279" s="5" t="str">
        <f>VLOOKUP(F1279,'Set up'!$A$2:$C$48,2,FALSE)</f>
        <v>C00000023</v>
      </c>
      <c r="F1279" s="1" t="s">
        <v>666</v>
      </c>
      <c r="G1279" s="89" t="s">
        <v>1111</v>
      </c>
      <c r="H1279" s="5">
        <v>1</v>
      </c>
      <c r="I1279" s="5" t="str">
        <f>VLOOKUP(F1279,'Set up'!$A$2:$C$48,3,FALSE)</f>
        <v>Cash</v>
      </c>
      <c r="J1279" s="5">
        <f>VLOOKUP(F1279,'Set up'!$A$2:$D$48,4,FALSE)</f>
        <v>0</v>
      </c>
      <c r="K1279" s="4">
        <f t="shared" si="376"/>
        <v>44932</v>
      </c>
      <c r="L1279" s="5">
        <f t="shared" si="371"/>
        <v>1</v>
      </c>
      <c r="M1279" s="5">
        <f t="shared" si="372"/>
        <v>2023</v>
      </c>
      <c r="N1279" s="6">
        <v>62.5</v>
      </c>
      <c r="O1279" s="6">
        <f t="shared" si="392"/>
        <v>-62.5</v>
      </c>
      <c r="P1279" s="6">
        <f t="shared" ref="P1279:P1290" si="395">SUM(N1279+O1279)</f>
        <v>0</v>
      </c>
      <c r="Q1279" s="7">
        <f t="shared" ref="Q1279:Q1290" si="396">SUM(Q1278+N1279)</f>
        <v>2378201.4500000011</v>
      </c>
      <c r="R1279" s="44" t="str">
        <f>VLOOKUP(F1279,'Set up'!$A$2:$E$48,5,FALSE)</f>
        <v>Trsf</v>
      </c>
      <c r="S1279" s="1" t="s">
        <v>1214</v>
      </c>
    </row>
    <row r="1280" spans="1:19" hidden="1" x14ac:dyDescent="0.3">
      <c r="A1280" s="4">
        <v>44932</v>
      </c>
      <c r="B1280" s="5">
        <f t="shared" si="393"/>
        <v>1</v>
      </c>
      <c r="C1280" s="5">
        <f t="shared" si="394"/>
        <v>2023</v>
      </c>
      <c r="D1280" s="5" t="s">
        <v>1171</v>
      </c>
      <c r="E1280" s="5" t="str">
        <f>VLOOKUP(F1280,'Set up'!$A$2:$C$48,2,FALSE)</f>
        <v>C00000023</v>
      </c>
      <c r="F1280" s="1" t="s">
        <v>666</v>
      </c>
      <c r="G1280" s="89" t="s">
        <v>1170</v>
      </c>
      <c r="H1280" s="5">
        <v>2</v>
      </c>
      <c r="I1280" s="5" t="str">
        <f>VLOOKUP(F1280,'Set up'!$A$2:$C$48,3,FALSE)</f>
        <v>Cash</v>
      </c>
      <c r="J1280" s="5">
        <f>VLOOKUP(F1280,'Set up'!$A$2:$D$48,4,FALSE)</f>
        <v>0</v>
      </c>
      <c r="K1280" s="4">
        <f t="shared" si="376"/>
        <v>44932</v>
      </c>
      <c r="L1280" s="5">
        <f t="shared" si="371"/>
        <v>1</v>
      </c>
      <c r="M1280" s="5">
        <f t="shared" si="372"/>
        <v>2023</v>
      </c>
      <c r="N1280" s="6">
        <v>400</v>
      </c>
      <c r="O1280" s="6">
        <f t="shared" si="392"/>
        <v>-400</v>
      </c>
      <c r="P1280" s="6">
        <f t="shared" si="395"/>
        <v>0</v>
      </c>
      <c r="Q1280" s="7">
        <f t="shared" si="396"/>
        <v>2378601.4500000011</v>
      </c>
      <c r="R1280" s="44" t="str">
        <f>VLOOKUP(F1280,'Set up'!$A$2:$E$48,5,FALSE)</f>
        <v>Trsf</v>
      </c>
      <c r="S1280" s="1" t="s">
        <v>1214</v>
      </c>
    </row>
    <row r="1281" spans="1:19" x14ac:dyDescent="0.3">
      <c r="A1281" s="4">
        <v>44933</v>
      </c>
      <c r="B1281" s="5">
        <f t="shared" si="393"/>
        <v>1</v>
      </c>
      <c r="C1281" s="5">
        <f t="shared" si="394"/>
        <v>2023</v>
      </c>
      <c r="D1281" s="5" t="s">
        <v>1172</v>
      </c>
      <c r="E1281" s="5" t="str">
        <f>VLOOKUP(F1281,'Set up'!$A$2:$C$48,2,FALSE)</f>
        <v>C00000020</v>
      </c>
      <c r="F1281" s="1" t="s">
        <v>410</v>
      </c>
      <c r="G1281" s="89" t="s">
        <v>717</v>
      </c>
      <c r="H1281" s="5">
        <v>3</v>
      </c>
      <c r="I1281" s="5" t="str">
        <f>VLOOKUP(F1281,'Set up'!$A$2:$C$48,3,FALSE)</f>
        <v>Cash</v>
      </c>
      <c r="J1281" s="5">
        <f>VLOOKUP(F1281,'Set up'!$A$2:$D$48,4,FALSE)</f>
        <v>0</v>
      </c>
      <c r="K1281" s="4">
        <f t="shared" si="376"/>
        <v>44933</v>
      </c>
      <c r="L1281" s="5">
        <f t="shared" si="371"/>
        <v>1</v>
      </c>
      <c r="M1281" s="5">
        <f t="shared" si="372"/>
        <v>2023</v>
      </c>
      <c r="N1281" s="6">
        <v>5214</v>
      </c>
      <c r="O1281" s="6">
        <f>-896.7-4317.3</f>
        <v>-5214</v>
      </c>
      <c r="P1281" s="6">
        <f t="shared" si="395"/>
        <v>0</v>
      </c>
      <c r="Q1281" s="7">
        <f t="shared" si="396"/>
        <v>2383815.4500000011</v>
      </c>
      <c r="R1281" s="44" t="str">
        <f>VLOOKUP(F1281,'Set up'!$A$2:$E$48,5,FALSE)</f>
        <v>Trsf</v>
      </c>
      <c r="S1281" s="1" t="s">
        <v>1932</v>
      </c>
    </row>
    <row r="1282" spans="1:19" x14ac:dyDescent="0.3">
      <c r="A1282" s="4">
        <v>44933</v>
      </c>
      <c r="B1282" s="5">
        <f t="shared" si="393"/>
        <v>1</v>
      </c>
      <c r="C1282" s="5">
        <f t="shared" si="394"/>
        <v>2023</v>
      </c>
      <c r="D1282" s="5" t="s">
        <v>1172</v>
      </c>
      <c r="E1282" s="5" t="str">
        <f>VLOOKUP(F1282,'Set up'!$A$2:$C$48,2,FALSE)</f>
        <v>C00000020</v>
      </c>
      <c r="F1282" s="1" t="s">
        <v>410</v>
      </c>
      <c r="G1282" s="89" t="s">
        <v>1141</v>
      </c>
      <c r="H1282" s="5">
        <v>10</v>
      </c>
      <c r="I1282" s="5" t="str">
        <f>VLOOKUP(F1282,'Set up'!$A$2:$C$48,3,FALSE)</f>
        <v>Cash</v>
      </c>
      <c r="J1282" s="5">
        <f>VLOOKUP(F1282,'Set up'!$A$2:$D$48,4,FALSE)</f>
        <v>0</v>
      </c>
      <c r="K1282" s="4">
        <f t="shared" si="376"/>
        <v>44933</v>
      </c>
      <c r="L1282" s="5">
        <f t="shared" si="371"/>
        <v>1</v>
      </c>
      <c r="M1282" s="5">
        <f t="shared" si="372"/>
        <v>2023</v>
      </c>
      <c r="N1282" s="6">
        <v>2340</v>
      </c>
      <c r="O1282" s="6">
        <f>-1682.7-657.3</f>
        <v>-2340</v>
      </c>
      <c r="P1282" s="6">
        <f t="shared" si="395"/>
        <v>0</v>
      </c>
      <c r="Q1282" s="7">
        <f t="shared" si="396"/>
        <v>2386155.4500000011</v>
      </c>
      <c r="R1282" s="44" t="str">
        <f>VLOOKUP(F1282,'Set up'!$A$2:$E$48,5,FALSE)</f>
        <v>Trsf</v>
      </c>
      <c r="S1282" s="1" t="s">
        <v>1933</v>
      </c>
    </row>
    <row r="1283" spans="1:19" x14ac:dyDescent="0.3">
      <c r="A1283" s="4">
        <v>44933</v>
      </c>
      <c r="B1283" s="5">
        <f t="shared" si="393"/>
        <v>1</v>
      </c>
      <c r="C1283" s="5">
        <f t="shared" si="394"/>
        <v>2023</v>
      </c>
      <c r="D1283" s="5" t="s">
        <v>1172</v>
      </c>
      <c r="E1283" s="5" t="str">
        <f>VLOOKUP(F1283,'Set up'!$A$2:$C$48,2,FALSE)</f>
        <v>C00000020</v>
      </c>
      <c r="F1283" s="1" t="s">
        <v>410</v>
      </c>
      <c r="G1283" s="89" t="s">
        <v>1169</v>
      </c>
      <c r="H1283" s="5">
        <v>4</v>
      </c>
      <c r="I1283" s="5" t="str">
        <f>VLOOKUP(F1283,'Set up'!$A$2:$C$48,3,FALSE)</f>
        <v>Cash</v>
      </c>
      <c r="J1283" s="5">
        <f>VLOOKUP(F1283,'Set up'!$A$2:$D$48,4,FALSE)</f>
        <v>0</v>
      </c>
      <c r="K1283" s="4">
        <f t="shared" si="376"/>
        <v>44933</v>
      </c>
      <c r="L1283" s="5">
        <f t="shared" si="371"/>
        <v>1</v>
      </c>
      <c r="M1283" s="5">
        <f t="shared" si="372"/>
        <v>2023</v>
      </c>
      <c r="N1283" s="6">
        <v>1092</v>
      </c>
      <c r="O1283" s="6">
        <f t="shared" ref="O1283:O1285" si="397">-N1283</f>
        <v>-1092</v>
      </c>
      <c r="P1283" s="6">
        <f t="shared" si="395"/>
        <v>0</v>
      </c>
      <c r="Q1283" s="7">
        <f t="shared" si="396"/>
        <v>2387247.4500000011</v>
      </c>
      <c r="R1283" s="44" t="str">
        <f>VLOOKUP(F1283,'Set up'!$A$2:$E$48,5,FALSE)</f>
        <v>Trsf</v>
      </c>
      <c r="S1283" s="1" t="s">
        <v>1934</v>
      </c>
    </row>
    <row r="1284" spans="1:19" x14ac:dyDescent="0.3">
      <c r="A1284" s="4">
        <v>44933</v>
      </c>
      <c r="B1284" s="5">
        <f t="shared" si="393"/>
        <v>1</v>
      </c>
      <c r="C1284" s="5">
        <f t="shared" si="394"/>
        <v>2023</v>
      </c>
      <c r="D1284" s="5" t="s">
        <v>1172</v>
      </c>
      <c r="E1284" s="5" t="str">
        <f>VLOOKUP(F1284,'Set up'!$A$2:$C$48,2,FALSE)</f>
        <v>C00000020</v>
      </c>
      <c r="F1284" s="1" t="s">
        <v>410</v>
      </c>
      <c r="G1284" s="89" t="s">
        <v>667</v>
      </c>
      <c r="H1284" s="5">
        <v>4</v>
      </c>
      <c r="I1284" s="5" t="str">
        <f>VLOOKUP(F1284,'Set up'!$A$2:$C$48,3,FALSE)</f>
        <v>Cash</v>
      </c>
      <c r="J1284" s="5">
        <f>VLOOKUP(F1284,'Set up'!$A$2:$D$48,4,FALSE)</f>
        <v>0</v>
      </c>
      <c r="K1284" s="4">
        <f t="shared" si="376"/>
        <v>44933</v>
      </c>
      <c r="L1284" s="5">
        <f t="shared" si="371"/>
        <v>1</v>
      </c>
      <c r="M1284" s="5">
        <f t="shared" si="372"/>
        <v>2023</v>
      </c>
      <c r="N1284" s="6">
        <v>380</v>
      </c>
      <c r="O1284" s="6">
        <f t="shared" si="397"/>
        <v>-380</v>
      </c>
      <c r="P1284" s="6">
        <f t="shared" si="395"/>
        <v>0</v>
      </c>
      <c r="Q1284" s="7">
        <f t="shared" si="396"/>
        <v>2387627.4500000011</v>
      </c>
      <c r="R1284" s="44" t="str">
        <f>VLOOKUP(F1284,'Set up'!$A$2:$E$48,5,FALSE)</f>
        <v>Trsf</v>
      </c>
      <c r="S1284" s="1" t="s">
        <v>1935</v>
      </c>
    </row>
    <row r="1285" spans="1:19" x14ac:dyDescent="0.3">
      <c r="A1285" s="4">
        <v>44933</v>
      </c>
      <c r="B1285" s="5">
        <f t="shared" si="393"/>
        <v>1</v>
      </c>
      <c r="C1285" s="5">
        <f t="shared" si="394"/>
        <v>2023</v>
      </c>
      <c r="D1285" s="5" t="s">
        <v>1172</v>
      </c>
      <c r="E1285" s="5" t="str">
        <f>VLOOKUP(F1285,'Set up'!$A$2:$C$48,2,FALSE)</f>
        <v>C00000020</v>
      </c>
      <c r="F1285" s="1" t="s">
        <v>410</v>
      </c>
      <c r="G1285" s="89" t="s">
        <v>1111</v>
      </c>
      <c r="H1285" s="5">
        <v>3</v>
      </c>
      <c r="I1285" s="5" t="str">
        <f>VLOOKUP(F1285,'Set up'!$A$2:$C$48,3,FALSE)</f>
        <v>Cash</v>
      </c>
      <c r="J1285" s="5">
        <f>VLOOKUP(F1285,'Set up'!$A$2:$D$48,4,FALSE)</f>
        <v>0</v>
      </c>
      <c r="K1285" s="4">
        <f t="shared" si="376"/>
        <v>44933</v>
      </c>
      <c r="L1285" s="5">
        <f t="shared" si="371"/>
        <v>1</v>
      </c>
      <c r="M1285" s="5">
        <f t="shared" si="372"/>
        <v>2023</v>
      </c>
      <c r="N1285" s="6">
        <v>187.5</v>
      </c>
      <c r="O1285" s="6">
        <f t="shared" si="397"/>
        <v>-187.5</v>
      </c>
      <c r="P1285" s="6">
        <f t="shared" si="395"/>
        <v>0</v>
      </c>
      <c r="Q1285" s="7">
        <f t="shared" si="396"/>
        <v>2387814.9500000011</v>
      </c>
      <c r="R1285" s="44" t="str">
        <f>VLOOKUP(F1285,'Set up'!$A$2:$E$48,5,FALSE)</f>
        <v>Trsf</v>
      </c>
      <c r="S1285" s="1" t="s">
        <v>1936</v>
      </c>
    </row>
    <row r="1286" spans="1:19" hidden="1" x14ac:dyDescent="0.3">
      <c r="A1286" s="4">
        <v>44935</v>
      </c>
      <c r="B1286" s="5">
        <f t="shared" si="393"/>
        <v>1</v>
      </c>
      <c r="C1286" s="5">
        <f t="shared" si="394"/>
        <v>2023</v>
      </c>
      <c r="D1286" s="5" t="s">
        <v>1173</v>
      </c>
      <c r="E1286" s="5" t="str">
        <f>VLOOKUP(F1286,'Set up'!$A$2:$C$48,2,FALSE)</f>
        <v>C00000021</v>
      </c>
      <c r="F1286" s="1" t="s">
        <v>492</v>
      </c>
      <c r="G1286" s="89" t="s">
        <v>717</v>
      </c>
      <c r="H1286" s="5">
        <v>1</v>
      </c>
      <c r="I1286" s="5" t="str">
        <f>VLOOKUP(F1286,'Set up'!$A$2:$C$48,3,FALSE)</f>
        <v>Cash</v>
      </c>
      <c r="J1286" s="5">
        <f>VLOOKUP(F1286,'Set up'!$A$2:$D$48,4,FALSE)</f>
        <v>0</v>
      </c>
      <c r="K1286" s="4">
        <f t="shared" si="376"/>
        <v>44935</v>
      </c>
      <c r="L1286" s="5">
        <f t="shared" si="371"/>
        <v>1</v>
      </c>
      <c r="M1286" s="5">
        <f t="shared" si="372"/>
        <v>2023</v>
      </c>
      <c r="N1286" s="96">
        <v>1870</v>
      </c>
      <c r="O1286" s="6">
        <f t="shared" ref="O1286:O1290" si="398">-N1286</f>
        <v>-1870</v>
      </c>
      <c r="P1286" s="6">
        <f t="shared" si="395"/>
        <v>0</v>
      </c>
      <c r="Q1286" s="7">
        <f t="shared" si="396"/>
        <v>2389684.9500000011</v>
      </c>
      <c r="R1286" s="44" t="str">
        <f>VLOOKUP(F1286,'Set up'!$A$2:$E$48,5,FALSE)</f>
        <v>PD Chq</v>
      </c>
      <c r="S1286" s="1" t="s">
        <v>1527</v>
      </c>
    </row>
    <row r="1287" spans="1:19" hidden="1" x14ac:dyDescent="0.3">
      <c r="A1287" s="4">
        <v>44935</v>
      </c>
      <c r="B1287" s="5">
        <f t="shared" si="393"/>
        <v>1</v>
      </c>
      <c r="C1287" s="5">
        <f t="shared" si="394"/>
        <v>2023</v>
      </c>
      <c r="D1287" s="5" t="s">
        <v>1173</v>
      </c>
      <c r="E1287" s="5" t="str">
        <f>VLOOKUP(F1287,'Set up'!$A$2:$C$48,2,FALSE)</f>
        <v>C00000021</v>
      </c>
      <c r="F1287" s="1" t="s">
        <v>492</v>
      </c>
      <c r="G1287" s="89" t="s">
        <v>655</v>
      </c>
      <c r="H1287" s="5">
        <v>2</v>
      </c>
      <c r="I1287" s="5" t="str">
        <f>VLOOKUP(F1287,'Set up'!$A$2:$C$48,3,FALSE)</f>
        <v>Cash</v>
      </c>
      <c r="J1287" s="5">
        <f>VLOOKUP(F1287,'Set up'!$A$2:$D$48,4,FALSE)</f>
        <v>0</v>
      </c>
      <c r="K1287" s="4">
        <f t="shared" si="376"/>
        <v>44935</v>
      </c>
      <c r="L1287" s="5">
        <f t="shared" si="371"/>
        <v>1</v>
      </c>
      <c r="M1287" s="5">
        <f t="shared" si="372"/>
        <v>2023</v>
      </c>
      <c r="N1287" s="96">
        <v>510</v>
      </c>
      <c r="O1287" s="6">
        <f t="shared" si="398"/>
        <v>-510</v>
      </c>
      <c r="P1287" s="6">
        <f t="shared" si="395"/>
        <v>0</v>
      </c>
      <c r="Q1287" s="7">
        <f t="shared" si="396"/>
        <v>2390194.9500000011</v>
      </c>
      <c r="R1287" s="44" t="str">
        <f>VLOOKUP(F1287,'Set up'!$A$2:$E$48,5,FALSE)</f>
        <v>PD Chq</v>
      </c>
      <c r="S1287" s="1" t="s">
        <v>1527</v>
      </c>
    </row>
    <row r="1288" spans="1:19" hidden="1" x14ac:dyDescent="0.3">
      <c r="A1288" s="4">
        <v>44935</v>
      </c>
      <c r="B1288" s="5">
        <f t="shared" si="393"/>
        <v>1</v>
      </c>
      <c r="C1288" s="5">
        <f t="shared" si="394"/>
        <v>2023</v>
      </c>
      <c r="D1288" s="5" t="s">
        <v>1173</v>
      </c>
      <c r="E1288" s="5" t="str">
        <f>VLOOKUP(F1288,'Set up'!$A$2:$C$48,2,FALSE)</f>
        <v>C00000021</v>
      </c>
      <c r="F1288" s="1" t="s">
        <v>492</v>
      </c>
      <c r="G1288" s="89" t="s">
        <v>46</v>
      </c>
      <c r="H1288" s="5">
        <v>1</v>
      </c>
      <c r="I1288" s="5" t="str">
        <f>VLOOKUP(F1288,'Set up'!$A$2:$C$48,3,FALSE)</f>
        <v>Cash</v>
      </c>
      <c r="J1288" s="5">
        <f>VLOOKUP(F1288,'Set up'!$A$2:$D$48,4,FALSE)</f>
        <v>0</v>
      </c>
      <c r="K1288" s="4">
        <f t="shared" si="376"/>
        <v>44935</v>
      </c>
      <c r="L1288" s="5">
        <f t="shared" si="371"/>
        <v>1</v>
      </c>
      <c r="M1288" s="5">
        <f t="shared" si="372"/>
        <v>2023</v>
      </c>
      <c r="N1288" s="96">
        <v>105</v>
      </c>
      <c r="O1288" s="6">
        <f t="shared" si="398"/>
        <v>-105</v>
      </c>
      <c r="P1288" s="6">
        <f t="shared" si="395"/>
        <v>0</v>
      </c>
      <c r="Q1288" s="7">
        <f t="shared" si="396"/>
        <v>2390299.9500000011</v>
      </c>
      <c r="R1288" s="44" t="str">
        <f>VLOOKUP(F1288,'Set up'!$A$2:$E$48,5,FALSE)</f>
        <v>PD Chq</v>
      </c>
      <c r="S1288" s="1" t="s">
        <v>1527</v>
      </c>
    </row>
    <row r="1289" spans="1:19" hidden="1" x14ac:dyDescent="0.3">
      <c r="A1289" s="4">
        <v>44935</v>
      </c>
      <c r="B1289" s="5">
        <f t="shared" si="393"/>
        <v>1</v>
      </c>
      <c r="C1289" s="5">
        <f t="shared" si="394"/>
        <v>2023</v>
      </c>
      <c r="D1289" s="5" t="s">
        <v>1173</v>
      </c>
      <c r="E1289" s="5" t="str">
        <f>VLOOKUP(F1289,'Set up'!$A$2:$C$48,2,FALSE)</f>
        <v>C00000021</v>
      </c>
      <c r="F1289" s="1" t="s">
        <v>492</v>
      </c>
      <c r="G1289" s="89" t="s">
        <v>783</v>
      </c>
      <c r="H1289" s="5">
        <v>12</v>
      </c>
      <c r="I1289" s="5" t="str">
        <f>VLOOKUP(F1289,'Set up'!$A$2:$C$48,3,FALSE)</f>
        <v>Cash</v>
      </c>
      <c r="J1289" s="5">
        <f>VLOOKUP(F1289,'Set up'!$A$2:$D$48,4,FALSE)</f>
        <v>0</v>
      </c>
      <c r="K1289" s="4">
        <f t="shared" si="376"/>
        <v>44935</v>
      </c>
      <c r="L1289" s="5">
        <f t="shared" si="371"/>
        <v>1</v>
      </c>
      <c r="M1289" s="5">
        <f t="shared" si="372"/>
        <v>2023</v>
      </c>
      <c r="N1289" s="96">
        <v>576</v>
      </c>
      <c r="O1289" s="6">
        <f t="shared" si="398"/>
        <v>-576</v>
      </c>
      <c r="P1289" s="6">
        <f t="shared" si="395"/>
        <v>0</v>
      </c>
      <c r="Q1289" s="7">
        <f t="shared" si="396"/>
        <v>2390875.9500000011</v>
      </c>
      <c r="R1289" s="44" t="str">
        <f>VLOOKUP(F1289,'Set up'!$A$2:$E$48,5,FALSE)</f>
        <v>PD Chq</v>
      </c>
      <c r="S1289" s="1" t="s">
        <v>1527</v>
      </c>
    </row>
    <row r="1290" spans="1:19" hidden="1" x14ac:dyDescent="0.3">
      <c r="A1290" s="4">
        <v>44935</v>
      </c>
      <c r="B1290" s="5">
        <f t="shared" si="393"/>
        <v>1</v>
      </c>
      <c r="C1290" s="5">
        <f t="shared" si="394"/>
        <v>2023</v>
      </c>
      <c r="D1290" s="5" t="s">
        <v>1173</v>
      </c>
      <c r="E1290" s="5" t="str">
        <f>VLOOKUP(F1290,'Set up'!$A$2:$C$48,2,FALSE)</f>
        <v>C00000021</v>
      </c>
      <c r="F1290" s="1" t="s">
        <v>492</v>
      </c>
      <c r="G1290" s="89" t="s">
        <v>1111</v>
      </c>
      <c r="H1290" s="5">
        <v>5</v>
      </c>
      <c r="I1290" s="5" t="str">
        <f>VLOOKUP(F1290,'Set up'!$A$2:$C$48,3,FALSE)</f>
        <v>Cash</v>
      </c>
      <c r="J1290" s="5">
        <f>VLOOKUP(F1290,'Set up'!$A$2:$D$48,4,FALSE)</f>
        <v>0</v>
      </c>
      <c r="K1290" s="4">
        <f t="shared" si="376"/>
        <v>44935</v>
      </c>
      <c r="L1290" s="5">
        <f t="shared" ref="L1290:L1352" si="399">MONTH(K1290)</f>
        <v>1</v>
      </c>
      <c r="M1290" s="5">
        <f t="shared" ref="M1290:M1352" si="400">YEAR(K1290)</f>
        <v>2023</v>
      </c>
      <c r="N1290" s="96">
        <v>312.5</v>
      </c>
      <c r="O1290" s="6">
        <f t="shared" si="398"/>
        <v>-312.5</v>
      </c>
      <c r="P1290" s="6">
        <f t="shared" si="395"/>
        <v>0</v>
      </c>
      <c r="Q1290" s="7">
        <f t="shared" si="396"/>
        <v>2391188.4500000011</v>
      </c>
      <c r="R1290" s="44" t="str">
        <f>VLOOKUP(F1290,'Set up'!$A$2:$E$48,5,FALSE)</f>
        <v>PD Chq</v>
      </c>
      <c r="S1290" s="1" t="s">
        <v>1527</v>
      </c>
    </row>
    <row r="1291" spans="1:19" hidden="1" x14ac:dyDescent="0.3">
      <c r="A1291" s="4">
        <v>44935</v>
      </c>
      <c r="B1291" s="5">
        <f t="shared" ref="B1291:B1312" si="401">MONTH(A1291)</f>
        <v>1</v>
      </c>
      <c r="C1291" s="5">
        <f t="shared" ref="C1291:C1312" si="402">YEAR(A1291)</f>
        <v>2023</v>
      </c>
      <c r="D1291" s="5" t="s">
        <v>1174</v>
      </c>
      <c r="E1291" s="5" t="str">
        <f>VLOOKUP(F1291,'Set up'!$A$2:$C$48,2,FALSE)</f>
        <v>C00000023</v>
      </c>
      <c r="F1291" s="1" t="s">
        <v>666</v>
      </c>
      <c r="G1291" s="89" t="s">
        <v>717</v>
      </c>
      <c r="H1291" s="5">
        <v>1</v>
      </c>
      <c r="I1291" s="5" t="str">
        <f>VLOOKUP(F1291,'Set up'!$A$2:$C$48,3,FALSE)</f>
        <v>Cash</v>
      </c>
      <c r="J1291" s="5">
        <f>VLOOKUP(F1291,'Set up'!$A$2:$D$48,4,FALSE)</f>
        <v>0</v>
      </c>
      <c r="K1291" s="4">
        <f t="shared" si="376"/>
        <v>44935</v>
      </c>
      <c r="L1291" s="5">
        <f t="shared" si="399"/>
        <v>1</v>
      </c>
      <c r="M1291" s="5">
        <f t="shared" si="400"/>
        <v>2023</v>
      </c>
      <c r="N1291" s="6">
        <v>1738</v>
      </c>
      <c r="O1291" s="6">
        <f>-N1291</f>
        <v>-1738</v>
      </c>
      <c r="P1291" s="6">
        <f t="shared" ref="P1291:P1312" si="403">SUM(N1291+O1291)</f>
        <v>0</v>
      </c>
      <c r="Q1291" s="7">
        <f t="shared" ref="Q1291:Q1312" si="404">SUM(Q1290+N1291)</f>
        <v>2392926.4500000011</v>
      </c>
      <c r="R1291" s="44" t="str">
        <f>VLOOKUP(F1291,'Set up'!$A$2:$E$48,5,FALSE)</f>
        <v>Trsf</v>
      </c>
      <c r="S1291" s="1" t="s">
        <v>1211</v>
      </c>
    </row>
    <row r="1292" spans="1:19" hidden="1" x14ac:dyDescent="0.3">
      <c r="A1292" s="4">
        <v>44935</v>
      </c>
      <c r="B1292" s="5">
        <f t="shared" si="401"/>
        <v>1</v>
      </c>
      <c r="C1292" s="5">
        <f t="shared" si="402"/>
        <v>2023</v>
      </c>
      <c r="D1292" s="5" t="s">
        <v>1174</v>
      </c>
      <c r="E1292" s="5" t="str">
        <f>VLOOKUP(F1292,'Set up'!$A$2:$C$48,2,FALSE)</f>
        <v>C00000023</v>
      </c>
      <c r="F1292" s="1" t="s">
        <v>666</v>
      </c>
      <c r="G1292" s="89" t="s">
        <v>914</v>
      </c>
      <c r="H1292" s="5">
        <v>4</v>
      </c>
      <c r="I1292" s="5" t="str">
        <f>VLOOKUP(F1292,'Set up'!$A$2:$C$48,3,FALSE)</f>
        <v>Cash</v>
      </c>
      <c r="J1292" s="5">
        <f>VLOOKUP(F1292,'Set up'!$A$2:$D$48,4,FALSE)</f>
        <v>0</v>
      </c>
      <c r="K1292" s="4">
        <f t="shared" si="376"/>
        <v>44935</v>
      </c>
      <c r="L1292" s="5">
        <f t="shared" si="399"/>
        <v>1</v>
      </c>
      <c r="M1292" s="5">
        <f t="shared" si="400"/>
        <v>2023</v>
      </c>
      <c r="N1292" s="6">
        <v>936</v>
      </c>
      <c r="O1292" s="6">
        <f>-N1292</f>
        <v>-936</v>
      </c>
      <c r="P1292" s="6">
        <f t="shared" si="403"/>
        <v>0</v>
      </c>
      <c r="Q1292" s="7">
        <f t="shared" si="404"/>
        <v>2393862.4500000011</v>
      </c>
      <c r="R1292" s="44" t="str">
        <f>VLOOKUP(F1292,'Set up'!$A$2:$E$48,5,FALSE)</f>
        <v>Trsf</v>
      </c>
      <c r="S1292" s="1" t="s">
        <v>1211</v>
      </c>
    </row>
    <row r="1293" spans="1:19" hidden="1" x14ac:dyDescent="0.3">
      <c r="A1293" s="4">
        <v>44935</v>
      </c>
      <c r="B1293" s="5">
        <f t="shared" si="401"/>
        <v>1</v>
      </c>
      <c r="C1293" s="5">
        <f t="shared" si="402"/>
        <v>2023</v>
      </c>
      <c r="D1293" s="5" t="s">
        <v>1174</v>
      </c>
      <c r="E1293" s="5" t="str">
        <f>VLOOKUP(F1293,'Set up'!$A$2:$C$48,2,FALSE)</f>
        <v>C00000023</v>
      </c>
      <c r="F1293" s="1" t="s">
        <v>666</v>
      </c>
      <c r="G1293" s="89" t="s">
        <v>1111</v>
      </c>
      <c r="H1293" s="5">
        <v>1</v>
      </c>
      <c r="I1293" s="5" t="str">
        <f>VLOOKUP(F1293,'Set up'!$A$2:$C$48,3,FALSE)</f>
        <v>Cash</v>
      </c>
      <c r="J1293" s="5">
        <f>VLOOKUP(F1293,'Set up'!$A$2:$D$48,4,FALSE)</f>
        <v>0</v>
      </c>
      <c r="K1293" s="4">
        <f t="shared" si="376"/>
        <v>44935</v>
      </c>
      <c r="L1293" s="5">
        <f t="shared" si="399"/>
        <v>1</v>
      </c>
      <c r="M1293" s="5">
        <f t="shared" si="400"/>
        <v>2023</v>
      </c>
      <c r="N1293" s="6">
        <v>62.5</v>
      </c>
      <c r="O1293" s="6">
        <f>-N1293</f>
        <v>-62.5</v>
      </c>
      <c r="P1293" s="6">
        <f t="shared" si="403"/>
        <v>0</v>
      </c>
      <c r="Q1293" s="7">
        <f t="shared" si="404"/>
        <v>2393924.9500000011</v>
      </c>
      <c r="R1293" s="44" t="str">
        <f>VLOOKUP(F1293,'Set up'!$A$2:$E$48,5,FALSE)</f>
        <v>Trsf</v>
      </c>
      <c r="S1293" s="1" t="s">
        <v>1211</v>
      </c>
    </row>
    <row r="1294" spans="1:19" hidden="1" x14ac:dyDescent="0.3">
      <c r="A1294" s="4">
        <v>44935</v>
      </c>
      <c r="B1294" s="5">
        <f t="shared" si="401"/>
        <v>1</v>
      </c>
      <c r="C1294" s="5">
        <f t="shared" si="402"/>
        <v>2023</v>
      </c>
      <c r="D1294" s="5" t="s">
        <v>1174</v>
      </c>
      <c r="E1294" s="5" t="str">
        <f>VLOOKUP(F1294,'Set up'!$A$2:$C$48,2,FALSE)</f>
        <v>C00000023</v>
      </c>
      <c r="F1294" s="1" t="s">
        <v>666</v>
      </c>
      <c r="G1294" s="89" t="s">
        <v>1170</v>
      </c>
      <c r="H1294" s="5">
        <v>1</v>
      </c>
      <c r="I1294" s="5" t="str">
        <f>VLOOKUP(F1294,'Set up'!$A$2:$C$48,3,FALSE)</f>
        <v>Cash</v>
      </c>
      <c r="J1294" s="5">
        <f>VLOOKUP(F1294,'Set up'!$A$2:$D$48,4,FALSE)</f>
        <v>0</v>
      </c>
      <c r="K1294" s="4">
        <f t="shared" si="376"/>
        <v>44935</v>
      </c>
      <c r="L1294" s="5">
        <f t="shared" si="399"/>
        <v>1</v>
      </c>
      <c r="M1294" s="5">
        <f t="shared" si="400"/>
        <v>2023</v>
      </c>
      <c r="N1294" s="6">
        <v>200</v>
      </c>
      <c r="O1294" s="6">
        <f>-N1294</f>
        <v>-200</v>
      </c>
      <c r="P1294" s="6">
        <f t="shared" si="403"/>
        <v>0</v>
      </c>
      <c r="Q1294" s="7">
        <f t="shared" si="404"/>
        <v>2394124.9500000011</v>
      </c>
      <c r="R1294" s="44" t="str">
        <f>VLOOKUP(F1294,'Set up'!$A$2:$E$48,5,FALSE)</f>
        <v>Trsf</v>
      </c>
      <c r="S1294" s="1" t="s">
        <v>1211</v>
      </c>
    </row>
    <row r="1295" spans="1:19" x14ac:dyDescent="0.3">
      <c r="A1295" s="4">
        <v>44935</v>
      </c>
      <c r="B1295" s="5">
        <f t="shared" si="401"/>
        <v>1</v>
      </c>
      <c r="C1295" s="5">
        <f t="shared" si="402"/>
        <v>2023</v>
      </c>
      <c r="D1295" s="5" t="s">
        <v>1175</v>
      </c>
      <c r="E1295" s="5" t="str">
        <f>VLOOKUP(F1295,'Set up'!$A$2:$C$48,2,FALSE)</f>
        <v>C00000020</v>
      </c>
      <c r="F1295" s="1" t="s">
        <v>410</v>
      </c>
      <c r="G1295" s="89" t="s">
        <v>1176</v>
      </c>
      <c r="H1295" s="5">
        <v>1</v>
      </c>
      <c r="I1295" s="5" t="str">
        <f>VLOOKUP(F1295,'Set up'!$A$2:$C$48,3,FALSE)</f>
        <v>Cash</v>
      </c>
      <c r="J1295" s="5">
        <f>VLOOKUP(F1295,'Set up'!$A$2:$D$48,4,FALSE)</f>
        <v>0</v>
      </c>
      <c r="K1295" s="4">
        <f t="shared" si="376"/>
        <v>44935</v>
      </c>
      <c r="L1295" s="5">
        <f t="shared" si="399"/>
        <v>1</v>
      </c>
      <c r="M1295" s="5">
        <f t="shared" si="400"/>
        <v>2023</v>
      </c>
      <c r="N1295" s="6">
        <v>800</v>
      </c>
      <c r="O1295" s="6">
        <f t="shared" ref="O1295" si="405">-N1295</f>
        <v>-800</v>
      </c>
      <c r="P1295" s="6">
        <f t="shared" si="403"/>
        <v>0</v>
      </c>
      <c r="Q1295" s="7">
        <f t="shared" si="404"/>
        <v>2394924.9500000011</v>
      </c>
      <c r="R1295" s="44" t="str">
        <f>VLOOKUP(F1295,'Set up'!$A$2:$E$48,5,FALSE)</f>
        <v>Trsf</v>
      </c>
      <c r="S1295" s="1" t="s">
        <v>1937</v>
      </c>
    </row>
    <row r="1296" spans="1:19" hidden="1" x14ac:dyDescent="0.3">
      <c r="A1296" s="4">
        <v>44937</v>
      </c>
      <c r="B1296" s="5">
        <f t="shared" si="401"/>
        <v>1</v>
      </c>
      <c r="C1296" s="5">
        <f t="shared" si="402"/>
        <v>2023</v>
      </c>
      <c r="D1296" s="5" t="s">
        <v>1177</v>
      </c>
      <c r="E1296" s="5" t="str">
        <f>VLOOKUP(F1296,'Set up'!$A$2:$C$48,2,FALSE)</f>
        <v>C00000001</v>
      </c>
      <c r="F1296" s="1" t="s">
        <v>7</v>
      </c>
      <c r="G1296" s="11" t="s">
        <v>717</v>
      </c>
      <c r="H1296" s="5">
        <v>1</v>
      </c>
      <c r="I1296" s="5" t="str">
        <f>VLOOKUP(F1296,'Set up'!$A$2:$C$48,3,FALSE)</f>
        <v>Cash</v>
      </c>
      <c r="J1296" s="5">
        <f>VLOOKUP(F1296,'Set up'!$A$2:$D$48,4,FALSE)</f>
        <v>0</v>
      </c>
      <c r="K1296" s="4">
        <f t="shared" si="376"/>
        <v>44937</v>
      </c>
      <c r="L1296" s="5">
        <f t="shared" si="399"/>
        <v>1</v>
      </c>
      <c r="M1296" s="5">
        <f t="shared" si="400"/>
        <v>2023</v>
      </c>
      <c r="N1296" s="6">
        <v>1804</v>
      </c>
      <c r="O1296" s="6">
        <f>-N1296</f>
        <v>-1804</v>
      </c>
      <c r="P1296" s="6">
        <f t="shared" si="403"/>
        <v>0</v>
      </c>
      <c r="Q1296" s="7">
        <f t="shared" si="404"/>
        <v>2396728.9500000011</v>
      </c>
      <c r="R1296" s="44" t="str">
        <f>VLOOKUP(F1296,'Set up'!$A$2:$E$48,5,FALSE)</f>
        <v>Trsf</v>
      </c>
      <c r="S1296" s="1" t="s">
        <v>1222</v>
      </c>
    </row>
    <row r="1297" spans="1:19" hidden="1" x14ac:dyDescent="0.3">
      <c r="A1297" s="4">
        <v>44937</v>
      </c>
      <c r="B1297" s="5">
        <f t="shared" si="401"/>
        <v>1</v>
      </c>
      <c r="C1297" s="5">
        <f t="shared" si="402"/>
        <v>2023</v>
      </c>
      <c r="D1297" s="5" t="s">
        <v>1178</v>
      </c>
      <c r="E1297" s="5" t="str">
        <f>VLOOKUP(F1297,'Set up'!$A$2:$C$48,2,FALSE)</f>
        <v>C00000014</v>
      </c>
      <c r="F1297" s="1" t="s">
        <v>263</v>
      </c>
      <c r="G1297" s="89" t="s">
        <v>304</v>
      </c>
      <c r="H1297" s="88">
        <v>1</v>
      </c>
      <c r="I1297" s="5" t="str">
        <f>VLOOKUP(F1297,'Set up'!$A$2:$C$48,3,FALSE)</f>
        <v>Cash</v>
      </c>
      <c r="J1297" s="5">
        <f>VLOOKUP(F1297,'Set up'!$A$2:$D$48,4,FALSE)</f>
        <v>0</v>
      </c>
      <c r="K1297" s="4">
        <f t="shared" si="376"/>
        <v>44937</v>
      </c>
      <c r="L1297" s="5">
        <f t="shared" si="399"/>
        <v>1</v>
      </c>
      <c r="M1297" s="5">
        <f t="shared" si="400"/>
        <v>2023</v>
      </c>
      <c r="N1297" s="6">
        <v>1738</v>
      </c>
      <c r="O1297" s="6">
        <f t="shared" ref="O1297:O1300" si="406">-N1297</f>
        <v>-1738</v>
      </c>
      <c r="P1297" s="6">
        <f t="shared" si="403"/>
        <v>0</v>
      </c>
      <c r="Q1297" s="7">
        <f t="shared" si="404"/>
        <v>2398466.9500000011</v>
      </c>
      <c r="R1297" s="44" t="str">
        <f>VLOOKUP(F1297,'Set up'!$A$2:$E$48,5,FALSE)</f>
        <v>Cash</v>
      </c>
      <c r="S1297" s="1" t="s">
        <v>1220</v>
      </c>
    </row>
    <row r="1298" spans="1:19" hidden="1" x14ac:dyDescent="0.3">
      <c r="A1298" s="4">
        <v>44937</v>
      </c>
      <c r="B1298" s="5">
        <f t="shared" si="401"/>
        <v>1</v>
      </c>
      <c r="C1298" s="5">
        <f t="shared" si="402"/>
        <v>2023</v>
      </c>
      <c r="D1298" s="5" t="s">
        <v>1178</v>
      </c>
      <c r="E1298" s="5" t="str">
        <f>VLOOKUP(F1298,'Set up'!$A$2:$C$48,2,FALSE)</f>
        <v>C00000014</v>
      </c>
      <c r="F1298" s="1" t="s">
        <v>263</v>
      </c>
      <c r="G1298" s="90" t="s">
        <v>1141</v>
      </c>
      <c r="H1298" s="88">
        <v>1</v>
      </c>
      <c r="I1298" s="5" t="str">
        <f>VLOOKUP(F1298,'Set up'!$A$2:$C$48,3,FALSE)</f>
        <v>Cash</v>
      </c>
      <c r="J1298" s="5">
        <f>VLOOKUP(F1298,'Set up'!$A$2:$D$48,4,FALSE)</f>
        <v>0</v>
      </c>
      <c r="K1298" s="4">
        <f t="shared" si="376"/>
        <v>44937</v>
      </c>
      <c r="L1298" s="5">
        <f t="shared" si="399"/>
        <v>1</v>
      </c>
      <c r="M1298" s="5">
        <f t="shared" si="400"/>
        <v>2023</v>
      </c>
      <c r="N1298" s="6">
        <v>237</v>
      </c>
      <c r="O1298" s="6">
        <f t="shared" si="406"/>
        <v>-237</v>
      </c>
      <c r="P1298" s="6">
        <f t="shared" si="403"/>
        <v>0</v>
      </c>
      <c r="Q1298" s="7">
        <f t="shared" si="404"/>
        <v>2398703.9500000011</v>
      </c>
      <c r="R1298" s="44" t="str">
        <f>VLOOKUP(F1298,'Set up'!$A$2:$E$48,5,FALSE)</f>
        <v>Cash</v>
      </c>
      <c r="S1298" s="1" t="s">
        <v>1220</v>
      </c>
    </row>
    <row r="1299" spans="1:19" hidden="1" x14ac:dyDescent="0.3">
      <c r="A1299" s="4">
        <v>44937</v>
      </c>
      <c r="B1299" s="5">
        <f t="shared" si="401"/>
        <v>1</v>
      </c>
      <c r="C1299" s="5">
        <f t="shared" si="402"/>
        <v>2023</v>
      </c>
      <c r="D1299" s="5" t="s">
        <v>1178</v>
      </c>
      <c r="E1299" s="5" t="str">
        <f>VLOOKUP(F1299,'Set up'!$A$2:$C$48,2,FALSE)</f>
        <v>C00000014</v>
      </c>
      <c r="F1299" s="1" t="s">
        <v>263</v>
      </c>
      <c r="G1299" s="90" t="s">
        <v>667</v>
      </c>
      <c r="H1299" s="88">
        <v>1</v>
      </c>
      <c r="I1299" s="5" t="str">
        <f>VLOOKUP(F1299,'Set up'!$A$2:$C$48,3,FALSE)</f>
        <v>Cash</v>
      </c>
      <c r="J1299" s="5">
        <f>VLOOKUP(F1299,'Set up'!$A$2:$D$48,4,FALSE)</f>
        <v>0</v>
      </c>
      <c r="K1299" s="4">
        <f t="shared" si="376"/>
        <v>44937</v>
      </c>
      <c r="L1299" s="5">
        <f t="shared" si="399"/>
        <v>1</v>
      </c>
      <c r="M1299" s="5">
        <f t="shared" si="400"/>
        <v>2023</v>
      </c>
      <c r="N1299" s="6">
        <v>95</v>
      </c>
      <c r="O1299" s="6">
        <f t="shared" si="406"/>
        <v>-95</v>
      </c>
      <c r="P1299" s="6">
        <f t="shared" si="403"/>
        <v>0</v>
      </c>
      <c r="Q1299" s="7">
        <f t="shared" si="404"/>
        <v>2398798.9500000011</v>
      </c>
      <c r="R1299" s="44" t="str">
        <f>VLOOKUP(F1299,'Set up'!$A$2:$E$48,5,FALSE)</f>
        <v>Cash</v>
      </c>
      <c r="S1299" s="1" t="s">
        <v>1220</v>
      </c>
    </row>
    <row r="1300" spans="1:19" hidden="1" x14ac:dyDescent="0.3">
      <c r="A1300" s="4">
        <v>44937</v>
      </c>
      <c r="B1300" s="5">
        <f t="shared" si="401"/>
        <v>1</v>
      </c>
      <c r="C1300" s="5">
        <f t="shared" si="402"/>
        <v>2023</v>
      </c>
      <c r="D1300" s="5" t="s">
        <v>1178</v>
      </c>
      <c r="E1300" s="5" t="str">
        <f>VLOOKUP(F1300,'Set up'!$A$2:$C$48,2,FALSE)</f>
        <v>C00000014</v>
      </c>
      <c r="F1300" s="1" t="s">
        <v>263</v>
      </c>
      <c r="G1300" s="90" t="s">
        <v>1111</v>
      </c>
      <c r="H1300" s="88">
        <v>1</v>
      </c>
      <c r="I1300" s="5" t="str">
        <f>VLOOKUP(F1300,'Set up'!$A$2:$C$48,3,FALSE)</f>
        <v>Cash</v>
      </c>
      <c r="J1300" s="5">
        <f>VLOOKUP(F1300,'Set up'!$A$2:$D$48,4,FALSE)</f>
        <v>0</v>
      </c>
      <c r="K1300" s="4">
        <f t="shared" si="376"/>
        <v>44937</v>
      </c>
      <c r="L1300" s="5">
        <f t="shared" si="399"/>
        <v>1</v>
      </c>
      <c r="M1300" s="5">
        <f t="shared" si="400"/>
        <v>2023</v>
      </c>
      <c r="N1300" s="6">
        <v>62.5</v>
      </c>
      <c r="O1300" s="6">
        <f t="shared" si="406"/>
        <v>-62.5</v>
      </c>
      <c r="P1300" s="6">
        <f t="shared" si="403"/>
        <v>0</v>
      </c>
      <c r="Q1300" s="7">
        <f t="shared" si="404"/>
        <v>2398861.4500000011</v>
      </c>
      <c r="R1300" s="44" t="str">
        <f>VLOOKUP(F1300,'Set up'!$A$2:$E$48,5,FALSE)</f>
        <v>Cash</v>
      </c>
      <c r="S1300" s="1" t="s">
        <v>1220</v>
      </c>
    </row>
    <row r="1301" spans="1:19" hidden="1" x14ac:dyDescent="0.3">
      <c r="A1301" s="4">
        <v>44937</v>
      </c>
      <c r="B1301" s="5">
        <f t="shared" si="401"/>
        <v>1</v>
      </c>
      <c r="C1301" s="5">
        <f t="shared" si="402"/>
        <v>2023</v>
      </c>
      <c r="D1301" s="5" t="s">
        <v>1180</v>
      </c>
      <c r="E1301" s="5" t="str">
        <f>VLOOKUP(F1301,'Set up'!$A$2:$C$48,2,FALSE)</f>
        <v>C00000023</v>
      </c>
      <c r="F1301" s="1" t="s">
        <v>666</v>
      </c>
      <c r="G1301" s="89" t="s">
        <v>1179</v>
      </c>
      <c r="H1301" s="5">
        <v>1</v>
      </c>
      <c r="I1301" s="5" t="str">
        <f>VLOOKUP(F1301,'Set up'!$A$2:$C$48,3,FALSE)</f>
        <v>Cash</v>
      </c>
      <c r="J1301" s="5">
        <f>VLOOKUP(F1301,'Set up'!$A$2:$D$48,4,FALSE)</f>
        <v>0</v>
      </c>
      <c r="K1301" s="4">
        <f t="shared" si="376"/>
        <v>44937</v>
      </c>
      <c r="L1301" s="5">
        <f t="shared" si="399"/>
        <v>1</v>
      </c>
      <c r="M1301" s="5">
        <f t="shared" si="400"/>
        <v>2023</v>
      </c>
      <c r="N1301" s="6">
        <v>1738</v>
      </c>
      <c r="O1301" s="6">
        <f>-N1301</f>
        <v>-1738</v>
      </c>
      <c r="P1301" s="6">
        <f t="shared" si="403"/>
        <v>0</v>
      </c>
      <c r="Q1301" s="7">
        <f t="shared" si="404"/>
        <v>2400599.4500000011</v>
      </c>
      <c r="R1301" s="44" t="str">
        <f>VLOOKUP(F1301,'Set up'!$A$2:$E$48,5,FALSE)</f>
        <v>Trsf</v>
      </c>
      <c r="S1301" s="1" t="s">
        <v>1212</v>
      </c>
    </row>
    <row r="1302" spans="1:19" hidden="1" x14ac:dyDescent="0.3">
      <c r="A1302" s="4">
        <v>44937</v>
      </c>
      <c r="B1302" s="5">
        <f t="shared" si="401"/>
        <v>1</v>
      </c>
      <c r="C1302" s="5">
        <f t="shared" si="402"/>
        <v>2023</v>
      </c>
      <c r="D1302" s="5" t="s">
        <v>1180</v>
      </c>
      <c r="E1302" s="5" t="str">
        <f>VLOOKUP(F1302,'Set up'!$A$2:$C$48,2,FALSE)</f>
        <v>C00000023</v>
      </c>
      <c r="F1302" s="1" t="s">
        <v>666</v>
      </c>
      <c r="G1302" s="89" t="s">
        <v>914</v>
      </c>
      <c r="H1302" s="5">
        <v>3</v>
      </c>
      <c r="I1302" s="5" t="str">
        <f>VLOOKUP(F1302,'Set up'!$A$2:$C$48,3,FALSE)</f>
        <v>Cash</v>
      </c>
      <c r="J1302" s="5">
        <f>VLOOKUP(F1302,'Set up'!$A$2:$D$48,4,FALSE)</f>
        <v>0</v>
      </c>
      <c r="K1302" s="4">
        <f t="shared" si="376"/>
        <v>44937</v>
      </c>
      <c r="L1302" s="5">
        <f t="shared" si="399"/>
        <v>1</v>
      </c>
      <c r="M1302" s="5">
        <f t="shared" si="400"/>
        <v>2023</v>
      </c>
      <c r="N1302" s="6">
        <v>702</v>
      </c>
      <c r="O1302" s="6">
        <f>-N1302</f>
        <v>-702</v>
      </c>
      <c r="P1302" s="6">
        <f t="shared" si="403"/>
        <v>0</v>
      </c>
      <c r="Q1302" s="7">
        <f t="shared" si="404"/>
        <v>2401301.4500000011</v>
      </c>
      <c r="R1302" s="44" t="str">
        <f>VLOOKUP(F1302,'Set up'!$A$2:$E$48,5,FALSE)</f>
        <v>Trsf</v>
      </c>
      <c r="S1302" s="1" t="s">
        <v>1212</v>
      </c>
    </row>
    <row r="1303" spans="1:19" hidden="1" x14ac:dyDescent="0.3">
      <c r="A1303" s="4">
        <v>44938</v>
      </c>
      <c r="B1303" s="5">
        <f t="shared" si="401"/>
        <v>1</v>
      </c>
      <c r="C1303" s="5">
        <f t="shared" si="402"/>
        <v>2023</v>
      </c>
      <c r="D1303" s="5" t="s">
        <v>1181</v>
      </c>
      <c r="E1303" s="5" t="str">
        <f>VLOOKUP(F1303,'Set up'!$A$2:$C$48,2,FALSE)</f>
        <v>C00000010</v>
      </c>
      <c r="F1303" s="1" t="s">
        <v>62</v>
      </c>
      <c r="G1303" s="89" t="s">
        <v>1179</v>
      </c>
      <c r="H1303" s="5">
        <v>6</v>
      </c>
      <c r="I1303" s="5">
        <f>VLOOKUP(F1303,'Set up'!$A$2:$C$48,3,FALSE)</f>
        <v>120</v>
      </c>
      <c r="J1303" s="5">
        <f>VLOOKUP(F1303,'Set up'!$A$2:$D$48,4,FALSE)</f>
        <v>120</v>
      </c>
      <c r="K1303" s="4">
        <f t="shared" si="376"/>
        <v>45058</v>
      </c>
      <c r="L1303" s="5">
        <f t="shared" si="399"/>
        <v>5</v>
      </c>
      <c r="M1303" s="5">
        <f t="shared" si="400"/>
        <v>2023</v>
      </c>
      <c r="N1303" s="6">
        <v>9768</v>
      </c>
      <c r="O1303" s="6">
        <f t="shared" ref="O1303:O1309" si="407">-N1303</f>
        <v>-9768</v>
      </c>
      <c r="P1303" s="6">
        <f t="shared" si="403"/>
        <v>0</v>
      </c>
      <c r="Q1303" s="7">
        <f t="shared" si="404"/>
        <v>2411069.4500000011</v>
      </c>
      <c r="R1303" s="44" t="str">
        <f>VLOOKUP(F1303,'Set up'!$A$2:$E$48,5,FALSE)</f>
        <v>Trsf</v>
      </c>
      <c r="S1303" s="1" t="s">
        <v>1581</v>
      </c>
    </row>
    <row r="1304" spans="1:19" hidden="1" x14ac:dyDescent="0.3">
      <c r="A1304" s="4">
        <v>44938</v>
      </c>
      <c r="B1304" s="5">
        <f t="shared" si="401"/>
        <v>1</v>
      </c>
      <c r="C1304" s="5">
        <f t="shared" si="402"/>
        <v>2023</v>
      </c>
      <c r="D1304" s="5" t="s">
        <v>1181</v>
      </c>
      <c r="E1304" s="5" t="str">
        <f>VLOOKUP(F1304,'Set up'!$A$2:$C$48,2,FALSE)</f>
        <v>C00000010</v>
      </c>
      <c r="F1304" s="1" t="s">
        <v>62</v>
      </c>
      <c r="G1304" s="89" t="s">
        <v>914</v>
      </c>
      <c r="H1304" s="5">
        <v>10</v>
      </c>
      <c r="I1304" s="5">
        <f>VLOOKUP(F1304,'Set up'!$A$2:$C$48,3,FALSE)</f>
        <v>120</v>
      </c>
      <c r="J1304" s="5">
        <f>VLOOKUP(F1304,'Set up'!$A$2:$D$48,4,FALSE)</f>
        <v>120</v>
      </c>
      <c r="K1304" s="4">
        <f t="shared" ref="K1304:K1367" si="408">A1304+J1304</f>
        <v>45058</v>
      </c>
      <c r="L1304" s="5">
        <f t="shared" si="399"/>
        <v>5</v>
      </c>
      <c r="M1304" s="5">
        <f t="shared" si="400"/>
        <v>2023</v>
      </c>
      <c r="N1304" s="6">
        <v>2070</v>
      </c>
      <c r="O1304" s="6">
        <f t="shared" si="407"/>
        <v>-2070</v>
      </c>
      <c r="P1304" s="6">
        <f t="shared" si="403"/>
        <v>0</v>
      </c>
      <c r="Q1304" s="7">
        <f t="shared" si="404"/>
        <v>2413139.4500000011</v>
      </c>
      <c r="R1304" s="44" t="str">
        <f>VLOOKUP(F1304,'Set up'!$A$2:$E$48,5,FALSE)</f>
        <v>Trsf</v>
      </c>
      <c r="S1304" s="1" t="s">
        <v>1581</v>
      </c>
    </row>
    <row r="1305" spans="1:19" hidden="1" x14ac:dyDescent="0.3">
      <c r="A1305" s="4">
        <v>44938</v>
      </c>
      <c r="B1305" s="5">
        <f t="shared" si="401"/>
        <v>1</v>
      </c>
      <c r="C1305" s="5">
        <f t="shared" si="402"/>
        <v>2023</v>
      </c>
      <c r="D1305" s="5" t="s">
        <v>1181</v>
      </c>
      <c r="E1305" s="5" t="str">
        <f>VLOOKUP(F1305,'Set up'!$A$2:$C$48,2,FALSE)</f>
        <v>C00000010</v>
      </c>
      <c r="F1305" s="1" t="s">
        <v>62</v>
      </c>
      <c r="G1305" s="89" t="s">
        <v>792</v>
      </c>
      <c r="H1305" s="5">
        <v>10</v>
      </c>
      <c r="I1305" s="5">
        <f>VLOOKUP(F1305,'Set up'!$A$2:$C$48,3,FALSE)</f>
        <v>120</v>
      </c>
      <c r="J1305" s="5">
        <f>VLOOKUP(F1305,'Set up'!$A$2:$D$48,4,FALSE)</f>
        <v>120</v>
      </c>
      <c r="K1305" s="4">
        <f t="shared" si="408"/>
        <v>45058</v>
      </c>
      <c r="L1305" s="5">
        <f t="shared" si="399"/>
        <v>5</v>
      </c>
      <c r="M1305" s="5">
        <f t="shared" si="400"/>
        <v>2023</v>
      </c>
      <c r="N1305" s="6">
        <v>575</v>
      </c>
      <c r="O1305" s="6">
        <f t="shared" si="407"/>
        <v>-575</v>
      </c>
      <c r="P1305" s="6">
        <f t="shared" si="403"/>
        <v>0</v>
      </c>
      <c r="Q1305" s="7">
        <f t="shared" si="404"/>
        <v>2413714.4500000011</v>
      </c>
      <c r="R1305" s="44" t="str">
        <f>VLOOKUP(F1305,'Set up'!$A$2:$E$48,5,FALSE)</f>
        <v>Trsf</v>
      </c>
      <c r="S1305" s="1" t="s">
        <v>1581</v>
      </c>
    </row>
    <row r="1306" spans="1:19" hidden="1" x14ac:dyDescent="0.3">
      <c r="A1306" s="4">
        <v>44938</v>
      </c>
      <c r="B1306" s="5">
        <f t="shared" si="401"/>
        <v>1</v>
      </c>
      <c r="C1306" s="5">
        <f t="shared" si="402"/>
        <v>2023</v>
      </c>
      <c r="D1306" s="5" t="s">
        <v>1181</v>
      </c>
      <c r="E1306" s="5" t="str">
        <f>VLOOKUP(F1306,'Set up'!$A$2:$C$48,2,FALSE)</f>
        <v>C00000010</v>
      </c>
      <c r="F1306" s="1" t="s">
        <v>62</v>
      </c>
      <c r="G1306" s="89" t="s">
        <v>46</v>
      </c>
      <c r="H1306" s="5">
        <v>8</v>
      </c>
      <c r="I1306" s="5">
        <f>VLOOKUP(F1306,'Set up'!$A$2:$C$48,3,FALSE)</f>
        <v>120</v>
      </c>
      <c r="J1306" s="5">
        <f>VLOOKUP(F1306,'Set up'!$A$2:$D$48,4,FALSE)</f>
        <v>120</v>
      </c>
      <c r="K1306" s="4">
        <f t="shared" si="408"/>
        <v>45058</v>
      </c>
      <c r="L1306" s="5">
        <f t="shared" si="399"/>
        <v>5</v>
      </c>
      <c r="M1306" s="5">
        <f t="shared" si="400"/>
        <v>2023</v>
      </c>
      <c r="N1306" s="6">
        <v>840</v>
      </c>
      <c r="O1306" s="6">
        <f t="shared" si="407"/>
        <v>-840</v>
      </c>
      <c r="P1306" s="6">
        <f t="shared" si="403"/>
        <v>0</v>
      </c>
      <c r="Q1306" s="7">
        <f t="shared" si="404"/>
        <v>2414554.4500000011</v>
      </c>
      <c r="R1306" s="44" t="str">
        <f>VLOOKUP(F1306,'Set up'!$A$2:$E$48,5,FALSE)</f>
        <v>Trsf</v>
      </c>
      <c r="S1306" s="1" t="s">
        <v>1581</v>
      </c>
    </row>
    <row r="1307" spans="1:19" hidden="1" x14ac:dyDescent="0.3">
      <c r="A1307" s="4">
        <v>44938</v>
      </c>
      <c r="B1307" s="5">
        <f t="shared" si="401"/>
        <v>1</v>
      </c>
      <c r="C1307" s="5">
        <f t="shared" si="402"/>
        <v>2023</v>
      </c>
      <c r="D1307" s="5" t="s">
        <v>1181</v>
      </c>
      <c r="E1307" s="5" t="str">
        <f>VLOOKUP(F1307,'Set up'!$A$2:$C$48,2,FALSE)</f>
        <v>C00000010</v>
      </c>
      <c r="F1307" s="1" t="s">
        <v>62</v>
      </c>
      <c r="G1307" s="89" t="s">
        <v>1094</v>
      </c>
      <c r="H1307" s="5">
        <v>4</v>
      </c>
      <c r="I1307" s="5">
        <f>VLOOKUP(F1307,'Set up'!$A$2:$C$48,3,FALSE)</f>
        <v>120</v>
      </c>
      <c r="J1307" s="5">
        <f>VLOOKUP(F1307,'Set up'!$A$2:$D$48,4,FALSE)</f>
        <v>120</v>
      </c>
      <c r="K1307" s="4">
        <f t="shared" si="408"/>
        <v>45058</v>
      </c>
      <c r="L1307" s="5">
        <f t="shared" si="399"/>
        <v>5</v>
      </c>
      <c r="M1307" s="5">
        <f t="shared" si="400"/>
        <v>2023</v>
      </c>
      <c r="N1307" s="6">
        <v>200</v>
      </c>
      <c r="O1307" s="6">
        <f t="shared" si="407"/>
        <v>-200</v>
      </c>
      <c r="P1307" s="6">
        <f t="shared" si="403"/>
        <v>0</v>
      </c>
      <c r="Q1307" s="7">
        <f t="shared" si="404"/>
        <v>2414754.4500000011</v>
      </c>
      <c r="R1307" s="44" t="str">
        <f>VLOOKUP(F1307,'Set up'!$A$2:$E$48,5,FALSE)</f>
        <v>Trsf</v>
      </c>
      <c r="S1307" s="1" t="s">
        <v>1581</v>
      </c>
    </row>
    <row r="1308" spans="1:19" hidden="1" x14ac:dyDescent="0.3">
      <c r="A1308" s="4">
        <v>44938</v>
      </c>
      <c r="B1308" s="5">
        <f t="shared" si="401"/>
        <v>1</v>
      </c>
      <c r="C1308" s="5">
        <f t="shared" si="402"/>
        <v>2023</v>
      </c>
      <c r="D1308" s="5" t="s">
        <v>1181</v>
      </c>
      <c r="E1308" s="5" t="str">
        <f>VLOOKUP(F1308,'Set up'!$A$2:$C$48,2,FALSE)</f>
        <v>C00000010</v>
      </c>
      <c r="F1308" s="1" t="s">
        <v>62</v>
      </c>
      <c r="G1308" s="89" t="s">
        <v>615</v>
      </c>
      <c r="H1308" s="5">
        <v>1</v>
      </c>
      <c r="I1308" s="5">
        <f>VLOOKUP(F1308,'Set up'!$A$2:$C$48,3,FALSE)</f>
        <v>120</v>
      </c>
      <c r="J1308" s="5">
        <f>VLOOKUP(F1308,'Set up'!$A$2:$D$48,4,FALSE)</f>
        <v>120</v>
      </c>
      <c r="K1308" s="4">
        <f t="shared" si="408"/>
        <v>45058</v>
      </c>
      <c r="L1308" s="5">
        <f t="shared" si="399"/>
        <v>5</v>
      </c>
      <c r="M1308" s="5">
        <f t="shared" si="400"/>
        <v>2023</v>
      </c>
      <c r="N1308" s="6">
        <v>395</v>
      </c>
      <c r="O1308" s="6">
        <f t="shared" si="407"/>
        <v>-395</v>
      </c>
      <c r="P1308" s="6">
        <f t="shared" si="403"/>
        <v>0</v>
      </c>
      <c r="Q1308" s="7">
        <f t="shared" si="404"/>
        <v>2415149.4500000011</v>
      </c>
      <c r="R1308" s="44" t="str">
        <f>VLOOKUP(F1308,'Set up'!$A$2:$E$48,5,FALSE)</f>
        <v>Trsf</v>
      </c>
      <c r="S1308" s="1" t="s">
        <v>1581</v>
      </c>
    </row>
    <row r="1309" spans="1:19" hidden="1" x14ac:dyDescent="0.3">
      <c r="A1309" s="4">
        <v>44938</v>
      </c>
      <c r="B1309" s="5">
        <f t="shared" si="401"/>
        <v>1</v>
      </c>
      <c r="C1309" s="5">
        <f t="shared" si="402"/>
        <v>2023</v>
      </c>
      <c r="D1309" s="5" t="s">
        <v>1181</v>
      </c>
      <c r="E1309" s="5" t="str">
        <f>VLOOKUP(F1309,'Set up'!$A$2:$C$48,2,FALSE)</f>
        <v>C00000010</v>
      </c>
      <c r="F1309" s="1" t="s">
        <v>62</v>
      </c>
      <c r="G1309" s="89" t="s">
        <v>945</v>
      </c>
      <c r="H1309" s="5">
        <v>1</v>
      </c>
      <c r="I1309" s="5">
        <f>VLOOKUP(F1309,'Set up'!$A$2:$C$48,3,FALSE)</f>
        <v>120</v>
      </c>
      <c r="J1309" s="5">
        <f>VLOOKUP(F1309,'Set up'!$A$2:$D$48,4,FALSE)</f>
        <v>120</v>
      </c>
      <c r="K1309" s="4">
        <f t="shared" si="408"/>
        <v>45058</v>
      </c>
      <c r="L1309" s="5">
        <f t="shared" si="399"/>
        <v>5</v>
      </c>
      <c r="M1309" s="5">
        <f t="shared" si="400"/>
        <v>2023</v>
      </c>
      <c r="N1309" s="6">
        <v>420</v>
      </c>
      <c r="O1309" s="6">
        <f t="shared" si="407"/>
        <v>-420</v>
      </c>
      <c r="P1309" s="6">
        <f t="shared" si="403"/>
        <v>0</v>
      </c>
      <c r="Q1309" s="7">
        <f t="shared" si="404"/>
        <v>2415569.4500000011</v>
      </c>
      <c r="R1309" s="44" t="str">
        <f>VLOOKUP(F1309,'Set up'!$A$2:$E$48,5,FALSE)</f>
        <v>Trsf</v>
      </c>
      <c r="S1309" s="1" t="s">
        <v>1581</v>
      </c>
    </row>
    <row r="1310" spans="1:19" x14ac:dyDescent="0.3">
      <c r="A1310" s="4">
        <v>44938</v>
      </c>
      <c r="B1310" s="5">
        <f t="shared" si="401"/>
        <v>1</v>
      </c>
      <c r="C1310" s="5">
        <f t="shared" si="402"/>
        <v>2023</v>
      </c>
      <c r="D1310" s="5" t="s">
        <v>1182</v>
      </c>
      <c r="E1310" s="5" t="str">
        <f>VLOOKUP(F1310,'Set up'!$A$2:$C$48,2,FALSE)</f>
        <v>C00000020</v>
      </c>
      <c r="F1310" s="1" t="s">
        <v>410</v>
      </c>
      <c r="G1310" s="89" t="s">
        <v>1179</v>
      </c>
      <c r="H1310" s="5">
        <v>5</v>
      </c>
      <c r="I1310" s="5" t="str">
        <f>VLOOKUP(F1310,'Set up'!$A$2:$C$48,3,FALSE)</f>
        <v>Cash</v>
      </c>
      <c r="J1310" s="5">
        <f>VLOOKUP(F1310,'Set up'!$A$2:$D$48,4,FALSE)</f>
        <v>0</v>
      </c>
      <c r="K1310" s="4">
        <f t="shared" si="408"/>
        <v>44938</v>
      </c>
      <c r="L1310" s="5">
        <f t="shared" si="399"/>
        <v>1</v>
      </c>
      <c r="M1310" s="5">
        <f t="shared" si="400"/>
        <v>2023</v>
      </c>
      <c r="N1310" s="6">
        <v>8690</v>
      </c>
      <c r="O1310" s="6">
        <f>-2383.2-5800-506.8</f>
        <v>-8690</v>
      </c>
      <c r="P1310" s="6">
        <f t="shared" si="403"/>
        <v>0</v>
      </c>
      <c r="Q1310" s="7">
        <f t="shared" si="404"/>
        <v>2424259.4500000011</v>
      </c>
      <c r="R1310" s="44" t="str">
        <f>VLOOKUP(F1310,'Set up'!$A$2:$E$48,5,FALSE)</f>
        <v>Trsf</v>
      </c>
      <c r="S1310" s="1" t="s">
        <v>1938</v>
      </c>
    </row>
    <row r="1311" spans="1:19" x14ac:dyDescent="0.3">
      <c r="A1311" s="4">
        <v>44938</v>
      </c>
      <c r="B1311" s="5">
        <f t="shared" si="401"/>
        <v>1</v>
      </c>
      <c r="C1311" s="5">
        <f t="shared" si="402"/>
        <v>2023</v>
      </c>
      <c r="D1311" s="5" t="s">
        <v>1182</v>
      </c>
      <c r="E1311" s="5" t="str">
        <f>VLOOKUP(F1311,'Set up'!$A$2:$C$48,2,FALSE)</f>
        <v>C00000020</v>
      </c>
      <c r="F1311" s="1" t="s">
        <v>410</v>
      </c>
      <c r="G1311" s="89" t="s">
        <v>914</v>
      </c>
      <c r="H1311" s="5">
        <v>15</v>
      </c>
      <c r="I1311" s="5" t="str">
        <f>VLOOKUP(F1311,'Set up'!$A$2:$C$48,3,FALSE)</f>
        <v>Cash</v>
      </c>
      <c r="J1311" s="5">
        <f>VLOOKUP(F1311,'Set up'!$A$2:$D$48,4,FALSE)</f>
        <v>0</v>
      </c>
      <c r="K1311" s="4">
        <f t="shared" si="408"/>
        <v>44938</v>
      </c>
      <c r="L1311" s="5">
        <f t="shared" si="399"/>
        <v>1</v>
      </c>
      <c r="M1311" s="5">
        <f t="shared" si="400"/>
        <v>2023</v>
      </c>
      <c r="N1311" s="6">
        <v>3510</v>
      </c>
      <c r="O1311" s="6">
        <f t="shared" ref="O1311:O1315" si="409">-N1311</f>
        <v>-3510</v>
      </c>
      <c r="P1311" s="6">
        <f t="shared" si="403"/>
        <v>0</v>
      </c>
      <c r="Q1311" s="7">
        <f t="shared" si="404"/>
        <v>2427769.4500000011</v>
      </c>
      <c r="R1311" s="44" t="str">
        <f>VLOOKUP(F1311,'Set up'!$A$2:$E$48,5,FALSE)</f>
        <v>Trsf</v>
      </c>
      <c r="S1311" s="1" t="s">
        <v>1939</v>
      </c>
    </row>
    <row r="1312" spans="1:19" x14ac:dyDescent="0.3">
      <c r="A1312" s="4">
        <v>44938</v>
      </c>
      <c r="B1312" s="5">
        <f t="shared" si="401"/>
        <v>1</v>
      </c>
      <c r="C1312" s="5">
        <f t="shared" si="402"/>
        <v>2023</v>
      </c>
      <c r="D1312" s="5" t="s">
        <v>1182</v>
      </c>
      <c r="E1312" s="5" t="str">
        <f>VLOOKUP(F1312,'Set up'!$A$2:$C$48,2,FALSE)</f>
        <v>C00000020</v>
      </c>
      <c r="F1312" s="1" t="s">
        <v>410</v>
      </c>
      <c r="G1312" s="89" t="s">
        <v>1169</v>
      </c>
      <c r="H1312" s="5">
        <v>6</v>
      </c>
      <c r="I1312" s="5" t="str">
        <f>VLOOKUP(F1312,'Set up'!$A$2:$C$48,3,FALSE)</f>
        <v>Cash</v>
      </c>
      <c r="J1312" s="5">
        <f>VLOOKUP(F1312,'Set up'!$A$2:$D$48,4,FALSE)</f>
        <v>0</v>
      </c>
      <c r="K1312" s="4">
        <f t="shared" si="408"/>
        <v>44938</v>
      </c>
      <c r="L1312" s="5">
        <f t="shared" si="399"/>
        <v>1</v>
      </c>
      <c r="M1312" s="5">
        <f t="shared" si="400"/>
        <v>2023</v>
      </c>
      <c r="N1312" s="6">
        <v>1638</v>
      </c>
      <c r="O1312" s="6">
        <f t="shared" si="409"/>
        <v>-1638</v>
      </c>
      <c r="P1312" s="6">
        <f t="shared" si="403"/>
        <v>0</v>
      </c>
      <c r="Q1312" s="7">
        <f t="shared" si="404"/>
        <v>2429407.4500000011</v>
      </c>
      <c r="R1312" s="44" t="str">
        <f>VLOOKUP(F1312,'Set up'!$A$2:$E$48,5,FALSE)</f>
        <v>Trsf</v>
      </c>
      <c r="S1312" s="1" t="s">
        <v>1940</v>
      </c>
    </row>
    <row r="1313" spans="1:19" x14ac:dyDescent="0.3">
      <c r="A1313" s="4">
        <v>44938</v>
      </c>
      <c r="B1313" s="5">
        <f t="shared" ref="B1313:B1319" si="410">MONTH(A1313)</f>
        <v>1</v>
      </c>
      <c r="C1313" s="5">
        <f t="shared" ref="C1313:C1319" si="411">YEAR(A1313)</f>
        <v>2023</v>
      </c>
      <c r="D1313" s="5" t="s">
        <v>1182</v>
      </c>
      <c r="E1313" s="5" t="str">
        <f>VLOOKUP(F1313,'Set up'!$A$2:$C$48,2,FALSE)</f>
        <v>C00000020</v>
      </c>
      <c r="F1313" s="1" t="s">
        <v>410</v>
      </c>
      <c r="G1313" s="89" t="s">
        <v>1074</v>
      </c>
      <c r="H1313" s="5">
        <v>1</v>
      </c>
      <c r="I1313" s="5" t="str">
        <f>VLOOKUP(F1313,'Set up'!$A$2:$C$48,3,FALSE)</f>
        <v>Cash</v>
      </c>
      <c r="J1313" s="5">
        <f>VLOOKUP(F1313,'Set up'!$A$2:$D$48,4,FALSE)</f>
        <v>0</v>
      </c>
      <c r="K1313" s="4">
        <f t="shared" si="408"/>
        <v>44938</v>
      </c>
      <c r="L1313" s="5">
        <f t="shared" si="399"/>
        <v>1</v>
      </c>
      <c r="M1313" s="5">
        <f t="shared" si="400"/>
        <v>2023</v>
      </c>
      <c r="N1313" s="6">
        <v>1000</v>
      </c>
      <c r="O1313" s="6">
        <f t="shared" si="409"/>
        <v>-1000</v>
      </c>
      <c r="P1313" s="6">
        <f t="shared" ref="P1313:P1326" si="412">SUM(N1313+O1313)</f>
        <v>0</v>
      </c>
      <c r="Q1313" s="7">
        <f t="shared" ref="Q1313:Q1318" si="413">SUM(Q1312+N1313)</f>
        <v>2430407.4500000011</v>
      </c>
      <c r="R1313" s="44" t="str">
        <f>VLOOKUP(F1313,'Set up'!$A$2:$E$48,5,FALSE)</f>
        <v>Trsf</v>
      </c>
      <c r="S1313" s="1" t="s">
        <v>1941</v>
      </c>
    </row>
    <row r="1314" spans="1:19" x14ac:dyDescent="0.3">
      <c r="A1314" s="4">
        <v>44938</v>
      </c>
      <c r="B1314" s="5">
        <f t="shared" si="410"/>
        <v>1</v>
      </c>
      <c r="C1314" s="5">
        <f t="shared" si="411"/>
        <v>2023</v>
      </c>
      <c r="D1314" s="5" t="s">
        <v>1182</v>
      </c>
      <c r="E1314" s="5" t="str">
        <f>VLOOKUP(F1314,'Set up'!$A$2:$C$48,2,FALSE)</f>
        <v>C00000020</v>
      </c>
      <c r="F1314" s="1" t="s">
        <v>410</v>
      </c>
      <c r="G1314" s="89" t="s">
        <v>1111</v>
      </c>
      <c r="H1314" s="5">
        <v>5</v>
      </c>
      <c r="I1314" s="5" t="str">
        <f>VLOOKUP(F1314,'Set up'!$A$2:$C$48,3,FALSE)</f>
        <v>Cash</v>
      </c>
      <c r="J1314" s="5">
        <f>VLOOKUP(F1314,'Set up'!$A$2:$D$48,4,FALSE)</f>
        <v>0</v>
      </c>
      <c r="K1314" s="4">
        <f t="shared" si="408"/>
        <v>44938</v>
      </c>
      <c r="L1314" s="5">
        <f t="shared" si="399"/>
        <v>1</v>
      </c>
      <c r="M1314" s="5">
        <f t="shared" si="400"/>
        <v>2023</v>
      </c>
      <c r="N1314" s="6">
        <v>312.5</v>
      </c>
      <c r="O1314" s="6">
        <f>-45.2-267.3</f>
        <v>-312.5</v>
      </c>
      <c r="P1314" s="6">
        <f t="shared" si="412"/>
        <v>0</v>
      </c>
      <c r="Q1314" s="7">
        <f t="shared" si="413"/>
        <v>2430719.9500000011</v>
      </c>
      <c r="R1314" s="44" t="str">
        <f>VLOOKUP(F1314,'Set up'!$A$2:$E$48,5,FALSE)</f>
        <v>Trsf</v>
      </c>
      <c r="S1314" s="1" t="s">
        <v>1946</v>
      </c>
    </row>
    <row r="1315" spans="1:19" x14ac:dyDescent="0.3">
      <c r="A1315" s="4">
        <v>44938</v>
      </c>
      <c r="B1315" s="5">
        <f t="shared" si="410"/>
        <v>1</v>
      </c>
      <c r="C1315" s="5">
        <f t="shared" si="411"/>
        <v>2023</v>
      </c>
      <c r="D1315" s="5" t="s">
        <v>1182</v>
      </c>
      <c r="E1315" s="5" t="str">
        <f>VLOOKUP(F1315,'Set up'!$A$2:$C$48,2,FALSE)</f>
        <v>C00000020</v>
      </c>
      <c r="F1315" s="1" t="s">
        <v>410</v>
      </c>
      <c r="G1315" s="89" t="s">
        <v>46</v>
      </c>
      <c r="H1315" s="5">
        <v>4</v>
      </c>
      <c r="I1315" s="5" t="str">
        <f>VLOOKUP(F1315,'Set up'!$A$2:$C$48,3,FALSE)</f>
        <v>Cash</v>
      </c>
      <c r="J1315" s="5">
        <f>VLOOKUP(F1315,'Set up'!$A$2:$D$48,4,FALSE)</f>
        <v>0</v>
      </c>
      <c r="K1315" s="4">
        <f t="shared" si="408"/>
        <v>44938</v>
      </c>
      <c r="L1315" s="5">
        <f t="shared" si="399"/>
        <v>1</v>
      </c>
      <c r="M1315" s="5">
        <f t="shared" si="400"/>
        <v>2023</v>
      </c>
      <c r="N1315" s="6">
        <v>420</v>
      </c>
      <c r="O1315" s="6">
        <f t="shared" si="409"/>
        <v>-420</v>
      </c>
      <c r="P1315" s="6">
        <f t="shared" si="412"/>
        <v>0</v>
      </c>
      <c r="Q1315" s="7">
        <f t="shared" si="413"/>
        <v>2431139.9500000011</v>
      </c>
      <c r="R1315" s="44" t="str">
        <f>VLOOKUP(F1315,'Set up'!$A$2:$E$48,5,FALSE)</f>
        <v>Trsf</v>
      </c>
      <c r="S1315" s="1" t="s">
        <v>1947</v>
      </c>
    </row>
    <row r="1316" spans="1:19" hidden="1" x14ac:dyDescent="0.3">
      <c r="A1316" s="4">
        <v>44938</v>
      </c>
      <c r="B1316" s="5">
        <f t="shared" si="410"/>
        <v>1</v>
      </c>
      <c r="C1316" s="5">
        <f t="shared" si="411"/>
        <v>2023</v>
      </c>
      <c r="D1316" s="5" t="s">
        <v>1183</v>
      </c>
      <c r="E1316" s="5" t="str">
        <f>VLOOKUP(F1316,'Set up'!$A$2:$C$48,2,FALSE)</f>
        <v>C00000022</v>
      </c>
      <c r="F1316" s="1" t="s">
        <v>638</v>
      </c>
      <c r="G1316" s="103" t="s">
        <v>772</v>
      </c>
      <c r="H1316" s="5">
        <v>1</v>
      </c>
      <c r="I1316" s="5" t="str">
        <f>VLOOKUP(F1316,'Set up'!$A$2:$C$48,3,FALSE)</f>
        <v>Cash</v>
      </c>
      <c r="J1316" s="5">
        <f>VLOOKUP(F1316,'Set up'!$A$2:$D$48,4,FALSE)</f>
        <v>0</v>
      </c>
      <c r="K1316" s="4">
        <f t="shared" si="408"/>
        <v>44938</v>
      </c>
      <c r="L1316" s="5">
        <f t="shared" si="399"/>
        <v>1</v>
      </c>
      <c r="M1316" s="5">
        <f t="shared" si="400"/>
        <v>2023</v>
      </c>
      <c r="N1316" s="6">
        <v>256</v>
      </c>
      <c r="O1316" s="6">
        <f t="shared" ref="O1316" si="414">-N1316</f>
        <v>-256</v>
      </c>
      <c r="P1316" s="6">
        <f t="shared" si="412"/>
        <v>0</v>
      </c>
      <c r="Q1316" s="7">
        <f t="shared" si="413"/>
        <v>2431395.9500000011</v>
      </c>
      <c r="R1316" s="44" t="str">
        <f>VLOOKUP(F1316,'Set up'!$A$2:$E$48,5,FALSE)</f>
        <v>Trsf</v>
      </c>
      <c r="S1316" s="1" t="s">
        <v>1301</v>
      </c>
    </row>
    <row r="1317" spans="1:19" hidden="1" x14ac:dyDescent="0.3">
      <c r="A1317" s="4">
        <v>44939</v>
      </c>
      <c r="B1317" s="5">
        <f t="shared" si="410"/>
        <v>1</v>
      </c>
      <c r="C1317" s="5">
        <f t="shared" si="411"/>
        <v>2023</v>
      </c>
      <c r="D1317" s="5" t="s">
        <v>1184</v>
      </c>
      <c r="E1317" s="5" t="str">
        <f>VLOOKUP(F1317,'Set up'!$A$2:$C$48,2,FALSE)</f>
        <v>C00000023</v>
      </c>
      <c r="F1317" s="1" t="s">
        <v>666</v>
      </c>
      <c r="G1317" s="89" t="s">
        <v>1179</v>
      </c>
      <c r="H1317" s="5">
        <v>1</v>
      </c>
      <c r="I1317" s="5" t="str">
        <f>VLOOKUP(F1317,'Set up'!$A$2:$C$48,3,FALSE)</f>
        <v>Cash</v>
      </c>
      <c r="J1317" s="5">
        <f>VLOOKUP(F1317,'Set up'!$A$2:$D$48,4,FALSE)</f>
        <v>0</v>
      </c>
      <c r="K1317" s="4">
        <f t="shared" si="408"/>
        <v>44939</v>
      </c>
      <c r="L1317" s="5">
        <f t="shared" si="399"/>
        <v>1</v>
      </c>
      <c r="M1317" s="5">
        <f t="shared" si="400"/>
        <v>2023</v>
      </c>
      <c r="N1317" s="6">
        <v>1738</v>
      </c>
      <c r="O1317" s="6">
        <f>-N1317</f>
        <v>-1738</v>
      </c>
      <c r="P1317" s="6">
        <f t="shared" si="412"/>
        <v>0</v>
      </c>
      <c r="Q1317" s="7">
        <f t="shared" si="413"/>
        <v>2433133.9500000011</v>
      </c>
      <c r="R1317" s="44" t="str">
        <f>VLOOKUP(F1317,'Set up'!$A$2:$E$48,5,FALSE)</f>
        <v>Trsf</v>
      </c>
      <c r="S1317" s="1" t="s">
        <v>1213</v>
      </c>
    </row>
    <row r="1318" spans="1:19" hidden="1" x14ac:dyDescent="0.3">
      <c r="A1318" s="4">
        <v>44939</v>
      </c>
      <c r="B1318" s="5">
        <f t="shared" si="410"/>
        <v>1</v>
      </c>
      <c r="C1318" s="5">
        <f t="shared" si="411"/>
        <v>2023</v>
      </c>
      <c r="D1318" s="5" t="s">
        <v>1184</v>
      </c>
      <c r="E1318" s="5" t="str">
        <f>VLOOKUP(F1318,'Set up'!$A$2:$C$48,2,FALSE)</f>
        <v>C00000023</v>
      </c>
      <c r="F1318" s="1" t="s">
        <v>666</v>
      </c>
      <c r="G1318" s="89" t="s">
        <v>1111</v>
      </c>
      <c r="H1318" s="5">
        <v>1</v>
      </c>
      <c r="I1318" s="5" t="str">
        <f>VLOOKUP(F1318,'Set up'!$A$2:$C$48,3,FALSE)</f>
        <v>Cash</v>
      </c>
      <c r="J1318" s="5">
        <f>VLOOKUP(F1318,'Set up'!$A$2:$D$48,4,FALSE)</f>
        <v>0</v>
      </c>
      <c r="K1318" s="4">
        <f t="shared" si="408"/>
        <v>44939</v>
      </c>
      <c r="L1318" s="5">
        <f t="shared" si="399"/>
        <v>1</v>
      </c>
      <c r="M1318" s="5">
        <f t="shared" si="400"/>
        <v>2023</v>
      </c>
      <c r="N1318" s="6">
        <v>62.5</v>
      </c>
      <c r="O1318" s="6">
        <f>-N1318</f>
        <v>-62.5</v>
      </c>
      <c r="P1318" s="6">
        <f t="shared" si="412"/>
        <v>0</v>
      </c>
      <c r="Q1318" s="7">
        <f t="shared" si="413"/>
        <v>2433196.4500000011</v>
      </c>
      <c r="R1318" s="44" t="str">
        <f>VLOOKUP(F1318,'Set up'!$A$2:$E$48,5,FALSE)</f>
        <v>Trsf</v>
      </c>
      <c r="S1318" s="1" t="s">
        <v>1213</v>
      </c>
    </row>
    <row r="1319" spans="1:19" hidden="1" x14ac:dyDescent="0.3">
      <c r="A1319" s="4">
        <v>44940</v>
      </c>
      <c r="B1319" s="5">
        <f t="shared" si="410"/>
        <v>1</v>
      </c>
      <c r="C1319" s="5">
        <f t="shared" si="411"/>
        <v>2023</v>
      </c>
      <c r="D1319" s="5" t="s">
        <v>1189</v>
      </c>
      <c r="E1319" s="5" t="str">
        <f>VLOOKUP(F1319,'Set up'!$A$2:$C$48,2,FALSE)</f>
        <v>C00000029</v>
      </c>
      <c r="F1319" s="1" t="s">
        <v>959</v>
      </c>
      <c r="G1319" s="89" t="s">
        <v>64</v>
      </c>
      <c r="H1319" s="5">
        <v>4</v>
      </c>
      <c r="I1319" s="5" t="str">
        <f>VLOOKUP(F1319,'Set up'!$A$2:$C$48,3,FALSE)</f>
        <v>Cash</v>
      </c>
      <c r="J1319" s="5">
        <f>VLOOKUP(F1319,'Set up'!$A$2:$D$48,4,FALSE)</f>
        <v>0</v>
      </c>
      <c r="K1319" s="4">
        <f t="shared" si="408"/>
        <v>44940</v>
      </c>
      <c r="L1319" s="5">
        <f t="shared" si="399"/>
        <v>1</v>
      </c>
      <c r="M1319" s="5">
        <f t="shared" si="400"/>
        <v>2023</v>
      </c>
      <c r="N1319" s="6">
        <v>250</v>
      </c>
      <c r="O1319" s="6">
        <f t="shared" ref="O1319:O1323" si="415">-N1319</f>
        <v>-250</v>
      </c>
      <c r="P1319" s="6">
        <f t="shared" si="412"/>
        <v>0</v>
      </c>
      <c r="Q1319" s="7">
        <f t="shared" ref="Q1319:Q1326" si="416">SUM(Q1318+N1319)</f>
        <v>2433446.4500000011</v>
      </c>
      <c r="R1319" s="44" t="str">
        <f>VLOOKUP(F1319,'Set up'!$A$2:$E$48,5,FALSE)</f>
        <v>Trsf</v>
      </c>
      <c r="S1319" s="1" t="s">
        <v>1221</v>
      </c>
    </row>
    <row r="1320" spans="1:19" x14ac:dyDescent="0.3">
      <c r="A1320" s="4">
        <v>44940</v>
      </c>
      <c r="B1320" s="5">
        <f t="shared" ref="B1320:B1326" si="417">MONTH(A1320)</f>
        <v>1</v>
      </c>
      <c r="C1320" s="5">
        <f t="shared" ref="C1320:C1326" si="418">YEAR(A1320)</f>
        <v>2023</v>
      </c>
      <c r="D1320" s="5" t="s">
        <v>1190</v>
      </c>
      <c r="E1320" s="5" t="str">
        <f>VLOOKUP(F1320,'Set up'!$A$2:$C$48,2,FALSE)</f>
        <v>C00000020</v>
      </c>
      <c r="F1320" s="1" t="s">
        <v>410</v>
      </c>
      <c r="G1320" s="89" t="s">
        <v>717</v>
      </c>
      <c r="H1320" s="5">
        <v>5</v>
      </c>
      <c r="I1320" s="5" t="str">
        <f>VLOOKUP(F1320,'Set up'!$A$2:$C$48,3,FALSE)</f>
        <v>Cash</v>
      </c>
      <c r="J1320" s="5">
        <f>VLOOKUP(F1320,'Set up'!$A$2:$D$48,4,FALSE)</f>
        <v>0</v>
      </c>
      <c r="K1320" s="4">
        <f t="shared" si="408"/>
        <v>44940</v>
      </c>
      <c r="L1320" s="5">
        <f t="shared" si="399"/>
        <v>1</v>
      </c>
      <c r="M1320" s="5">
        <f t="shared" si="400"/>
        <v>2023</v>
      </c>
      <c r="N1320" s="6">
        <v>8690</v>
      </c>
      <c r="O1320" s="6">
        <f t="shared" si="415"/>
        <v>-8690</v>
      </c>
      <c r="P1320" s="6">
        <f t="shared" si="412"/>
        <v>0</v>
      </c>
      <c r="Q1320" s="7">
        <f t="shared" si="416"/>
        <v>2442136.4500000011</v>
      </c>
      <c r="R1320" s="44" t="str">
        <f>VLOOKUP(F1320,'Set up'!$A$2:$E$48,5,FALSE)</f>
        <v>Trsf</v>
      </c>
      <c r="S1320" s="1" t="s">
        <v>1942</v>
      </c>
    </row>
    <row r="1321" spans="1:19" x14ac:dyDescent="0.3">
      <c r="A1321" s="4">
        <v>44940</v>
      </c>
      <c r="B1321" s="5">
        <f t="shared" si="417"/>
        <v>1</v>
      </c>
      <c r="C1321" s="5">
        <f t="shared" si="418"/>
        <v>2023</v>
      </c>
      <c r="D1321" s="5" t="s">
        <v>1190</v>
      </c>
      <c r="E1321" s="5" t="str">
        <f>VLOOKUP(F1321,'Set up'!$A$2:$C$48,2,FALSE)</f>
        <v>C00000020</v>
      </c>
      <c r="F1321" s="1" t="s">
        <v>410</v>
      </c>
      <c r="G1321" s="89" t="s">
        <v>914</v>
      </c>
      <c r="H1321" s="5">
        <v>15</v>
      </c>
      <c r="I1321" s="5" t="str">
        <f>VLOOKUP(F1321,'Set up'!$A$2:$C$48,3,FALSE)</f>
        <v>Cash</v>
      </c>
      <c r="J1321" s="5">
        <f>VLOOKUP(F1321,'Set up'!$A$2:$D$48,4,FALSE)</f>
        <v>0</v>
      </c>
      <c r="K1321" s="4">
        <f t="shared" si="408"/>
        <v>44940</v>
      </c>
      <c r="L1321" s="5">
        <f t="shared" si="399"/>
        <v>1</v>
      </c>
      <c r="M1321" s="5">
        <f t="shared" si="400"/>
        <v>2023</v>
      </c>
      <c r="N1321" s="6">
        <v>3510</v>
      </c>
      <c r="O1321" s="6">
        <f t="shared" si="415"/>
        <v>-3510</v>
      </c>
      <c r="P1321" s="6">
        <f t="shared" si="412"/>
        <v>0</v>
      </c>
      <c r="Q1321" s="7">
        <f t="shared" si="416"/>
        <v>2445646.4500000011</v>
      </c>
      <c r="R1321" s="44" t="str">
        <f>VLOOKUP(F1321,'Set up'!$A$2:$E$48,5,FALSE)</f>
        <v>Trsf</v>
      </c>
      <c r="S1321" s="1" t="s">
        <v>1943</v>
      </c>
    </row>
    <row r="1322" spans="1:19" x14ac:dyDescent="0.3">
      <c r="A1322" s="4">
        <v>44940</v>
      </c>
      <c r="B1322" s="5">
        <f t="shared" si="417"/>
        <v>1</v>
      </c>
      <c r="C1322" s="5">
        <f t="shared" si="418"/>
        <v>2023</v>
      </c>
      <c r="D1322" s="5" t="s">
        <v>1190</v>
      </c>
      <c r="E1322" s="5" t="str">
        <f>VLOOKUP(F1322,'Set up'!$A$2:$C$48,2,FALSE)</f>
        <v>C00000020</v>
      </c>
      <c r="F1322" s="1" t="s">
        <v>410</v>
      </c>
      <c r="G1322" s="89" t="s">
        <v>1169</v>
      </c>
      <c r="H1322" s="5">
        <v>6</v>
      </c>
      <c r="I1322" s="5" t="str">
        <f>VLOOKUP(F1322,'Set up'!$A$2:$C$48,3,FALSE)</f>
        <v>Cash</v>
      </c>
      <c r="J1322" s="5">
        <f>VLOOKUP(F1322,'Set up'!$A$2:$D$48,4,FALSE)</f>
        <v>0</v>
      </c>
      <c r="K1322" s="4">
        <f t="shared" si="408"/>
        <v>44940</v>
      </c>
      <c r="L1322" s="5">
        <f t="shared" si="399"/>
        <v>1</v>
      </c>
      <c r="M1322" s="5">
        <f t="shared" si="400"/>
        <v>2023</v>
      </c>
      <c r="N1322" s="6">
        <v>1638</v>
      </c>
      <c r="O1322" s="6">
        <f t="shared" si="415"/>
        <v>-1638</v>
      </c>
      <c r="P1322" s="6">
        <f t="shared" si="412"/>
        <v>0</v>
      </c>
      <c r="Q1322" s="7">
        <f t="shared" si="416"/>
        <v>2447284.4500000011</v>
      </c>
      <c r="R1322" s="44" t="str">
        <f>VLOOKUP(F1322,'Set up'!$A$2:$E$48,5,FALSE)</f>
        <v>Trsf</v>
      </c>
      <c r="S1322" s="1" t="s">
        <v>1944</v>
      </c>
    </row>
    <row r="1323" spans="1:19" x14ac:dyDescent="0.3">
      <c r="A1323" s="4">
        <v>44940</v>
      </c>
      <c r="B1323" s="5">
        <f t="shared" si="417"/>
        <v>1</v>
      </c>
      <c r="C1323" s="5">
        <f t="shared" si="418"/>
        <v>2023</v>
      </c>
      <c r="D1323" s="5" t="s">
        <v>1190</v>
      </c>
      <c r="E1323" s="5" t="str">
        <f>VLOOKUP(F1323,'Set up'!$A$2:$C$48,2,FALSE)</f>
        <v>C00000020</v>
      </c>
      <c r="F1323" s="1" t="s">
        <v>410</v>
      </c>
      <c r="G1323" s="89" t="s">
        <v>1111</v>
      </c>
      <c r="H1323" s="5">
        <v>5</v>
      </c>
      <c r="I1323" s="5" t="str">
        <f>VLOOKUP(F1323,'Set up'!$A$2:$C$48,3,FALSE)</f>
        <v>Cash</v>
      </c>
      <c r="J1323" s="5">
        <f>VLOOKUP(F1323,'Set up'!$A$2:$D$48,4,FALSE)</f>
        <v>0</v>
      </c>
      <c r="K1323" s="4">
        <f t="shared" si="408"/>
        <v>44940</v>
      </c>
      <c r="L1323" s="5">
        <f t="shared" si="399"/>
        <v>1</v>
      </c>
      <c r="M1323" s="5">
        <f t="shared" si="400"/>
        <v>2023</v>
      </c>
      <c r="N1323" s="6">
        <v>312.5</v>
      </c>
      <c r="O1323" s="6">
        <f t="shared" si="415"/>
        <v>-312.5</v>
      </c>
      <c r="P1323" s="6">
        <f t="shared" si="412"/>
        <v>0</v>
      </c>
      <c r="Q1323" s="7">
        <f t="shared" si="416"/>
        <v>2447596.9500000011</v>
      </c>
      <c r="R1323" s="44" t="str">
        <f>VLOOKUP(F1323,'Set up'!$A$2:$E$48,5,FALSE)</f>
        <v>Trsf</v>
      </c>
      <c r="S1323" s="1" t="s">
        <v>1945</v>
      </c>
    </row>
    <row r="1324" spans="1:19" hidden="1" x14ac:dyDescent="0.3">
      <c r="A1324" s="4">
        <v>44942</v>
      </c>
      <c r="B1324" s="5">
        <f t="shared" si="417"/>
        <v>1</v>
      </c>
      <c r="C1324" s="5">
        <f t="shared" si="418"/>
        <v>2023</v>
      </c>
      <c r="D1324" s="5" t="s">
        <v>1191</v>
      </c>
      <c r="E1324" s="5" t="str">
        <f>VLOOKUP(F1324,'Set up'!$A$2:$C$48,2,FALSE)</f>
        <v>C00000021</v>
      </c>
      <c r="F1324" s="1" t="s">
        <v>492</v>
      </c>
      <c r="G1324" s="89" t="s">
        <v>717</v>
      </c>
      <c r="H1324" s="5">
        <v>1</v>
      </c>
      <c r="I1324" s="5" t="str">
        <f>VLOOKUP(F1324,'Set up'!$A$2:$C$48,3,FALSE)</f>
        <v>Cash</v>
      </c>
      <c r="J1324" s="5">
        <f>VLOOKUP(F1324,'Set up'!$A$2:$D$48,4,FALSE)</f>
        <v>0</v>
      </c>
      <c r="K1324" s="4">
        <f t="shared" si="408"/>
        <v>44942</v>
      </c>
      <c r="L1324" s="5">
        <f t="shared" si="399"/>
        <v>1</v>
      </c>
      <c r="M1324" s="5">
        <f t="shared" si="400"/>
        <v>2023</v>
      </c>
      <c r="N1324" s="6">
        <v>1936</v>
      </c>
      <c r="O1324" s="6">
        <f t="shared" ref="O1324:O1326" si="419">-N1324</f>
        <v>-1936</v>
      </c>
      <c r="P1324" s="6">
        <f t="shared" si="412"/>
        <v>0</v>
      </c>
      <c r="Q1324" s="7">
        <f t="shared" si="416"/>
        <v>2449532.9500000011</v>
      </c>
      <c r="R1324" s="44" t="str">
        <f>VLOOKUP(F1324,'Set up'!$A$2:$E$48,5,FALSE)</f>
        <v>PD Chq</v>
      </c>
      <c r="S1324" s="1" t="s">
        <v>1528</v>
      </c>
    </row>
    <row r="1325" spans="1:19" hidden="1" x14ac:dyDescent="0.3">
      <c r="A1325" s="4">
        <v>44942</v>
      </c>
      <c r="B1325" s="5">
        <f t="shared" si="417"/>
        <v>1</v>
      </c>
      <c r="C1325" s="5">
        <f t="shared" si="418"/>
        <v>2023</v>
      </c>
      <c r="D1325" s="5" t="s">
        <v>1191</v>
      </c>
      <c r="E1325" s="5" t="str">
        <f>VLOOKUP(F1325,'Set up'!$A$2:$C$48,2,FALSE)</f>
        <v>C00000021</v>
      </c>
      <c r="F1325" s="1" t="s">
        <v>492</v>
      </c>
      <c r="G1325" s="89" t="s">
        <v>655</v>
      </c>
      <c r="H1325" s="5">
        <v>3</v>
      </c>
      <c r="I1325" s="5" t="str">
        <f>VLOOKUP(F1325,'Set up'!$A$2:$C$48,3,FALSE)</f>
        <v>Cash</v>
      </c>
      <c r="J1325" s="5">
        <f>VLOOKUP(F1325,'Set up'!$A$2:$D$48,4,FALSE)</f>
        <v>0</v>
      </c>
      <c r="K1325" s="4">
        <f t="shared" si="408"/>
        <v>44942</v>
      </c>
      <c r="L1325" s="5">
        <f t="shared" si="399"/>
        <v>1</v>
      </c>
      <c r="M1325" s="5">
        <f t="shared" si="400"/>
        <v>2023</v>
      </c>
      <c r="N1325" s="6">
        <v>801</v>
      </c>
      <c r="O1325" s="6">
        <f t="shared" si="419"/>
        <v>-801</v>
      </c>
      <c r="P1325" s="6">
        <f t="shared" si="412"/>
        <v>0</v>
      </c>
      <c r="Q1325" s="7">
        <f t="shared" si="416"/>
        <v>2450333.9500000011</v>
      </c>
      <c r="R1325" s="44" t="str">
        <f>VLOOKUP(F1325,'Set up'!$A$2:$E$48,5,FALSE)</f>
        <v>PD Chq</v>
      </c>
      <c r="S1325" s="1" t="s">
        <v>1528</v>
      </c>
    </row>
    <row r="1326" spans="1:19" hidden="1" x14ac:dyDescent="0.3">
      <c r="A1326" s="4">
        <v>44942</v>
      </c>
      <c r="B1326" s="5">
        <f t="shared" si="417"/>
        <v>1</v>
      </c>
      <c r="C1326" s="5">
        <f t="shared" si="418"/>
        <v>2023</v>
      </c>
      <c r="D1326" s="5" t="s">
        <v>1191</v>
      </c>
      <c r="E1326" s="5" t="str">
        <f>VLOOKUP(F1326,'Set up'!$A$2:$C$48,2,FALSE)</f>
        <v>C00000021</v>
      </c>
      <c r="F1326" s="1" t="s">
        <v>492</v>
      </c>
      <c r="G1326" s="89" t="s">
        <v>667</v>
      </c>
      <c r="H1326" s="5">
        <v>1</v>
      </c>
      <c r="I1326" s="5" t="str">
        <f>VLOOKUP(F1326,'Set up'!$A$2:$C$48,3,FALSE)</f>
        <v>Cash</v>
      </c>
      <c r="J1326" s="5">
        <f>VLOOKUP(F1326,'Set up'!$A$2:$D$48,4,FALSE)</f>
        <v>0</v>
      </c>
      <c r="K1326" s="4">
        <f t="shared" si="408"/>
        <v>44942</v>
      </c>
      <c r="L1326" s="5">
        <f t="shared" si="399"/>
        <v>1</v>
      </c>
      <c r="M1326" s="5">
        <f t="shared" si="400"/>
        <v>2023</v>
      </c>
      <c r="N1326" s="6">
        <v>95</v>
      </c>
      <c r="O1326" s="6">
        <f t="shared" si="419"/>
        <v>-95</v>
      </c>
      <c r="P1326" s="6">
        <f t="shared" si="412"/>
        <v>0</v>
      </c>
      <c r="Q1326" s="7">
        <f t="shared" si="416"/>
        <v>2450428.9500000011</v>
      </c>
      <c r="R1326" s="44" t="str">
        <f>VLOOKUP(F1326,'Set up'!$A$2:$E$48,5,FALSE)</f>
        <v>PD Chq</v>
      </c>
      <c r="S1326" s="1" t="s">
        <v>1528</v>
      </c>
    </row>
    <row r="1327" spans="1:19" hidden="1" x14ac:dyDescent="0.3">
      <c r="A1327" s="4">
        <v>44944</v>
      </c>
      <c r="B1327" s="5">
        <f t="shared" ref="B1327:B1346" si="420">MONTH(A1327)</f>
        <v>1</v>
      </c>
      <c r="C1327" s="5">
        <f t="shared" ref="C1327:C1346" si="421">YEAR(A1327)</f>
        <v>2023</v>
      </c>
      <c r="D1327" s="5" t="s">
        <v>1192</v>
      </c>
      <c r="E1327" s="5" t="str">
        <f>VLOOKUP(F1327,'Set up'!$A$2:$C$48,2,FALSE)</f>
        <v>C00000022</v>
      </c>
      <c r="F1327" s="1" t="s">
        <v>638</v>
      </c>
      <c r="G1327" s="89" t="s">
        <v>95</v>
      </c>
      <c r="H1327" s="5">
        <v>1</v>
      </c>
      <c r="I1327" s="5" t="str">
        <f>VLOOKUP(F1327,'Set up'!$A$2:$C$48,3,FALSE)</f>
        <v>Cash</v>
      </c>
      <c r="J1327" s="5">
        <f>VLOOKUP(F1327,'Set up'!$A$2:$D$48,4,FALSE)</f>
        <v>0</v>
      </c>
      <c r="K1327" s="4">
        <f t="shared" si="408"/>
        <v>44944</v>
      </c>
      <c r="L1327" s="5">
        <f t="shared" si="399"/>
        <v>1</v>
      </c>
      <c r="M1327" s="5">
        <f t="shared" si="400"/>
        <v>2023</v>
      </c>
      <c r="N1327" s="6">
        <v>1936</v>
      </c>
      <c r="O1327" s="6">
        <f>-1720-216</f>
        <v>-1936</v>
      </c>
      <c r="P1327" s="6">
        <f t="shared" ref="P1327:P1346" si="422">SUM(N1327+O1327)</f>
        <v>0</v>
      </c>
      <c r="Q1327" s="7">
        <f t="shared" ref="Q1327:Q1346" si="423">SUM(Q1326+N1327)</f>
        <v>2452364.9500000011</v>
      </c>
      <c r="R1327" s="44" t="str">
        <f>VLOOKUP(F1327,'Set up'!$A$2:$E$48,5,FALSE)</f>
        <v>Trsf</v>
      </c>
      <c r="S1327" s="1" t="s">
        <v>1385</v>
      </c>
    </row>
    <row r="1328" spans="1:19" hidden="1" x14ac:dyDescent="0.3">
      <c r="A1328" s="4">
        <v>44944</v>
      </c>
      <c r="B1328" s="5">
        <f t="shared" si="420"/>
        <v>1</v>
      </c>
      <c r="C1328" s="5">
        <f t="shared" si="421"/>
        <v>2023</v>
      </c>
      <c r="D1328" s="5" t="s">
        <v>1193</v>
      </c>
      <c r="E1328" s="5" t="str">
        <f>VLOOKUP(F1328,'Set up'!$A$2:$C$48,2,FALSE)</f>
        <v>C00000010</v>
      </c>
      <c r="F1328" s="1" t="s">
        <v>62</v>
      </c>
      <c r="G1328" s="89" t="s">
        <v>1179</v>
      </c>
      <c r="H1328" s="5">
        <v>8</v>
      </c>
      <c r="I1328" s="5">
        <f>VLOOKUP(F1328,'Set up'!$A$2:$C$48,3,FALSE)</f>
        <v>120</v>
      </c>
      <c r="J1328" s="5">
        <f>VLOOKUP(F1328,'Set up'!$A$2:$D$48,4,FALSE)</f>
        <v>120</v>
      </c>
      <c r="K1328" s="4">
        <f t="shared" si="408"/>
        <v>45064</v>
      </c>
      <c r="L1328" s="5">
        <f t="shared" si="399"/>
        <v>5</v>
      </c>
      <c r="M1328" s="5">
        <f t="shared" si="400"/>
        <v>2023</v>
      </c>
      <c r="N1328" s="6">
        <v>13024</v>
      </c>
      <c r="O1328" s="6">
        <f t="shared" ref="O1328:O1333" si="424">-N1328</f>
        <v>-13024</v>
      </c>
      <c r="P1328" s="6">
        <f t="shared" si="422"/>
        <v>0</v>
      </c>
      <c r="Q1328" s="7">
        <f t="shared" si="423"/>
        <v>2465388.9500000011</v>
      </c>
      <c r="R1328" s="44" t="str">
        <f>VLOOKUP(F1328,'Set up'!$A$2:$E$48,5,FALSE)</f>
        <v>Trsf</v>
      </c>
      <c r="S1328" s="1" t="s">
        <v>1581</v>
      </c>
    </row>
    <row r="1329" spans="1:19" hidden="1" x14ac:dyDescent="0.3">
      <c r="A1329" s="4">
        <v>44944</v>
      </c>
      <c r="B1329" s="5">
        <f t="shared" si="420"/>
        <v>1</v>
      </c>
      <c r="C1329" s="5">
        <f t="shared" si="421"/>
        <v>2023</v>
      </c>
      <c r="D1329" s="5" t="s">
        <v>1193</v>
      </c>
      <c r="E1329" s="5" t="str">
        <f>VLOOKUP(F1329,'Set up'!$A$2:$C$48,2,FALSE)</f>
        <v>C00000010</v>
      </c>
      <c r="F1329" s="1" t="s">
        <v>62</v>
      </c>
      <c r="G1329" s="89" t="s">
        <v>914</v>
      </c>
      <c r="H1329" s="5">
        <v>10</v>
      </c>
      <c r="I1329" s="5">
        <f>VLOOKUP(F1329,'Set up'!$A$2:$C$48,3,FALSE)</f>
        <v>120</v>
      </c>
      <c r="J1329" s="5">
        <f>VLOOKUP(F1329,'Set up'!$A$2:$D$48,4,FALSE)</f>
        <v>120</v>
      </c>
      <c r="K1329" s="4">
        <f t="shared" si="408"/>
        <v>45064</v>
      </c>
      <c r="L1329" s="5">
        <f t="shared" si="399"/>
        <v>5</v>
      </c>
      <c r="M1329" s="5">
        <f t="shared" si="400"/>
        <v>2023</v>
      </c>
      <c r="N1329" s="6">
        <v>2070</v>
      </c>
      <c r="O1329" s="6">
        <f t="shared" si="424"/>
        <v>-2070</v>
      </c>
      <c r="P1329" s="6">
        <f t="shared" si="422"/>
        <v>0</v>
      </c>
      <c r="Q1329" s="7">
        <f t="shared" si="423"/>
        <v>2467458.9500000011</v>
      </c>
      <c r="R1329" s="44" t="str">
        <f>VLOOKUP(F1329,'Set up'!$A$2:$E$48,5,FALSE)</f>
        <v>Trsf</v>
      </c>
      <c r="S1329" s="1" t="s">
        <v>1581</v>
      </c>
    </row>
    <row r="1330" spans="1:19" hidden="1" x14ac:dyDescent="0.3">
      <c r="A1330" s="4">
        <v>44944</v>
      </c>
      <c r="B1330" s="5">
        <f t="shared" si="420"/>
        <v>1</v>
      </c>
      <c r="C1330" s="5">
        <f t="shared" si="421"/>
        <v>2023</v>
      </c>
      <c r="D1330" s="5" t="s">
        <v>1193</v>
      </c>
      <c r="E1330" s="5" t="str">
        <f>VLOOKUP(F1330,'Set up'!$A$2:$C$48,2,FALSE)</f>
        <v>C00000010</v>
      </c>
      <c r="F1330" s="1" t="s">
        <v>62</v>
      </c>
      <c r="G1330" s="89" t="s">
        <v>792</v>
      </c>
      <c r="H1330" s="5">
        <v>10</v>
      </c>
      <c r="I1330" s="5">
        <f>VLOOKUP(F1330,'Set up'!$A$2:$C$48,3,FALSE)</f>
        <v>120</v>
      </c>
      <c r="J1330" s="5">
        <f>VLOOKUP(F1330,'Set up'!$A$2:$D$48,4,FALSE)</f>
        <v>120</v>
      </c>
      <c r="K1330" s="4">
        <f t="shared" si="408"/>
        <v>45064</v>
      </c>
      <c r="L1330" s="5">
        <f t="shared" si="399"/>
        <v>5</v>
      </c>
      <c r="M1330" s="5">
        <f t="shared" si="400"/>
        <v>2023</v>
      </c>
      <c r="N1330" s="6">
        <v>575</v>
      </c>
      <c r="O1330" s="6">
        <f t="shared" si="424"/>
        <v>-575</v>
      </c>
      <c r="P1330" s="6">
        <f t="shared" si="422"/>
        <v>0</v>
      </c>
      <c r="Q1330" s="7">
        <f t="shared" si="423"/>
        <v>2468033.9500000011</v>
      </c>
      <c r="R1330" s="44" t="str">
        <f>VLOOKUP(F1330,'Set up'!$A$2:$E$48,5,FALSE)</f>
        <v>Trsf</v>
      </c>
      <c r="S1330" s="1" t="s">
        <v>1581</v>
      </c>
    </row>
    <row r="1331" spans="1:19" hidden="1" x14ac:dyDescent="0.3">
      <c r="A1331" s="4">
        <v>44944</v>
      </c>
      <c r="B1331" s="5">
        <f t="shared" si="420"/>
        <v>1</v>
      </c>
      <c r="C1331" s="5">
        <f t="shared" si="421"/>
        <v>2023</v>
      </c>
      <c r="D1331" s="5" t="s">
        <v>1193</v>
      </c>
      <c r="E1331" s="5" t="str">
        <f>VLOOKUP(F1331,'Set up'!$A$2:$C$48,2,FALSE)</f>
        <v>C00000010</v>
      </c>
      <c r="F1331" s="1" t="s">
        <v>62</v>
      </c>
      <c r="G1331" s="89" t="s">
        <v>46</v>
      </c>
      <c r="H1331" s="5">
        <v>8</v>
      </c>
      <c r="I1331" s="5">
        <f>VLOOKUP(F1331,'Set up'!$A$2:$C$48,3,FALSE)</f>
        <v>120</v>
      </c>
      <c r="J1331" s="5">
        <f>VLOOKUP(F1331,'Set up'!$A$2:$D$48,4,FALSE)</f>
        <v>120</v>
      </c>
      <c r="K1331" s="4">
        <f t="shared" si="408"/>
        <v>45064</v>
      </c>
      <c r="L1331" s="5">
        <f t="shared" si="399"/>
        <v>5</v>
      </c>
      <c r="M1331" s="5">
        <f t="shared" si="400"/>
        <v>2023</v>
      </c>
      <c r="N1331" s="6">
        <v>840</v>
      </c>
      <c r="O1331" s="6">
        <f t="shared" si="424"/>
        <v>-840</v>
      </c>
      <c r="P1331" s="6">
        <f t="shared" si="422"/>
        <v>0</v>
      </c>
      <c r="Q1331" s="7">
        <f t="shared" si="423"/>
        <v>2468873.9500000011</v>
      </c>
      <c r="R1331" s="44" t="str">
        <f>VLOOKUP(F1331,'Set up'!$A$2:$E$48,5,FALSE)</f>
        <v>Trsf</v>
      </c>
      <c r="S1331" s="1" t="s">
        <v>1581</v>
      </c>
    </row>
    <row r="1332" spans="1:19" hidden="1" x14ac:dyDescent="0.3">
      <c r="A1332" s="4">
        <v>44944</v>
      </c>
      <c r="B1332" s="5">
        <f t="shared" si="420"/>
        <v>1</v>
      </c>
      <c r="C1332" s="5">
        <f t="shared" si="421"/>
        <v>2023</v>
      </c>
      <c r="D1332" s="5" t="s">
        <v>1193</v>
      </c>
      <c r="E1332" s="5" t="str">
        <f>VLOOKUP(F1332,'Set up'!$A$2:$C$48,2,FALSE)</f>
        <v>C00000010</v>
      </c>
      <c r="F1332" s="1" t="s">
        <v>62</v>
      </c>
      <c r="G1332" s="89" t="s">
        <v>1094</v>
      </c>
      <c r="H1332" s="5">
        <v>4</v>
      </c>
      <c r="I1332" s="5">
        <f>VLOOKUP(F1332,'Set up'!$A$2:$C$48,3,FALSE)</f>
        <v>120</v>
      </c>
      <c r="J1332" s="5">
        <f>VLOOKUP(F1332,'Set up'!$A$2:$D$48,4,FALSE)</f>
        <v>120</v>
      </c>
      <c r="K1332" s="4">
        <f t="shared" si="408"/>
        <v>45064</v>
      </c>
      <c r="L1332" s="5">
        <f t="shared" si="399"/>
        <v>5</v>
      </c>
      <c r="M1332" s="5">
        <f t="shared" si="400"/>
        <v>2023</v>
      </c>
      <c r="N1332" s="6">
        <v>200</v>
      </c>
      <c r="O1332" s="6">
        <f t="shared" si="424"/>
        <v>-200</v>
      </c>
      <c r="P1332" s="6">
        <f t="shared" si="422"/>
        <v>0</v>
      </c>
      <c r="Q1332" s="7">
        <f t="shared" si="423"/>
        <v>2469073.9500000011</v>
      </c>
      <c r="R1332" s="44" t="str">
        <f>VLOOKUP(F1332,'Set up'!$A$2:$E$48,5,FALSE)</f>
        <v>Trsf</v>
      </c>
      <c r="S1332" s="1" t="s">
        <v>1581</v>
      </c>
    </row>
    <row r="1333" spans="1:19" hidden="1" x14ac:dyDescent="0.3">
      <c r="A1333" s="4">
        <v>44944</v>
      </c>
      <c r="B1333" s="5">
        <f t="shared" si="420"/>
        <v>1</v>
      </c>
      <c r="C1333" s="5">
        <f t="shared" si="421"/>
        <v>2023</v>
      </c>
      <c r="D1333" s="5" t="s">
        <v>1193</v>
      </c>
      <c r="E1333" s="5" t="str">
        <f>VLOOKUP(F1333,'Set up'!$A$2:$C$48,2,FALSE)</f>
        <v>C00000010</v>
      </c>
      <c r="F1333" s="1" t="s">
        <v>62</v>
      </c>
      <c r="G1333" s="89" t="s">
        <v>945</v>
      </c>
      <c r="H1333" s="5">
        <v>1</v>
      </c>
      <c r="I1333" s="5">
        <f>VLOOKUP(F1333,'Set up'!$A$2:$C$48,3,FALSE)</f>
        <v>120</v>
      </c>
      <c r="J1333" s="5">
        <f>VLOOKUP(F1333,'Set up'!$A$2:$D$48,4,FALSE)</f>
        <v>120</v>
      </c>
      <c r="K1333" s="4">
        <f t="shared" si="408"/>
        <v>45064</v>
      </c>
      <c r="L1333" s="5">
        <f t="shared" si="399"/>
        <v>5</v>
      </c>
      <c r="M1333" s="5">
        <f t="shared" si="400"/>
        <v>2023</v>
      </c>
      <c r="N1333" s="6">
        <v>420</v>
      </c>
      <c r="O1333" s="6">
        <f t="shared" si="424"/>
        <v>-420</v>
      </c>
      <c r="P1333" s="6">
        <f t="shared" si="422"/>
        <v>0</v>
      </c>
      <c r="Q1333" s="7">
        <f t="shared" si="423"/>
        <v>2469493.9500000011</v>
      </c>
      <c r="R1333" s="44" t="str">
        <f>VLOOKUP(F1333,'Set up'!$A$2:$E$48,5,FALSE)</f>
        <v>Trsf</v>
      </c>
      <c r="S1333" s="1" t="s">
        <v>1582</v>
      </c>
    </row>
    <row r="1334" spans="1:19" x14ac:dyDescent="0.3">
      <c r="A1334" s="4">
        <v>44945</v>
      </c>
      <c r="B1334" s="5">
        <f t="shared" si="420"/>
        <v>1</v>
      </c>
      <c r="C1334" s="5">
        <f t="shared" si="421"/>
        <v>2023</v>
      </c>
      <c r="D1334" s="5" t="s">
        <v>1194</v>
      </c>
      <c r="E1334" s="5" t="str">
        <f>VLOOKUP(F1334,'Set up'!$A$2:$C$48,2,FALSE)</f>
        <v>C00000020</v>
      </c>
      <c r="F1334" s="1" t="s">
        <v>410</v>
      </c>
      <c r="G1334" s="89" t="s">
        <v>95</v>
      </c>
      <c r="H1334" s="5">
        <v>5</v>
      </c>
      <c r="I1334" s="5" t="str">
        <f>VLOOKUP(F1334,'Set up'!$A$2:$C$48,3,FALSE)</f>
        <v>Cash</v>
      </c>
      <c r="J1334" s="5">
        <f>VLOOKUP(F1334,'Set up'!$A$2:$D$48,4,FALSE)</f>
        <v>0</v>
      </c>
      <c r="K1334" s="4">
        <f t="shared" si="408"/>
        <v>44945</v>
      </c>
      <c r="L1334" s="5">
        <f t="shared" si="399"/>
        <v>1</v>
      </c>
      <c r="M1334" s="5">
        <f t="shared" si="400"/>
        <v>2023</v>
      </c>
      <c r="N1334" s="6">
        <v>8690</v>
      </c>
      <c r="O1334" s="6">
        <f>-8162.2-527.8</f>
        <v>-8690</v>
      </c>
      <c r="P1334" s="6">
        <f t="shared" si="422"/>
        <v>0</v>
      </c>
      <c r="Q1334" s="7">
        <f t="shared" si="423"/>
        <v>2478183.9500000011</v>
      </c>
      <c r="R1334" s="44" t="str">
        <f>VLOOKUP(F1334,'Set up'!$A$2:$E$48,5,FALSE)</f>
        <v>Trsf</v>
      </c>
      <c r="S1334" s="1" t="s">
        <v>2042</v>
      </c>
    </row>
    <row r="1335" spans="1:19" x14ac:dyDescent="0.3">
      <c r="A1335" s="4">
        <v>44945</v>
      </c>
      <c r="B1335" s="5">
        <f t="shared" si="420"/>
        <v>1</v>
      </c>
      <c r="C1335" s="5">
        <f t="shared" si="421"/>
        <v>2023</v>
      </c>
      <c r="D1335" s="5" t="s">
        <v>1194</v>
      </c>
      <c r="E1335" s="5" t="str">
        <f>VLOOKUP(F1335,'Set up'!$A$2:$C$48,2,FALSE)</f>
        <v>C00000020</v>
      </c>
      <c r="F1335" s="1" t="s">
        <v>410</v>
      </c>
      <c r="G1335" s="89" t="s">
        <v>914</v>
      </c>
      <c r="H1335" s="5">
        <v>15</v>
      </c>
      <c r="I1335" s="5" t="str">
        <f>VLOOKUP(F1335,'Set up'!$A$2:$C$48,3,FALSE)</f>
        <v>Cash</v>
      </c>
      <c r="J1335" s="5">
        <f>VLOOKUP(F1335,'Set up'!$A$2:$D$48,4,FALSE)</f>
        <v>0</v>
      </c>
      <c r="K1335" s="4">
        <f t="shared" si="408"/>
        <v>44945</v>
      </c>
      <c r="L1335" s="5">
        <f t="shared" si="399"/>
        <v>1</v>
      </c>
      <c r="M1335" s="5">
        <f t="shared" si="400"/>
        <v>2023</v>
      </c>
      <c r="N1335" s="6">
        <v>3510</v>
      </c>
      <c r="O1335" s="6">
        <f t="shared" ref="O1335:O1337" si="425">-N1335</f>
        <v>-3510</v>
      </c>
      <c r="P1335" s="6">
        <f t="shared" si="422"/>
        <v>0</v>
      </c>
      <c r="Q1335" s="7">
        <f t="shared" si="423"/>
        <v>2481693.9500000011</v>
      </c>
      <c r="R1335" s="44" t="str">
        <f>VLOOKUP(F1335,'Set up'!$A$2:$E$48,5,FALSE)</f>
        <v>Trsf</v>
      </c>
      <c r="S1335" s="1" t="s">
        <v>2043</v>
      </c>
    </row>
    <row r="1336" spans="1:19" x14ac:dyDescent="0.3">
      <c r="A1336" s="4">
        <v>44945</v>
      </c>
      <c r="B1336" s="5">
        <f t="shared" si="420"/>
        <v>1</v>
      </c>
      <c r="C1336" s="5">
        <f t="shared" si="421"/>
        <v>2023</v>
      </c>
      <c r="D1336" s="5" t="s">
        <v>1194</v>
      </c>
      <c r="E1336" s="5" t="str">
        <f>VLOOKUP(F1336,'Set up'!$A$2:$C$48,2,FALSE)</f>
        <v>C00000020</v>
      </c>
      <c r="F1336" s="1" t="s">
        <v>410</v>
      </c>
      <c r="G1336" s="89" t="s">
        <v>1169</v>
      </c>
      <c r="H1336" s="5">
        <v>5</v>
      </c>
      <c r="I1336" s="5" t="str">
        <f>VLOOKUP(F1336,'Set up'!$A$2:$C$48,3,FALSE)</f>
        <v>Cash</v>
      </c>
      <c r="J1336" s="5">
        <f>VLOOKUP(F1336,'Set up'!$A$2:$D$48,4,FALSE)</f>
        <v>0</v>
      </c>
      <c r="K1336" s="4">
        <f t="shared" si="408"/>
        <v>44945</v>
      </c>
      <c r="L1336" s="5">
        <f t="shared" si="399"/>
        <v>1</v>
      </c>
      <c r="M1336" s="5">
        <f t="shared" si="400"/>
        <v>2023</v>
      </c>
      <c r="N1336" s="6">
        <v>1365</v>
      </c>
      <c r="O1336" s="6">
        <f t="shared" si="425"/>
        <v>-1365</v>
      </c>
      <c r="P1336" s="6">
        <f t="shared" si="422"/>
        <v>0</v>
      </c>
      <c r="Q1336" s="7">
        <f t="shared" si="423"/>
        <v>2483058.9500000011</v>
      </c>
      <c r="R1336" s="44" t="str">
        <f>VLOOKUP(F1336,'Set up'!$A$2:$E$48,5,FALSE)</f>
        <v>Trsf</v>
      </c>
      <c r="S1336" s="1" t="s">
        <v>2044</v>
      </c>
    </row>
    <row r="1337" spans="1:19" x14ac:dyDescent="0.3">
      <c r="A1337" s="4">
        <v>44945</v>
      </c>
      <c r="B1337" s="5">
        <f t="shared" si="420"/>
        <v>1</v>
      </c>
      <c r="C1337" s="5">
        <f t="shared" si="421"/>
        <v>2023</v>
      </c>
      <c r="D1337" s="5" t="s">
        <v>1194</v>
      </c>
      <c r="E1337" s="5" t="str">
        <f>VLOOKUP(F1337,'Set up'!$A$2:$C$48,2,FALSE)</f>
        <v>C00000020</v>
      </c>
      <c r="F1337" s="1" t="s">
        <v>410</v>
      </c>
      <c r="G1337" s="89" t="s">
        <v>1074</v>
      </c>
      <c r="H1337" s="5">
        <v>1</v>
      </c>
      <c r="I1337" s="5" t="str">
        <f>VLOOKUP(F1337,'Set up'!$A$2:$C$48,3,FALSE)</f>
        <v>Cash</v>
      </c>
      <c r="J1337" s="5">
        <f>VLOOKUP(F1337,'Set up'!$A$2:$D$48,4,FALSE)</f>
        <v>0</v>
      </c>
      <c r="K1337" s="4">
        <f t="shared" si="408"/>
        <v>44945</v>
      </c>
      <c r="L1337" s="5">
        <f t="shared" si="399"/>
        <v>1</v>
      </c>
      <c r="M1337" s="5">
        <f t="shared" si="400"/>
        <v>2023</v>
      </c>
      <c r="N1337" s="6">
        <v>1000</v>
      </c>
      <c r="O1337" s="6">
        <f t="shared" si="425"/>
        <v>-1000</v>
      </c>
      <c r="P1337" s="6">
        <f t="shared" si="422"/>
        <v>0</v>
      </c>
      <c r="Q1337" s="7">
        <f t="shared" si="423"/>
        <v>2484058.9500000011</v>
      </c>
      <c r="R1337" s="44" t="str">
        <f>VLOOKUP(F1337,'Set up'!$A$2:$E$48,5,FALSE)</f>
        <v>Trsf</v>
      </c>
      <c r="S1337" s="1" t="s">
        <v>2045</v>
      </c>
    </row>
    <row r="1338" spans="1:19" hidden="1" x14ac:dyDescent="0.3">
      <c r="A1338" s="4">
        <v>44946</v>
      </c>
      <c r="B1338" s="5">
        <f t="shared" si="420"/>
        <v>1</v>
      </c>
      <c r="C1338" s="5">
        <f t="shared" si="421"/>
        <v>2023</v>
      </c>
      <c r="D1338" s="5" t="s">
        <v>1195</v>
      </c>
      <c r="E1338" s="5" t="str">
        <f>VLOOKUP(F1338,'Set up'!$A$2:$C$48,2,FALSE)</f>
        <v>C00000019</v>
      </c>
      <c r="F1338" s="1" t="s">
        <v>401</v>
      </c>
      <c r="G1338" s="89" t="s">
        <v>720</v>
      </c>
      <c r="H1338" s="5">
        <v>2</v>
      </c>
      <c r="I1338" s="5" t="str">
        <f>VLOOKUP(F1338,'Set up'!$A$2:$C$48,3,FALSE)</f>
        <v>Cash</v>
      </c>
      <c r="J1338" s="5">
        <f>VLOOKUP(F1338,'Set up'!$A$2:$D$48,4,FALSE)</f>
        <v>0</v>
      </c>
      <c r="K1338" s="4">
        <f t="shared" si="408"/>
        <v>44946</v>
      </c>
      <c r="L1338" s="5">
        <f t="shared" si="399"/>
        <v>1</v>
      </c>
      <c r="M1338" s="5">
        <f t="shared" si="400"/>
        <v>2023</v>
      </c>
      <c r="N1338" s="6">
        <v>3476</v>
      </c>
      <c r="O1338" s="6">
        <f>-475.7-1000-1500-500.3</f>
        <v>-3476</v>
      </c>
      <c r="P1338" s="6">
        <f t="shared" si="422"/>
        <v>0</v>
      </c>
      <c r="Q1338" s="7">
        <f t="shared" si="423"/>
        <v>2487534.9500000011</v>
      </c>
      <c r="R1338" s="44" t="str">
        <f>VLOOKUP(F1338,'Set up'!$A$2:$E$48,5,FALSE)</f>
        <v>Trsf</v>
      </c>
      <c r="S1338" s="1" t="s">
        <v>1574</v>
      </c>
    </row>
    <row r="1339" spans="1:19" hidden="1" x14ac:dyDescent="0.3">
      <c r="A1339" s="4">
        <v>44946</v>
      </c>
      <c r="B1339" s="5">
        <f t="shared" si="420"/>
        <v>1</v>
      </c>
      <c r="C1339" s="5">
        <f t="shared" si="421"/>
        <v>2023</v>
      </c>
      <c r="D1339" s="5" t="s">
        <v>1195</v>
      </c>
      <c r="E1339" s="5" t="str">
        <f>VLOOKUP(F1339,'Set up'!$A$2:$C$48,2,FALSE)</f>
        <v>C00000019</v>
      </c>
      <c r="F1339" s="1" t="s">
        <v>401</v>
      </c>
      <c r="G1339" s="89" t="s">
        <v>1132</v>
      </c>
      <c r="H1339" s="5">
        <v>3</v>
      </c>
      <c r="I1339" s="5" t="str">
        <f>VLOOKUP(F1339,'Set up'!$A$2:$C$48,3,FALSE)</f>
        <v>Cash</v>
      </c>
      <c r="J1339" s="5">
        <f>VLOOKUP(F1339,'Set up'!$A$2:$D$48,4,FALSE)</f>
        <v>0</v>
      </c>
      <c r="K1339" s="4">
        <f t="shared" si="408"/>
        <v>44946</v>
      </c>
      <c r="L1339" s="5">
        <f t="shared" si="399"/>
        <v>1</v>
      </c>
      <c r="M1339" s="5">
        <f t="shared" si="400"/>
        <v>2023</v>
      </c>
      <c r="N1339" s="6">
        <v>1263.5999999999999</v>
      </c>
      <c r="O1339" s="6">
        <f t="shared" ref="O1339" si="426">-N1339</f>
        <v>-1263.5999999999999</v>
      </c>
      <c r="P1339" s="6">
        <f t="shared" si="422"/>
        <v>0</v>
      </c>
      <c r="Q1339" s="7">
        <f t="shared" si="423"/>
        <v>2488798.5500000012</v>
      </c>
      <c r="R1339" s="44" t="str">
        <f>VLOOKUP(F1339,'Set up'!$A$2:$E$48,5,FALSE)</f>
        <v>Trsf</v>
      </c>
      <c r="S1339" s="1" t="s">
        <v>1575</v>
      </c>
    </row>
    <row r="1340" spans="1:19" hidden="1" x14ac:dyDescent="0.3">
      <c r="A1340" s="4">
        <v>44946</v>
      </c>
      <c r="B1340" s="5">
        <f t="shared" si="420"/>
        <v>1</v>
      </c>
      <c r="C1340" s="5">
        <f t="shared" si="421"/>
        <v>2023</v>
      </c>
      <c r="D1340" s="5" t="s">
        <v>1195</v>
      </c>
      <c r="E1340" s="5" t="str">
        <f>VLOOKUP(F1340,'Set up'!$A$2:$C$48,2,FALSE)</f>
        <v>C00000019</v>
      </c>
      <c r="F1340" s="1" t="s">
        <v>401</v>
      </c>
      <c r="G1340" s="89" t="s">
        <v>64</v>
      </c>
      <c r="H1340" s="5">
        <v>5</v>
      </c>
      <c r="I1340" s="5" t="str">
        <f>VLOOKUP(F1340,'Set up'!$A$2:$C$48,3,FALSE)</f>
        <v>Cash</v>
      </c>
      <c r="J1340" s="5">
        <f>VLOOKUP(F1340,'Set up'!$A$2:$D$48,4,FALSE)</f>
        <v>0</v>
      </c>
      <c r="K1340" s="4">
        <f t="shared" si="408"/>
        <v>44946</v>
      </c>
      <c r="L1340" s="5">
        <f t="shared" si="399"/>
        <v>1</v>
      </c>
      <c r="M1340" s="5">
        <f t="shared" si="400"/>
        <v>2023</v>
      </c>
      <c r="N1340" s="6">
        <v>312.5</v>
      </c>
      <c r="O1340" s="6">
        <f>-236.1-76.4</f>
        <v>-312.5</v>
      </c>
      <c r="P1340" s="6">
        <f t="shared" si="422"/>
        <v>0</v>
      </c>
      <c r="Q1340" s="7">
        <f t="shared" si="423"/>
        <v>2489111.0500000012</v>
      </c>
      <c r="R1340" s="44" t="str">
        <f>VLOOKUP(F1340,'Set up'!$A$2:$E$48,5,FALSE)</f>
        <v>Trsf</v>
      </c>
      <c r="S1340" s="1" t="s">
        <v>1576</v>
      </c>
    </row>
    <row r="1341" spans="1:19" hidden="1" x14ac:dyDescent="0.3">
      <c r="A1341" s="4">
        <v>44946</v>
      </c>
      <c r="B1341" s="5">
        <f t="shared" si="420"/>
        <v>1</v>
      </c>
      <c r="C1341" s="5">
        <f t="shared" si="421"/>
        <v>2023</v>
      </c>
      <c r="D1341" s="5" t="s">
        <v>1195</v>
      </c>
      <c r="E1341" s="5" t="str">
        <f>VLOOKUP(F1341,'Set up'!$A$2:$C$48,2,FALSE)</f>
        <v>C00000019</v>
      </c>
      <c r="F1341" s="1" t="s">
        <v>401</v>
      </c>
      <c r="G1341" s="89" t="s">
        <v>567</v>
      </c>
      <c r="H1341" s="5">
        <v>2</v>
      </c>
      <c r="I1341" s="5" t="str">
        <f>VLOOKUP(F1341,'Set up'!$A$2:$C$48,3,FALSE)</f>
        <v>Cash</v>
      </c>
      <c r="J1341" s="5">
        <f>VLOOKUP(F1341,'Set up'!$A$2:$D$48,4,FALSE)</f>
        <v>0</v>
      </c>
      <c r="K1341" s="4">
        <f t="shared" si="408"/>
        <v>44946</v>
      </c>
      <c r="L1341" s="5">
        <f t="shared" si="399"/>
        <v>1</v>
      </c>
      <c r="M1341" s="5">
        <f t="shared" si="400"/>
        <v>2023</v>
      </c>
      <c r="N1341" s="6">
        <v>210</v>
      </c>
      <c r="O1341" s="6">
        <f t="shared" ref="O1341:O1342" si="427">-N1341</f>
        <v>-210</v>
      </c>
      <c r="P1341" s="6">
        <f t="shared" si="422"/>
        <v>0</v>
      </c>
      <c r="Q1341" s="7">
        <f t="shared" si="423"/>
        <v>2489321.0500000012</v>
      </c>
      <c r="R1341" s="44" t="str">
        <f>VLOOKUP(F1341,'Set up'!$A$2:$E$48,5,FALSE)</f>
        <v>Trsf</v>
      </c>
      <c r="S1341" s="1" t="s">
        <v>1577</v>
      </c>
    </row>
    <row r="1342" spans="1:19" hidden="1" x14ac:dyDescent="0.3">
      <c r="A1342" s="4">
        <v>44946</v>
      </c>
      <c r="B1342" s="5">
        <f t="shared" si="420"/>
        <v>1</v>
      </c>
      <c r="C1342" s="5">
        <f t="shared" si="421"/>
        <v>2023</v>
      </c>
      <c r="D1342" s="5" t="s">
        <v>1195</v>
      </c>
      <c r="E1342" s="5" t="str">
        <f>VLOOKUP(F1342,'Set up'!$A$2:$C$48,2,FALSE)</f>
        <v>C00000019</v>
      </c>
      <c r="F1342" s="1" t="s">
        <v>401</v>
      </c>
      <c r="G1342" s="89" t="s">
        <v>1133</v>
      </c>
      <c r="H1342" s="5">
        <v>1</v>
      </c>
      <c r="I1342" s="5" t="str">
        <f>VLOOKUP(F1342,'Set up'!$A$2:$C$48,3,FALSE)</f>
        <v>Cash</v>
      </c>
      <c r="J1342" s="5">
        <f>VLOOKUP(F1342,'Set up'!$A$2:$D$48,4,FALSE)</f>
        <v>0</v>
      </c>
      <c r="K1342" s="4">
        <f t="shared" si="408"/>
        <v>44946</v>
      </c>
      <c r="L1342" s="5">
        <f t="shared" si="399"/>
        <v>1</v>
      </c>
      <c r="M1342" s="5">
        <f t="shared" si="400"/>
        <v>2023</v>
      </c>
      <c r="N1342" s="6">
        <v>440</v>
      </c>
      <c r="O1342" s="6">
        <f t="shared" si="427"/>
        <v>-440</v>
      </c>
      <c r="P1342" s="6">
        <f t="shared" si="422"/>
        <v>0</v>
      </c>
      <c r="Q1342" s="7">
        <f t="shared" si="423"/>
        <v>2489761.0500000012</v>
      </c>
      <c r="R1342" s="44" t="str">
        <f>VLOOKUP(F1342,'Set up'!$A$2:$E$48,5,FALSE)</f>
        <v>Trsf</v>
      </c>
      <c r="S1342" s="1" t="s">
        <v>1578</v>
      </c>
    </row>
    <row r="1343" spans="1:19" hidden="1" x14ac:dyDescent="0.3">
      <c r="A1343" s="4">
        <v>44946</v>
      </c>
      <c r="B1343" s="5">
        <f t="shared" si="420"/>
        <v>1</v>
      </c>
      <c r="C1343" s="5">
        <f t="shared" si="421"/>
        <v>2023</v>
      </c>
      <c r="D1343" s="5" t="s">
        <v>1195</v>
      </c>
      <c r="E1343" s="5" t="str">
        <f>VLOOKUP(F1343,'Set up'!$A$2:$C$48,2,FALSE)</f>
        <v>C00000019</v>
      </c>
      <c r="F1343" s="1" t="s">
        <v>401</v>
      </c>
      <c r="G1343" s="89" t="s">
        <v>293</v>
      </c>
      <c r="H1343" s="5">
        <v>1</v>
      </c>
      <c r="I1343" s="5" t="str">
        <f>VLOOKUP(F1343,'Set up'!$A$2:$C$48,3,FALSE)</f>
        <v>Cash</v>
      </c>
      <c r="J1343" s="5">
        <f>VLOOKUP(F1343,'Set up'!$A$2:$D$48,4,FALSE)</f>
        <v>0</v>
      </c>
      <c r="K1343" s="4">
        <f t="shared" si="408"/>
        <v>44946</v>
      </c>
      <c r="L1343" s="5">
        <f t="shared" si="399"/>
        <v>1</v>
      </c>
      <c r="M1343" s="5">
        <f t="shared" si="400"/>
        <v>2023</v>
      </c>
      <c r="N1343" s="6">
        <v>450</v>
      </c>
      <c r="O1343" s="6">
        <f>-273.6-176.4</f>
        <v>-450</v>
      </c>
      <c r="P1343" s="6">
        <f t="shared" si="422"/>
        <v>0</v>
      </c>
      <c r="Q1343" s="7">
        <f t="shared" si="423"/>
        <v>2490211.0500000012</v>
      </c>
      <c r="R1343" s="44" t="str">
        <f>VLOOKUP(F1343,'Set up'!$A$2:$E$48,5,FALSE)</f>
        <v>Trsf</v>
      </c>
      <c r="S1343" s="1" t="s">
        <v>1579</v>
      </c>
    </row>
    <row r="1344" spans="1:19" hidden="1" x14ac:dyDescent="0.3">
      <c r="A1344" s="4">
        <v>44953</v>
      </c>
      <c r="B1344" s="5">
        <f t="shared" si="420"/>
        <v>1</v>
      </c>
      <c r="C1344" s="5">
        <f t="shared" si="421"/>
        <v>2023</v>
      </c>
      <c r="D1344" s="5" t="s">
        <v>1196</v>
      </c>
      <c r="E1344" s="5" t="str">
        <f>VLOOKUP(F1344,'Set up'!$A$2:$C$48,2,FALSE)</f>
        <v>C00000009</v>
      </c>
      <c r="F1344" s="1" t="s">
        <v>58</v>
      </c>
      <c r="G1344" s="89" t="s">
        <v>95</v>
      </c>
      <c r="H1344" s="5">
        <v>2</v>
      </c>
      <c r="I1344" s="5">
        <f>VLOOKUP(F1344,'Set up'!$A$2:$C$48,3,FALSE)</f>
        <v>60</v>
      </c>
      <c r="J1344" s="5">
        <f>VLOOKUP(F1344,'Set up'!$A$2:$D$48,4,FALSE)</f>
        <v>60</v>
      </c>
      <c r="K1344" s="4">
        <f t="shared" si="408"/>
        <v>45013</v>
      </c>
      <c r="L1344" s="5">
        <f t="shared" si="399"/>
        <v>3</v>
      </c>
      <c r="M1344" s="5">
        <f t="shared" si="400"/>
        <v>2023</v>
      </c>
      <c r="N1344" s="6">
        <v>3256</v>
      </c>
      <c r="O1344" s="6">
        <f t="shared" ref="O1344:O1346" si="428">-N1344</f>
        <v>-3256</v>
      </c>
      <c r="P1344" s="6">
        <f t="shared" si="422"/>
        <v>0</v>
      </c>
      <c r="Q1344" s="7">
        <f t="shared" si="423"/>
        <v>2493467.0500000012</v>
      </c>
      <c r="R1344" s="44" t="str">
        <f>VLOOKUP(F1344,'Set up'!$A$2:$E$48,5,FALSE)</f>
        <v>Chq</v>
      </c>
      <c r="S1344" s="1" t="s">
        <v>1500</v>
      </c>
    </row>
    <row r="1345" spans="1:19" hidden="1" x14ac:dyDescent="0.3">
      <c r="A1345" s="4">
        <v>44953</v>
      </c>
      <c r="B1345" s="5">
        <f t="shared" si="420"/>
        <v>1</v>
      </c>
      <c r="C1345" s="5">
        <f t="shared" si="421"/>
        <v>2023</v>
      </c>
      <c r="D1345" s="5" t="s">
        <v>1196</v>
      </c>
      <c r="E1345" s="5" t="str">
        <f>VLOOKUP(F1345,'Set up'!$A$2:$C$48,2,FALSE)</f>
        <v>C00000009</v>
      </c>
      <c r="F1345" s="1" t="s">
        <v>58</v>
      </c>
      <c r="G1345" s="89" t="s">
        <v>617</v>
      </c>
      <c r="H1345" s="5">
        <v>1</v>
      </c>
      <c r="I1345" s="5">
        <f>VLOOKUP(F1345,'Set up'!$A$2:$C$48,3,FALSE)</f>
        <v>60</v>
      </c>
      <c r="J1345" s="5">
        <f>VLOOKUP(F1345,'Set up'!$A$2:$D$48,4,FALSE)</f>
        <v>60</v>
      </c>
      <c r="K1345" s="4">
        <f t="shared" si="408"/>
        <v>45013</v>
      </c>
      <c r="L1345" s="5">
        <f t="shared" si="399"/>
        <v>3</v>
      </c>
      <c r="M1345" s="5">
        <f t="shared" si="400"/>
        <v>2023</v>
      </c>
      <c r="N1345" s="6">
        <v>1628</v>
      </c>
      <c r="O1345" s="6">
        <f t="shared" si="428"/>
        <v>-1628</v>
      </c>
      <c r="P1345" s="6">
        <f t="shared" si="422"/>
        <v>0</v>
      </c>
      <c r="Q1345" s="7">
        <f t="shared" si="423"/>
        <v>2495095.0500000012</v>
      </c>
      <c r="R1345" s="44" t="str">
        <f>VLOOKUP(F1345,'Set up'!$A$2:$E$48,5,FALSE)</f>
        <v>Chq</v>
      </c>
      <c r="S1345" s="1" t="s">
        <v>1500</v>
      </c>
    </row>
    <row r="1346" spans="1:19" hidden="1" x14ac:dyDescent="0.3">
      <c r="A1346" s="4">
        <v>44953</v>
      </c>
      <c r="B1346" s="5">
        <f t="shared" si="420"/>
        <v>1</v>
      </c>
      <c r="C1346" s="5">
        <f t="shared" si="421"/>
        <v>2023</v>
      </c>
      <c r="D1346" s="5" t="s">
        <v>1196</v>
      </c>
      <c r="E1346" s="5" t="str">
        <f>VLOOKUP(F1346,'Set up'!$A$2:$C$48,2,FALSE)</f>
        <v>C00000009</v>
      </c>
      <c r="F1346" s="1" t="s">
        <v>58</v>
      </c>
      <c r="G1346" s="89" t="s">
        <v>866</v>
      </c>
      <c r="H1346" s="5">
        <v>3</v>
      </c>
      <c r="I1346" s="5">
        <f>VLOOKUP(F1346,'Set up'!$A$2:$C$48,3,FALSE)</f>
        <v>60</v>
      </c>
      <c r="J1346" s="5">
        <f>VLOOKUP(F1346,'Set up'!$A$2:$D$48,4,FALSE)</f>
        <v>60</v>
      </c>
      <c r="K1346" s="4">
        <f t="shared" si="408"/>
        <v>45013</v>
      </c>
      <c r="L1346" s="5">
        <f t="shared" si="399"/>
        <v>3</v>
      </c>
      <c r="M1346" s="5">
        <f t="shared" si="400"/>
        <v>2023</v>
      </c>
      <c r="N1346" s="6">
        <v>732</v>
      </c>
      <c r="O1346" s="6">
        <f t="shared" si="428"/>
        <v>-732</v>
      </c>
      <c r="P1346" s="6">
        <f t="shared" si="422"/>
        <v>0</v>
      </c>
      <c r="Q1346" s="7">
        <f t="shared" si="423"/>
        <v>2495827.0500000012</v>
      </c>
      <c r="R1346" s="44" t="str">
        <f>VLOOKUP(F1346,'Set up'!$A$2:$E$48,5,FALSE)</f>
        <v>Chq</v>
      </c>
      <c r="S1346" s="1" t="s">
        <v>1500</v>
      </c>
    </row>
    <row r="1347" spans="1:19" hidden="1" x14ac:dyDescent="0.3">
      <c r="A1347" s="4">
        <v>44953</v>
      </c>
      <c r="B1347" s="5">
        <f t="shared" ref="B1347:B1362" si="429">MONTH(A1347)</f>
        <v>1</v>
      </c>
      <c r="C1347" s="5">
        <f t="shared" ref="C1347:C1362" si="430">YEAR(A1347)</f>
        <v>2023</v>
      </c>
      <c r="D1347" s="5" t="s">
        <v>1204</v>
      </c>
      <c r="E1347" s="5" t="str">
        <f>VLOOKUP(F1347,'Set up'!$A$2:$C$48,2,FALSE)</f>
        <v>C00000034</v>
      </c>
      <c r="F1347" s="1" t="s">
        <v>1197</v>
      </c>
      <c r="G1347" s="89" t="s">
        <v>1198</v>
      </c>
      <c r="H1347" s="5">
        <v>1</v>
      </c>
      <c r="I1347" s="5" t="str">
        <f>VLOOKUP(F1347,'Set up'!$A$2:$C$48,3,FALSE)</f>
        <v>Cash</v>
      </c>
      <c r="J1347" s="5">
        <f>VLOOKUP(F1347,'Set up'!$A$2:$D$48,4,FALSE)</f>
        <v>0</v>
      </c>
      <c r="K1347" s="4">
        <f t="shared" si="408"/>
        <v>44953</v>
      </c>
      <c r="L1347" s="5">
        <f t="shared" si="399"/>
        <v>1</v>
      </c>
      <c r="M1347" s="5">
        <f t="shared" si="400"/>
        <v>2023</v>
      </c>
      <c r="N1347" s="6">
        <v>1738</v>
      </c>
      <c r="O1347" s="6">
        <f t="shared" ref="O1347:O1352" si="431">-N1347</f>
        <v>-1738</v>
      </c>
      <c r="P1347" s="6">
        <f t="shared" ref="P1347:P1362" si="432">SUM(N1347+O1347)</f>
        <v>0</v>
      </c>
      <c r="Q1347" s="7">
        <f t="shared" ref="Q1347:Q1362" si="433">SUM(Q1346+N1347)</f>
        <v>2497565.0500000012</v>
      </c>
      <c r="R1347" s="44" t="str">
        <f>VLOOKUP(F1347,'Set up'!$A$2:$E$48,5,FALSE)</f>
        <v>Trsf</v>
      </c>
      <c r="S1347" s="1" t="s">
        <v>1228</v>
      </c>
    </row>
    <row r="1348" spans="1:19" hidden="1" x14ac:dyDescent="0.3">
      <c r="A1348" s="4">
        <v>44953</v>
      </c>
      <c r="B1348" s="5">
        <f t="shared" si="429"/>
        <v>1</v>
      </c>
      <c r="C1348" s="5">
        <f t="shared" si="430"/>
        <v>2023</v>
      </c>
      <c r="D1348" s="5" t="s">
        <v>1204</v>
      </c>
      <c r="E1348" s="5" t="str">
        <f>VLOOKUP(F1348,'Set up'!$A$2:$C$48,2,FALSE)</f>
        <v>C00000034</v>
      </c>
      <c r="F1348" s="1" t="s">
        <v>1197</v>
      </c>
      <c r="G1348" s="89" t="s">
        <v>655</v>
      </c>
      <c r="H1348" s="5">
        <v>2</v>
      </c>
      <c r="I1348" s="5" t="str">
        <f>VLOOKUP(F1348,'Set up'!$A$2:$C$48,3,FALSE)</f>
        <v>Cash</v>
      </c>
      <c r="J1348" s="5">
        <f>VLOOKUP(F1348,'Set up'!$A$2:$D$48,4,FALSE)</f>
        <v>0</v>
      </c>
      <c r="K1348" s="4">
        <f t="shared" si="408"/>
        <v>44953</v>
      </c>
      <c r="L1348" s="5">
        <f t="shared" si="399"/>
        <v>1</v>
      </c>
      <c r="M1348" s="5">
        <f t="shared" si="400"/>
        <v>2023</v>
      </c>
      <c r="N1348" s="6">
        <v>438</v>
      </c>
      <c r="O1348" s="6">
        <f t="shared" si="431"/>
        <v>-438</v>
      </c>
      <c r="P1348" s="6">
        <f t="shared" si="432"/>
        <v>0</v>
      </c>
      <c r="Q1348" s="7">
        <f t="shared" si="433"/>
        <v>2498003.0500000012</v>
      </c>
      <c r="R1348" s="44" t="str">
        <f>VLOOKUP(F1348,'Set up'!$A$2:$E$48,5,FALSE)</f>
        <v>Trsf</v>
      </c>
      <c r="S1348" s="1" t="s">
        <v>1228</v>
      </c>
    </row>
    <row r="1349" spans="1:19" hidden="1" x14ac:dyDescent="0.3">
      <c r="A1349" s="4">
        <v>44953</v>
      </c>
      <c r="B1349" s="5">
        <f t="shared" si="429"/>
        <v>1</v>
      </c>
      <c r="C1349" s="5">
        <f t="shared" si="430"/>
        <v>2023</v>
      </c>
      <c r="D1349" s="5" t="s">
        <v>1204</v>
      </c>
      <c r="E1349" s="5" t="str">
        <f>VLOOKUP(F1349,'Set up'!$A$2:$C$48,2,FALSE)</f>
        <v>C00000034</v>
      </c>
      <c r="F1349" s="1" t="s">
        <v>1197</v>
      </c>
      <c r="G1349" s="89" t="s">
        <v>1199</v>
      </c>
      <c r="H1349" s="5">
        <v>1</v>
      </c>
      <c r="I1349" s="5" t="str">
        <f>VLOOKUP(F1349,'Set up'!$A$2:$C$48,3,FALSE)</f>
        <v>Cash</v>
      </c>
      <c r="J1349" s="5">
        <f>VLOOKUP(F1349,'Set up'!$A$2:$D$48,4,FALSE)</f>
        <v>0</v>
      </c>
      <c r="K1349" s="4">
        <f t="shared" si="408"/>
        <v>44953</v>
      </c>
      <c r="L1349" s="5">
        <f t="shared" si="399"/>
        <v>1</v>
      </c>
      <c r="M1349" s="5">
        <f t="shared" si="400"/>
        <v>2023</v>
      </c>
      <c r="N1349" s="6">
        <v>219</v>
      </c>
      <c r="O1349" s="6">
        <f t="shared" si="431"/>
        <v>-219</v>
      </c>
      <c r="P1349" s="6">
        <f t="shared" si="432"/>
        <v>0</v>
      </c>
      <c r="Q1349" s="7">
        <f t="shared" si="433"/>
        <v>2498222.0500000012</v>
      </c>
      <c r="R1349" s="44" t="str">
        <f>VLOOKUP(F1349,'Set up'!$A$2:$E$48,5,FALSE)</f>
        <v>Trsf</v>
      </c>
      <c r="S1349" s="1" t="s">
        <v>1228</v>
      </c>
    </row>
    <row r="1350" spans="1:19" hidden="1" x14ac:dyDescent="0.3">
      <c r="A1350" s="4">
        <v>44953</v>
      </c>
      <c r="B1350" s="5">
        <f t="shared" si="429"/>
        <v>1</v>
      </c>
      <c r="C1350" s="5">
        <f t="shared" si="430"/>
        <v>2023</v>
      </c>
      <c r="D1350" s="5" t="s">
        <v>1204</v>
      </c>
      <c r="E1350" s="5" t="str">
        <f>VLOOKUP(F1350,'Set up'!$A$2:$C$48,2,FALSE)</f>
        <v>C00000034</v>
      </c>
      <c r="F1350" s="1" t="s">
        <v>1197</v>
      </c>
      <c r="G1350" s="89" t="s">
        <v>1200</v>
      </c>
      <c r="H1350" s="5">
        <v>2</v>
      </c>
      <c r="I1350" s="5" t="str">
        <f>VLOOKUP(F1350,'Set up'!$A$2:$C$48,3,FALSE)</f>
        <v>Cash</v>
      </c>
      <c r="J1350" s="5">
        <f>VLOOKUP(F1350,'Set up'!$A$2:$D$48,4,FALSE)</f>
        <v>0</v>
      </c>
      <c r="K1350" s="4">
        <f t="shared" si="408"/>
        <v>44953</v>
      </c>
      <c r="L1350" s="5">
        <f t="shared" si="399"/>
        <v>1</v>
      </c>
      <c r="M1350" s="5">
        <f t="shared" si="400"/>
        <v>2023</v>
      </c>
      <c r="N1350" s="6">
        <v>394.8</v>
      </c>
      <c r="O1350" s="6">
        <f t="shared" si="431"/>
        <v>-394.8</v>
      </c>
      <c r="P1350" s="6">
        <f t="shared" si="432"/>
        <v>0</v>
      </c>
      <c r="Q1350" s="7">
        <f t="shared" si="433"/>
        <v>2498616.850000001</v>
      </c>
      <c r="R1350" s="44" t="str">
        <f>VLOOKUP(F1350,'Set up'!$A$2:$E$48,5,FALSE)</f>
        <v>Trsf</v>
      </c>
      <c r="S1350" s="1" t="s">
        <v>1228</v>
      </c>
    </row>
    <row r="1351" spans="1:19" hidden="1" x14ac:dyDescent="0.3">
      <c r="A1351" s="4">
        <v>44953</v>
      </c>
      <c r="B1351" s="5">
        <f t="shared" si="429"/>
        <v>1</v>
      </c>
      <c r="C1351" s="5">
        <f t="shared" si="430"/>
        <v>2023</v>
      </c>
      <c r="D1351" s="5" t="s">
        <v>1204</v>
      </c>
      <c r="E1351" s="5" t="str">
        <f>VLOOKUP(F1351,'Set up'!$A$2:$C$48,2,FALSE)</f>
        <v>C00000034</v>
      </c>
      <c r="F1351" s="1" t="s">
        <v>1197</v>
      </c>
      <c r="G1351" s="89" t="s">
        <v>1201</v>
      </c>
      <c r="H1351" s="5">
        <v>1</v>
      </c>
      <c r="I1351" s="5" t="str">
        <f>VLOOKUP(F1351,'Set up'!$A$2:$C$48,3,FALSE)</f>
        <v>Cash</v>
      </c>
      <c r="J1351" s="5">
        <f>VLOOKUP(F1351,'Set up'!$A$2:$D$48,4,FALSE)</f>
        <v>0</v>
      </c>
      <c r="K1351" s="4">
        <f t="shared" si="408"/>
        <v>44953</v>
      </c>
      <c r="L1351" s="5">
        <f t="shared" si="399"/>
        <v>1</v>
      </c>
      <c r="M1351" s="5">
        <f t="shared" si="400"/>
        <v>2023</v>
      </c>
      <c r="N1351" s="6">
        <v>64</v>
      </c>
      <c r="O1351" s="6">
        <f t="shared" si="431"/>
        <v>-64</v>
      </c>
      <c r="P1351" s="6">
        <f t="shared" si="432"/>
        <v>0</v>
      </c>
      <c r="Q1351" s="7">
        <f t="shared" si="433"/>
        <v>2498680.850000001</v>
      </c>
      <c r="R1351" s="44" t="str">
        <f>VLOOKUP(F1351,'Set up'!$A$2:$E$48,5,FALSE)</f>
        <v>Trsf</v>
      </c>
      <c r="S1351" s="1" t="s">
        <v>1228</v>
      </c>
    </row>
    <row r="1352" spans="1:19" hidden="1" x14ac:dyDescent="0.3">
      <c r="A1352" s="4">
        <v>44953</v>
      </c>
      <c r="B1352" s="5">
        <f t="shared" si="429"/>
        <v>1</v>
      </c>
      <c r="C1352" s="5">
        <f t="shared" si="430"/>
        <v>2023</v>
      </c>
      <c r="D1352" s="5" t="s">
        <v>1204</v>
      </c>
      <c r="E1352" s="5" t="str">
        <f>VLOOKUP(F1352,'Set up'!$A$2:$C$48,2,FALSE)</f>
        <v>C00000034</v>
      </c>
      <c r="F1352" s="1" t="s">
        <v>1197</v>
      </c>
      <c r="G1352" s="89" t="s">
        <v>1202</v>
      </c>
      <c r="H1352" s="5">
        <v>1</v>
      </c>
      <c r="I1352" s="5" t="str">
        <f>VLOOKUP(F1352,'Set up'!$A$2:$C$48,3,FALSE)</f>
        <v>Cash</v>
      </c>
      <c r="J1352" s="5">
        <f>VLOOKUP(F1352,'Set up'!$A$2:$D$48,4,FALSE)</f>
        <v>0</v>
      </c>
      <c r="K1352" s="4">
        <f t="shared" si="408"/>
        <v>44953</v>
      </c>
      <c r="L1352" s="5">
        <f t="shared" si="399"/>
        <v>1</v>
      </c>
      <c r="M1352" s="5">
        <f t="shared" si="400"/>
        <v>2023</v>
      </c>
      <c r="N1352" s="6">
        <v>64</v>
      </c>
      <c r="O1352" s="6">
        <f t="shared" si="431"/>
        <v>-64</v>
      </c>
      <c r="P1352" s="6">
        <f t="shared" si="432"/>
        <v>0</v>
      </c>
      <c r="Q1352" s="7">
        <f t="shared" si="433"/>
        <v>2498744.850000001</v>
      </c>
      <c r="R1352" s="44" t="str">
        <f>VLOOKUP(F1352,'Set up'!$A$2:$E$48,5,FALSE)</f>
        <v>Trsf</v>
      </c>
      <c r="S1352" s="1" t="s">
        <v>1228</v>
      </c>
    </row>
    <row r="1353" spans="1:19" x14ac:dyDescent="0.3">
      <c r="A1353" s="4">
        <v>44956</v>
      </c>
      <c r="B1353" s="5">
        <f t="shared" si="429"/>
        <v>1</v>
      </c>
      <c r="C1353" s="5">
        <f t="shared" si="430"/>
        <v>2023</v>
      </c>
      <c r="D1353" s="5" t="s">
        <v>1205</v>
      </c>
      <c r="E1353" s="5" t="str">
        <f>VLOOKUP(F1353,'Set up'!$A$2:$C$48,2,FALSE)</f>
        <v>C00000020</v>
      </c>
      <c r="F1353" s="1" t="s">
        <v>410</v>
      </c>
      <c r="G1353" s="89" t="s">
        <v>1179</v>
      </c>
      <c r="H1353" s="5">
        <v>5</v>
      </c>
      <c r="I1353" s="5" t="str">
        <f>VLOOKUP(F1353,'Set up'!$A$2:$C$48,3,FALSE)</f>
        <v>Cash</v>
      </c>
      <c r="J1353" s="5">
        <f>VLOOKUP(F1353,'Set up'!$A$2:$D$48,4,FALSE)</f>
        <v>0</v>
      </c>
      <c r="K1353" s="4">
        <f t="shared" si="408"/>
        <v>44956</v>
      </c>
      <c r="L1353" s="5">
        <f t="shared" ref="L1353:L1359" si="434">MONTH(K1353)</f>
        <v>1</v>
      </c>
      <c r="M1353" s="5">
        <f t="shared" ref="M1353:M1359" si="435">YEAR(K1353)</f>
        <v>2023</v>
      </c>
      <c r="N1353" s="6">
        <v>8690</v>
      </c>
      <c r="O1353" s="6">
        <f>-8097.2-592.8</f>
        <v>-8690</v>
      </c>
      <c r="P1353" s="6">
        <f t="shared" si="432"/>
        <v>0</v>
      </c>
      <c r="Q1353" s="7">
        <f t="shared" si="433"/>
        <v>2507434.850000001</v>
      </c>
      <c r="R1353" s="44" t="str">
        <f>VLOOKUP(F1353,'Set up'!$A$2:$E$48,5,FALSE)</f>
        <v>Trsf</v>
      </c>
      <c r="S1353" s="1" t="s">
        <v>2046</v>
      </c>
    </row>
    <row r="1354" spans="1:19" x14ac:dyDescent="0.3">
      <c r="A1354" s="4">
        <v>44956</v>
      </c>
      <c r="B1354" s="5">
        <f t="shared" si="429"/>
        <v>1</v>
      </c>
      <c r="C1354" s="5">
        <f t="shared" si="430"/>
        <v>2023</v>
      </c>
      <c r="D1354" s="5" t="s">
        <v>1205</v>
      </c>
      <c r="E1354" s="5" t="str">
        <f>VLOOKUP(F1354,'Set up'!$A$2:$C$48,2,FALSE)</f>
        <v>C00000020</v>
      </c>
      <c r="F1354" s="1" t="s">
        <v>410</v>
      </c>
      <c r="G1354" s="89" t="s">
        <v>655</v>
      </c>
      <c r="H1354" s="5">
        <v>3</v>
      </c>
      <c r="I1354" s="5" t="str">
        <f>VLOOKUP(F1354,'Set up'!$A$2:$C$48,3,FALSE)</f>
        <v>Cash</v>
      </c>
      <c r="J1354" s="5">
        <f>VLOOKUP(F1354,'Set up'!$A$2:$D$48,4,FALSE)</f>
        <v>0</v>
      </c>
      <c r="K1354" s="4">
        <f t="shared" si="408"/>
        <v>44956</v>
      </c>
      <c r="L1354" s="5">
        <f t="shared" si="434"/>
        <v>1</v>
      </c>
      <c r="M1354" s="5">
        <f t="shared" si="435"/>
        <v>2023</v>
      </c>
      <c r="N1354" s="6">
        <v>702</v>
      </c>
      <c r="O1354" s="6">
        <f t="shared" ref="O1354:O1358" si="436">-N1354</f>
        <v>-702</v>
      </c>
      <c r="P1354" s="6">
        <f t="shared" si="432"/>
        <v>0</v>
      </c>
      <c r="Q1354" s="7">
        <f t="shared" si="433"/>
        <v>2508136.850000001</v>
      </c>
      <c r="R1354" s="44" t="str">
        <f>VLOOKUP(F1354,'Set up'!$A$2:$E$48,5,FALSE)</f>
        <v>Trsf</v>
      </c>
      <c r="S1354" s="1" t="s">
        <v>2047</v>
      </c>
    </row>
    <row r="1355" spans="1:19" x14ac:dyDescent="0.3">
      <c r="A1355" s="4">
        <v>44956</v>
      </c>
      <c r="B1355" s="5">
        <f t="shared" si="429"/>
        <v>1</v>
      </c>
      <c r="C1355" s="5">
        <f t="shared" si="430"/>
        <v>2023</v>
      </c>
      <c r="D1355" s="5" t="s">
        <v>1205</v>
      </c>
      <c r="E1355" s="5" t="str">
        <f>VLOOKUP(F1355,'Set up'!$A$2:$C$48,2,FALSE)</f>
        <v>C00000020</v>
      </c>
      <c r="F1355" s="1" t="s">
        <v>410</v>
      </c>
      <c r="G1355" s="89" t="s">
        <v>708</v>
      </c>
      <c r="H1355" s="5">
        <v>4</v>
      </c>
      <c r="I1355" s="5" t="str">
        <f>VLOOKUP(F1355,'Set up'!$A$2:$C$48,3,FALSE)</f>
        <v>Cash</v>
      </c>
      <c r="J1355" s="5">
        <f>VLOOKUP(F1355,'Set up'!$A$2:$D$48,4,FALSE)</f>
        <v>0</v>
      </c>
      <c r="K1355" s="4">
        <f t="shared" si="408"/>
        <v>44956</v>
      </c>
      <c r="L1355" s="5">
        <f t="shared" si="434"/>
        <v>1</v>
      </c>
      <c r="M1355" s="5">
        <f t="shared" si="435"/>
        <v>2023</v>
      </c>
      <c r="N1355" s="6">
        <v>1684.8</v>
      </c>
      <c r="O1355" s="6">
        <f t="shared" si="436"/>
        <v>-1684.8</v>
      </c>
      <c r="P1355" s="6">
        <f t="shared" si="432"/>
        <v>0</v>
      </c>
      <c r="Q1355" s="7">
        <f t="shared" si="433"/>
        <v>2509821.6500000008</v>
      </c>
      <c r="R1355" s="44" t="str">
        <f>VLOOKUP(F1355,'Set up'!$A$2:$E$48,5,FALSE)</f>
        <v>Trsf</v>
      </c>
      <c r="S1355" s="1" t="s">
        <v>2048</v>
      </c>
    </row>
    <row r="1356" spans="1:19" x14ac:dyDescent="0.3">
      <c r="A1356" s="4">
        <v>44956</v>
      </c>
      <c r="B1356" s="5">
        <f t="shared" si="429"/>
        <v>1</v>
      </c>
      <c r="C1356" s="5">
        <f t="shared" si="430"/>
        <v>2023</v>
      </c>
      <c r="D1356" s="5" t="s">
        <v>1205</v>
      </c>
      <c r="E1356" s="5" t="str">
        <f>VLOOKUP(F1356,'Set up'!$A$2:$C$48,2,FALSE)</f>
        <v>C00000020</v>
      </c>
      <c r="F1356" s="1" t="s">
        <v>410</v>
      </c>
      <c r="G1356" s="89" t="s">
        <v>1169</v>
      </c>
      <c r="H1356" s="5">
        <v>7</v>
      </c>
      <c r="I1356" s="5" t="str">
        <f>VLOOKUP(F1356,'Set up'!$A$2:$C$48,3,FALSE)</f>
        <v>Cash</v>
      </c>
      <c r="J1356" s="5">
        <f>VLOOKUP(F1356,'Set up'!$A$2:$D$48,4,FALSE)</f>
        <v>0</v>
      </c>
      <c r="K1356" s="4">
        <f t="shared" si="408"/>
        <v>44956</v>
      </c>
      <c r="L1356" s="5">
        <f t="shared" si="434"/>
        <v>1</v>
      </c>
      <c r="M1356" s="5">
        <f t="shared" si="435"/>
        <v>2023</v>
      </c>
      <c r="N1356" s="6">
        <v>1911</v>
      </c>
      <c r="O1356" s="6">
        <f t="shared" si="436"/>
        <v>-1911</v>
      </c>
      <c r="P1356" s="6">
        <f t="shared" si="432"/>
        <v>0</v>
      </c>
      <c r="Q1356" s="7">
        <f t="shared" si="433"/>
        <v>2511732.6500000008</v>
      </c>
      <c r="R1356" s="44" t="str">
        <f>VLOOKUP(F1356,'Set up'!$A$2:$E$48,5,FALSE)</f>
        <v>Trsf</v>
      </c>
      <c r="S1356" s="1" t="s">
        <v>2049</v>
      </c>
    </row>
    <row r="1357" spans="1:19" x14ac:dyDescent="0.3">
      <c r="A1357" s="4">
        <v>44956</v>
      </c>
      <c r="B1357" s="5">
        <f t="shared" si="429"/>
        <v>1</v>
      </c>
      <c r="C1357" s="5">
        <f t="shared" si="430"/>
        <v>2023</v>
      </c>
      <c r="D1357" s="5" t="s">
        <v>1205</v>
      </c>
      <c r="E1357" s="5" t="str">
        <f>VLOOKUP(F1357,'Set up'!$A$2:$C$48,2,FALSE)</f>
        <v>C00000020</v>
      </c>
      <c r="F1357" s="1" t="s">
        <v>410</v>
      </c>
      <c r="G1357" s="89" t="s">
        <v>1074</v>
      </c>
      <c r="H1357" s="5">
        <v>1</v>
      </c>
      <c r="I1357" s="5" t="str">
        <f>VLOOKUP(F1357,'Set up'!$A$2:$C$48,3,FALSE)</f>
        <v>Cash</v>
      </c>
      <c r="J1357" s="5">
        <f>VLOOKUP(F1357,'Set up'!$A$2:$D$48,4,FALSE)</f>
        <v>0</v>
      </c>
      <c r="K1357" s="4">
        <f t="shared" si="408"/>
        <v>44956</v>
      </c>
      <c r="L1357" s="5">
        <f t="shared" si="434"/>
        <v>1</v>
      </c>
      <c r="M1357" s="5">
        <f t="shared" si="435"/>
        <v>2023</v>
      </c>
      <c r="N1357" s="6">
        <v>1000</v>
      </c>
      <c r="O1357" s="6">
        <f t="shared" si="436"/>
        <v>-1000</v>
      </c>
      <c r="P1357" s="6">
        <f t="shared" si="432"/>
        <v>0</v>
      </c>
      <c r="Q1357" s="7">
        <f t="shared" si="433"/>
        <v>2512732.6500000008</v>
      </c>
      <c r="R1357" s="44" t="str">
        <f>VLOOKUP(F1357,'Set up'!$A$2:$E$48,5,FALSE)</f>
        <v>Trsf</v>
      </c>
      <c r="S1357" s="1" t="s">
        <v>2050</v>
      </c>
    </row>
    <row r="1358" spans="1:19" x14ac:dyDescent="0.3">
      <c r="A1358" s="4">
        <v>44956</v>
      </c>
      <c r="B1358" s="5">
        <f t="shared" si="429"/>
        <v>1</v>
      </c>
      <c r="C1358" s="5">
        <f t="shared" si="430"/>
        <v>2023</v>
      </c>
      <c r="D1358" s="5" t="s">
        <v>1205</v>
      </c>
      <c r="E1358" s="5" t="str">
        <f>VLOOKUP(F1358,'Set up'!$A$2:$C$48,2,FALSE)</f>
        <v>C00000020</v>
      </c>
      <c r="F1358" s="1" t="s">
        <v>410</v>
      </c>
      <c r="G1358" s="89" t="s">
        <v>1111</v>
      </c>
      <c r="H1358" s="5">
        <v>4</v>
      </c>
      <c r="I1358" s="5" t="str">
        <f>VLOOKUP(F1358,'Set up'!$A$2:$C$48,3,FALSE)</f>
        <v>Cash</v>
      </c>
      <c r="J1358" s="5">
        <f>VLOOKUP(F1358,'Set up'!$A$2:$D$48,4,FALSE)</f>
        <v>0</v>
      </c>
      <c r="K1358" s="4">
        <f t="shared" si="408"/>
        <v>44956</v>
      </c>
      <c r="L1358" s="5">
        <f t="shared" si="434"/>
        <v>1</v>
      </c>
      <c r="M1358" s="5">
        <f t="shared" si="435"/>
        <v>2023</v>
      </c>
      <c r="N1358" s="6">
        <v>250</v>
      </c>
      <c r="O1358" s="6">
        <f t="shared" si="436"/>
        <v>-250</v>
      </c>
      <c r="P1358" s="6">
        <f t="shared" si="432"/>
        <v>0</v>
      </c>
      <c r="Q1358" s="7">
        <f t="shared" si="433"/>
        <v>2512982.6500000008</v>
      </c>
      <c r="R1358" s="44" t="str">
        <f>VLOOKUP(F1358,'Set up'!$A$2:$E$48,5,FALSE)</f>
        <v>Trsf</v>
      </c>
      <c r="S1358" s="1" t="s">
        <v>2051</v>
      </c>
    </row>
    <row r="1359" spans="1:19" x14ac:dyDescent="0.3">
      <c r="A1359" s="4">
        <v>44956</v>
      </c>
      <c r="B1359" s="5">
        <f t="shared" si="429"/>
        <v>1</v>
      </c>
      <c r="C1359" s="5">
        <f t="shared" si="430"/>
        <v>2023</v>
      </c>
      <c r="D1359" s="5" t="s">
        <v>1205</v>
      </c>
      <c r="E1359" s="5" t="str">
        <f>VLOOKUP(F1359,'Set up'!$A$2:$C$48,2,FALSE)</f>
        <v>C00000020</v>
      </c>
      <c r="F1359" s="1" t="s">
        <v>410</v>
      </c>
      <c r="G1359" s="89" t="s">
        <v>667</v>
      </c>
      <c r="H1359" s="5">
        <v>4</v>
      </c>
      <c r="I1359" s="5" t="str">
        <f>VLOOKUP(F1359,'Set up'!$A$2:$C$48,3,FALSE)</f>
        <v>Cash</v>
      </c>
      <c r="J1359" s="5">
        <f>VLOOKUP(F1359,'Set up'!$A$2:$D$48,4,FALSE)</f>
        <v>0</v>
      </c>
      <c r="K1359" s="4">
        <f t="shared" si="408"/>
        <v>44956</v>
      </c>
      <c r="L1359" s="5">
        <f t="shared" si="434"/>
        <v>1</v>
      </c>
      <c r="M1359" s="5">
        <f t="shared" si="435"/>
        <v>2023</v>
      </c>
      <c r="N1359" s="6">
        <v>380</v>
      </c>
      <c r="O1359" s="6">
        <f>-259.4-120.6</f>
        <v>-380</v>
      </c>
      <c r="P1359" s="6">
        <f t="shared" si="432"/>
        <v>0</v>
      </c>
      <c r="Q1359" s="7">
        <f t="shared" si="433"/>
        <v>2513362.6500000008</v>
      </c>
      <c r="R1359" s="44" t="str">
        <f>VLOOKUP(F1359,'Set up'!$A$2:$E$48,5,FALSE)</f>
        <v>Trsf</v>
      </c>
      <c r="S1359" s="1" t="s">
        <v>2052</v>
      </c>
    </row>
    <row r="1360" spans="1:19" hidden="1" x14ac:dyDescent="0.3">
      <c r="A1360" s="4">
        <v>44956</v>
      </c>
      <c r="B1360" s="5">
        <f t="shared" si="429"/>
        <v>1</v>
      </c>
      <c r="C1360" s="5">
        <f t="shared" si="430"/>
        <v>2023</v>
      </c>
      <c r="D1360" s="5" t="s">
        <v>1206</v>
      </c>
      <c r="E1360" s="5" t="str">
        <f>VLOOKUP(F1360,'Set up'!$A$2:$C$48,2,FALSE)</f>
        <v>C00000022</v>
      </c>
      <c r="F1360" s="1" t="s">
        <v>638</v>
      </c>
      <c r="G1360" s="89" t="s">
        <v>1207</v>
      </c>
      <c r="H1360" s="5">
        <v>2</v>
      </c>
      <c r="I1360" s="5" t="str">
        <f>VLOOKUP(F1360,'Set up'!$A$2:$C$48,3,FALSE)</f>
        <v>Cash</v>
      </c>
      <c r="J1360" s="5">
        <f>VLOOKUP(F1360,'Set up'!$A$2:$D$48,4,FALSE)</f>
        <v>0</v>
      </c>
      <c r="K1360" s="4">
        <f t="shared" si="408"/>
        <v>44956</v>
      </c>
      <c r="L1360" s="5">
        <f t="shared" ref="L1360" si="437">MONTH(K1360)</f>
        <v>1</v>
      </c>
      <c r="M1360" s="5">
        <f t="shared" ref="M1360" si="438">YEAR(K1360)</f>
        <v>2023</v>
      </c>
      <c r="N1360" s="6">
        <v>570</v>
      </c>
      <c r="O1360" s="6">
        <f t="shared" ref="O1360" si="439">-N1360</f>
        <v>-570</v>
      </c>
      <c r="P1360" s="6">
        <f t="shared" si="432"/>
        <v>0</v>
      </c>
      <c r="Q1360" s="7">
        <f t="shared" si="433"/>
        <v>2513932.6500000008</v>
      </c>
      <c r="R1360" s="44" t="str">
        <f>VLOOKUP(F1360,'Set up'!$A$2:$E$48,5,FALSE)</f>
        <v>Trsf</v>
      </c>
      <c r="S1360" s="1" t="s">
        <v>1386</v>
      </c>
    </row>
    <row r="1361" spans="1:19" hidden="1" x14ac:dyDescent="0.3">
      <c r="A1361" s="4">
        <v>44958</v>
      </c>
      <c r="B1361" s="5">
        <f t="shared" si="429"/>
        <v>2</v>
      </c>
      <c r="C1361" s="5">
        <f t="shared" si="430"/>
        <v>2023</v>
      </c>
      <c r="D1361" s="5" t="s">
        <v>1235</v>
      </c>
      <c r="E1361" s="5" t="str">
        <f>VLOOKUP(F1361,'Set up'!$A$2:$C$48,2,FALSE)</f>
        <v>C00000034</v>
      </c>
      <c r="F1361" s="1" t="s">
        <v>1197</v>
      </c>
      <c r="G1361" s="89" t="s">
        <v>1236</v>
      </c>
      <c r="H1361" s="5">
        <v>2</v>
      </c>
      <c r="I1361" s="5" t="str">
        <f>VLOOKUP(F1361,'Set up'!$A$2:$C$48,3,FALSE)</f>
        <v>Cash</v>
      </c>
      <c r="J1361" s="5">
        <f>VLOOKUP(F1361,'Set up'!$A$2:$D$48,4,FALSE)</f>
        <v>0</v>
      </c>
      <c r="K1361" s="4">
        <f t="shared" si="408"/>
        <v>44958</v>
      </c>
      <c r="L1361" s="5">
        <f t="shared" ref="L1361:L1362" si="440">MONTH(K1361)</f>
        <v>2</v>
      </c>
      <c r="M1361" s="5">
        <f t="shared" ref="M1361:M1362" si="441">YEAR(K1361)</f>
        <v>2023</v>
      </c>
      <c r="N1361" s="6">
        <v>3555</v>
      </c>
      <c r="O1361" s="6">
        <f t="shared" ref="O1361:O1364" si="442">-N1361</f>
        <v>-3555</v>
      </c>
      <c r="P1361" s="6">
        <f t="shared" si="432"/>
        <v>0</v>
      </c>
      <c r="Q1361" s="7">
        <f t="shared" si="433"/>
        <v>2517487.6500000008</v>
      </c>
      <c r="R1361" s="44" t="str">
        <f>VLOOKUP(F1361,'Set up'!$A$2:$E$48,5,FALSE)</f>
        <v>Trsf</v>
      </c>
      <c r="S1361" s="1" t="s">
        <v>1285</v>
      </c>
    </row>
    <row r="1362" spans="1:19" hidden="1" x14ac:dyDescent="0.3">
      <c r="A1362" s="4">
        <v>44959</v>
      </c>
      <c r="B1362" s="5">
        <f t="shared" si="429"/>
        <v>2</v>
      </c>
      <c r="C1362" s="5">
        <f t="shared" si="430"/>
        <v>2023</v>
      </c>
      <c r="D1362" s="5" t="s">
        <v>1237</v>
      </c>
      <c r="E1362" s="5" t="str">
        <f>VLOOKUP(F1362,'Set up'!$A$2:$C$48,2,FALSE)</f>
        <v>C00000021</v>
      </c>
      <c r="F1362" s="1" t="s">
        <v>492</v>
      </c>
      <c r="G1362" s="89" t="s">
        <v>717</v>
      </c>
      <c r="H1362" s="5">
        <v>1</v>
      </c>
      <c r="I1362" s="5" t="str">
        <f>VLOOKUP(F1362,'Set up'!$A$2:$C$48,3,FALSE)</f>
        <v>Cash</v>
      </c>
      <c r="J1362" s="5">
        <f>VLOOKUP(F1362,'Set up'!$A$2:$D$48,4,FALSE)</f>
        <v>0</v>
      </c>
      <c r="K1362" s="4">
        <f t="shared" si="408"/>
        <v>44959</v>
      </c>
      <c r="L1362" s="5">
        <f t="shared" si="440"/>
        <v>2</v>
      </c>
      <c r="M1362" s="5">
        <f t="shared" si="441"/>
        <v>2023</v>
      </c>
      <c r="N1362" s="6">
        <v>1870</v>
      </c>
      <c r="O1362" s="6">
        <f t="shared" si="442"/>
        <v>-1870</v>
      </c>
      <c r="P1362" s="6">
        <f t="shared" si="432"/>
        <v>0</v>
      </c>
      <c r="Q1362" s="7">
        <f t="shared" si="433"/>
        <v>2519357.6500000008</v>
      </c>
      <c r="R1362" s="44" t="str">
        <f>VLOOKUP(F1362,'Set up'!$A$2:$E$48,5,FALSE)</f>
        <v>PD Chq</v>
      </c>
      <c r="S1362" s="1" t="s">
        <v>1594</v>
      </c>
    </row>
    <row r="1363" spans="1:19" hidden="1" x14ac:dyDescent="0.3">
      <c r="A1363" s="4">
        <v>44959</v>
      </c>
      <c r="B1363" s="5">
        <f t="shared" ref="B1363:B1365" si="443">MONTH(A1363)</f>
        <v>2</v>
      </c>
      <c r="C1363" s="5">
        <f t="shared" ref="C1363:C1365" si="444">YEAR(A1363)</f>
        <v>2023</v>
      </c>
      <c r="D1363" s="5" t="s">
        <v>1237</v>
      </c>
      <c r="E1363" s="5" t="str">
        <f>VLOOKUP(F1363,'Set up'!$A$2:$C$48,2,FALSE)</f>
        <v>C00000021</v>
      </c>
      <c r="F1363" s="1" t="s">
        <v>492</v>
      </c>
      <c r="G1363" s="89" t="s">
        <v>655</v>
      </c>
      <c r="H1363" s="5">
        <v>2</v>
      </c>
      <c r="I1363" s="5" t="str">
        <f>VLOOKUP(F1363,'Set up'!$A$2:$C$48,3,FALSE)</f>
        <v>Cash</v>
      </c>
      <c r="J1363" s="5">
        <f>VLOOKUP(F1363,'Set up'!$A$2:$D$48,4,FALSE)</f>
        <v>0</v>
      </c>
      <c r="K1363" s="4">
        <f t="shared" si="408"/>
        <v>44959</v>
      </c>
      <c r="L1363" s="5">
        <f t="shared" ref="L1363:L1369" si="445">MONTH(K1363)</f>
        <v>2</v>
      </c>
      <c r="M1363" s="5">
        <f t="shared" ref="M1363:M1369" si="446">YEAR(K1363)</f>
        <v>2023</v>
      </c>
      <c r="N1363" s="6">
        <v>510</v>
      </c>
      <c r="O1363" s="6">
        <f t="shared" si="442"/>
        <v>-510</v>
      </c>
      <c r="P1363" s="6">
        <f t="shared" ref="P1363:P1403" si="447">SUM(N1363+O1363)</f>
        <v>0</v>
      </c>
      <c r="Q1363" s="7">
        <f t="shared" ref="Q1363:Q1403" si="448">SUM(Q1362+N1363)</f>
        <v>2519867.6500000008</v>
      </c>
      <c r="R1363" s="44" t="str">
        <f>VLOOKUP(F1363,'Set up'!$A$2:$E$48,5,FALSE)</f>
        <v>PD Chq</v>
      </c>
      <c r="S1363" s="1" t="s">
        <v>1594</v>
      </c>
    </row>
    <row r="1364" spans="1:19" hidden="1" x14ac:dyDescent="0.3">
      <c r="A1364" s="4">
        <v>44959</v>
      </c>
      <c r="B1364" s="5">
        <f t="shared" si="443"/>
        <v>2</v>
      </c>
      <c r="C1364" s="5">
        <f t="shared" si="444"/>
        <v>2023</v>
      </c>
      <c r="D1364" s="5" t="s">
        <v>1237</v>
      </c>
      <c r="E1364" s="5" t="str">
        <f>VLOOKUP(F1364,'Set up'!$A$2:$C$48,2,FALSE)</f>
        <v>C00000021</v>
      </c>
      <c r="F1364" s="1" t="s">
        <v>492</v>
      </c>
      <c r="G1364" s="89" t="s">
        <v>667</v>
      </c>
      <c r="H1364" s="5">
        <v>1</v>
      </c>
      <c r="I1364" s="5" t="str">
        <f>VLOOKUP(F1364,'Set up'!$A$2:$C$48,3,FALSE)</f>
        <v>Cash</v>
      </c>
      <c r="J1364" s="5">
        <f>VLOOKUP(F1364,'Set up'!$A$2:$D$48,4,FALSE)</f>
        <v>0</v>
      </c>
      <c r="K1364" s="4">
        <f t="shared" si="408"/>
        <v>44959</v>
      </c>
      <c r="L1364" s="5">
        <f t="shared" si="445"/>
        <v>2</v>
      </c>
      <c r="M1364" s="5">
        <f t="shared" si="446"/>
        <v>2023</v>
      </c>
      <c r="N1364" s="6">
        <v>95</v>
      </c>
      <c r="O1364" s="6">
        <f t="shared" si="442"/>
        <v>-95</v>
      </c>
      <c r="P1364" s="6">
        <f t="shared" si="447"/>
        <v>0</v>
      </c>
      <c r="Q1364" s="7">
        <f t="shared" si="448"/>
        <v>2519962.6500000008</v>
      </c>
      <c r="R1364" s="44" t="str">
        <f>VLOOKUP(F1364,'Set up'!$A$2:$E$48,5,FALSE)</f>
        <v>PD Chq</v>
      </c>
      <c r="S1364" s="1" t="s">
        <v>1594</v>
      </c>
    </row>
    <row r="1365" spans="1:19" x14ac:dyDescent="0.3">
      <c r="A1365" s="4" t="s">
        <v>1239</v>
      </c>
      <c r="B1365" s="5">
        <f t="shared" si="443"/>
        <v>2</v>
      </c>
      <c r="C1365" s="5">
        <f t="shared" si="444"/>
        <v>2023</v>
      </c>
      <c r="D1365" s="5" t="s">
        <v>1238</v>
      </c>
      <c r="E1365" s="5" t="str">
        <f>VLOOKUP(F1365,'Set up'!$A$2:$C$48,2,FALSE)</f>
        <v>C00000020</v>
      </c>
      <c r="F1365" s="1" t="s">
        <v>410</v>
      </c>
      <c r="G1365" s="89" t="s">
        <v>717</v>
      </c>
      <c r="H1365" s="5">
        <v>3</v>
      </c>
      <c r="I1365" s="5" t="str">
        <f>VLOOKUP(F1365,'Set up'!$A$2:$C$48,3,FALSE)</f>
        <v>Cash</v>
      </c>
      <c r="J1365" s="5">
        <f>VLOOKUP(F1365,'Set up'!$A$2:$D$48,4,FALSE)</f>
        <v>0</v>
      </c>
      <c r="K1365" s="4">
        <f t="shared" si="408"/>
        <v>44960</v>
      </c>
      <c r="L1365" s="5">
        <f t="shared" si="445"/>
        <v>2</v>
      </c>
      <c r="M1365" s="5">
        <f t="shared" si="446"/>
        <v>2023</v>
      </c>
      <c r="N1365" s="6">
        <v>5214</v>
      </c>
      <c r="O1365" s="6">
        <f>-489.4-1025-3699.6</f>
        <v>-5214</v>
      </c>
      <c r="P1365" s="6">
        <f t="shared" si="447"/>
        <v>0</v>
      </c>
      <c r="Q1365" s="7">
        <f t="shared" si="448"/>
        <v>2525176.6500000008</v>
      </c>
      <c r="R1365" s="44" t="str">
        <f>VLOOKUP(F1365,'Set up'!$A$2:$E$48,5,FALSE)</f>
        <v>Trsf</v>
      </c>
      <c r="S1365" s="1" t="s">
        <v>2053</v>
      </c>
    </row>
    <row r="1366" spans="1:19" x14ac:dyDescent="0.3">
      <c r="A1366" s="4" t="s">
        <v>1239</v>
      </c>
      <c r="B1366" s="5">
        <f t="shared" ref="B1366:B1398" si="449">MONTH(A1366)</f>
        <v>2</v>
      </c>
      <c r="C1366" s="5">
        <f t="shared" ref="C1366:C1398" si="450">YEAR(A1366)</f>
        <v>2023</v>
      </c>
      <c r="D1366" s="5" t="s">
        <v>1238</v>
      </c>
      <c r="E1366" s="5" t="str">
        <f>VLOOKUP(F1366,'Set up'!$A$2:$C$48,2,FALSE)</f>
        <v>C00000020</v>
      </c>
      <c r="F1366" s="1" t="s">
        <v>410</v>
      </c>
      <c r="G1366" s="89" t="s">
        <v>914</v>
      </c>
      <c r="H1366" s="5">
        <v>3</v>
      </c>
      <c r="I1366" s="5" t="str">
        <f>VLOOKUP(F1366,'Set up'!$A$2:$C$48,3,FALSE)</f>
        <v>Cash</v>
      </c>
      <c r="J1366" s="5">
        <f>VLOOKUP(F1366,'Set up'!$A$2:$D$48,4,FALSE)</f>
        <v>0</v>
      </c>
      <c r="K1366" s="4">
        <f t="shared" si="408"/>
        <v>44960</v>
      </c>
      <c r="L1366" s="5">
        <f t="shared" si="445"/>
        <v>2</v>
      </c>
      <c r="M1366" s="5">
        <f t="shared" si="446"/>
        <v>2023</v>
      </c>
      <c r="N1366" s="6">
        <v>684</v>
      </c>
      <c r="O1366" s="6">
        <f t="shared" ref="O1366:O1369" si="451">-N1366</f>
        <v>-684</v>
      </c>
      <c r="P1366" s="6">
        <f t="shared" si="447"/>
        <v>0</v>
      </c>
      <c r="Q1366" s="7">
        <f t="shared" si="448"/>
        <v>2525860.6500000008</v>
      </c>
      <c r="R1366" s="44" t="str">
        <f>VLOOKUP(F1366,'Set up'!$A$2:$E$48,5,FALSE)</f>
        <v>Trsf</v>
      </c>
      <c r="S1366" s="1" t="s">
        <v>2054</v>
      </c>
    </row>
    <row r="1367" spans="1:19" x14ac:dyDescent="0.3">
      <c r="A1367" s="4" t="s">
        <v>1239</v>
      </c>
      <c r="B1367" s="5">
        <f t="shared" si="449"/>
        <v>2</v>
      </c>
      <c r="C1367" s="5">
        <f t="shared" si="450"/>
        <v>2023</v>
      </c>
      <c r="D1367" s="5" t="s">
        <v>1238</v>
      </c>
      <c r="E1367" s="5" t="str">
        <f>VLOOKUP(F1367,'Set up'!$A$2:$C$48,2,FALSE)</f>
        <v>C00000020</v>
      </c>
      <c r="F1367" s="1" t="s">
        <v>410</v>
      </c>
      <c r="G1367" s="89" t="s">
        <v>1169</v>
      </c>
      <c r="H1367" s="5">
        <v>3</v>
      </c>
      <c r="I1367" s="5" t="str">
        <f>VLOOKUP(F1367,'Set up'!$A$2:$C$48,3,FALSE)</f>
        <v>Cash</v>
      </c>
      <c r="J1367" s="5">
        <f>VLOOKUP(F1367,'Set up'!$A$2:$D$48,4,FALSE)</f>
        <v>0</v>
      </c>
      <c r="K1367" s="4">
        <f t="shared" si="408"/>
        <v>44960</v>
      </c>
      <c r="L1367" s="5">
        <f t="shared" si="445"/>
        <v>2</v>
      </c>
      <c r="M1367" s="5">
        <f t="shared" si="446"/>
        <v>2023</v>
      </c>
      <c r="N1367" s="6">
        <v>793.80000000000007</v>
      </c>
      <c r="O1367" s="6">
        <f t="shared" si="451"/>
        <v>-793.80000000000007</v>
      </c>
      <c r="P1367" s="6">
        <f t="shared" si="447"/>
        <v>0</v>
      </c>
      <c r="Q1367" s="7">
        <f t="shared" si="448"/>
        <v>2526654.4500000007</v>
      </c>
      <c r="R1367" s="44" t="str">
        <f>VLOOKUP(F1367,'Set up'!$A$2:$E$48,5,FALSE)</f>
        <v>Trsf</v>
      </c>
      <c r="S1367" s="1" t="s">
        <v>2055</v>
      </c>
    </row>
    <row r="1368" spans="1:19" x14ac:dyDescent="0.3">
      <c r="A1368" s="4" t="s">
        <v>1239</v>
      </c>
      <c r="B1368" s="5">
        <f t="shared" si="449"/>
        <v>2</v>
      </c>
      <c r="C1368" s="5">
        <f t="shared" si="450"/>
        <v>2023</v>
      </c>
      <c r="D1368" s="5" t="s">
        <v>1238</v>
      </c>
      <c r="E1368" s="5" t="str">
        <f>VLOOKUP(F1368,'Set up'!$A$2:$C$48,2,FALSE)</f>
        <v>C00000020</v>
      </c>
      <c r="F1368" s="1" t="s">
        <v>410</v>
      </c>
      <c r="G1368" s="89" t="s">
        <v>667</v>
      </c>
      <c r="H1368" s="5">
        <v>3</v>
      </c>
      <c r="I1368" s="5" t="str">
        <f>VLOOKUP(F1368,'Set up'!$A$2:$C$48,3,FALSE)</f>
        <v>Cash</v>
      </c>
      <c r="J1368" s="5">
        <f>VLOOKUP(F1368,'Set up'!$A$2:$D$48,4,FALSE)</f>
        <v>0</v>
      </c>
      <c r="K1368" s="4">
        <f t="shared" ref="K1368:K1431" si="452">A1368+J1368</f>
        <v>44960</v>
      </c>
      <c r="L1368" s="5">
        <f t="shared" si="445"/>
        <v>2</v>
      </c>
      <c r="M1368" s="5">
        <f t="shared" si="446"/>
        <v>2023</v>
      </c>
      <c r="N1368" s="6">
        <v>285</v>
      </c>
      <c r="O1368" s="6">
        <f t="shared" si="451"/>
        <v>-285</v>
      </c>
      <c r="P1368" s="6">
        <f t="shared" si="447"/>
        <v>0</v>
      </c>
      <c r="Q1368" s="7">
        <f t="shared" si="448"/>
        <v>2526939.4500000007</v>
      </c>
      <c r="R1368" s="44" t="str">
        <f>VLOOKUP(F1368,'Set up'!$A$2:$E$48,5,FALSE)</f>
        <v>Trsf</v>
      </c>
      <c r="S1368" s="1" t="s">
        <v>2056</v>
      </c>
    </row>
    <row r="1369" spans="1:19" x14ac:dyDescent="0.3">
      <c r="A1369" s="4" t="s">
        <v>1239</v>
      </c>
      <c r="B1369" s="5">
        <f t="shared" si="449"/>
        <v>2</v>
      </c>
      <c r="C1369" s="5">
        <f t="shared" si="450"/>
        <v>2023</v>
      </c>
      <c r="D1369" s="5" t="s">
        <v>1238</v>
      </c>
      <c r="E1369" s="5" t="str">
        <f>VLOOKUP(F1369,'Set up'!$A$2:$C$48,2,FALSE)</f>
        <v>C00000020</v>
      </c>
      <c r="F1369" s="1" t="s">
        <v>410</v>
      </c>
      <c r="G1369" s="89" t="s">
        <v>567</v>
      </c>
      <c r="H1369" s="5">
        <v>1</v>
      </c>
      <c r="I1369" s="5" t="str">
        <f>VLOOKUP(F1369,'Set up'!$A$2:$C$48,3,FALSE)</f>
        <v>Cash</v>
      </c>
      <c r="J1369" s="5">
        <f>VLOOKUP(F1369,'Set up'!$A$2:$D$48,4,FALSE)</f>
        <v>0</v>
      </c>
      <c r="K1369" s="4">
        <f t="shared" si="452"/>
        <v>44960</v>
      </c>
      <c r="L1369" s="5">
        <f t="shared" si="445"/>
        <v>2</v>
      </c>
      <c r="M1369" s="5">
        <f t="shared" si="446"/>
        <v>2023</v>
      </c>
      <c r="N1369" s="6">
        <v>105</v>
      </c>
      <c r="O1369" s="6">
        <f t="shared" si="451"/>
        <v>-105</v>
      </c>
      <c r="P1369" s="6">
        <f t="shared" si="447"/>
        <v>0</v>
      </c>
      <c r="Q1369" s="7">
        <f t="shared" si="448"/>
        <v>2527044.4500000007</v>
      </c>
      <c r="R1369" s="44" t="str">
        <f>VLOOKUP(F1369,'Set up'!$A$2:$E$48,5,FALSE)</f>
        <v>Trsf</v>
      </c>
      <c r="S1369" s="1" t="s">
        <v>2057</v>
      </c>
    </row>
    <row r="1370" spans="1:19" hidden="1" x14ac:dyDescent="0.3">
      <c r="A1370" s="4" t="s">
        <v>1241</v>
      </c>
      <c r="B1370" s="5">
        <f t="shared" si="449"/>
        <v>2</v>
      </c>
      <c r="C1370" s="5">
        <f t="shared" si="450"/>
        <v>2023</v>
      </c>
      <c r="D1370" s="5" t="s">
        <v>1240</v>
      </c>
      <c r="E1370" s="5" t="str">
        <f>VLOOKUP(F1370,'Set up'!$A$2:$C$48,2,FALSE)</f>
        <v>C00000022</v>
      </c>
      <c r="F1370" s="1" t="s">
        <v>638</v>
      </c>
      <c r="G1370" s="89" t="s">
        <v>95</v>
      </c>
      <c r="H1370" s="5">
        <v>1</v>
      </c>
      <c r="I1370" s="5" t="str">
        <f>VLOOKUP(F1370,'Set up'!$A$2:$C$48,3,FALSE)</f>
        <v>Cash</v>
      </c>
      <c r="J1370" s="5">
        <f>VLOOKUP(F1370,'Set up'!$A$2:$D$48,4,FALSE)</f>
        <v>0</v>
      </c>
      <c r="K1370" s="4">
        <f t="shared" si="452"/>
        <v>44965</v>
      </c>
      <c r="L1370" s="5">
        <f t="shared" ref="L1370:L1403" si="453">MONTH(K1370)</f>
        <v>2</v>
      </c>
      <c r="M1370" s="5">
        <f t="shared" ref="M1370:M1403" si="454">YEAR(K1370)</f>
        <v>2023</v>
      </c>
      <c r="N1370" s="6">
        <v>1936</v>
      </c>
      <c r="O1370" s="6">
        <f>-714-1222</f>
        <v>-1936</v>
      </c>
      <c r="P1370" s="6">
        <f t="shared" si="447"/>
        <v>0</v>
      </c>
      <c r="Q1370" s="7">
        <f t="shared" si="448"/>
        <v>2528980.4500000007</v>
      </c>
      <c r="R1370" s="44" t="str">
        <f>VLOOKUP(F1370,'Set up'!$A$2:$E$48,5,FALSE)</f>
        <v>Trsf</v>
      </c>
      <c r="S1370" s="1" t="s">
        <v>1487</v>
      </c>
    </row>
    <row r="1371" spans="1:19" hidden="1" x14ac:dyDescent="0.3">
      <c r="A1371" s="4" t="s">
        <v>1241</v>
      </c>
      <c r="B1371" s="5">
        <f t="shared" si="449"/>
        <v>2</v>
      </c>
      <c r="C1371" s="5">
        <f t="shared" si="450"/>
        <v>2023</v>
      </c>
      <c r="D1371" s="5" t="s">
        <v>1240</v>
      </c>
      <c r="E1371" s="5" t="str">
        <f>VLOOKUP(F1371,'Set up'!$A$2:$C$48,2,FALSE)</f>
        <v>C00000022</v>
      </c>
      <c r="F1371" s="1" t="s">
        <v>638</v>
      </c>
      <c r="G1371" s="89" t="s">
        <v>1207</v>
      </c>
      <c r="H1371" s="5">
        <v>2</v>
      </c>
      <c r="I1371" s="5" t="str">
        <f>VLOOKUP(F1371,'Set up'!$A$2:$C$48,3,FALSE)</f>
        <v>Cash</v>
      </c>
      <c r="J1371" s="5">
        <f>VLOOKUP(F1371,'Set up'!$A$2:$D$48,4,FALSE)</f>
        <v>0</v>
      </c>
      <c r="K1371" s="4">
        <f t="shared" si="452"/>
        <v>44965</v>
      </c>
      <c r="L1371" s="5">
        <f t="shared" si="453"/>
        <v>2</v>
      </c>
      <c r="M1371" s="5">
        <f t="shared" si="454"/>
        <v>2023</v>
      </c>
      <c r="N1371" s="6">
        <v>570</v>
      </c>
      <c r="O1371" s="6">
        <f t="shared" ref="O1371" si="455">-N1371</f>
        <v>-570</v>
      </c>
      <c r="P1371" s="6">
        <f t="shared" si="447"/>
        <v>0</v>
      </c>
      <c r="Q1371" s="7">
        <f t="shared" si="448"/>
        <v>2529550.4500000007</v>
      </c>
      <c r="R1371" s="44" t="str">
        <f>VLOOKUP(F1371,'Set up'!$A$2:$E$48,5,FALSE)</f>
        <v>Trsf</v>
      </c>
      <c r="S1371" s="1" t="s">
        <v>1488</v>
      </c>
    </row>
    <row r="1372" spans="1:19" hidden="1" x14ac:dyDescent="0.3">
      <c r="A1372" s="4" t="s">
        <v>1241</v>
      </c>
      <c r="B1372" s="5">
        <f t="shared" si="449"/>
        <v>2</v>
      </c>
      <c r="C1372" s="5">
        <f t="shared" si="450"/>
        <v>2023</v>
      </c>
      <c r="D1372" s="5" t="s">
        <v>1240</v>
      </c>
      <c r="E1372" s="5" t="str">
        <f>VLOOKUP(F1372,'Set up'!$A$2:$C$48,2,FALSE)</f>
        <v>C00000022</v>
      </c>
      <c r="F1372" s="1" t="s">
        <v>638</v>
      </c>
      <c r="G1372" s="89" t="s">
        <v>293</v>
      </c>
      <c r="H1372" s="5">
        <v>1</v>
      </c>
      <c r="I1372" s="5" t="str">
        <f>VLOOKUP(F1372,'Set up'!$A$2:$C$48,3,FALSE)</f>
        <v>Cash</v>
      </c>
      <c r="J1372" s="5">
        <f>VLOOKUP(F1372,'Set up'!$A$2:$D$48,4,FALSE)</f>
        <v>0</v>
      </c>
      <c r="K1372" s="4">
        <f t="shared" si="452"/>
        <v>44965</v>
      </c>
      <c r="L1372" s="5">
        <f t="shared" si="453"/>
        <v>2</v>
      </c>
      <c r="M1372" s="5">
        <f t="shared" si="454"/>
        <v>2023</v>
      </c>
      <c r="N1372" s="6">
        <v>450</v>
      </c>
      <c r="O1372" s="6">
        <f>-208-242</f>
        <v>-450</v>
      </c>
      <c r="P1372" s="6">
        <f t="shared" si="447"/>
        <v>0</v>
      </c>
      <c r="Q1372" s="7">
        <f t="shared" si="448"/>
        <v>2530000.4500000007</v>
      </c>
      <c r="R1372" s="44" t="str">
        <f>VLOOKUP(F1372,'Set up'!$A$2:$E$48,5,FALSE)</f>
        <v>Trsf</v>
      </c>
      <c r="S1372" s="1" t="s">
        <v>1685</v>
      </c>
    </row>
    <row r="1373" spans="1:19" hidden="1" x14ac:dyDescent="0.3">
      <c r="A1373" s="4" t="s">
        <v>1241</v>
      </c>
      <c r="B1373" s="5">
        <f t="shared" si="449"/>
        <v>2</v>
      </c>
      <c r="C1373" s="5">
        <f t="shared" si="450"/>
        <v>2023</v>
      </c>
      <c r="D1373" s="5" t="s">
        <v>1245</v>
      </c>
      <c r="E1373" s="5" t="str">
        <f>VLOOKUP(F1373,'Set up'!$A$2:$C$48,2,FALSE)</f>
        <v>C00000034</v>
      </c>
      <c r="F1373" s="1" t="s">
        <v>1197</v>
      </c>
      <c r="G1373" s="89" t="s">
        <v>655</v>
      </c>
      <c r="H1373" s="5">
        <v>8</v>
      </c>
      <c r="I1373" s="5" t="str">
        <f>VLOOKUP(F1373,'Set up'!$A$2:$C$48,3,FALSE)</f>
        <v>Cash</v>
      </c>
      <c r="J1373" s="5">
        <f>VLOOKUP(F1373,'Set up'!$A$2:$D$48,4,FALSE)</f>
        <v>0</v>
      </c>
      <c r="K1373" s="4">
        <f t="shared" si="452"/>
        <v>44965</v>
      </c>
      <c r="L1373" s="5">
        <f t="shared" si="453"/>
        <v>2</v>
      </c>
      <c r="M1373" s="5">
        <f t="shared" si="454"/>
        <v>2023</v>
      </c>
      <c r="N1373" s="6">
        <v>1752</v>
      </c>
      <c r="O1373" s="6">
        <f t="shared" ref="O1373:O1379" si="456">-N1373</f>
        <v>-1752</v>
      </c>
      <c r="P1373" s="6">
        <f t="shared" si="447"/>
        <v>0</v>
      </c>
      <c r="Q1373" s="7">
        <f t="shared" si="448"/>
        <v>2531752.4500000007</v>
      </c>
      <c r="R1373" s="44" t="str">
        <f>VLOOKUP(F1373,'Set up'!$A$2:$E$48,5,FALSE)</f>
        <v>Trsf</v>
      </c>
      <c r="S1373" s="1" t="s">
        <v>1290</v>
      </c>
    </row>
    <row r="1374" spans="1:19" hidden="1" x14ac:dyDescent="0.3">
      <c r="A1374" s="4" t="s">
        <v>1241</v>
      </c>
      <c r="B1374" s="5">
        <f t="shared" si="449"/>
        <v>2</v>
      </c>
      <c r="C1374" s="5">
        <f t="shared" si="450"/>
        <v>2023</v>
      </c>
      <c r="D1374" s="5" t="s">
        <v>1245</v>
      </c>
      <c r="E1374" s="5" t="str">
        <f>VLOOKUP(F1374,'Set up'!$A$2:$C$48,2,FALSE)</f>
        <v>C00000034</v>
      </c>
      <c r="F1374" s="1" t="s">
        <v>1197</v>
      </c>
      <c r="G1374" s="89" t="s">
        <v>1199</v>
      </c>
      <c r="H1374" s="5">
        <v>4</v>
      </c>
      <c r="I1374" s="5" t="str">
        <f>VLOOKUP(F1374,'Set up'!$A$2:$C$48,3,FALSE)</f>
        <v>Cash</v>
      </c>
      <c r="J1374" s="5">
        <f>VLOOKUP(F1374,'Set up'!$A$2:$D$48,4,FALSE)</f>
        <v>0</v>
      </c>
      <c r="K1374" s="4">
        <f t="shared" si="452"/>
        <v>44965</v>
      </c>
      <c r="L1374" s="5">
        <f t="shared" si="453"/>
        <v>2</v>
      </c>
      <c r="M1374" s="5">
        <f t="shared" si="454"/>
        <v>2023</v>
      </c>
      <c r="N1374" s="6">
        <v>876</v>
      </c>
      <c r="O1374" s="6">
        <f t="shared" si="456"/>
        <v>-876</v>
      </c>
      <c r="P1374" s="6">
        <f t="shared" si="447"/>
        <v>0</v>
      </c>
      <c r="Q1374" s="7">
        <f t="shared" si="448"/>
        <v>2532628.4500000007</v>
      </c>
      <c r="R1374" s="44" t="str">
        <f>VLOOKUP(F1374,'Set up'!$A$2:$E$48,5,FALSE)</f>
        <v>Trsf</v>
      </c>
      <c r="S1374" s="1" t="s">
        <v>1290</v>
      </c>
    </row>
    <row r="1375" spans="1:19" hidden="1" x14ac:dyDescent="0.3">
      <c r="A1375" s="4" t="s">
        <v>1241</v>
      </c>
      <c r="B1375" s="5">
        <f t="shared" si="449"/>
        <v>2</v>
      </c>
      <c r="C1375" s="5">
        <f t="shared" si="450"/>
        <v>2023</v>
      </c>
      <c r="D1375" s="5" t="s">
        <v>1245</v>
      </c>
      <c r="E1375" s="5" t="str">
        <f>VLOOKUP(F1375,'Set up'!$A$2:$C$48,2,FALSE)</f>
        <v>C00000034</v>
      </c>
      <c r="F1375" s="1" t="s">
        <v>1197</v>
      </c>
      <c r="G1375" s="89" t="s">
        <v>1242</v>
      </c>
      <c r="H1375" s="5">
        <v>5</v>
      </c>
      <c r="I1375" s="5" t="str">
        <f>VLOOKUP(F1375,'Set up'!$A$2:$C$48,3,FALSE)</f>
        <v>Cash</v>
      </c>
      <c r="J1375" s="5">
        <f>VLOOKUP(F1375,'Set up'!$A$2:$D$48,4,FALSE)</f>
        <v>0</v>
      </c>
      <c r="K1375" s="4">
        <f t="shared" si="452"/>
        <v>44965</v>
      </c>
      <c r="L1375" s="5">
        <f t="shared" si="453"/>
        <v>2</v>
      </c>
      <c r="M1375" s="5">
        <f t="shared" si="454"/>
        <v>2023</v>
      </c>
      <c r="N1375" s="6">
        <v>987</v>
      </c>
      <c r="O1375" s="6">
        <f t="shared" si="456"/>
        <v>-987</v>
      </c>
      <c r="P1375" s="6">
        <f t="shared" si="447"/>
        <v>0</v>
      </c>
      <c r="Q1375" s="7">
        <f t="shared" si="448"/>
        <v>2533615.4500000007</v>
      </c>
      <c r="R1375" s="44" t="str">
        <f>VLOOKUP(F1375,'Set up'!$A$2:$E$48,5,FALSE)</f>
        <v>Trsf</v>
      </c>
      <c r="S1375" s="1" t="s">
        <v>1290</v>
      </c>
    </row>
    <row r="1376" spans="1:19" hidden="1" x14ac:dyDescent="0.3">
      <c r="A1376" s="4" t="s">
        <v>1241</v>
      </c>
      <c r="B1376" s="5">
        <f t="shared" si="449"/>
        <v>2</v>
      </c>
      <c r="C1376" s="5">
        <f t="shared" si="450"/>
        <v>2023</v>
      </c>
      <c r="D1376" s="5" t="s">
        <v>1245</v>
      </c>
      <c r="E1376" s="5" t="str">
        <f>VLOOKUP(F1376,'Set up'!$A$2:$C$48,2,FALSE)</f>
        <v>C00000034</v>
      </c>
      <c r="F1376" s="1" t="s">
        <v>1197</v>
      </c>
      <c r="G1376" s="89" t="s">
        <v>667</v>
      </c>
      <c r="H1376" s="5">
        <v>4</v>
      </c>
      <c r="I1376" s="5" t="str">
        <f>VLOOKUP(F1376,'Set up'!$A$2:$C$48,3,FALSE)</f>
        <v>Cash</v>
      </c>
      <c r="J1376" s="5">
        <f>VLOOKUP(F1376,'Set up'!$A$2:$D$48,4,FALSE)</f>
        <v>0</v>
      </c>
      <c r="K1376" s="4">
        <f t="shared" si="452"/>
        <v>44965</v>
      </c>
      <c r="L1376" s="5">
        <f t="shared" si="453"/>
        <v>2</v>
      </c>
      <c r="M1376" s="5">
        <f t="shared" si="454"/>
        <v>2023</v>
      </c>
      <c r="N1376" s="6">
        <v>350</v>
      </c>
      <c r="O1376" s="6">
        <f t="shared" si="456"/>
        <v>-350</v>
      </c>
      <c r="P1376" s="6">
        <f t="shared" si="447"/>
        <v>0</v>
      </c>
      <c r="Q1376" s="7">
        <f t="shared" si="448"/>
        <v>2533965.4500000007</v>
      </c>
      <c r="R1376" s="44" t="str">
        <f>VLOOKUP(F1376,'Set up'!$A$2:$E$48,5,FALSE)</f>
        <v>Trsf</v>
      </c>
      <c r="S1376" s="1" t="s">
        <v>1290</v>
      </c>
    </row>
    <row r="1377" spans="1:19" hidden="1" x14ac:dyDescent="0.3">
      <c r="A1377" s="4" t="s">
        <v>1241</v>
      </c>
      <c r="B1377" s="5">
        <f t="shared" si="449"/>
        <v>2</v>
      </c>
      <c r="C1377" s="5">
        <f t="shared" si="450"/>
        <v>2023</v>
      </c>
      <c r="D1377" s="5" t="s">
        <v>1245</v>
      </c>
      <c r="E1377" s="5" t="str">
        <f>VLOOKUP(F1377,'Set up'!$A$2:$C$48,2,FALSE)</f>
        <v>C00000034</v>
      </c>
      <c r="F1377" s="1" t="s">
        <v>1197</v>
      </c>
      <c r="G1377" s="89" t="s">
        <v>1243</v>
      </c>
      <c r="H1377" s="5">
        <v>18</v>
      </c>
      <c r="I1377" s="5" t="str">
        <f>VLOOKUP(F1377,'Set up'!$A$2:$C$48,3,FALSE)</f>
        <v>Cash</v>
      </c>
      <c r="J1377" s="5">
        <f>VLOOKUP(F1377,'Set up'!$A$2:$D$48,4,FALSE)</f>
        <v>0</v>
      </c>
      <c r="K1377" s="4">
        <f t="shared" si="452"/>
        <v>44965</v>
      </c>
      <c r="L1377" s="5">
        <f t="shared" si="453"/>
        <v>2</v>
      </c>
      <c r="M1377" s="5">
        <f t="shared" si="454"/>
        <v>2023</v>
      </c>
      <c r="N1377" s="6">
        <v>2268</v>
      </c>
      <c r="O1377" s="6">
        <f t="shared" si="456"/>
        <v>-2268</v>
      </c>
      <c r="P1377" s="6">
        <f t="shared" si="447"/>
        <v>0</v>
      </c>
      <c r="Q1377" s="7">
        <f t="shared" si="448"/>
        <v>2536233.4500000007</v>
      </c>
      <c r="R1377" s="44" t="str">
        <f>VLOOKUP(F1377,'Set up'!$A$2:$E$48,5,FALSE)</f>
        <v>Trsf</v>
      </c>
      <c r="S1377" s="1" t="s">
        <v>1290</v>
      </c>
    </row>
    <row r="1378" spans="1:19" hidden="1" x14ac:dyDescent="0.3">
      <c r="A1378" s="4" t="s">
        <v>1241</v>
      </c>
      <c r="B1378" s="5">
        <f t="shared" si="449"/>
        <v>2</v>
      </c>
      <c r="C1378" s="5">
        <f t="shared" si="450"/>
        <v>2023</v>
      </c>
      <c r="D1378" s="5" t="s">
        <v>1245</v>
      </c>
      <c r="E1378" s="5" t="str">
        <f>VLOOKUP(F1378,'Set up'!$A$2:$C$48,2,FALSE)</f>
        <v>C00000034</v>
      </c>
      <c r="F1378" s="1" t="s">
        <v>1197</v>
      </c>
      <c r="G1378" s="89" t="s">
        <v>1244</v>
      </c>
      <c r="H1378" s="5">
        <v>6</v>
      </c>
      <c r="I1378" s="5" t="str">
        <f>VLOOKUP(F1378,'Set up'!$A$2:$C$48,3,FALSE)</f>
        <v>Cash</v>
      </c>
      <c r="J1378" s="5">
        <f>VLOOKUP(F1378,'Set up'!$A$2:$D$48,4,FALSE)</f>
        <v>0</v>
      </c>
      <c r="K1378" s="4">
        <f t="shared" si="452"/>
        <v>44965</v>
      </c>
      <c r="L1378" s="5">
        <f t="shared" si="453"/>
        <v>2</v>
      </c>
      <c r="M1378" s="5">
        <f t="shared" si="454"/>
        <v>2023</v>
      </c>
      <c r="N1378" s="6">
        <v>714</v>
      </c>
      <c r="O1378" s="6">
        <f t="shared" si="456"/>
        <v>-714</v>
      </c>
      <c r="P1378" s="6">
        <f t="shared" si="447"/>
        <v>0</v>
      </c>
      <c r="Q1378" s="7">
        <f t="shared" si="448"/>
        <v>2536947.4500000007</v>
      </c>
      <c r="R1378" s="44" t="str">
        <f>VLOOKUP(F1378,'Set up'!$A$2:$E$48,5,FALSE)</f>
        <v>Trsf</v>
      </c>
      <c r="S1378" s="1" t="s">
        <v>1290</v>
      </c>
    </row>
    <row r="1379" spans="1:19" x14ac:dyDescent="0.3">
      <c r="A1379" s="4" t="s">
        <v>1247</v>
      </c>
      <c r="B1379" s="5">
        <f t="shared" si="449"/>
        <v>2</v>
      </c>
      <c r="C1379" s="5">
        <f t="shared" si="450"/>
        <v>2023</v>
      </c>
      <c r="D1379" s="5" t="s">
        <v>1246</v>
      </c>
      <c r="E1379" s="5" t="str">
        <f>VLOOKUP(F1379,'Set up'!$A$2:$C$48,2,FALSE)</f>
        <v>C00000020</v>
      </c>
      <c r="F1379" s="1" t="s">
        <v>410</v>
      </c>
      <c r="G1379" s="89" t="s">
        <v>717</v>
      </c>
      <c r="H1379" s="5">
        <v>4</v>
      </c>
      <c r="I1379" s="5" t="str">
        <f>VLOOKUP(F1379,'Set up'!$A$2:$C$48,3,FALSE)</f>
        <v>Cash</v>
      </c>
      <c r="J1379" s="5">
        <f>VLOOKUP(F1379,'Set up'!$A$2:$D$48,4,FALSE)</f>
        <v>0</v>
      </c>
      <c r="K1379" s="4">
        <f t="shared" si="452"/>
        <v>44966</v>
      </c>
      <c r="L1379" s="5">
        <f t="shared" si="453"/>
        <v>2</v>
      </c>
      <c r="M1379" s="5">
        <f t="shared" si="454"/>
        <v>2023</v>
      </c>
      <c r="N1379" s="6">
        <v>6952</v>
      </c>
      <c r="O1379" s="6">
        <f t="shared" si="456"/>
        <v>-6952</v>
      </c>
      <c r="P1379" s="6">
        <f t="shared" si="447"/>
        <v>0</v>
      </c>
      <c r="Q1379" s="7">
        <f t="shared" si="448"/>
        <v>2543899.4500000007</v>
      </c>
      <c r="R1379" s="44" t="str">
        <f>VLOOKUP(F1379,'Set up'!$A$2:$E$48,5,FALSE)</f>
        <v>Trsf</v>
      </c>
      <c r="S1379" s="1" t="s">
        <v>2058</v>
      </c>
    </row>
    <row r="1380" spans="1:19" x14ac:dyDescent="0.3">
      <c r="A1380" s="4" t="s">
        <v>1247</v>
      </c>
      <c r="B1380" s="5">
        <f t="shared" si="449"/>
        <v>2</v>
      </c>
      <c r="C1380" s="5">
        <f t="shared" si="450"/>
        <v>2023</v>
      </c>
      <c r="D1380" s="5" t="s">
        <v>1246</v>
      </c>
      <c r="E1380" s="5" t="str">
        <f>VLOOKUP(F1380,'Set up'!$A$2:$C$48,2,FALSE)</f>
        <v>C00000020</v>
      </c>
      <c r="F1380" s="1" t="s">
        <v>410</v>
      </c>
      <c r="G1380" s="89" t="s">
        <v>655</v>
      </c>
      <c r="H1380" s="5">
        <v>15</v>
      </c>
      <c r="I1380" s="5" t="str">
        <f>VLOOKUP(F1380,'Set up'!$A$2:$C$48,3,FALSE)</f>
        <v>Cash</v>
      </c>
      <c r="J1380" s="5">
        <f>VLOOKUP(F1380,'Set up'!$A$2:$D$48,4,FALSE)</f>
        <v>0</v>
      </c>
      <c r="K1380" s="4">
        <f t="shared" si="452"/>
        <v>44966</v>
      </c>
      <c r="L1380" s="5">
        <f t="shared" si="453"/>
        <v>2</v>
      </c>
      <c r="M1380" s="5">
        <f t="shared" si="454"/>
        <v>2023</v>
      </c>
      <c r="N1380" s="6">
        <v>3420</v>
      </c>
      <c r="O1380" s="6">
        <f>-2480.6-939.4</f>
        <v>-3420</v>
      </c>
      <c r="P1380" s="6">
        <f t="shared" si="447"/>
        <v>0</v>
      </c>
      <c r="Q1380" s="7">
        <f t="shared" si="448"/>
        <v>2547319.4500000007</v>
      </c>
      <c r="R1380" s="44" t="str">
        <f>VLOOKUP(F1380,'Set up'!$A$2:$E$48,5,FALSE)</f>
        <v>Trsf</v>
      </c>
      <c r="S1380" s="1" t="s">
        <v>2059</v>
      </c>
    </row>
    <row r="1381" spans="1:19" x14ac:dyDescent="0.3">
      <c r="A1381" s="4" t="s">
        <v>1247</v>
      </c>
      <c r="B1381" s="5">
        <f t="shared" si="449"/>
        <v>2</v>
      </c>
      <c r="C1381" s="5">
        <f t="shared" si="450"/>
        <v>2023</v>
      </c>
      <c r="D1381" s="5" t="s">
        <v>1246</v>
      </c>
      <c r="E1381" s="5" t="str">
        <f>VLOOKUP(F1381,'Set up'!$A$2:$C$48,2,FALSE)</f>
        <v>C00000020</v>
      </c>
      <c r="F1381" s="1" t="s">
        <v>410</v>
      </c>
      <c r="G1381" s="89" t="s">
        <v>1169</v>
      </c>
      <c r="H1381" s="5">
        <v>8</v>
      </c>
      <c r="I1381" s="5" t="str">
        <f>VLOOKUP(F1381,'Set up'!$A$2:$C$48,3,FALSE)</f>
        <v>Cash</v>
      </c>
      <c r="J1381" s="5">
        <f>VLOOKUP(F1381,'Set up'!$A$2:$D$48,4,FALSE)</f>
        <v>0</v>
      </c>
      <c r="K1381" s="4">
        <f t="shared" si="452"/>
        <v>44966</v>
      </c>
      <c r="L1381" s="5">
        <f t="shared" si="453"/>
        <v>2</v>
      </c>
      <c r="M1381" s="5">
        <f t="shared" si="454"/>
        <v>2023</v>
      </c>
      <c r="N1381" s="6">
        <v>2116.8000000000002</v>
      </c>
      <c r="O1381" s="6">
        <f>-2060.6-56.2</f>
        <v>-2116.7999999999997</v>
      </c>
      <c r="P1381" s="6">
        <f t="shared" si="447"/>
        <v>4.5474735088646412E-13</v>
      </c>
      <c r="Q1381" s="7">
        <f t="shared" si="448"/>
        <v>2549436.2500000005</v>
      </c>
      <c r="R1381" s="44" t="str">
        <f>VLOOKUP(F1381,'Set up'!$A$2:$E$48,5,FALSE)</f>
        <v>Trsf</v>
      </c>
      <c r="S1381" s="1" t="s">
        <v>2060</v>
      </c>
    </row>
    <row r="1382" spans="1:19" x14ac:dyDescent="0.3">
      <c r="A1382" s="4" t="s">
        <v>1247</v>
      </c>
      <c r="B1382" s="5">
        <f t="shared" si="449"/>
        <v>2</v>
      </c>
      <c r="C1382" s="5">
        <f t="shared" si="450"/>
        <v>2023</v>
      </c>
      <c r="D1382" s="5" t="s">
        <v>1246</v>
      </c>
      <c r="E1382" s="5" t="str">
        <f>VLOOKUP(F1382,'Set up'!$A$2:$C$48,2,FALSE)</f>
        <v>C00000020</v>
      </c>
      <c r="F1382" s="1" t="s">
        <v>410</v>
      </c>
      <c r="G1382" s="89" t="s">
        <v>667</v>
      </c>
      <c r="H1382" s="5">
        <v>4</v>
      </c>
      <c r="I1382" s="5" t="str">
        <f>VLOOKUP(F1382,'Set up'!$A$2:$C$48,3,FALSE)</f>
        <v>Cash</v>
      </c>
      <c r="J1382" s="5">
        <f>VLOOKUP(F1382,'Set up'!$A$2:$D$48,4,FALSE)</f>
        <v>0</v>
      </c>
      <c r="K1382" s="4">
        <f t="shared" si="452"/>
        <v>44966</v>
      </c>
      <c r="L1382" s="5">
        <f t="shared" si="453"/>
        <v>2</v>
      </c>
      <c r="M1382" s="5">
        <f t="shared" si="454"/>
        <v>2023</v>
      </c>
      <c r="N1382" s="6">
        <v>380</v>
      </c>
      <c r="O1382" s="6">
        <f t="shared" ref="O1382:O1384" si="457">-N1382</f>
        <v>-380</v>
      </c>
      <c r="P1382" s="6">
        <f t="shared" si="447"/>
        <v>0</v>
      </c>
      <c r="Q1382" s="7">
        <f t="shared" si="448"/>
        <v>2549816.2500000005</v>
      </c>
      <c r="R1382" s="44" t="str">
        <f>VLOOKUP(F1382,'Set up'!$A$2:$E$48,5,FALSE)</f>
        <v>Trsf</v>
      </c>
      <c r="S1382" s="1" t="s">
        <v>2061</v>
      </c>
    </row>
    <row r="1383" spans="1:19" x14ac:dyDescent="0.3">
      <c r="A1383" s="4" t="s">
        <v>1247</v>
      </c>
      <c r="B1383" s="5">
        <f t="shared" si="449"/>
        <v>2</v>
      </c>
      <c r="C1383" s="5">
        <f t="shared" si="450"/>
        <v>2023</v>
      </c>
      <c r="D1383" s="5" t="s">
        <v>1246</v>
      </c>
      <c r="E1383" s="5" t="str">
        <f>VLOOKUP(F1383,'Set up'!$A$2:$C$48,2,FALSE)</f>
        <v>C00000020</v>
      </c>
      <c r="F1383" s="1" t="s">
        <v>410</v>
      </c>
      <c r="G1383" s="89" t="s">
        <v>1074</v>
      </c>
      <c r="H1383" s="5">
        <v>1</v>
      </c>
      <c r="I1383" s="5" t="str">
        <f>VLOOKUP(F1383,'Set up'!$A$2:$C$48,3,FALSE)</f>
        <v>Cash</v>
      </c>
      <c r="J1383" s="5">
        <f>VLOOKUP(F1383,'Set up'!$A$2:$D$48,4,FALSE)</f>
        <v>0</v>
      </c>
      <c r="K1383" s="4">
        <f t="shared" si="452"/>
        <v>44966</v>
      </c>
      <c r="L1383" s="5">
        <f t="shared" si="453"/>
        <v>2</v>
      </c>
      <c r="M1383" s="5">
        <f t="shared" si="454"/>
        <v>2023</v>
      </c>
      <c r="N1383" s="6">
        <v>1000</v>
      </c>
      <c r="O1383" s="6">
        <f t="shared" si="457"/>
        <v>-1000</v>
      </c>
      <c r="P1383" s="6">
        <f t="shared" si="447"/>
        <v>0</v>
      </c>
      <c r="Q1383" s="7">
        <f t="shared" si="448"/>
        <v>2550816.2500000005</v>
      </c>
      <c r="R1383" s="44" t="str">
        <f>VLOOKUP(F1383,'Set up'!$A$2:$E$48,5,FALSE)</f>
        <v>Trsf</v>
      </c>
      <c r="S1383" s="1" t="s">
        <v>2062</v>
      </c>
    </row>
    <row r="1384" spans="1:19" x14ac:dyDescent="0.3">
      <c r="A1384" s="4" t="s">
        <v>1247</v>
      </c>
      <c r="B1384" s="5">
        <f t="shared" si="449"/>
        <v>2</v>
      </c>
      <c r="C1384" s="5">
        <f t="shared" si="450"/>
        <v>2023</v>
      </c>
      <c r="D1384" s="5" t="s">
        <v>1248</v>
      </c>
      <c r="E1384" s="5" t="str">
        <f>VLOOKUP(F1384,'Set up'!$A$2:$C$48,2,FALSE)</f>
        <v>C00000020</v>
      </c>
      <c r="F1384" s="1" t="s">
        <v>410</v>
      </c>
      <c r="G1384" s="89" t="s">
        <v>1111</v>
      </c>
      <c r="H1384" s="5">
        <v>4</v>
      </c>
      <c r="I1384" s="5" t="str">
        <f>VLOOKUP(F1384,'Set up'!$A$2:$C$48,3,FALSE)</f>
        <v>Cash</v>
      </c>
      <c r="J1384" s="5">
        <f>VLOOKUP(F1384,'Set up'!$A$2:$D$48,4,FALSE)</f>
        <v>0</v>
      </c>
      <c r="K1384" s="4">
        <f t="shared" si="452"/>
        <v>44966</v>
      </c>
      <c r="L1384" s="5">
        <f t="shared" si="453"/>
        <v>2</v>
      </c>
      <c r="M1384" s="5">
        <f t="shared" si="454"/>
        <v>2023</v>
      </c>
      <c r="N1384" s="6">
        <v>250</v>
      </c>
      <c r="O1384" s="6">
        <f t="shared" si="457"/>
        <v>-250</v>
      </c>
      <c r="P1384" s="6">
        <f t="shared" si="447"/>
        <v>0</v>
      </c>
      <c r="Q1384" s="7">
        <f t="shared" si="448"/>
        <v>2551066.2500000005</v>
      </c>
      <c r="R1384" s="44" t="str">
        <f>VLOOKUP(F1384,'Set up'!$A$2:$E$48,5,FALSE)</f>
        <v>Trsf</v>
      </c>
      <c r="S1384" s="1" t="s">
        <v>2063</v>
      </c>
    </row>
    <row r="1385" spans="1:19" hidden="1" x14ac:dyDescent="0.3">
      <c r="A1385" s="4" t="s">
        <v>1247</v>
      </c>
      <c r="B1385" s="5">
        <f t="shared" si="449"/>
        <v>2</v>
      </c>
      <c r="C1385" s="5">
        <f t="shared" si="450"/>
        <v>2023</v>
      </c>
      <c r="D1385" s="5" t="s">
        <v>1249</v>
      </c>
      <c r="E1385" s="5" t="str">
        <f>VLOOKUP(F1385,'Set up'!$A$2:$C$48,2,FALSE)</f>
        <v>C00000022</v>
      </c>
      <c r="F1385" s="1" t="s">
        <v>638</v>
      </c>
      <c r="G1385" s="89" t="s">
        <v>567</v>
      </c>
      <c r="H1385" s="5">
        <v>1</v>
      </c>
      <c r="I1385" s="5" t="str">
        <f>VLOOKUP(F1385,'Set up'!$A$2:$C$48,3,FALSE)</f>
        <v>Cash</v>
      </c>
      <c r="J1385" s="5">
        <f>VLOOKUP(F1385,'Set up'!$A$2:$D$48,4,FALSE)</f>
        <v>0</v>
      </c>
      <c r="K1385" s="4">
        <f t="shared" si="452"/>
        <v>44966</v>
      </c>
      <c r="L1385" s="5">
        <f t="shared" si="453"/>
        <v>2</v>
      </c>
      <c r="M1385" s="5">
        <f t="shared" si="454"/>
        <v>2023</v>
      </c>
      <c r="N1385" s="6">
        <v>110</v>
      </c>
      <c r="O1385" s="6">
        <f t="shared" ref="O1385:O1388" si="458">-N1385</f>
        <v>-110</v>
      </c>
      <c r="P1385" s="6">
        <f t="shared" si="447"/>
        <v>0</v>
      </c>
      <c r="Q1385" s="7">
        <f t="shared" si="448"/>
        <v>2551176.2500000005</v>
      </c>
      <c r="R1385" s="44" t="str">
        <f>VLOOKUP(F1385,'Set up'!$A$2:$E$48,5,FALSE)</f>
        <v>Trsf</v>
      </c>
      <c r="S1385" s="1" t="s">
        <v>1686</v>
      </c>
    </row>
    <row r="1386" spans="1:19" hidden="1" x14ac:dyDescent="0.3">
      <c r="A1386" s="4" t="s">
        <v>1251</v>
      </c>
      <c r="B1386" s="5">
        <f t="shared" si="449"/>
        <v>2</v>
      </c>
      <c r="C1386" s="5">
        <f t="shared" si="450"/>
        <v>2023</v>
      </c>
      <c r="D1386" s="5" t="s">
        <v>1250</v>
      </c>
      <c r="E1386" s="5" t="str">
        <f>VLOOKUP(F1386,'Set up'!$A$2:$C$48,2,FALSE)</f>
        <v>C00000021</v>
      </c>
      <c r="F1386" s="1" t="s">
        <v>492</v>
      </c>
      <c r="G1386" s="89" t="s">
        <v>717</v>
      </c>
      <c r="H1386" s="5">
        <v>1</v>
      </c>
      <c r="I1386" s="5" t="str">
        <f>VLOOKUP(F1386,'Set up'!$A$2:$C$48,3,FALSE)</f>
        <v>Cash</v>
      </c>
      <c r="J1386" s="5">
        <f>VLOOKUP(F1386,'Set up'!$A$2:$D$48,4,FALSE)</f>
        <v>0</v>
      </c>
      <c r="K1386" s="4">
        <f t="shared" si="452"/>
        <v>44967</v>
      </c>
      <c r="L1386" s="5">
        <f t="shared" si="453"/>
        <v>2</v>
      </c>
      <c r="M1386" s="5">
        <f t="shared" si="454"/>
        <v>2023</v>
      </c>
      <c r="N1386" s="6">
        <v>1870</v>
      </c>
      <c r="O1386" s="6">
        <f t="shared" si="458"/>
        <v>-1870</v>
      </c>
      <c r="P1386" s="6">
        <f t="shared" si="447"/>
        <v>0</v>
      </c>
      <c r="Q1386" s="7">
        <f t="shared" si="448"/>
        <v>2553046.2500000005</v>
      </c>
      <c r="R1386" s="44" t="str">
        <f>VLOOKUP(F1386,'Set up'!$A$2:$E$48,5,FALSE)</f>
        <v>PD Chq</v>
      </c>
      <c r="S1386" s="1" t="s">
        <v>1780</v>
      </c>
    </row>
    <row r="1387" spans="1:19" hidden="1" x14ac:dyDescent="0.3">
      <c r="A1387" s="4" t="s">
        <v>1251</v>
      </c>
      <c r="B1387" s="5">
        <f t="shared" si="449"/>
        <v>2</v>
      </c>
      <c r="C1387" s="5">
        <f t="shared" si="450"/>
        <v>2023</v>
      </c>
      <c r="D1387" s="5" t="s">
        <v>1250</v>
      </c>
      <c r="E1387" s="5" t="str">
        <f>VLOOKUP(F1387,'Set up'!$A$2:$C$48,2,FALSE)</f>
        <v>C00000021</v>
      </c>
      <c r="F1387" s="1" t="s">
        <v>492</v>
      </c>
      <c r="G1387" s="89" t="s">
        <v>655</v>
      </c>
      <c r="H1387" s="5">
        <v>3</v>
      </c>
      <c r="I1387" s="5" t="str">
        <f>VLOOKUP(F1387,'Set up'!$A$2:$C$48,3,FALSE)</f>
        <v>Cash</v>
      </c>
      <c r="J1387" s="5">
        <f>VLOOKUP(F1387,'Set up'!$A$2:$D$48,4,FALSE)</f>
        <v>0</v>
      </c>
      <c r="K1387" s="4">
        <f t="shared" si="452"/>
        <v>44967</v>
      </c>
      <c r="L1387" s="5">
        <f t="shared" si="453"/>
        <v>2</v>
      </c>
      <c r="M1387" s="5">
        <f t="shared" si="454"/>
        <v>2023</v>
      </c>
      <c r="N1387" s="6">
        <v>765</v>
      </c>
      <c r="O1387" s="6">
        <f t="shared" si="458"/>
        <v>-765</v>
      </c>
      <c r="P1387" s="6">
        <f t="shared" si="447"/>
        <v>0</v>
      </c>
      <c r="Q1387" s="7">
        <f t="shared" si="448"/>
        <v>2553811.2500000005</v>
      </c>
      <c r="R1387" s="44" t="str">
        <f>VLOOKUP(F1387,'Set up'!$A$2:$E$48,5,FALSE)</f>
        <v>PD Chq</v>
      </c>
      <c r="S1387" s="1" t="s">
        <v>1780</v>
      </c>
    </row>
    <row r="1388" spans="1:19" hidden="1" x14ac:dyDescent="0.3">
      <c r="A1388" s="4" t="s">
        <v>1251</v>
      </c>
      <c r="B1388" s="5">
        <f t="shared" si="449"/>
        <v>2</v>
      </c>
      <c r="C1388" s="5">
        <f t="shared" si="450"/>
        <v>2023</v>
      </c>
      <c r="D1388" s="5" t="s">
        <v>1250</v>
      </c>
      <c r="E1388" s="5" t="str">
        <f>VLOOKUP(F1388,'Set up'!$A$2:$C$48,2,FALSE)</f>
        <v>C00000021</v>
      </c>
      <c r="F1388" s="1" t="s">
        <v>492</v>
      </c>
      <c r="G1388" s="89" t="s">
        <v>667</v>
      </c>
      <c r="H1388" s="5">
        <v>1</v>
      </c>
      <c r="I1388" s="5" t="str">
        <f>VLOOKUP(F1388,'Set up'!$A$2:$C$48,3,FALSE)</f>
        <v>Cash</v>
      </c>
      <c r="J1388" s="5">
        <f>VLOOKUP(F1388,'Set up'!$A$2:$D$48,4,FALSE)</f>
        <v>0</v>
      </c>
      <c r="K1388" s="4">
        <f t="shared" si="452"/>
        <v>44967</v>
      </c>
      <c r="L1388" s="5">
        <f t="shared" si="453"/>
        <v>2</v>
      </c>
      <c r="M1388" s="5">
        <f t="shared" si="454"/>
        <v>2023</v>
      </c>
      <c r="N1388" s="6">
        <v>95</v>
      </c>
      <c r="O1388" s="6">
        <f t="shared" si="458"/>
        <v>-95</v>
      </c>
      <c r="P1388" s="6">
        <f t="shared" si="447"/>
        <v>0</v>
      </c>
      <c r="Q1388" s="7">
        <f t="shared" si="448"/>
        <v>2553906.2500000005</v>
      </c>
      <c r="R1388" s="44" t="str">
        <f>VLOOKUP(F1388,'Set up'!$A$2:$E$48,5,FALSE)</f>
        <v>PD Chq</v>
      </c>
      <c r="S1388" s="1" t="s">
        <v>1780</v>
      </c>
    </row>
    <row r="1389" spans="1:19" hidden="1" x14ac:dyDescent="0.3">
      <c r="A1389" s="4" t="s">
        <v>1251</v>
      </c>
      <c r="B1389" s="5">
        <f t="shared" si="449"/>
        <v>2</v>
      </c>
      <c r="C1389" s="5">
        <f t="shared" si="450"/>
        <v>2023</v>
      </c>
      <c r="D1389" s="5" t="s">
        <v>1252</v>
      </c>
      <c r="E1389" s="5" t="str">
        <f>VLOOKUP(F1389,'Set up'!$A$2:$C$48,2,FALSE)</f>
        <v>C00000010</v>
      </c>
      <c r="F1389" s="1" t="s">
        <v>62</v>
      </c>
      <c r="G1389" s="89" t="s">
        <v>1179</v>
      </c>
      <c r="H1389" s="5">
        <v>5</v>
      </c>
      <c r="I1389" s="5">
        <f>VLOOKUP(F1389,'Set up'!$A$2:$C$48,3,FALSE)</f>
        <v>120</v>
      </c>
      <c r="J1389" s="5">
        <f>VLOOKUP(F1389,'Set up'!$A$2:$D$48,4,FALSE)</f>
        <v>120</v>
      </c>
      <c r="K1389" s="4">
        <f t="shared" si="452"/>
        <v>45087</v>
      </c>
      <c r="L1389" s="5">
        <f t="shared" si="453"/>
        <v>6</v>
      </c>
      <c r="M1389" s="5">
        <f t="shared" si="454"/>
        <v>2023</v>
      </c>
      <c r="N1389" s="6">
        <v>8140</v>
      </c>
      <c r="O1389" s="6">
        <f t="shared" ref="O1389:O1393" si="459">-N1389</f>
        <v>-8140</v>
      </c>
      <c r="P1389" s="6">
        <f t="shared" si="447"/>
        <v>0</v>
      </c>
      <c r="Q1389" s="7">
        <f t="shared" si="448"/>
        <v>2562046.2500000005</v>
      </c>
      <c r="R1389" s="44" t="str">
        <f>VLOOKUP(F1389,'Set up'!$A$2:$E$48,5,FALSE)</f>
        <v>Trsf</v>
      </c>
      <c r="S1389" s="1" t="s">
        <v>1582</v>
      </c>
    </row>
    <row r="1390" spans="1:19" hidden="1" x14ac:dyDescent="0.3">
      <c r="A1390" s="4" t="s">
        <v>1251</v>
      </c>
      <c r="B1390" s="5">
        <f t="shared" si="449"/>
        <v>2</v>
      </c>
      <c r="C1390" s="5">
        <f t="shared" si="450"/>
        <v>2023</v>
      </c>
      <c r="D1390" s="5" t="s">
        <v>1252</v>
      </c>
      <c r="E1390" s="5" t="str">
        <f>VLOOKUP(F1390,'Set up'!$A$2:$C$48,2,FALSE)</f>
        <v>C00000010</v>
      </c>
      <c r="F1390" s="1" t="s">
        <v>62</v>
      </c>
      <c r="G1390" s="89" t="s">
        <v>1253</v>
      </c>
      <c r="H1390" s="5">
        <v>5</v>
      </c>
      <c r="I1390" s="5">
        <f>VLOOKUP(F1390,'Set up'!$A$2:$C$48,3,FALSE)</f>
        <v>120</v>
      </c>
      <c r="J1390" s="5">
        <f>VLOOKUP(F1390,'Set up'!$A$2:$D$48,4,FALSE)</f>
        <v>120</v>
      </c>
      <c r="K1390" s="4">
        <f t="shared" si="452"/>
        <v>45087</v>
      </c>
      <c r="L1390" s="5">
        <f t="shared" si="453"/>
        <v>6</v>
      </c>
      <c r="M1390" s="5">
        <f t="shared" si="454"/>
        <v>2023</v>
      </c>
      <c r="N1390" s="6">
        <v>1035</v>
      </c>
      <c r="O1390" s="6">
        <f t="shared" si="459"/>
        <v>-1035</v>
      </c>
      <c r="P1390" s="6">
        <f t="shared" si="447"/>
        <v>0</v>
      </c>
      <c r="Q1390" s="7">
        <f t="shared" si="448"/>
        <v>2563081.2500000005</v>
      </c>
      <c r="R1390" s="44" t="str">
        <f>VLOOKUP(F1390,'Set up'!$A$2:$E$48,5,FALSE)</f>
        <v>Trsf</v>
      </c>
      <c r="S1390" s="1" t="s">
        <v>1582</v>
      </c>
    </row>
    <row r="1391" spans="1:19" hidden="1" x14ac:dyDescent="0.3">
      <c r="A1391" s="4" t="s">
        <v>1251</v>
      </c>
      <c r="B1391" s="5">
        <f t="shared" si="449"/>
        <v>2</v>
      </c>
      <c r="C1391" s="5">
        <f t="shared" si="450"/>
        <v>2023</v>
      </c>
      <c r="D1391" s="5" t="s">
        <v>1252</v>
      </c>
      <c r="E1391" s="5" t="str">
        <f>VLOOKUP(F1391,'Set up'!$A$2:$C$48,2,FALSE)</f>
        <v>C00000010</v>
      </c>
      <c r="F1391" s="1" t="s">
        <v>62</v>
      </c>
      <c r="G1391" s="89" t="s">
        <v>792</v>
      </c>
      <c r="H1391" s="5">
        <v>10</v>
      </c>
      <c r="I1391" s="5">
        <f>VLOOKUP(F1391,'Set up'!$A$2:$C$48,3,FALSE)</f>
        <v>120</v>
      </c>
      <c r="J1391" s="5">
        <f>VLOOKUP(F1391,'Set up'!$A$2:$D$48,4,FALSE)</f>
        <v>120</v>
      </c>
      <c r="K1391" s="4">
        <f t="shared" si="452"/>
        <v>45087</v>
      </c>
      <c r="L1391" s="5">
        <f t="shared" si="453"/>
        <v>6</v>
      </c>
      <c r="M1391" s="5">
        <f t="shared" si="454"/>
        <v>2023</v>
      </c>
      <c r="N1391" s="6">
        <v>575</v>
      </c>
      <c r="O1391" s="6">
        <f t="shared" si="459"/>
        <v>-575</v>
      </c>
      <c r="P1391" s="6">
        <f t="shared" si="447"/>
        <v>0</v>
      </c>
      <c r="Q1391" s="7">
        <f t="shared" si="448"/>
        <v>2563656.2500000005</v>
      </c>
      <c r="R1391" s="44" t="str">
        <f>VLOOKUP(F1391,'Set up'!$A$2:$E$48,5,FALSE)</f>
        <v>Trsf</v>
      </c>
      <c r="S1391" s="1" t="s">
        <v>1582</v>
      </c>
    </row>
    <row r="1392" spans="1:19" hidden="1" x14ac:dyDescent="0.3">
      <c r="A1392" s="4" t="s">
        <v>1251</v>
      </c>
      <c r="B1392" s="5">
        <f t="shared" si="449"/>
        <v>2</v>
      </c>
      <c r="C1392" s="5">
        <f t="shared" si="450"/>
        <v>2023</v>
      </c>
      <c r="D1392" s="5" t="s">
        <v>1252</v>
      </c>
      <c r="E1392" s="5" t="str">
        <f>VLOOKUP(F1392,'Set up'!$A$2:$C$48,2,FALSE)</f>
        <v>C00000010</v>
      </c>
      <c r="F1392" s="1" t="s">
        <v>62</v>
      </c>
      <c r="G1392" s="89" t="s">
        <v>46</v>
      </c>
      <c r="H1392" s="5">
        <v>4</v>
      </c>
      <c r="I1392" s="5">
        <f>VLOOKUP(F1392,'Set up'!$A$2:$C$48,3,FALSE)</f>
        <v>120</v>
      </c>
      <c r="J1392" s="5">
        <f>VLOOKUP(F1392,'Set up'!$A$2:$D$48,4,FALSE)</f>
        <v>120</v>
      </c>
      <c r="K1392" s="4">
        <f t="shared" si="452"/>
        <v>45087</v>
      </c>
      <c r="L1392" s="5">
        <f t="shared" si="453"/>
        <v>6</v>
      </c>
      <c r="M1392" s="5">
        <f t="shared" si="454"/>
        <v>2023</v>
      </c>
      <c r="N1392" s="6">
        <v>420</v>
      </c>
      <c r="O1392" s="6">
        <f t="shared" si="459"/>
        <v>-420</v>
      </c>
      <c r="P1392" s="6">
        <f t="shared" si="447"/>
        <v>0</v>
      </c>
      <c r="Q1392" s="7">
        <f t="shared" si="448"/>
        <v>2564076.2500000005</v>
      </c>
      <c r="R1392" s="44" t="str">
        <f>VLOOKUP(F1392,'Set up'!$A$2:$E$48,5,FALSE)</f>
        <v>Trsf</v>
      </c>
      <c r="S1392" s="1" t="s">
        <v>1582</v>
      </c>
    </row>
    <row r="1393" spans="1:19" hidden="1" x14ac:dyDescent="0.3">
      <c r="A1393" s="4" t="s">
        <v>1251</v>
      </c>
      <c r="B1393" s="5">
        <f t="shared" si="449"/>
        <v>2</v>
      </c>
      <c r="C1393" s="5">
        <f t="shared" si="450"/>
        <v>2023</v>
      </c>
      <c r="D1393" s="5" t="s">
        <v>1252</v>
      </c>
      <c r="E1393" s="5" t="str">
        <f>VLOOKUP(F1393,'Set up'!$A$2:$C$48,2,FALSE)</f>
        <v>C00000010</v>
      </c>
      <c r="F1393" s="1" t="s">
        <v>62</v>
      </c>
      <c r="G1393" s="89" t="s">
        <v>1254</v>
      </c>
      <c r="H1393" s="5">
        <v>2</v>
      </c>
      <c r="I1393" s="5">
        <f>VLOOKUP(F1393,'Set up'!$A$2:$C$48,3,FALSE)</f>
        <v>120</v>
      </c>
      <c r="J1393" s="5">
        <f>VLOOKUP(F1393,'Set up'!$A$2:$D$48,4,FALSE)</f>
        <v>120</v>
      </c>
      <c r="K1393" s="4">
        <f t="shared" si="452"/>
        <v>45087</v>
      </c>
      <c r="L1393" s="5">
        <f t="shared" si="453"/>
        <v>6</v>
      </c>
      <c r="M1393" s="5">
        <f t="shared" si="454"/>
        <v>2023</v>
      </c>
      <c r="N1393" s="6">
        <v>595</v>
      </c>
      <c r="O1393" s="6">
        <f t="shared" si="459"/>
        <v>-595</v>
      </c>
      <c r="P1393" s="6">
        <f t="shared" si="447"/>
        <v>0</v>
      </c>
      <c r="Q1393" s="7">
        <f t="shared" si="448"/>
        <v>2564671.2500000005</v>
      </c>
      <c r="R1393" s="44" t="str">
        <f>VLOOKUP(F1393,'Set up'!$A$2:$E$48,5,FALSE)</f>
        <v>Trsf</v>
      </c>
      <c r="S1393" s="1" t="s">
        <v>1582</v>
      </c>
    </row>
    <row r="1394" spans="1:19" x14ac:dyDescent="0.3">
      <c r="A1394" s="4">
        <v>44968</v>
      </c>
      <c r="B1394" s="5">
        <f t="shared" si="449"/>
        <v>2</v>
      </c>
      <c r="C1394" s="5">
        <f t="shared" si="450"/>
        <v>2023</v>
      </c>
      <c r="D1394" s="5" t="s">
        <v>1255</v>
      </c>
      <c r="E1394" s="5" t="str">
        <f>VLOOKUP(F1394,'Set up'!$A$2:$C$48,2,FALSE)</f>
        <v>C00000020</v>
      </c>
      <c r="F1394" s="1" t="s">
        <v>410</v>
      </c>
      <c r="G1394" s="89" t="s">
        <v>717</v>
      </c>
      <c r="H1394" s="5">
        <v>5</v>
      </c>
      <c r="I1394" s="5" t="str">
        <f>VLOOKUP(F1394,'Set up'!$A$2:$C$48,3,FALSE)</f>
        <v>Cash</v>
      </c>
      <c r="J1394" s="5">
        <f>VLOOKUP(F1394,'Set up'!$A$2:$D$48,4,FALSE)</f>
        <v>0</v>
      </c>
      <c r="K1394" s="4">
        <f t="shared" si="452"/>
        <v>44968</v>
      </c>
      <c r="L1394" s="5">
        <f t="shared" si="453"/>
        <v>2</v>
      </c>
      <c r="M1394" s="5">
        <f t="shared" si="454"/>
        <v>2023</v>
      </c>
      <c r="N1394" s="6">
        <v>8690</v>
      </c>
      <c r="O1394" s="6">
        <f>-6613.8-1100-976.2</f>
        <v>-8690</v>
      </c>
      <c r="P1394" s="6">
        <f t="shared" si="447"/>
        <v>0</v>
      </c>
      <c r="Q1394" s="7">
        <f t="shared" si="448"/>
        <v>2573361.2500000005</v>
      </c>
      <c r="R1394" s="44" t="str">
        <f>VLOOKUP(F1394,'Set up'!$A$2:$E$48,5,FALSE)</f>
        <v>Trsf</v>
      </c>
      <c r="S1394" s="1" t="s">
        <v>2074</v>
      </c>
    </row>
    <row r="1395" spans="1:19" x14ac:dyDescent="0.3">
      <c r="A1395" s="4">
        <v>44968</v>
      </c>
      <c r="B1395" s="5">
        <f t="shared" si="449"/>
        <v>2</v>
      </c>
      <c r="C1395" s="5">
        <f t="shared" si="450"/>
        <v>2023</v>
      </c>
      <c r="D1395" s="5" t="s">
        <v>1255</v>
      </c>
      <c r="E1395" s="5" t="str">
        <f>VLOOKUP(F1395,'Set up'!$A$2:$C$48,2,FALSE)</f>
        <v>C00000020</v>
      </c>
      <c r="F1395" s="1" t="s">
        <v>410</v>
      </c>
      <c r="G1395" s="89" t="s">
        <v>655</v>
      </c>
      <c r="H1395" s="5">
        <v>15</v>
      </c>
      <c r="I1395" s="5" t="str">
        <f>VLOOKUP(F1395,'Set up'!$A$2:$C$48,3,FALSE)</f>
        <v>Cash</v>
      </c>
      <c r="J1395" s="5">
        <f>VLOOKUP(F1395,'Set up'!$A$2:$D$48,4,FALSE)</f>
        <v>0</v>
      </c>
      <c r="K1395" s="4">
        <f t="shared" si="452"/>
        <v>44968</v>
      </c>
      <c r="L1395" s="5">
        <f t="shared" si="453"/>
        <v>2</v>
      </c>
      <c r="M1395" s="5">
        <f t="shared" si="454"/>
        <v>2023</v>
      </c>
      <c r="N1395" s="6">
        <v>3420</v>
      </c>
      <c r="O1395" s="6">
        <f t="shared" ref="O1395:O1398" si="460">-N1395</f>
        <v>-3420</v>
      </c>
      <c r="P1395" s="6">
        <f t="shared" si="447"/>
        <v>0</v>
      </c>
      <c r="Q1395" s="7">
        <f t="shared" si="448"/>
        <v>2576781.2500000005</v>
      </c>
      <c r="R1395" s="44" t="str">
        <f>VLOOKUP(F1395,'Set up'!$A$2:$E$48,5,FALSE)</f>
        <v>Trsf</v>
      </c>
      <c r="S1395" s="1" t="s">
        <v>2064</v>
      </c>
    </row>
    <row r="1396" spans="1:19" x14ac:dyDescent="0.3">
      <c r="A1396" s="4">
        <v>44968</v>
      </c>
      <c r="B1396" s="5">
        <f t="shared" si="449"/>
        <v>2</v>
      </c>
      <c r="C1396" s="5">
        <f t="shared" si="450"/>
        <v>2023</v>
      </c>
      <c r="D1396" s="5" t="s">
        <v>1255</v>
      </c>
      <c r="E1396" s="5" t="str">
        <f>VLOOKUP(F1396,'Set up'!$A$2:$C$48,2,FALSE)</f>
        <v>C00000020</v>
      </c>
      <c r="F1396" s="1" t="s">
        <v>410</v>
      </c>
      <c r="G1396" s="89" t="s">
        <v>1169</v>
      </c>
      <c r="H1396" s="5">
        <v>8</v>
      </c>
      <c r="I1396" s="5" t="str">
        <f>VLOOKUP(F1396,'Set up'!$A$2:$C$48,3,FALSE)</f>
        <v>Cash</v>
      </c>
      <c r="J1396" s="5">
        <f>VLOOKUP(F1396,'Set up'!$A$2:$D$48,4,FALSE)</f>
        <v>0</v>
      </c>
      <c r="K1396" s="4">
        <f t="shared" si="452"/>
        <v>44968</v>
      </c>
      <c r="L1396" s="5">
        <f t="shared" si="453"/>
        <v>2</v>
      </c>
      <c r="M1396" s="5">
        <f t="shared" si="454"/>
        <v>2023</v>
      </c>
      <c r="N1396" s="6">
        <v>2116.8000000000002</v>
      </c>
      <c r="O1396" s="6">
        <f t="shared" si="460"/>
        <v>-2116.8000000000002</v>
      </c>
      <c r="P1396" s="6">
        <f t="shared" si="447"/>
        <v>0</v>
      </c>
      <c r="Q1396" s="7">
        <f t="shared" si="448"/>
        <v>2578898.0500000003</v>
      </c>
      <c r="R1396" s="44" t="str">
        <f>VLOOKUP(F1396,'Set up'!$A$2:$E$48,5,FALSE)</f>
        <v>Trsf</v>
      </c>
      <c r="S1396" s="1" t="s">
        <v>2065</v>
      </c>
    </row>
    <row r="1397" spans="1:19" x14ac:dyDescent="0.3">
      <c r="A1397" s="4">
        <v>44968</v>
      </c>
      <c r="B1397" s="5">
        <f t="shared" si="449"/>
        <v>2</v>
      </c>
      <c r="C1397" s="5">
        <f t="shared" si="450"/>
        <v>2023</v>
      </c>
      <c r="D1397" s="5" t="s">
        <v>1255</v>
      </c>
      <c r="E1397" s="5" t="str">
        <f>VLOOKUP(F1397,'Set up'!$A$2:$C$48,2,FALSE)</f>
        <v>C00000020</v>
      </c>
      <c r="F1397" s="1" t="s">
        <v>410</v>
      </c>
      <c r="G1397" s="89" t="s">
        <v>1074</v>
      </c>
      <c r="H1397" s="5">
        <v>1</v>
      </c>
      <c r="I1397" s="5" t="str">
        <f>VLOOKUP(F1397,'Set up'!$A$2:$C$48,3,FALSE)</f>
        <v>Cash</v>
      </c>
      <c r="J1397" s="5">
        <f>VLOOKUP(F1397,'Set up'!$A$2:$D$48,4,FALSE)</f>
        <v>0</v>
      </c>
      <c r="K1397" s="4">
        <f t="shared" si="452"/>
        <v>44968</v>
      </c>
      <c r="L1397" s="5">
        <f t="shared" si="453"/>
        <v>2</v>
      </c>
      <c r="M1397" s="5">
        <f t="shared" si="454"/>
        <v>2023</v>
      </c>
      <c r="N1397" s="6">
        <v>1000</v>
      </c>
      <c r="O1397" s="6">
        <f t="shared" si="460"/>
        <v>-1000</v>
      </c>
      <c r="P1397" s="6">
        <f t="shared" si="447"/>
        <v>0</v>
      </c>
      <c r="Q1397" s="7">
        <f t="shared" si="448"/>
        <v>2579898.0500000003</v>
      </c>
      <c r="R1397" s="44" t="str">
        <f>VLOOKUP(F1397,'Set up'!$A$2:$E$48,5,FALSE)</f>
        <v>Trsf</v>
      </c>
      <c r="S1397" s="1" t="s">
        <v>2066</v>
      </c>
    </row>
    <row r="1398" spans="1:19" x14ac:dyDescent="0.3">
      <c r="A1398" s="4">
        <v>44968</v>
      </c>
      <c r="B1398" s="5">
        <f t="shared" si="449"/>
        <v>2</v>
      </c>
      <c r="C1398" s="5">
        <f t="shared" si="450"/>
        <v>2023</v>
      </c>
      <c r="D1398" s="5" t="s">
        <v>1256</v>
      </c>
      <c r="E1398" s="5" t="str">
        <f>VLOOKUP(F1398,'Set up'!$A$2:$C$48,2,FALSE)</f>
        <v>C00000020</v>
      </c>
      <c r="F1398" s="1" t="s">
        <v>410</v>
      </c>
      <c r="G1398" s="89" t="s">
        <v>1111</v>
      </c>
      <c r="H1398" s="5">
        <v>5</v>
      </c>
      <c r="I1398" s="5" t="str">
        <f>VLOOKUP(F1398,'Set up'!$A$2:$C$48,3,FALSE)</f>
        <v>Cash</v>
      </c>
      <c r="J1398" s="5">
        <f>VLOOKUP(F1398,'Set up'!$A$2:$D$48,4,FALSE)</f>
        <v>0</v>
      </c>
      <c r="K1398" s="4">
        <f t="shared" si="452"/>
        <v>44968</v>
      </c>
      <c r="L1398" s="5">
        <f t="shared" si="453"/>
        <v>2</v>
      </c>
      <c r="M1398" s="5">
        <f t="shared" si="454"/>
        <v>2023</v>
      </c>
      <c r="N1398" s="6">
        <v>312.5</v>
      </c>
      <c r="O1398" s="6">
        <f t="shared" si="460"/>
        <v>-312.5</v>
      </c>
      <c r="P1398" s="6">
        <f t="shared" si="447"/>
        <v>0</v>
      </c>
      <c r="Q1398" s="7">
        <f t="shared" si="448"/>
        <v>2580210.5500000003</v>
      </c>
      <c r="R1398" s="44" t="str">
        <f>VLOOKUP(F1398,'Set up'!$A$2:$E$48,5,FALSE)</f>
        <v>Trsf</v>
      </c>
      <c r="S1398" s="1" t="s">
        <v>2067</v>
      </c>
    </row>
    <row r="1399" spans="1:19" hidden="1" x14ac:dyDescent="0.3">
      <c r="A1399" s="4">
        <v>44968</v>
      </c>
      <c r="B1399" s="5">
        <f t="shared" ref="B1399:B1428" si="461">MONTH(A1399)</f>
        <v>2</v>
      </c>
      <c r="C1399" s="5">
        <f t="shared" ref="C1399:C1428" si="462">YEAR(A1399)</f>
        <v>2023</v>
      </c>
      <c r="D1399" s="5" t="s">
        <v>1257</v>
      </c>
      <c r="E1399" s="5" t="str">
        <f>VLOOKUP(F1399,'Set up'!$A$2:$C$48,2,FALSE)</f>
        <v>C00000019</v>
      </c>
      <c r="F1399" s="1" t="s">
        <v>401</v>
      </c>
      <c r="G1399" s="89" t="s">
        <v>401</v>
      </c>
      <c r="H1399" s="5">
        <v>1</v>
      </c>
      <c r="I1399" s="5" t="str">
        <f>VLOOKUP(F1399,'Set up'!$A$2:$C$48,3,FALSE)</f>
        <v>Cash</v>
      </c>
      <c r="J1399" s="5">
        <f>VLOOKUP(F1399,'Set up'!$A$2:$D$48,4,FALSE)</f>
        <v>0</v>
      </c>
      <c r="K1399" s="4">
        <f t="shared" si="452"/>
        <v>44968</v>
      </c>
      <c r="L1399" s="5">
        <f t="shared" si="453"/>
        <v>2</v>
      </c>
      <c r="M1399" s="5">
        <f t="shared" si="454"/>
        <v>2023</v>
      </c>
      <c r="N1399" s="6">
        <v>450</v>
      </c>
      <c r="O1399" s="6">
        <f t="shared" ref="O1399" si="463">-N1399</f>
        <v>-450</v>
      </c>
      <c r="P1399" s="6">
        <f t="shared" si="447"/>
        <v>0</v>
      </c>
      <c r="Q1399" s="7">
        <f t="shared" si="448"/>
        <v>2580660.5500000003</v>
      </c>
      <c r="R1399" s="44" t="str">
        <f>VLOOKUP(F1399,'Set up'!$A$2:$E$48,5,FALSE)</f>
        <v>Trsf</v>
      </c>
      <c r="S1399" s="1" t="s">
        <v>1580</v>
      </c>
    </row>
    <row r="1400" spans="1:19" hidden="1" x14ac:dyDescent="0.3">
      <c r="A1400" s="4">
        <v>44972</v>
      </c>
      <c r="B1400" s="5">
        <f t="shared" si="461"/>
        <v>2</v>
      </c>
      <c r="C1400" s="5">
        <f t="shared" si="462"/>
        <v>2023</v>
      </c>
      <c r="D1400" s="5" t="s">
        <v>1263</v>
      </c>
      <c r="E1400" s="5" t="str">
        <f>VLOOKUP(F1400,'Set up'!$A$2:$C$48,2,FALSE)</f>
        <v>C00000035</v>
      </c>
      <c r="F1400" s="1" t="s">
        <v>1258</v>
      </c>
      <c r="G1400" s="89" t="s">
        <v>1259</v>
      </c>
      <c r="H1400" s="5">
        <v>1</v>
      </c>
      <c r="I1400" s="5" t="str">
        <f>VLOOKUP(F1400,'Set up'!$A$2:$C$48,3,FALSE)</f>
        <v>Cash</v>
      </c>
      <c r="J1400" s="5">
        <f>VLOOKUP(F1400,'Set up'!$A$2:$D$48,4,FALSE)</f>
        <v>0</v>
      </c>
      <c r="K1400" s="4">
        <f t="shared" si="452"/>
        <v>44972</v>
      </c>
      <c r="L1400" s="5">
        <f t="shared" si="453"/>
        <v>2</v>
      </c>
      <c r="M1400" s="5">
        <f t="shared" si="454"/>
        <v>2023</v>
      </c>
      <c r="N1400" s="6">
        <v>260</v>
      </c>
      <c r="O1400" s="6">
        <f t="shared" ref="O1400:O1405" si="464">-N1400</f>
        <v>-260</v>
      </c>
      <c r="P1400" s="6">
        <f t="shared" si="447"/>
        <v>0</v>
      </c>
      <c r="Q1400" s="7">
        <f t="shared" si="448"/>
        <v>2580920.5500000003</v>
      </c>
      <c r="R1400" s="44" t="str">
        <f>VLOOKUP(F1400,'Set up'!$A$2:$E$48,5,FALSE)</f>
        <v>Trsf</v>
      </c>
      <c r="S1400" s="1" t="s">
        <v>1295</v>
      </c>
    </row>
    <row r="1401" spans="1:19" hidden="1" x14ac:dyDescent="0.3">
      <c r="A1401" s="4">
        <v>44972</v>
      </c>
      <c r="B1401" s="5">
        <f t="shared" si="461"/>
        <v>2</v>
      </c>
      <c r="C1401" s="5">
        <f t="shared" si="462"/>
        <v>2023</v>
      </c>
      <c r="D1401" s="5" t="s">
        <v>1263</v>
      </c>
      <c r="E1401" s="5" t="str">
        <f>VLOOKUP(F1401,'Set up'!$A$2:$C$48,2,FALSE)</f>
        <v>C00000035</v>
      </c>
      <c r="F1401" s="1" t="s">
        <v>1258</v>
      </c>
      <c r="G1401" s="89" t="s">
        <v>655</v>
      </c>
      <c r="H1401" s="5">
        <v>1</v>
      </c>
      <c r="I1401" s="5" t="str">
        <f>VLOOKUP(F1401,'Set up'!$A$2:$C$48,3,FALSE)</f>
        <v>Cash</v>
      </c>
      <c r="J1401" s="5">
        <f>VLOOKUP(F1401,'Set up'!$A$2:$D$48,4,FALSE)</f>
        <v>0</v>
      </c>
      <c r="K1401" s="4">
        <f t="shared" si="452"/>
        <v>44972</v>
      </c>
      <c r="L1401" s="5">
        <f t="shared" si="453"/>
        <v>2</v>
      </c>
      <c r="M1401" s="5">
        <f t="shared" si="454"/>
        <v>2023</v>
      </c>
      <c r="N1401" s="6">
        <v>228</v>
      </c>
      <c r="O1401" s="6">
        <f t="shared" si="464"/>
        <v>-228</v>
      </c>
      <c r="P1401" s="6">
        <f t="shared" si="447"/>
        <v>0</v>
      </c>
      <c r="Q1401" s="7">
        <f t="shared" si="448"/>
        <v>2581148.5500000003</v>
      </c>
      <c r="R1401" s="44" t="str">
        <f>VLOOKUP(F1401,'Set up'!$A$2:$E$48,5,FALSE)</f>
        <v>Trsf</v>
      </c>
      <c r="S1401" s="1" t="s">
        <v>1295</v>
      </c>
    </row>
    <row r="1402" spans="1:19" hidden="1" x14ac:dyDescent="0.3">
      <c r="A1402" s="4">
        <v>44972</v>
      </c>
      <c r="B1402" s="5">
        <f t="shared" si="461"/>
        <v>2</v>
      </c>
      <c r="C1402" s="5">
        <f t="shared" si="462"/>
        <v>2023</v>
      </c>
      <c r="D1402" s="5" t="s">
        <v>1263</v>
      </c>
      <c r="E1402" s="5" t="str">
        <f>VLOOKUP(F1402,'Set up'!$A$2:$C$48,2,FALSE)</f>
        <v>C00000035</v>
      </c>
      <c r="F1402" s="1" t="s">
        <v>1258</v>
      </c>
      <c r="G1402" s="89" t="s">
        <v>1260</v>
      </c>
      <c r="H1402" s="5">
        <v>1</v>
      </c>
      <c r="I1402" s="5" t="str">
        <f>VLOOKUP(F1402,'Set up'!$A$2:$C$48,3,FALSE)</f>
        <v>Cash</v>
      </c>
      <c r="J1402" s="5">
        <f>VLOOKUP(F1402,'Set up'!$A$2:$D$48,4,FALSE)</f>
        <v>0</v>
      </c>
      <c r="K1402" s="4">
        <f t="shared" si="452"/>
        <v>44972</v>
      </c>
      <c r="L1402" s="5">
        <f t="shared" si="453"/>
        <v>2</v>
      </c>
      <c r="M1402" s="5">
        <f t="shared" si="454"/>
        <v>2023</v>
      </c>
      <c r="N1402" s="6">
        <v>105</v>
      </c>
      <c r="O1402" s="6">
        <f t="shared" si="464"/>
        <v>-105</v>
      </c>
      <c r="P1402" s="6">
        <f t="shared" si="447"/>
        <v>0</v>
      </c>
      <c r="Q1402" s="7">
        <f t="shared" si="448"/>
        <v>2581253.5500000003</v>
      </c>
      <c r="R1402" s="44" t="str">
        <f>VLOOKUP(F1402,'Set up'!$A$2:$E$48,5,FALSE)</f>
        <v>Trsf</v>
      </c>
      <c r="S1402" s="1" t="s">
        <v>1295</v>
      </c>
    </row>
    <row r="1403" spans="1:19" hidden="1" x14ac:dyDescent="0.3">
      <c r="A1403" s="4">
        <v>44972</v>
      </c>
      <c r="B1403" s="5">
        <f t="shared" si="461"/>
        <v>2</v>
      </c>
      <c r="C1403" s="5">
        <f t="shared" si="462"/>
        <v>2023</v>
      </c>
      <c r="D1403" s="5" t="s">
        <v>1263</v>
      </c>
      <c r="E1403" s="5" t="str">
        <f>VLOOKUP(F1403,'Set up'!$A$2:$C$48,2,FALSE)</f>
        <v>C00000035</v>
      </c>
      <c r="F1403" s="1" t="s">
        <v>1258</v>
      </c>
      <c r="G1403" s="89" t="s">
        <v>865</v>
      </c>
      <c r="H1403" s="5">
        <v>1</v>
      </c>
      <c r="I1403" s="5" t="str">
        <f>VLOOKUP(F1403,'Set up'!$A$2:$C$48,3,FALSE)</f>
        <v>Cash</v>
      </c>
      <c r="J1403" s="5">
        <f>VLOOKUP(F1403,'Set up'!$A$2:$D$48,4,FALSE)</f>
        <v>0</v>
      </c>
      <c r="K1403" s="4">
        <f t="shared" si="452"/>
        <v>44972</v>
      </c>
      <c r="L1403" s="5">
        <f t="shared" si="453"/>
        <v>2</v>
      </c>
      <c r="M1403" s="5">
        <f t="shared" si="454"/>
        <v>2023</v>
      </c>
      <c r="N1403" s="6">
        <v>170</v>
      </c>
      <c r="O1403" s="6">
        <f t="shared" si="464"/>
        <v>-170</v>
      </c>
      <c r="P1403" s="6">
        <f t="shared" si="447"/>
        <v>0</v>
      </c>
      <c r="Q1403" s="7">
        <f t="shared" si="448"/>
        <v>2581423.5500000003</v>
      </c>
      <c r="R1403" s="44" t="str">
        <f>VLOOKUP(F1403,'Set up'!$A$2:$E$48,5,FALSE)</f>
        <v>Trsf</v>
      </c>
      <c r="S1403" s="1" t="s">
        <v>1295</v>
      </c>
    </row>
    <row r="1404" spans="1:19" hidden="1" x14ac:dyDescent="0.3">
      <c r="A1404" s="4">
        <v>44972</v>
      </c>
      <c r="B1404" s="5">
        <f t="shared" si="461"/>
        <v>2</v>
      </c>
      <c r="C1404" s="5">
        <f t="shared" si="462"/>
        <v>2023</v>
      </c>
      <c r="D1404" s="5" t="s">
        <v>1263</v>
      </c>
      <c r="E1404" s="5" t="str">
        <f>VLOOKUP(F1404,'Set up'!$A$2:$C$48,2,FALSE)</f>
        <v>C00000035</v>
      </c>
      <c r="F1404" s="1" t="s">
        <v>1258</v>
      </c>
      <c r="G1404" s="89" t="s">
        <v>950</v>
      </c>
      <c r="H1404" s="5">
        <v>1</v>
      </c>
      <c r="I1404" s="5" t="str">
        <f>VLOOKUP(F1404,'Set up'!$A$2:$C$48,3,FALSE)</f>
        <v>Cash</v>
      </c>
      <c r="J1404" s="5">
        <f>VLOOKUP(F1404,'Set up'!$A$2:$D$48,4,FALSE)</f>
        <v>0</v>
      </c>
      <c r="K1404" s="4">
        <f t="shared" si="452"/>
        <v>44972</v>
      </c>
      <c r="L1404" s="5">
        <f t="shared" ref="L1404:L1428" si="465">MONTH(K1404)</f>
        <v>2</v>
      </c>
      <c r="M1404" s="5">
        <f t="shared" ref="M1404:M1428" si="466">YEAR(K1404)</f>
        <v>2023</v>
      </c>
      <c r="N1404" s="6">
        <v>50</v>
      </c>
      <c r="O1404" s="6">
        <f t="shared" si="464"/>
        <v>-50</v>
      </c>
      <c r="P1404" s="6">
        <f t="shared" ref="P1404:P1428" si="467">SUM(N1404+O1404)</f>
        <v>0</v>
      </c>
      <c r="Q1404" s="7">
        <f t="shared" ref="Q1404:Q1428" si="468">SUM(Q1403+N1404)</f>
        <v>2581473.5500000003</v>
      </c>
      <c r="R1404" s="44" t="str">
        <f>VLOOKUP(F1404,'Set up'!$A$2:$E$48,5,FALSE)</f>
        <v>Trsf</v>
      </c>
      <c r="S1404" s="1" t="s">
        <v>1295</v>
      </c>
    </row>
    <row r="1405" spans="1:19" hidden="1" x14ac:dyDescent="0.3">
      <c r="A1405" s="4">
        <v>44972</v>
      </c>
      <c r="B1405" s="5">
        <f t="shared" si="461"/>
        <v>2</v>
      </c>
      <c r="C1405" s="5">
        <f t="shared" si="462"/>
        <v>2023</v>
      </c>
      <c r="D1405" s="5" t="s">
        <v>1263</v>
      </c>
      <c r="E1405" s="5" t="str">
        <f>VLOOKUP(F1405,'Set up'!$A$2:$C$48,2,FALSE)</f>
        <v>C00000035</v>
      </c>
      <c r="F1405" s="1" t="s">
        <v>1258</v>
      </c>
      <c r="G1405" s="89" t="s">
        <v>1261</v>
      </c>
      <c r="H1405" s="5">
        <v>1</v>
      </c>
      <c r="I1405" s="5" t="str">
        <f>VLOOKUP(F1405,'Set up'!$A$2:$C$48,3,FALSE)</f>
        <v>Cash</v>
      </c>
      <c r="J1405" s="5">
        <f>VLOOKUP(F1405,'Set up'!$A$2:$D$48,4,FALSE)</f>
        <v>0</v>
      </c>
      <c r="K1405" s="4">
        <f t="shared" si="452"/>
        <v>44972</v>
      </c>
      <c r="L1405" s="5">
        <f t="shared" si="465"/>
        <v>2</v>
      </c>
      <c r="M1405" s="5">
        <f t="shared" si="466"/>
        <v>2023</v>
      </c>
      <c r="N1405" s="6">
        <v>48</v>
      </c>
      <c r="O1405" s="6">
        <f t="shared" si="464"/>
        <v>-48</v>
      </c>
      <c r="P1405" s="6">
        <f t="shared" si="467"/>
        <v>0</v>
      </c>
      <c r="Q1405" s="7">
        <f t="shared" si="468"/>
        <v>2581521.5500000003</v>
      </c>
      <c r="R1405" s="44" t="str">
        <f>VLOOKUP(F1405,'Set up'!$A$2:$E$48,5,FALSE)</f>
        <v>Trsf</v>
      </c>
      <c r="S1405" s="1" t="s">
        <v>1295</v>
      </c>
    </row>
    <row r="1406" spans="1:19" x14ac:dyDescent="0.3">
      <c r="A1406" s="4" t="s">
        <v>1265</v>
      </c>
      <c r="B1406" s="5">
        <f t="shared" si="461"/>
        <v>2</v>
      </c>
      <c r="C1406" s="5">
        <f t="shared" si="462"/>
        <v>2023</v>
      </c>
      <c r="D1406" s="5" t="s">
        <v>1264</v>
      </c>
      <c r="E1406" s="5" t="str">
        <f>VLOOKUP(F1406,'Set up'!$A$2:$C$48,2,FALSE)</f>
        <v>C00000020</v>
      </c>
      <c r="F1406" s="1" t="s">
        <v>410</v>
      </c>
      <c r="G1406" s="89" t="s">
        <v>717</v>
      </c>
      <c r="H1406" s="5">
        <v>3</v>
      </c>
      <c r="I1406" s="5" t="str">
        <f>VLOOKUP(F1406,'Set up'!$A$2:$C$48,3,FALSE)</f>
        <v>Cash</v>
      </c>
      <c r="J1406" s="5">
        <f>VLOOKUP(F1406,'Set up'!$A$2:$D$48,4,FALSE)</f>
        <v>0</v>
      </c>
      <c r="K1406" s="4">
        <f t="shared" si="452"/>
        <v>44973</v>
      </c>
      <c r="L1406" s="5">
        <f t="shared" si="465"/>
        <v>2</v>
      </c>
      <c r="M1406" s="5">
        <f t="shared" si="466"/>
        <v>2023</v>
      </c>
      <c r="N1406" s="6">
        <v>5214</v>
      </c>
      <c r="O1406" s="6">
        <f>-1174.5-4039.5</f>
        <v>-5214</v>
      </c>
      <c r="P1406" s="6">
        <f t="shared" si="467"/>
        <v>0</v>
      </c>
      <c r="Q1406" s="7">
        <f t="shared" si="468"/>
        <v>2586735.5500000003</v>
      </c>
      <c r="R1406" s="44" t="str">
        <f>VLOOKUP(F1406,'Set up'!$A$2:$E$48,5,FALSE)</f>
        <v>Trsf</v>
      </c>
      <c r="S1406" s="1" t="s">
        <v>2311</v>
      </c>
    </row>
    <row r="1407" spans="1:19" x14ac:dyDescent="0.3">
      <c r="A1407" s="4" t="s">
        <v>1265</v>
      </c>
      <c r="B1407" s="5">
        <f t="shared" si="461"/>
        <v>2</v>
      </c>
      <c r="C1407" s="5">
        <f t="shared" si="462"/>
        <v>2023</v>
      </c>
      <c r="D1407" s="5" t="s">
        <v>1264</v>
      </c>
      <c r="E1407" s="5" t="str">
        <f>VLOOKUP(F1407,'Set up'!$A$2:$C$48,2,FALSE)</f>
        <v>C00000020</v>
      </c>
      <c r="F1407" s="1" t="s">
        <v>410</v>
      </c>
      <c r="G1407" s="89" t="s">
        <v>655</v>
      </c>
      <c r="H1407" s="5">
        <v>20</v>
      </c>
      <c r="I1407" s="5" t="str">
        <f>VLOOKUP(F1407,'Set up'!$A$2:$C$48,3,FALSE)</f>
        <v>Cash</v>
      </c>
      <c r="J1407" s="5">
        <f>VLOOKUP(F1407,'Set up'!$A$2:$D$48,4,FALSE)</f>
        <v>0</v>
      </c>
      <c r="K1407" s="4">
        <f t="shared" si="452"/>
        <v>44973</v>
      </c>
      <c r="L1407" s="5">
        <f t="shared" si="465"/>
        <v>2</v>
      </c>
      <c r="M1407" s="5">
        <f t="shared" si="466"/>
        <v>2023</v>
      </c>
      <c r="N1407" s="6">
        <v>4560</v>
      </c>
      <c r="O1407" s="6">
        <f t="shared" ref="O1407:O1412" si="469">-N1407</f>
        <v>-4560</v>
      </c>
      <c r="P1407" s="6">
        <f t="shared" si="467"/>
        <v>0</v>
      </c>
      <c r="Q1407" s="7">
        <f t="shared" si="468"/>
        <v>2591295.5500000003</v>
      </c>
      <c r="R1407" s="44" t="str">
        <f>VLOOKUP(F1407,'Set up'!$A$2:$E$48,5,FALSE)</f>
        <v>Trsf</v>
      </c>
      <c r="S1407" s="1" t="s">
        <v>2138</v>
      </c>
    </row>
    <row r="1408" spans="1:19" x14ac:dyDescent="0.3">
      <c r="A1408" s="4" t="s">
        <v>1265</v>
      </c>
      <c r="B1408" s="5">
        <f t="shared" si="461"/>
        <v>2</v>
      </c>
      <c r="C1408" s="5">
        <f t="shared" si="462"/>
        <v>2023</v>
      </c>
      <c r="D1408" s="5" t="s">
        <v>1264</v>
      </c>
      <c r="E1408" s="5" t="str">
        <f>VLOOKUP(F1408,'Set up'!$A$2:$C$48,2,FALSE)</f>
        <v>C00000020</v>
      </c>
      <c r="F1408" s="1" t="s">
        <v>410</v>
      </c>
      <c r="G1408" s="89" t="s">
        <v>1169</v>
      </c>
      <c r="H1408" s="5">
        <v>6</v>
      </c>
      <c r="I1408" s="5" t="str">
        <f>VLOOKUP(F1408,'Set up'!$A$2:$C$48,3,FALSE)</f>
        <v>Cash</v>
      </c>
      <c r="J1408" s="5">
        <f>VLOOKUP(F1408,'Set up'!$A$2:$D$48,4,FALSE)</f>
        <v>0</v>
      </c>
      <c r="K1408" s="4">
        <f t="shared" si="452"/>
        <v>44973</v>
      </c>
      <c r="L1408" s="5">
        <f t="shared" si="465"/>
        <v>2</v>
      </c>
      <c r="M1408" s="5">
        <f t="shared" si="466"/>
        <v>2023</v>
      </c>
      <c r="N1408" s="6">
        <v>1587.6000000000001</v>
      </c>
      <c r="O1408" s="6">
        <f t="shared" si="469"/>
        <v>-1587.6000000000001</v>
      </c>
      <c r="P1408" s="6">
        <f t="shared" si="467"/>
        <v>0</v>
      </c>
      <c r="Q1408" s="7">
        <f t="shared" si="468"/>
        <v>2592883.1500000004</v>
      </c>
      <c r="R1408" s="44" t="str">
        <f>VLOOKUP(F1408,'Set up'!$A$2:$E$48,5,FALSE)</f>
        <v>Trsf</v>
      </c>
      <c r="S1408" s="1" t="s">
        <v>2139</v>
      </c>
    </row>
    <row r="1409" spans="1:19" x14ac:dyDescent="0.3">
      <c r="A1409" s="4" t="s">
        <v>1265</v>
      </c>
      <c r="B1409" s="5">
        <f t="shared" si="461"/>
        <v>2</v>
      </c>
      <c r="C1409" s="5">
        <f t="shared" si="462"/>
        <v>2023</v>
      </c>
      <c r="D1409" s="5" t="s">
        <v>1264</v>
      </c>
      <c r="E1409" s="5" t="str">
        <f>VLOOKUP(F1409,'Set up'!$A$2:$C$48,2,FALSE)</f>
        <v>C00000020</v>
      </c>
      <c r="F1409" s="1" t="s">
        <v>410</v>
      </c>
      <c r="G1409" s="89" t="s">
        <v>779</v>
      </c>
      <c r="H1409" s="5">
        <v>4</v>
      </c>
      <c r="I1409" s="5" t="str">
        <f>VLOOKUP(F1409,'Set up'!$A$2:$C$48,3,FALSE)</f>
        <v>Cash</v>
      </c>
      <c r="J1409" s="5">
        <f>VLOOKUP(F1409,'Set up'!$A$2:$D$48,4,FALSE)</f>
        <v>0</v>
      </c>
      <c r="K1409" s="4">
        <f t="shared" si="452"/>
        <v>44973</v>
      </c>
      <c r="L1409" s="5">
        <f t="shared" si="465"/>
        <v>2</v>
      </c>
      <c r="M1409" s="5">
        <f t="shared" si="466"/>
        <v>2023</v>
      </c>
      <c r="N1409" s="6">
        <v>1008</v>
      </c>
      <c r="O1409" s="6">
        <f t="shared" si="469"/>
        <v>-1008</v>
      </c>
      <c r="P1409" s="6">
        <f t="shared" si="467"/>
        <v>0</v>
      </c>
      <c r="Q1409" s="7">
        <f t="shared" si="468"/>
        <v>2593891.1500000004</v>
      </c>
      <c r="R1409" s="44" t="str">
        <f>VLOOKUP(F1409,'Set up'!$A$2:$E$48,5,FALSE)</f>
        <v>Trsf</v>
      </c>
      <c r="S1409" s="1" t="s">
        <v>2140</v>
      </c>
    </row>
    <row r="1410" spans="1:19" x14ac:dyDescent="0.3">
      <c r="A1410" s="4" t="s">
        <v>1265</v>
      </c>
      <c r="B1410" s="5">
        <f t="shared" si="461"/>
        <v>2</v>
      </c>
      <c r="C1410" s="5">
        <f t="shared" si="462"/>
        <v>2023</v>
      </c>
      <c r="D1410" s="5" t="s">
        <v>1264</v>
      </c>
      <c r="E1410" s="5" t="str">
        <f>VLOOKUP(F1410,'Set up'!$A$2:$C$48,2,FALSE)</f>
        <v>C00000020</v>
      </c>
      <c r="F1410" s="1" t="s">
        <v>410</v>
      </c>
      <c r="G1410" s="89" t="s">
        <v>1074</v>
      </c>
      <c r="H1410" s="5">
        <v>1</v>
      </c>
      <c r="I1410" s="5" t="str">
        <f>VLOOKUP(F1410,'Set up'!$A$2:$C$48,3,FALSE)</f>
        <v>Cash</v>
      </c>
      <c r="J1410" s="5">
        <f>VLOOKUP(F1410,'Set up'!$A$2:$D$48,4,FALSE)</f>
        <v>0</v>
      </c>
      <c r="K1410" s="4">
        <f t="shared" si="452"/>
        <v>44973</v>
      </c>
      <c r="L1410" s="5">
        <f t="shared" si="465"/>
        <v>2</v>
      </c>
      <c r="M1410" s="5">
        <f t="shared" si="466"/>
        <v>2023</v>
      </c>
      <c r="N1410" s="6">
        <v>1000</v>
      </c>
      <c r="O1410" s="6">
        <f t="shared" si="469"/>
        <v>-1000</v>
      </c>
      <c r="P1410" s="6">
        <f t="shared" si="467"/>
        <v>0</v>
      </c>
      <c r="Q1410" s="7">
        <f t="shared" si="468"/>
        <v>2594891.1500000004</v>
      </c>
      <c r="R1410" s="44" t="str">
        <f>VLOOKUP(F1410,'Set up'!$A$2:$E$48,5,FALSE)</f>
        <v>Trsf</v>
      </c>
      <c r="S1410" s="1" t="s">
        <v>2141</v>
      </c>
    </row>
    <row r="1411" spans="1:19" x14ac:dyDescent="0.3">
      <c r="A1411" s="4" t="s">
        <v>1265</v>
      </c>
      <c r="B1411" s="5">
        <f t="shared" si="461"/>
        <v>2</v>
      </c>
      <c r="C1411" s="5">
        <f t="shared" si="462"/>
        <v>2023</v>
      </c>
      <c r="D1411" s="5" t="s">
        <v>1267</v>
      </c>
      <c r="E1411" s="5" t="str">
        <f>VLOOKUP(F1411,'Set up'!$A$2:$C$48,2,FALSE)</f>
        <v>C00000020</v>
      </c>
      <c r="F1411" s="1" t="s">
        <v>410</v>
      </c>
      <c r="G1411" s="89" t="s">
        <v>1111</v>
      </c>
      <c r="H1411" s="5">
        <v>7</v>
      </c>
      <c r="I1411" s="5" t="str">
        <f>VLOOKUP(F1411,'Set up'!$A$2:$C$48,3,FALSE)</f>
        <v>Cash</v>
      </c>
      <c r="J1411" s="5">
        <f>VLOOKUP(F1411,'Set up'!$A$2:$D$48,4,FALSE)</f>
        <v>0</v>
      </c>
      <c r="K1411" s="4">
        <f t="shared" si="452"/>
        <v>44973</v>
      </c>
      <c r="L1411" s="5">
        <f t="shared" si="465"/>
        <v>2</v>
      </c>
      <c r="M1411" s="5">
        <f t="shared" si="466"/>
        <v>2023</v>
      </c>
      <c r="N1411" s="6">
        <v>437.5</v>
      </c>
      <c r="O1411" s="6">
        <f t="shared" si="469"/>
        <v>-437.5</v>
      </c>
      <c r="P1411" s="6">
        <f t="shared" si="467"/>
        <v>0</v>
      </c>
      <c r="Q1411" s="7">
        <f t="shared" si="468"/>
        <v>2595328.6500000004</v>
      </c>
      <c r="R1411" s="44" t="str">
        <f>VLOOKUP(F1411,'Set up'!$A$2:$E$48,5,FALSE)</f>
        <v>Trsf</v>
      </c>
      <c r="S1411" s="1" t="s">
        <v>2142</v>
      </c>
    </row>
    <row r="1412" spans="1:19" x14ac:dyDescent="0.3">
      <c r="A1412" s="4" t="s">
        <v>1265</v>
      </c>
      <c r="B1412" s="5">
        <f t="shared" si="461"/>
        <v>2</v>
      </c>
      <c r="C1412" s="5">
        <f t="shared" si="462"/>
        <v>2023</v>
      </c>
      <c r="D1412" s="5" t="s">
        <v>1268</v>
      </c>
      <c r="E1412" s="5" t="str">
        <f>VLOOKUP(F1412,'Set up'!$A$2:$C$48,2,FALSE)</f>
        <v>C00000020</v>
      </c>
      <c r="F1412" s="1" t="s">
        <v>410</v>
      </c>
      <c r="G1412" s="89" t="s">
        <v>717</v>
      </c>
      <c r="H1412" s="5">
        <v>2</v>
      </c>
      <c r="I1412" s="5" t="str">
        <f>VLOOKUP(F1412,'Set up'!$A$2:$C$48,3,FALSE)</f>
        <v>Cash</v>
      </c>
      <c r="J1412" s="5">
        <f>VLOOKUP(F1412,'Set up'!$A$2:$D$48,4,FALSE)</f>
        <v>0</v>
      </c>
      <c r="K1412" s="4">
        <f t="shared" si="452"/>
        <v>44973</v>
      </c>
      <c r="L1412" s="5">
        <f t="shared" si="465"/>
        <v>2</v>
      </c>
      <c r="M1412" s="5">
        <f t="shared" si="466"/>
        <v>2023</v>
      </c>
      <c r="N1412" s="6">
        <v>3476</v>
      </c>
      <c r="O1412" s="6">
        <f t="shared" si="469"/>
        <v>-3476</v>
      </c>
      <c r="P1412" s="6">
        <f t="shared" si="467"/>
        <v>0</v>
      </c>
      <c r="Q1412" s="7">
        <f t="shared" si="468"/>
        <v>2598804.6500000004</v>
      </c>
      <c r="R1412" s="44" t="str">
        <f>VLOOKUP(F1412,'Set up'!$A$2:$E$48,5,FALSE)</f>
        <v>Trsf</v>
      </c>
      <c r="S1412" s="1" t="s">
        <v>2143</v>
      </c>
    </row>
    <row r="1413" spans="1:19" x14ac:dyDescent="0.3">
      <c r="A1413" s="4" t="s">
        <v>1265</v>
      </c>
      <c r="B1413" s="5">
        <f t="shared" si="461"/>
        <v>2</v>
      </c>
      <c r="C1413" s="5">
        <f t="shared" si="462"/>
        <v>2023</v>
      </c>
      <c r="D1413" s="5" t="s">
        <v>1268</v>
      </c>
      <c r="E1413" s="5" t="str">
        <f>VLOOKUP(F1413,'Set up'!$A$2:$C$48,2,FALSE)</f>
        <v>C00000020</v>
      </c>
      <c r="F1413" s="1" t="s">
        <v>410</v>
      </c>
      <c r="G1413" s="89" t="s">
        <v>1266</v>
      </c>
      <c r="H1413" s="5">
        <v>2</v>
      </c>
      <c r="I1413" s="5" t="str">
        <f>VLOOKUP(F1413,'Set up'!$A$2:$C$48,3,FALSE)</f>
        <v>Cash</v>
      </c>
      <c r="J1413" s="5">
        <f>VLOOKUP(F1413,'Set up'!$A$2:$D$48,4,FALSE)</f>
        <v>0</v>
      </c>
      <c r="K1413" s="4">
        <f t="shared" si="452"/>
        <v>44973</v>
      </c>
      <c r="L1413" s="5">
        <f t="shared" si="465"/>
        <v>2</v>
      </c>
      <c r="M1413" s="5">
        <f t="shared" si="466"/>
        <v>2023</v>
      </c>
      <c r="N1413" s="6">
        <v>3828</v>
      </c>
      <c r="O1413" s="6">
        <f>-3391.4-436.6</f>
        <v>-3828</v>
      </c>
      <c r="P1413" s="6">
        <f t="shared" si="467"/>
        <v>0</v>
      </c>
      <c r="Q1413" s="7">
        <f t="shared" si="468"/>
        <v>2602632.6500000004</v>
      </c>
      <c r="R1413" s="44" t="str">
        <f>VLOOKUP(F1413,'Set up'!$A$2:$E$48,5,FALSE)</f>
        <v>Trsf</v>
      </c>
      <c r="S1413" s="1" t="s">
        <v>2144</v>
      </c>
    </row>
    <row r="1414" spans="1:19" hidden="1" x14ac:dyDescent="0.3">
      <c r="A1414" s="4" t="s">
        <v>1265</v>
      </c>
      <c r="B1414" s="5">
        <f t="shared" si="461"/>
        <v>2</v>
      </c>
      <c r="C1414" s="5">
        <f t="shared" si="462"/>
        <v>2023</v>
      </c>
      <c r="D1414" s="5" t="s">
        <v>1269</v>
      </c>
      <c r="E1414" s="5" t="str">
        <f>VLOOKUP(F1414,'Set up'!$A$2:$C$48,2,FALSE)</f>
        <v>C00000022</v>
      </c>
      <c r="F1414" s="1" t="s">
        <v>638</v>
      </c>
      <c r="G1414" s="89" t="s">
        <v>1270</v>
      </c>
      <c r="H1414" s="5">
        <v>1</v>
      </c>
      <c r="I1414" s="5" t="str">
        <f>VLOOKUP(F1414,'Set up'!$A$2:$C$48,3,FALSE)</f>
        <v>Cash</v>
      </c>
      <c r="J1414" s="5">
        <f>VLOOKUP(F1414,'Set up'!$A$2:$D$48,4,FALSE)</f>
        <v>0</v>
      </c>
      <c r="K1414" s="4">
        <f t="shared" si="452"/>
        <v>44973</v>
      </c>
      <c r="L1414" s="5">
        <f t="shared" si="465"/>
        <v>2</v>
      </c>
      <c r="M1414" s="5">
        <f t="shared" si="466"/>
        <v>2023</v>
      </c>
      <c r="N1414" s="6">
        <v>100</v>
      </c>
      <c r="O1414" s="6">
        <f t="shared" ref="O1414:O1420" si="470">-N1414</f>
        <v>-100</v>
      </c>
      <c r="P1414" s="6">
        <f t="shared" si="467"/>
        <v>0</v>
      </c>
      <c r="Q1414" s="7">
        <f t="shared" si="468"/>
        <v>2602732.6500000004</v>
      </c>
      <c r="R1414" s="44" t="str">
        <f>VLOOKUP(F1414,'Set up'!$A$2:$E$48,5,FALSE)</f>
        <v>Trsf</v>
      </c>
      <c r="S1414" s="1" t="s">
        <v>1687</v>
      </c>
    </row>
    <row r="1415" spans="1:19" hidden="1" x14ac:dyDescent="0.3">
      <c r="A1415" s="4" t="s">
        <v>1265</v>
      </c>
      <c r="B1415" s="5">
        <f t="shared" si="461"/>
        <v>2</v>
      </c>
      <c r="C1415" s="5">
        <f t="shared" si="462"/>
        <v>2023</v>
      </c>
      <c r="D1415" s="5" t="s">
        <v>1269</v>
      </c>
      <c r="E1415" s="5" t="str">
        <f>VLOOKUP(F1415,'Set up'!$A$2:$C$48,2,FALSE)</f>
        <v>C00000022</v>
      </c>
      <c r="F1415" s="1" t="s">
        <v>638</v>
      </c>
      <c r="G1415" s="89" t="s">
        <v>1271</v>
      </c>
      <c r="H1415" s="5">
        <v>1</v>
      </c>
      <c r="I1415" s="5" t="str">
        <f>VLOOKUP(F1415,'Set up'!$A$2:$C$48,3,FALSE)</f>
        <v>Cash</v>
      </c>
      <c r="J1415" s="5">
        <f>VLOOKUP(F1415,'Set up'!$A$2:$D$48,4,FALSE)</f>
        <v>0</v>
      </c>
      <c r="K1415" s="4">
        <f t="shared" si="452"/>
        <v>44973</v>
      </c>
      <c r="L1415" s="5">
        <f t="shared" si="465"/>
        <v>2</v>
      </c>
      <c r="M1415" s="5">
        <f t="shared" si="466"/>
        <v>2023</v>
      </c>
      <c r="N1415" s="6">
        <v>102</v>
      </c>
      <c r="O1415" s="6">
        <f t="shared" si="470"/>
        <v>-102</v>
      </c>
      <c r="P1415" s="6">
        <f t="shared" si="467"/>
        <v>0</v>
      </c>
      <c r="Q1415" s="7">
        <f t="shared" si="468"/>
        <v>2602834.6500000004</v>
      </c>
      <c r="R1415" s="44" t="str">
        <f>VLOOKUP(F1415,'Set up'!$A$2:$E$48,5,FALSE)</f>
        <v>Trsf</v>
      </c>
      <c r="S1415" s="1" t="s">
        <v>1688</v>
      </c>
    </row>
    <row r="1416" spans="1:19" hidden="1" x14ac:dyDescent="0.3">
      <c r="A1416" s="4" t="s">
        <v>1273</v>
      </c>
      <c r="B1416" s="5">
        <f t="shared" si="461"/>
        <v>2</v>
      </c>
      <c r="C1416" s="5">
        <f t="shared" si="462"/>
        <v>2023</v>
      </c>
      <c r="D1416" s="5" t="s">
        <v>1272</v>
      </c>
      <c r="E1416" s="5" t="str">
        <f>VLOOKUP(F1416,'Set up'!$A$2:$C$48,2,FALSE)</f>
        <v>C00000021</v>
      </c>
      <c r="F1416" s="1" t="s">
        <v>492</v>
      </c>
      <c r="G1416" s="89" t="s">
        <v>717</v>
      </c>
      <c r="H1416" s="5">
        <v>1</v>
      </c>
      <c r="I1416" s="5" t="str">
        <f>VLOOKUP(F1416,'Set up'!$A$2:$C$48,3,FALSE)</f>
        <v>Cash</v>
      </c>
      <c r="J1416" s="5">
        <f>VLOOKUP(F1416,'Set up'!$A$2:$D$48,4,FALSE)</f>
        <v>0</v>
      </c>
      <c r="K1416" s="4">
        <f t="shared" si="452"/>
        <v>44975</v>
      </c>
      <c r="L1416" s="5">
        <f t="shared" si="465"/>
        <v>2</v>
      </c>
      <c r="M1416" s="5">
        <f t="shared" si="466"/>
        <v>2023</v>
      </c>
      <c r="N1416" s="6">
        <v>1870</v>
      </c>
      <c r="O1416" s="6">
        <f t="shared" si="470"/>
        <v>-1870</v>
      </c>
      <c r="P1416" s="6">
        <f t="shared" si="467"/>
        <v>0</v>
      </c>
      <c r="Q1416" s="7">
        <f t="shared" si="468"/>
        <v>2604704.6500000004</v>
      </c>
      <c r="R1416" s="44" t="str">
        <f>VLOOKUP(F1416,'Set up'!$A$2:$E$48,5,FALSE)</f>
        <v>PD Chq</v>
      </c>
      <c r="S1416" s="1" t="s">
        <v>1691</v>
      </c>
    </row>
    <row r="1417" spans="1:19" hidden="1" x14ac:dyDescent="0.3">
      <c r="A1417" s="4" t="s">
        <v>1273</v>
      </c>
      <c r="B1417" s="5">
        <f t="shared" si="461"/>
        <v>2</v>
      </c>
      <c r="C1417" s="5">
        <f t="shared" si="462"/>
        <v>2023</v>
      </c>
      <c r="D1417" s="5" t="s">
        <v>1272</v>
      </c>
      <c r="E1417" s="5" t="str">
        <f>VLOOKUP(F1417,'Set up'!$A$2:$C$48,2,FALSE)</f>
        <v>C00000021</v>
      </c>
      <c r="F1417" s="1" t="s">
        <v>492</v>
      </c>
      <c r="G1417" s="89" t="s">
        <v>655</v>
      </c>
      <c r="H1417" s="5">
        <v>2</v>
      </c>
      <c r="I1417" s="5" t="str">
        <f>VLOOKUP(F1417,'Set up'!$A$2:$C$48,3,FALSE)</f>
        <v>Cash</v>
      </c>
      <c r="J1417" s="5">
        <f>VLOOKUP(F1417,'Set up'!$A$2:$D$48,4,FALSE)</f>
        <v>0</v>
      </c>
      <c r="K1417" s="4">
        <f t="shared" si="452"/>
        <v>44975</v>
      </c>
      <c r="L1417" s="5">
        <f t="shared" si="465"/>
        <v>2</v>
      </c>
      <c r="M1417" s="5">
        <f t="shared" si="466"/>
        <v>2023</v>
      </c>
      <c r="N1417" s="6">
        <v>510</v>
      </c>
      <c r="O1417" s="6">
        <f t="shared" si="470"/>
        <v>-510</v>
      </c>
      <c r="P1417" s="6">
        <f t="shared" si="467"/>
        <v>0</v>
      </c>
      <c r="Q1417" s="7">
        <f t="shared" si="468"/>
        <v>2605214.6500000004</v>
      </c>
      <c r="R1417" s="44" t="str">
        <f>VLOOKUP(F1417,'Set up'!$A$2:$E$48,5,FALSE)</f>
        <v>PD Chq</v>
      </c>
      <c r="S1417" s="1" t="s">
        <v>1691</v>
      </c>
    </row>
    <row r="1418" spans="1:19" hidden="1" x14ac:dyDescent="0.3">
      <c r="A1418" s="4" t="s">
        <v>1273</v>
      </c>
      <c r="B1418" s="5">
        <f t="shared" si="461"/>
        <v>2</v>
      </c>
      <c r="C1418" s="5">
        <f t="shared" si="462"/>
        <v>2023</v>
      </c>
      <c r="D1418" s="5" t="s">
        <v>1272</v>
      </c>
      <c r="E1418" s="5" t="str">
        <f>VLOOKUP(F1418,'Set up'!$A$2:$C$48,2,FALSE)</f>
        <v>C00000021</v>
      </c>
      <c r="F1418" s="1" t="s">
        <v>492</v>
      </c>
      <c r="G1418" s="89" t="s">
        <v>667</v>
      </c>
      <c r="H1418" s="5">
        <v>1</v>
      </c>
      <c r="I1418" s="5" t="str">
        <f>VLOOKUP(F1418,'Set up'!$A$2:$C$48,3,FALSE)</f>
        <v>Cash</v>
      </c>
      <c r="J1418" s="5">
        <f>VLOOKUP(F1418,'Set up'!$A$2:$D$48,4,FALSE)</f>
        <v>0</v>
      </c>
      <c r="K1418" s="4">
        <f t="shared" si="452"/>
        <v>44975</v>
      </c>
      <c r="L1418" s="5">
        <f t="shared" si="465"/>
        <v>2</v>
      </c>
      <c r="M1418" s="5">
        <f t="shared" si="466"/>
        <v>2023</v>
      </c>
      <c r="N1418" s="6">
        <v>95</v>
      </c>
      <c r="O1418" s="6">
        <f t="shared" si="470"/>
        <v>-95</v>
      </c>
      <c r="P1418" s="6">
        <f t="shared" si="467"/>
        <v>0</v>
      </c>
      <c r="Q1418" s="7">
        <f t="shared" si="468"/>
        <v>2605309.6500000004</v>
      </c>
      <c r="R1418" s="44" t="str">
        <f>VLOOKUP(F1418,'Set up'!$A$2:$E$48,5,FALSE)</f>
        <v>PD Chq</v>
      </c>
      <c r="S1418" s="1" t="s">
        <v>1691</v>
      </c>
    </row>
    <row r="1419" spans="1:19" hidden="1" x14ac:dyDescent="0.3">
      <c r="A1419" s="4">
        <v>44978</v>
      </c>
      <c r="B1419" s="5">
        <f t="shared" si="461"/>
        <v>2</v>
      </c>
      <c r="C1419" s="5">
        <f t="shared" si="462"/>
        <v>2023</v>
      </c>
      <c r="D1419" s="5" t="s">
        <v>1274</v>
      </c>
      <c r="E1419" s="5" t="str">
        <f>VLOOKUP(F1419,'Set up'!$A$2:$C$48,2,FALSE)</f>
        <v>C00000004</v>
      </c>
      <c r="F1419" s="1" t="s">
        <v>23</v>
      </c>
      <c r="G1419" s="89" t="s">
        <v>708</v>
      </c>
      <c r="H1419" s="5">
        <v>5</v>
      </c>
      <c r="I1419" s="5">
        <f>VLOOKUP(F1419,'Set up'!$A$2:$C$48,3,FALSE)</f>
        <v>120</v>
      </c>
      <c r="J1419" s="5">
        <f>VLOOKUP(F1419,'Set up'!$A$2:$D$48,4,FALSE)</f>
        <v>120</v>
      </c>
      <c r="K1419" s="4">
        <f t="shared" si="452"/>
        <v>45098</v>
      </c>
      <c r="L1419" s="5">
        <f t="shared" si="465"/>
        <v>6</v>
      </c>
      <c r="M1419" s="5">
        <f t="shared" si="466"/>
        <v>2023</v>
      </c>
      <c r="N1419" s="6">
        <v>1620</v>
      </c>
      <c r="O1419" s="6">
        <f t="shared" si="470"/>
        <v>-1620</v>
      </c>
      <c r="P1419" s="6">
        <f t="shared" si="467"/>
        <v>0</v>
      </c>
      <c r="Q1419" s="7">
        <f t="shared" si="468"/>
        <v>2606929.6500000004</v>
      </c>
      <c r="R1419" s="44" t="str">
        <f>VLOOKUP(F1419,'Set up'!$A$2:$E$48,5,FALSE)</f>
        <v>Chq</v>
      </c>
      <c r="S1419" s="1" t="s">
        <v>1785</v>
      </c>
    </row>
    <row r="1420" spans="1:19" x14ac:dyDescent="0.3">
      <c r="A1420" s="4">
        <v>44978</v>
      </c>
      <c r="B1420" s="5">
        <f t="shared" si="461"/>
        <v>2</v>
      </c>
      <c r="C1420" s="5">
        <f t="shared" si="462"/>
        <v>2023</v>
      </c>
      <c r="D1420" s="5" t="s">
        <v>1275</v>
      </c>
      <c r="E1420" s="5" t="str">
        <f>VLOOKUP(F1420,'Set up'!$A$2:$C$48,2,FALSE)</f>
        <v>C00000020</v>
      </c>
      <c r="F1420" s="1" t="s">
        <v>410</v>
      </c>
      <c r="G1420" s="89" t="s">
        <v>1111</v>
      </c>
      <c r="H1420" s="5">
        <v>12</v>
      </c>
      <c r="I1420" s="5" t="str">
        <f>VLOOKUP(F1420,'Set up'!$A$2:$C$48,3,FALSE)</f>
        <v>Cash</v>
      </c>
      <c r="J1420" s="5">
        <f>VLOOKUP(F1420,'Set up'!$A$2:$D$48,4,FALSE)</f>
        <v>0</v>
      </c>
      <c r="K1420" s="4">
        <f t="shared" si="452"/>
        <v>44978</v>
      </c>
      <c r="L1420" s="5">
        <f t="shared" si="465"/>
        <v>2</v>
      </c>
      <c r="M1420" s="5">
        <f t="shared" si="466"/>
        <v>2023</v>
      </c>
      <c r="N1420" s="6">
        <v>750</v>
      </c>
      <c r="O1420" s="6">
        <f t="shared" si="470"/>
        <v>-750</v>
      </c>
      <c r="P1420" s="6">
        <f t="shared" si="467"/>
        <v>0</v>
      </c>
      <c r="Q1420" s="7">
        <f t="shared" si="468"/>
        <v>2607679.6500000004</v>
      </c>
      <c r="R1420" s="44" t="str">
        <f>VLOOKUP(F1420,'Set up'!$A$2:$E$48,5,FALSE)</f>
        <v>Trsf</v>
      </c>
      <c r="S1420" s="1" t="s">
        <v>2145</v>
      </c>
    </row>
    <row r="1421" spans="1:19" x14ac:dyDescent="0.3">
      <c r="A1421" s="4">
        <v>44978</v>
      </c>
      <c r="B1421" s="5">
        <f t="shared" si="461"/>
        <v>2</v>
      </c>
      <c r="C1421" s="5">
        <f t="shared" si="462"/>
        <v>2023</v>
      </c>
      <c r="D1421" s="5" t="s">
        <v>1276</v>
      </c>
      <c r="E1421" s="5" t="str">
        <f>VLOOKUP(F1421,'Set up'!$A$2:$C$48,2,FALSE)</f>
        <v>C00000020</v>
      </c>
      <c r="F1421" s="1" t="s">
        <v>410</v>
      </c>
      <c r="G1421" s="89" t="s">
        <v>717</v>
      </c>
      <c r="H1421" s="5">
        <v>5</v>
      </c>
      <c r="I1421" s="5" t="str">
        <f>VLOOKUP(F1421,'Set up'!$A$2:$C$48,3,FALSE)</f>
        <v>Cash</v>
      </c>
      <c r="J1421" s="5">
        <f>VLOOKUP(F1421,'Set up'!$A$2:$D$48,4,FALSE)</f>
        <v>0</v>
      </c>
      <c r="K1421" s="4">
        <f t="shared" si="452"/>
        <v>44978</v>
      </c>
      <c r="L1421" s="5">
        <f t="shared" si="465"/>
        <v>2</v>
      </c>
      <c r="M1421" s="5">
        <f t="shared" si="466"/>
        <v>2023</v>
      </c>
      <c r="N1421" s="6">
        <v>8690</v>
      </c>
      <c r="O1421" s="6">
        <f>-6613.4-2076.6</f>
        <v>-8690</v>
      </c>
      <c r="P1421" s="6">
        <f t="shared" si="467"/>
        <v>0</v>
      </c>
      <c r="Q1421" s="7">
        <f t="shared" si="468"/>
        <v>2616369.6500000004</v>
      </c>
      <c r="R1421" s="44" t="str">
        <f>VLOOKUP(F1421,'Set up'!$A$2:$E$48,5,FALSE)</f>
        <v>Trsf</v>
      </c>
      <c r="S1421" s="1" t="s">
        <v>2146</v>
      </c>
    </row>
    <row r="1422" spans="1:19" x14ac:dyDescent="0.3">
      <c r="A1422" s="4">
        <v>44978</v>
      </c>
      <c r="B1422" s="5">
        <f t="shared" si="461"/>
        <v>2</v>
      </c>
      <c r="C1422" s="5">
        <f t="shared" si="462"/>
        <v>2023</v>
      </c>
      <c r="D1422" s="5" t="s">
        <v>1276</v>
      </c>
      <c r="E1422" s="5" t="str">
        <f>VLOOKUP(F1422,'Set up'!$A$2:$C$48,2,FALSE)</f>
        <v>C00000020</v>
      </c>
      <c r="F1422" s="1" t="s">
        <v>410</v>
      </c>
      <c r="G1422" s="89" t="s">
        <v>1055</v>
      </c>
      <c r="H1422" s="5">
        <v>10</v>
      </c>
      <c r="I1422" s="5" t="str">
        <f>VLOOKUP(F1422,'Set up'!$A$2:$C$48,3,FALSE)</f>
        <v>Cash</v>
      </c>
      <c r="J1422" s="5">
        <f>VLOOKUP(F1422,'Set up'!$A$2:$D$48,4,FALSE)</f>
        <v>0</v>
      </c>
      <c r="K1422" s="4">
        <f t="shared" si="452"/>
        <v>44978</v>
      </c>
      <c r="L1422" s="5">
        <f t="shared" si="465"/>
        <v>2</v>
      </c>
      <c r="M1422" s="5">
        <f t="shared" si="466"/>
        <v>2023</v>
      </c>
      <c r="N1422" s="6">
        <v>17380</v>
      </c>
      <c r="O1422" s="6">
        <f>-923.4-3500-9500-3456.6</f>
        <v>-17380</v>
      </c>
      <c r="P1422" s="6">
        <f t="shared" si="467"/>
        <v>0</v>
      </c>
      <c r="Q1422" s="7">
        <f t="shared" si="468"/>
        <v>2633749.6500000004</v>
      </c>
      <c r="R1422" s="44" t="str">
        <f>VLOOKUP(F1422,'Set up'!$A$2:$E$48,5,FALSE)</f>
        <v>Trsf</v>
      </c>
      <c r="S1422" s="1" t="s">
        <v>2147</v>
      </c>
    </row>
    <row r="1423" spans="1:19" x14ac:dyDescent="0.3">
      <c r="A1423" s="4">
        <v>44978</v>
      </c>
      <c r="B1423" s="5">
        <f t="shared" si="461"/>
        <v>2</v>
      </c>
      <c r="C1423" s="5">
        <f t="shared" si="462"/>
        <v>2023</v>
      </c>
      <c r="D1423" s="5" t="s">
        <v>1276</v>
      </c>
      <c r="E1423" s="5" t="str">
        <f>VLOOKUP(F1423,'Set up'!$A$2:$C$48,2,FALSE)</f>
        <v>C00000020</v>
      </c>
      <c r="F1423" s="1" t="s">
        <v>410</v>
      </c>
      <c r="G1423" s="89" t="s">
        <v>655</v>
      </c>
      <c r="H1423" s="5">
        <v>45</v>
      </c>
      <c r="I1423" s="5" t="str">
        <f>VLOOKUP(F1423,'Set up'!$A$2:$C$48,3,FALSE)</f>
        <v>Cash</v>
      </c>
      <c r="J1423" s="5">
        <f>VLOOKUP(F1423,'Set up'!$A$2:$D$48,4,FALSE)</f>
        <v>0</v>
      </c>
      <c r="K1423" s="4">
        <f t="shared" si="452"/>
        <v>44978</v>
      </c>
      <c r="L1423" s="5">
        <f t="shared" si="465"/>
        <v>2</v>
      </c>
      <c r="M1423" s="5">
        <f t="shared" si="466"/>
        <v>2023</v>
      </c>
      <c r="N1423" s="6">
        <v>10260</v>
      </c>
      <c r="O1423" s="6">
        <f>-5043.4-5000-216.6</f>
        <v>-10260</v>
      </c>
      <c r="P1423" s="6">
        <f t="shared" si="467"/>
        <v>0</v>
      </c>
      <c r="Q1423" s="7">
        <f t="shared" si="468"/>
        <v>2644009.6500000004</v>
      </c>
      <c r="R1423" s="44" t="str">
        <f>VLOOKUP(F1423,'Set up'!$A$2:$E$48,5,FALSE)</f>
        <v>Trsf</v>
      </c>
      <c r="S1423" s="1" t="s">
        <v>2301</v>
      </c>
    </row>
    <row r="1424" spans="1:19" x14ac:dyDescent="0.3">
      <c r="A1424" s="4">
        <v>44978</v>
      </c>
      <c r="B1424" s="5">
        <f t="shared" si="461"/>
        <v>2</v>
      </c>
      <c r="C1424" s="5">
        <f t="shared" si="462"/>
        <v>2023</v>
      </c>
      <c r="D1424" s="5" t="s">
        <v>1276</v>
      </c>
      <c r="E1424" s="5" t="str">
        <f>VLOOKUP(F1424,'Set up'!$A$2:$C$48,2,FALSE)</f>
        <v>C00000020</v>
      </c>
      <c r="F1424" s="1" t="s">
        <v>410</v>
      </c>
      <c r="G1424" s="89" t="s">
        <v>779</v>
      </c>
      <c r="H1424" s="5">
        <v>20</v>
      </c>
      <c r="I1424" s="5" t="str">
        <f>VLOOKUP(F1424,'Set up'!$A$2:$C$48,3,FALSE)</f>
        <v>Cash</v>
      </c>
      <c r="J1424" s="5">
        <f>VLOOKUP(F1424,'Set up'!$A$2:$D$48,4,FALSE)</f>
        <v>0</v>
      </c>
      <c r="K1424" s="4">
        <f t="shared" si="452"/>
        <v>44978</v>
      </c>
      <c r="L1424" s="5">
        <f t="shared" si="465"/>
        <v>2</v>
      </c>
      <c r="M1424" s="5">
        <f t="shared" si="466"/>
        <v>2023</v>
      </c>
      <c r="N1424" s="6">
        <v>5040</v>
      </c>
      <c r="O1424" s="6">
        <f t="shared" ref="O1424:O1426" si="471">-N1424</f>
        <v>-5040</v>
      </c>
      <c r="P1424" s="6">
        <f t="shared" si="467"/>
        <v>0</v>
      </c>
      <c r="Q1424" s="7">
        <f t="shared" si="468"/>
        <v>2649049.6500000004</v>
      </c>
      <c r="R1424" s="44" t="str">
        <f>VLOOKUP(F1424,'Set up'!$A$2:$E$48,5,FALSE)</f>
        <v>Trsf</v>
      </c>
      <c r="S1424" s="1" t="s">
        <v>2302</v>
      </c>
    </row>
    <row r="1425" spans="1:19" x14ac:dyDescent="0.3">
      <c r="A1425" s="4">
        <v>44978</v>
      </c>
      <c r="B1425" s="5">
        <f t="shared" si="461"/>
        <v>2</v>
      </c>
      <c r="C1425" s="5">
        <f t="shared" si="462"/>
        <v>2023</v>
      </c>
      <c r="D1425" s="5" t="s">
        <v>1276</v>
      </c>
      <c r="E1425" s="5" t="str">
        <f>VLOOKUP(F1425,'Set up'!$A$2:$C$48,2,FALSE)</f>
        <v>C00000020</v>
      </c>
      <c r="F1425" s="1" t="s">
        <v>410</v>
      </c>
      <c r="G1425" s="89" t="s">
        <v>667</v>
      </c>
      <c r="H1425" s="5">
        <v>4</v>
      </c>
      <c r="I1425" s="5" t="str">
        <f>VLOOKUP(F1425,'Set up'!$A$2:$C$48,3,FALSE)</f>
        <v>Cash</v>
      </c>
      <c r="J1425" s="5">
        <f>VLOOKUP(F1425,'Set up'!$A$2:$D$48,4,FALSE)</f>
        <v>0</v>
      </c>
      <c r="K1425" s="4">
        <f t="shared" si="452"/>
        <v>44978</v>
      </c>
      <c r="L1425" s="5">
        <f t="shared" si="465"/>
        <v>2</v>
      </c>
      <c r="M1425" s="5">
        <f t="shared" si="466"/>
        <v>2023</v>
      </c>
      <c r="N1425" s="6">
        <v>380</v>
      </c>
      <c r="O1425" s="6">
        <f t="shared" si="471"/>
        <v>-380</v>
      </c>
      <c r="P1425" s="6">
        <f t="shared" si="467"/>
        <v>0</v>
      </c>
      <c r="Q1425" s="7">
        <f t="shared" si="468"/>
        <v>2649429.6500000004</v>
      </c>
      <c r="R1425" s="44" t="str">
        <f>VLOOKUP(F1425,'Set up'!$A$2:$E$48,5,FALSE)</f>
        <v>Trsf</v>
      </c>
      <c r="S1425" s="1" t="s">
        <v>2303</v>
      </c>
    </row>
    <row r="1426" spans="1:19" x14ac:dyDescent="0.3">
      <c r="A1426" s="4">
        <v>44978</v>
      </c>
      <c r="B1426" s="5">
        <f t="shared" si="461"/>
        <v>2</v>
      </c>
      <c r="C1426" s="5">
        <f t="shared" si="462"/>
        <v>2023</v>
      </c>
      <c r="D1426" s="5" t="s">
        <v>1276</v>
      </c>
      <c r="E1426" s="5" t="str">
        <f>VLOOKUP(F1426,'Set up'!$A$2:$C$48,2,FALSE)</f>
        <v>C00000020</v>
      </c>
      <c r="F1426" s="1" t="s">
        <v>410</v>
      </c>
      <c r="G1426" s="89" t="s">
        <v>1074</v>
      </c>
      <c r="H1426" s="5">
        <v>2</v>
      </c>
      <c r="I1426" s="5" t="str">
        <f>VLOOKUP(F1426,'Set up'!$A$2:$C$48,3,FALSE)</f>
        <v>Cash</v>
      </c>
      <c r="J1426" s="5">
        <f>VLOOKUP(F1426,'Set up'!$A$2:$D$48,4,FALSE)</f>
        <v>0</v>
      </c>
      <c r="K1426" s="4">
        <f t="shared" si="452"/>
        <v>44978</v>
      </c>
      <c r="L1426" s="5">
        <f t="shared" si="465"/>
        <v>2</v>
      </c>
      <c r="M1426" s="5">
        <f t="shared" si="466"/>
        <v>2023</v>
      </c>
      <c r="N1426" s="6">
        <v>2000</v>
      </c>
      <c r="O1426" s="6">
        <f t="shared" si="471"/>
        <v>-2000</v>
      </c>
      <c r="P1426" s="6">
        <f t="shared" si="467"/>
        <v>0</v>
      </c>
      <c r="Q1426" s="7">
        <f t="shared" si="468"/>
        <v>2651429.6500000004</v>
      </c>
      <c r="R1426" s="44" t="str">
        <f>VLOOKUP(F1426,'Set up'!$A$2:$E$48,5,FALSE)</f>
        <v>Trsf</v>
      </c>
      <c r="S1426" s="1" t="s">
        <v>2304</v>
      </c>
    </row>
    <row r="1427" spans="1:19" hidden="1" x14ac:dyDescent="0.3">
      <c r="A1427" s="4" t="s">
        <v>1279</v>
      </c>
      <c r="B1427" s="5">
        <f t="shared" si="461"/>
        <v>2</v>
      </c>
      <c r="C1427" s="5">
        <f t="shared" si="462"/>
        <v>2023</v>
      </c>
      <c r="D1427" s="5" t="s">
        <v>1277</v>
      </c>
      <c r="E1427" s="5" t="str">
        <f>VLOOKUP(F1427,'Set up'!$A$2:$C$48,2,FALSE)</f>
        <v>C00000027</v>
      </c>
      <c r="F1427" s="1" t="s">
        <v>860</v>
      </c>
      <c r="G1427" s="89" t="s">
        <v>659</v>
      </c>
      <c r="H1427" s="5">
        <v>1</v>
      </c>
      <c r="I1427" s="5" t="str">
        <f>VLOOKUP(F1427,'Set up'!$A$2:$C$48,3,FALSE)</f>
        <v>Cash</v>
      </c>
      <c r="J1427" s="5">
        <f>VLOOKUP(F1427,'Set up'!$A$2:$D$48,4,FALSE)</f>
        <v>0</v>
      </c>
      <c r="K1427" s="4">
        <f t="shared" si="452"/>
        <v>44981</v>
      </c>
      <c r="L1427" s="5">
        <f t="shared" si="465"/>
        <v>2</v>
      </c>
      <c r="M1427" s="5">
        <f t="shared" si="466"/>
        <v>2023</v>
      </c>
      <c r="N1427" s="6">
        <v>1059.5</v>
      </c>
      <c r="O1427" s="6">
        <f t="shared" ref="O1427:O1430" si="472">-N1427</f>
        <v>-1059.5</v>
      </c>
      <c r="P1427" s="6">
        <f t="shared" si="467"/>
        <v>0</v>
      </c>
      <c r="Q1427" s="7">
        <f t="shared" si="468"/>
        <v>2652489.1500000004</v>
      </c>
      <c r="R1427" s="44" t="str">
        <f>VLOOKUP(F1427,'Set up'!$A$2:$E$48,5,FALSE)</f>
        <v>Trsf</v>
      </c>
      <c r="S1427" s="1" t="s">
        <v>2070</v>
      </c>
    </row>
    <row r="1428" spans="1:19" x14ac:dyDescent="0.3">
      <c r="A1428" s="4" t="s">
        <v>1280</v>
      </c>
      <c r="B1428" s="5">
        <f t="shared" si="461"/>
        <v>2</v>
      </c>
      <c r="C1428" s="5">
        <f t="shared" si="462"/>
        <v>2023</v>
      </c>
      <c r="D1428" s="5" t="s">
        <v>1278</v>
      </c>
      <c r="E1428" s="5" t="str">
        <f>VLOOKUP(F1428,'Set up'!$A$2:$C$48,2,FALSE)</f>
        <v>C00000020</v>
      </c>
      <c r="F1428" s="1" t="s">
        <v>410</v>
      </c>
      <c r="G1428" s="89" t="s">
        <v>1111</v>
      </c>
      <c r="H1428" s="5">
        <v>3</v>
      </c>
      <c r="I1428" s="5" t="str">
        <f>VLOOKUP(F1428,'Set up'!$A$2:$C$48,3,FALSE)</f>
        <v>Cash</v>
      </c>
      <c r="J1428" s="5">
        <f>VLOOKUP(F1428,'Set up'!$A$2:$D$48,4,FALSE)</f>
        <v>0</v>
      </c>
      <c r="K1428" s="4">
        <f t="shared" si="452"/>
        <v>44982</v>
      </c>
      <c r="L1428" s="5">
        <f t="shared" si="465"/>
        <v>2</v>
      </c>
      <c r="M1428" s="5">
        <f t="shared" si="466"/>
        <v>2023</v>
      </c>
      <c r="N1428" s="6">
        <v>187.5</v>
      </c>
      <c r="O1428" s="6">
        <f t="shared" si="472"/>
        <v>-187.5</v>
      </c>
      <c r="P1428" s="6">
        <f t="shared" si="467"/>
        <v>0</v>
      </c>
      <c r="Q1428" s="7">
        <f t="shared" si="468"/>
        <v>2652676.6500000004</v>
      </c>
      <c r="R1428" s="44" t="str">
        <f>VLOOKUP(F1428,'Set up'!$A$2:$E$48,5,FALSE)</f>
        <v>Trsf</v>
      </c>
      <c r="S1428" s="1" t="s">
        <v>2305</v>
      </c>
    </row>
    <row r="1429" spans="1:19" x14ac:dyDescent="0.3">
      <c r="A1429" s="4" t="s">
        <v>1280</v>
      </c>
      <c r="B1429" s="5">
        <f t="shared" ref="B1429:B1432" si="473">MONTH(A1429)</f>
        <v>2</v>
      </c>
      <c r="C1429" s="5">
        <f t="shared" ref="C1429:C1432" si="474">YEAR(A1429)</f>
        <v>2023</v>
      </c>
      <c r="D1429" s="5" t="s">
        <v>1278</v>
      </c>
      <c r="E1429" s="5" t="str">
        <f>VLOOKUP(F1429,'Set up'!$A$2:$C$48,2,FALSE)</f>
        <v>C00000020</v>
      </c>
      <c r="F1429" s="1" t="s">
        <v>410</v>
      </c>
      <c r="G1429" s="89" t="s">
        <v>667</v>
      </c>
      <c r="H1429" s="5">
        <v>4</v>
      </c>
      <c r="I1429" s="5" t="str">
        <f>VLOOKUP(F1429,'Set up'!$A$2:$C$48,3,FALSE)</f>
        <v>Cash</v>
      </c>
      <c r="J1429" s="5">
        <f>VLOOKUP(F1429,'Set up'!$A$2:$D$48,4,FALSE)</f>
        <v>0</v>
      </c>
      <c r="K1429" s="4">
        <f t="shared" si="452"/>
        <v>44982</v>
      </c>
      <c r="L1429" s="5">
        <f t="shared" ref="L1429:L1432" si="475">MONTH(K1429)</f>
        <v>2</v>
      </c>
      <c r="M1429" s="5">
        <f t="shared" ref="M1429:M1432" si="476">YEAR(K1429)</f>
        <v>2023</v>
      </c>
      <c r="N1429" s="6">
        <v>380</v>
      </c>
      <c r="O1429" s="6">
        <f t="shared" si="472"/>
        <v>-380</v>
      </c>
      <c r="P1429" s="6">
        <f t="shared" ref="P1429:P1432" si="477">SUM(N1429+O1429)</f>
        <v>0</v>
      </c>
      <c r="Q1429" s="7">
        <f t="shared" ref="Q1429:Q1432" si="478">SUM(Q1428+N1429)</f>
        <v>2653056.6500000004</v>
      </c>
      <c r="R1429" s="44" t="str">
        <f>VLOOKUP(F1429,'Set up'!$A$2:$E$48,5,FALSE)</f>
        <v>Trsf</v>
      </c>
      <c r="S1429" s="1" t="s">
        <v>2303</v>
      </c>
    </row>
    <row r="1430" spans="1:19" x14ac:dyDescent="0.3">
      <c r="A1430" s="4" t="s">
        <v>1280</v>
      </c>
      <c r="B1430" s="5">
        <f t="shared" si="473"/>
        <v>2</v>
      </c>
      <c r="C1430" s="5">
        <f t="shared" si="474"/>
        <v>2023</v>
      </c>
      <c r="D1430" s="5" t="s">
        <v>1278</v>
      </c>
      <c r="E1430" s="5" t="str">
        <f>VLOOKUP(F1430,'Set up'!$A$2:$C$48,2,FALSE)</f>
        <v>C00000020</v>
      </c>
      <c r="F1430" s="1" t="s">
        <v>410</v>
      </c>
      <c r="G1430" s="89" t="s">
        <v>1074</v>
      </c>
      <c r="H1430" s="5">
        <v>1</v>
      </c>
      <c r="I1430" s="5" t="str">
        <f>VLOOKUP(F1430,'Set up'!$A$2:$C$48,3,FALSE)</f>
        <v>Cash</v>
      </c>
      <c r="J1430" s="5">
        <f>VLOOKUP(F1430,'Set up'!$A$2:$D$48,4,FALSE)</f>
        <v>0</v>
      </c>
      <c r="K1430" s="4">
        <f t="shared" si="452"/>
        <v>44982</v>
      </c>
      <c r="L1430" s="5">
        <f t="shared" si="475"/>
        <v>2</v>
      </c>
      <c r="M1430" s="5">
        <f t="shared" si="476"/>
        <v>2023</v>
      </c>
      <c r="N1430" s="6">
        <v>1000</v>
      </c>
      <c r="O1430" s="6">
        <f t="shared" si="472"/>
        <v>-1000</v>
      </c>
      <c r="P1430" s="6">
        <f t="shared" si="477"/>
        <v>0</v>
      </c>
      <c r="Q1430" s="7">
        <f t="shared" si="478"/>
        <v>2654056.6500000004</v>
      </c>
      <c r="R1430" s="44" t="str">
        <f>VLOOKUP(F1430,'Set up'!$A$2:$E$48,5,FALSE)</f>
        <v>Trsf</v>
      </c>
      <c r="S1430" s="1" t="s">
        <v>2306</v>
      </c>
    </row>
    <row r="1431" spans="1:19" hidden="1" x14ac:dyDescent="0.3">
      <c r="A1431" s="4" t="s">
        <v>1280</v>
      </c>
      <c r="B1431" s="5">
        <f t="shared" si="473"/>
        <v>2</v>
      </c>
      <c r="C1431" s="5">
        <f t="shared" si="474"/>
        <v>2023</v>
      </c>
      <c r="D1431" s="5" t="s">
        <v>1281</v>
      </c>
      <c r="E1431" s="5" t="str">
        <f>VLOOKUP(F1431,'Set up'!$A$2:$C$48,2,FALSE)</f>
        <v>C00000019</v>
      </c>
      <c r="F1431" s="1" t="s">
        <v>401</v>
      </c>
      <c r="G1431" s="89" t="s">
        <v>1132</v>
      </c>
      <c r="H1431" s="5">
        <v>2</v>
      </c>
      <c r="I1431" s="5" t="str">
        <f>VLOOKUP(F1431,'Set up'!$A$2:$C$48,3,FALSE)</f>
        <v>Cash</v>
      </c>
      <c r="J1431" s="5">
        <f>VLOOKUP(F1431,'Set up'!$A$2:$D$48,4,FALSE)</f>
        <v>0</v>
      </c>
      <c r="K1431" s="4">
        <f t="shared" si="452"/>
        <v>44982</v>
      </c>
      <c r="L1431" s="5">
        <f t="shared" si="475"/>
        <v>2</v>
      </c>
      <c r="M1431" s="5">
        <f t="shared" si="476"/>
        <v>2023</v>
      </c>
      <c r="N1431" s="6">
        <v>842.4</v>
      </c>
      <c r="O1431" s="6">
        <f>-373.6-468.8</f>
        <v>-842.40000000000009</v>
      </c>
      <c r="P1431" s="109">
        <v>0</v>
      </c>
      <c r="Q1431" s="7">
        <f t="shared" si="478"/>
        <v>2654899.0500000003</v>
      </c>
      <c r="R1431" s="44" t="str">
        <f>VLOOKUP(F1431,'Set up'!$A$2:$E$48,5,FALSE)</f>
        <v>Trsf</v>
      </c>
      <c r="S1431" s="1" t="s">
        <v>1668</v>
      </c>
    </row>
    <row r="1432" spans="1:19" hidden="1" x14ac:dyDescent="0.3">
      <c r="A1432" s="4" t="s">
        <v>1284</v>
      </c>
      <c r="B1432" s="5">
        <f t="shared" si="473"/>
        <v>2</v>
      </c>
      <c r="C1432" s="5">
        <f t="shared" si="474"/>
        <v>2023</v>
      </c>
      <c r="D1432" s="5" t="s">
        <v>1282</v>
      </c>
      <c r="E1432" s="5" t="str">
        <f>VLOOKUP(F1432,'Set up'!$A$2:$C$48,2,FALSE)</f>
        <v>C00000019</v>
      </c>
      <c r="F1432" s="1" t="s">
        <v>401</v>
      </c>
      <c r="G1432" s="89" t="s">
        <v>792</v>
      </c>
      <c r="H1432" s="5">
        <v>5</v>
      </c>
      <c r="I1432" s="5" t="str">
        <f>VLOOKUP(F1432,'Set up'!$A$2:$C$48,3,FALSE)</f>
        <v>Cash</v>
      </c>
      <c r="J1432" s="5">
        <f>VLOOKUP(F1432,'Set up'!$A$2:$D$48,4,FALSE)</f>
        <v>0</v>
      </c>
      <c r="K1432" s="4">
        <f t="shared" ref="K1432:K1495" si="479">A1432+J1432</f>
        <v>44985</v>
      </c>
      <c r="L1432" s="5">
        <f t="shared" si="475"/>
        <v>2</v>
      </c>
      <c r="M1432" s="5">
        <f t="shared" si="476"/>
        <v>2023</v>
      </c>
      <c r="N1432" s="6">
        <v>312.5</v>
      </c>
      <c r="O1432" s="6">
        <f t="shared" ref="O1432" si="480">-N1432</f>
        <v>-312.5</v>
      </c>
      <c r="P1432" s="6">
        <f t="shared" si="477"/>
        <v>0</v>
      </c>
      <c r="Q1432" s="7">
        <f t="shared" si="478"/>
        <v>2655211.5500000003</v>
      </c>
      <c r="R1432" s="44" t="str">
        <f>VLOOKUP(F1432,'Set up'!$A$2:$E$48,5,FALSE)</f>
        <v>Trsf</v>
      </c>
      <c r="S1432" s="1" t="s">
        <v>1669</v>
      </c>
    </row>
    <row r="1433" spans="1:19" hidden="1" x14ac:dyDescent="0.3">
      <c r="A1433" s="4" t="s">
        <v>1302</v>
      </c>
      <c r="B1433" s="5">
        <f t="shared" ref="B1433:B1470" si="481">MONTH(A1433)</f>
        <v>3</v>
      </c>
      <c r="C1433" s="5">
        <f t="shared" ref="C1433:C1470" si="482">YEAR(A1433)</f>
        <v>2023</v>
      </c>
      <c r="D1433" s="5" t="s">
        <v>1283</v>
      </c>
      <c r="E1433" s="5" t="str">
        <f>VLOOKUP(F1433,'Set up'!$A$2:$C$48,2,FALSE)</f>
        <v>C00000022</v>
      </c>
      <c r="F1433" s="1" t="s">
        <v>638</v>
      </c>
      <c r="G1433" s="89" t="s">
        <v>95</v>
      </c>
      <c r="H1433" s="5">
        <v>1</v>
      </c>
      <c r="I1433" s="5" t="str">
        <f>VLOOKUP(F1433,'Set up'!$A$2:$C$48,3,FALSE)</f>
        <v>Cash</v>
      </c>
      <c r="J1433" s="5">
        <f>VLOOKUP(F1433,'Set up'!$A$2:$D$48,4,FALSE)</f>
        <v>0</v>
      </c>
      <c r="K1433" s="4">
        <f t="shared" si="479"/>
        <v>44986</v>
      </c>
      <c r="L1433" s="5">
        <f t="shared" ref="L1433:L1468" si="483">MONTH(K1433)</f>
        <v>3</v>
      </c>
      <c r="M1433" s="5">
        <f t="shared" ref="M1433:M1468" si="484">YEAR(K1433)</f>
        <v>2023</v>
      </c>
      <c r="N1433" s="6">
        <v>1936</v>
      </c>
      <c r="O1433" s="6">
        <f>-946-990</f>
        <v>-1936</v>
      </c>
      <c r="P1433" s="6">
        <f t="shared" ref="P1433:P1470" si="485">SUM(N1433+O1433)</f>
        <v>0</v>
      </c>
      <c r="Q1433" s="7">
        <f t="shared" ref="Q1433:Q1470" si="486">SUM(Q1432+N1433)</f>
        <v>2657147.5500000003</v>
      </c>
      <c r="R1433" s="44" t="str">
        <f>VLOOKUP(F1433,'Set up'!$A$2:$E$48,5,FALSE)</f>
        <v>Trsf</v>
      </c>
      <c r="S1433" s="1" t="s">
        <v>1984</v>
      </c>
    </row>
    <row r="1434" spans="1:19" hidden="1" x14ac:dyDescent="0.3">
      <c r="A1434" s="4" t="s">
        <v>1304</v>
      </c>
      <c r="B1434" s="5">
        <f t="shared" si="481"/>
        <v>3</v>
      </c>
      <c r="C1434" s="5">
        <f t="shared" si="482"/>
        <v>2023</v>
      </c>
      <c r="D1434" s="5" t="s">
        <v>1303</v>
      </c>
      <c r="E1434" s="5" t="str">
        <f>VLOOKUP(F1434,'Set up'!$A$2:$C$48,2,FALSE)</f>
        <v>C00000001</v>
      </c>
      <c r="F1434" s="1" t="s">
        <v>7</v>
      </c>
      <c r="G1434" s="89" t="s">
        <v>717</v>
      </c>
      <c r="H1434" s="5">
        <v>1</v>
      </c>
      <c r="I1434" s="5" t="str">
        <f>VLOOKUP(F1434,'Set up'!$A$2:$C$48,3,FALSE)</f>
        <v>Cash</v>
      </c>
      <c r="J1434" s="5">
        <f>VLOOKUP(F1434,'Set up'!$A$2:$D$48,4,FALSE)</f>
        <v>0</v>
      </c>
      <c r="K1434" s="4">
        <f t="shared" si="479"/>
        <v>44987</v>
      </c>
      <c r="L1434" s="5">
        <f t="shared" si="483"/>
        <v>3</v>
      </c>
      <c r="M1434" s="5">
        <f t="shared" si="484"/>
        <v>2023</v>
      </c>
      <c r="N1434" s="6">
        <v>1804</v>
      </c>
      <c r="O1434" s="6">
        <f>-N1434</f>
        <v>-1804</v>
      </c>
      <c r="P1434" s="6">
        <f t="shared" si="485"/>
        <v>0</v>
      </c>
      <c r="Q1434" s="7">
        <f t="shared" si="486"/>
        <v>2658951.5500000003</v>
      </c>
      <c r="R1434" s="44" t="str">
        <f>VLOOKUP(F1434,'Set up'!$A$2:$E$48,5,FALSE)</f>
        <v>Trsf</v>
      </c>
      <c r="S1434" s="1" t="s">
        <v>1369</v>
      </c>
    </row>
    <row r="1435" spans="1:19" hidden="1" x14ac:dyDescent="0.3">
      <c r="A1435" s="4" t="s">
        <v>1304</v>
      </c>
      <c r="B1435" s="5">
        <f t="shared" si="481"/>
        <v>3</v>
      </c>
      <c r="C1435" s="5">
        <f t="shared" si="482"/>
        <v>2023</v>
      </c>
      <c r="D1435" s="5" t="s">
        <v>1303</v>
      </c>
      <c r="E1435" s="5" t="str">
        <f>VLOOKUP(F1435,'Set up'!$A$2:$C$48,2,FALSE)</f>
        <v>C00000001</v>
      </c>
      <c r="F1435" s="1" t="s">
        <v>7</v>
      </c>
      <c r="G1435" s="89" t="s">
        <v>655</v>
      </c>
      <c r="H1435" s="5">
        <v>4</v>
      </c>
      <c r="I1435" s="5" t="str">
        <f>VLOOKUP(F1435,'Set up'!$A$2:$C$48,3,FALSE)</f>
        <v>Cash</v>
      </c>
      <c r="J1435" s="5">
        <f>VLOOKUP(F1435,'Set up'!$A$2:$D$48,4,FALSE)</f>
        <v>0</v>
      </c>
      <c r="K1435" s="4">
        <f t="shared" si="479"/>
        <v>44987</v>
      </c>
      <c r="L1435" s="5">
        <f t="shared" si="483"/>
        <v>3</v>
      </c>
      <c r="M1435" s="5">
        <f t="shared" si="484"/>
        <v>2023</v>
      </c>
      <c r="N1435" s="6">
        <v>912</v>
      </c>
      <c r="O1435" s="6">
        <f>-N1435</f>
        <v>-912</v>
      </c>
      <c r="P1435" s="6">
        <f t="shared" si="485"/>
        <v>0</v>
      </c>
      <c r="Q1435" s="7">
        <f t="shared" si="486"/>
        <v>2659863.5500000003</v>
      </c>
      <c r="R1435" s="44" t="str">
        <f>VLOOKUP(F1435,'Set up'!$A$2:$E$48,5,FALSE)</f>
        <v>Trsf</v>
      </c>
      <c r="S1435" s="1" t="s">
        <v>1369</v>
      </c>
    </row>
    <row r="1436" spans="1:19" hidden="1" x14ac:dyDescent="0.3">
      <c r="A1436" s="4" t="s">
        <v>1304</v>
      </c>
      <c r="B1436" s="5">
        <f t="shared" si="481"/>
        <v>3</v>
      </c>
      <c r="C1436" s="5">
        <f t="shared" si="482"/>
        <v>2023</v>
      </c>
      <c r="D1436" s="5" t="s">
        <v>1307</v>
      </c>
      <c r="E1436" s="5" t="str">
        <f>VLOOKUP(F1436,'Set up'!$A$2:$C$48,2,FALSE)</f>
        <v>C00000036</v>
      </c>
      <c r="F1436" s="1" t="s">
        <v>1305</v>
      </c>
      <c r="G1436" s="89" t="s">
        <v>772</v>
      </c>
      <c r="H1436" s="5">
        <v>1</v>
      </c>
      <c r="I1436" s="5" t="str">
        <f>VLOOKUP(F1436,'Set up'!$A$2:$C$48,3,FALSE)</f>
        <v>Cash</v>
      </c>
      <c r="J1436" s="5">
        <f>VLOOKUP(F1436,'Set up'!$A$2:$D$48,4,FALSE)</f>
        <v>0</v>
      </c>
      <c r="K1436" s="4">
        <f t="shared" si="479"/>
        <v>44987</v>
      </c>
      <c r="L1436" s="5">
        <f t="shared" si="483"/>
        <v>3</v>
      </c>
      <c r="M1436" s="5">
        <f t="shared" si="484"/>
        <v>2023</v>
      </c>
      <c r="N1436" s="6">
        <v>256</v>
      </c>
      <c r="O1436" s="6">
        <f t="shared" ref="O1436:O1438" si="487">-N1436</f>
        <v>-256</v>
      </c>
      <c r="P1436" s="6">
        <f t="shared" si="485"/>
        <v>0</v>
      </c>
      <c r="Q1436" s="7">
        <f t="shared" si="486"/>
        <v>2660119.5500000003</v>
      </c>
      <c r="R1436" s="44" t="str">
        <f>VLOOKUP(F1436,'Set up'!$A$2:$E$48,5,FALSE)</f>
        <v>Trsf</v>
      </c>
      <c r="S1436" s="1" t="s">
        <v>1370</v>
      </c>
    </row>
    <row r="1437" spans="1:19" hidden="1" x14ac:dyDescent="0.3">
      <c r="A1437" s="4" t="s">
        <v>1304</v>
      </c>
      <c r="B1437" s="5">
        <f t="shared" si="481"/>
        <v>3</v>
      </c>
      <c r="C1437" s="5">
        <f t="shared" si="482"/>
        <v>2023</v>
      </c>
      <c r="D1437" s="5" t="s">
        <v>1307</v>
      </c>
      <c r="E1437" s="5" t="str">
        <f>VLOOKUP(F1437,'Set up'!$A$2:$C$48,2,FALSE)</f>
        <v>C00000036</v>
      </c>
      <c r="F1437" s="1" t="s">
        <v>1305</v>
      </c>
      <c r="G1437" s="89" t="s">
        <v>46</v>
      </c>
      <c r="H1437" s="5">
        <v>1</v>
      </c>
      <c r="I1437" s="5" t="str">
        <f>VLOOKUP(F1437,'Set up'!$A$2:$C$48,3,FALSE)</f>
        <v>Cash</v>
      </c>
      <c r="J1437" s="5">
        <f>VLOOKUP(F1437,'Set up'!$A$2:$D$48,4,FALSE)</f>
        <v>0</v>
      </c>
      <c r="K1437" s="4">
        <f t="shared" si="479"/>
        <v>44987</v>
      </c>
      <c r="L1437" s="5">
        <f t="shared" si="483"/>
        <v>3</v>
      </c>
      <c r="M1437" s="5">
        <f t="shared" si="484"/>
        <v>2023</v>
      </c>
      <c r="N1437" s="6">
        <v>110</v>
      </c>
      <c r="O1437" s="6">
        <f t="shared" si="487"/>
        <v>-110</v>
      </c>
      <c r="P1437" s="6">
        <f t="shared" si="485"/>
        <v>0</v>
      </c>
      <c r="Q1437" s="7">
        <f t="shared" si="486"/>
        <v>2660229.5500000003</v>
      </c>
      <c r="R1437" s="44" t="str">
        <f>VLOOKUP(F1437,'Set up'!$A$2:$E$48,5,FALSE)</f>
        <v>Trsf</v>
      </c>
      <c r="S1437" s="1" t="s">
        <v>1370</v>
      </c>
    </row>
    <row r="1438" spans="1:19" x14ac:dyDescent="0.3">
      <c r="A1438" s="4" t="s">
        <v>1309</v>
      </c>
      <c r="B1438" s="5">
        <f t="shared" si="481"/>
        <v>3</v>
      </c>
      <c r="C1438" s="5">
        <f t="shared" si="482"/>
        <v>2023</v>
      </c>
      <c r="D1438" s="5" t="s">
        <v>1308</v>
      </c>
      <c r="E1438" s="5" t="str">
        <f>VLOOKUP(F1438,'Set up'!$A$2:$C$48,2,FALSE)</f>
        <v>C00000020</v>
      </c>
      <c r="F1438" s="1" t="s">
        <v>410</v>
      </c>
      <c r="G1438" s="89" t="s">
        <v>1111</v>
      </c>
      <c r="H1438" s="5">
        <v>15</v>
      </c>
      <c r="I1438" s="5" t="str">
        <f>VLOOKUP(F1438,'Set up'!$A$2:$C$48,3,FALSE)</f>
        <v>Cash</v>
      </c>
      <c r="J1438" s="5">
        <f>VLOOKUP(F1438,'Set up'!$A$2:$D$48,4,FALSE)</f>
        <v>0</v>
      </c>
      <c r="K1438" s="4">
        <f t="shared" si="479"/>
        <v>44988</v>
      </c>
      <c r="L1438" s="5">
        <f t="shared" si="483"/>
        <v>3</v>
      </c>
      <c r="M1438" s="5">
        <f t="shared" si="484"/>
        <v>2023</v>
      </c>
      <c r="N1438" s="6">
        <v>937.5</v>
      </c>
      <c r="O1438" s="6">
        <f t="shared" si="487"/>
        <v>-937.5</v>
      </c>
      <c r="P1438" s="6">
        <f t="shared" si="485"/>
        <v>0</v>
      </c>
      <c r="Q1438" s="7">
        <f t="shared" si="486"/>
        <v>2661167.0500000003</v>
      </c>
      <c r="R1438" s="44" t="str">
        <f>VLOOKUP(F1438,'Set up'!$A$2:$E$48,5,FALSE)</f>
        <v>Trsf</v>
      </c>
      <c r="S1438" s="1" t="s">
        <v>2307</v>
      </c>
    </row>
    <row r="1439" spans="1:19" x14ac:dyDescent="0.3">
      <c r="A1439" s="4" t="s">
        <v>1309</v>
      </c>
      <c r="B1439" s="5">
        <f t="shared" si="481"/>
        <v>3</v>
      </c>
      <c r="C1439" s="5">
        <f t="shared" si="482"/>
        <v>2023</v>
      </c>
      <c r="D1439" s="5" t="s">
        <v>1312</v>
      </c>
      <c r="E1439" s="5" t="str">
        <f>VLOOKUP(F1439,'Set up'!$A$2:$C$48,2,FALSE)</f>
        <v>C00000020</v>
      </c>
      <c r="F1439" s="1" t="s">
        <v>410</v>
      </c>
      <c r="G1439" s="89" t="s">
        <v>717</v>
      </c>
      <c r="H1439" s="5">
        <v>10</v>
      </c>
      <c r="I1439" s="5" t="str">
        <f>VLOOKUP(F1439,'Set up'!$A$2:$C$48,3,FALSE)</f>
        <v>Cash</v>
      </c>
      <c r="J1439" s="5">
        <f>VLOOKUP(F1439,'Set up'!$A$2:$D$48,4,FALSE)</f>
        <v>0</v>
      </c>
      <c r="K1439" s="4">
        <f t="shared" si="479"/>
        <v>44988</v>
      </c>
      <c r="L1439" s="5">
        <f t="shared" si="483"/>
        <v>3</v>
      </c>
      <c r="M1439" s="5">
        <f t="shared" si="484"/>
        <v>2023</v>
      </c>
      <c r="N1439" s="6">
        <v>17380</v>
      </c>
      <c r="O1439" s="6">
        <f>-1858.4-12000-3521.6</f>
        <v>-17380</v>
      </c>
      <c r="P1439" s="6">
        <f t="shared" si="485"/>
        <v>0</v>
      </c>
      <c r="Q1439" s="7">
        <f t="shared" si="486"/>
        <v>2678547.0500000003</v>
      </c>
      <c r="R1439" s="44" t="str">
        <f>VLOOKUP(F1439,'Set up'!$A$2:$E$48,5,FALSE)</f>
        <v>Trsf</v>
      </c>
      <c r="S1439" s="1" t="s">
        <v>2308</v>
      </c>
    </row>
    <row r="1440" spans="1:19" x14ac:dyDescent="0.3">
      <c r="A1440" s="4" t="s">
        <v>1309</v>
      </c>
      <c r="B1440" s="5">
        <f t="shared" si="481"/>
        <v>3</v>
      </c>
      <c r="C1440" s="5">
        <f t="shared" si="482"/>
        <v>2023</v>
      </c>
      <c r="D1440" s="5" t="s">
        <v>1312</v>
      </c>
      <c r="E1440" s="5" t="str">
        <f>VLOOKUP(F1440,'Set up'!$A$2:$C$48,2,FALSE)</f>
        <v>C00000020</v>
      </c>
      <c r="F1440" s="1" t="s">
        <v>410</v>
      </c>
      <c r="G1440" s="89" t="s">
        <v>720</v>
      </c>
      <c r="H1440" s="5">
        <v>5</v>
      </c>
      <c r="I1440" s="5" t="str">
        <f>VLOOKUP(F1440,'Set up'!$A$2:$C$48,3,FALSE)</f>
        <v>Cash</v>
      </c>
      <c r="J1440" s="5">
        <f>VLOOKUP(F1440,'Set up'!$A$2:$D$48,4,FALSE)</f>
        <v>0</v>
      </c>
      <c r="K1440" s="4">
        <f t="shared" si="479"/>
        <v>44988</v>
      </c>
      <c r="L1440" s="5">
        <f t="shared" si="483"/>
        <v>3</v>
      </c>
      <c r="M1440" s="5">
        <f t="shared" si="484"/>
        <v>2023</v>
      </c>
      <c r="N1440" s="6">
        <v>8690</v>
      </c>
      <c r="O1440" s="6">
        <f>-3478.4-5211.6</f>
        <v>-8690</v>
      </c>
      <c r="P1440" s="6">
        <f t="shared" si="485"/>
        <v>0</v>
      </c>
      <c r="Q1440" s="7">
        <f t="shared" si="486"/>
        <v>2687237.0500000003</v>
      </c>
      <c r="R1440" s="44" t="str">
        <f>VLOOKUP(F1440,'Set up'!$A$2:$E$48,5,FALSE)</f>
        <v>Trsf</v>
      </c>
      <c r="S1440" s="1" t="s">
        <v>2309</v>
      </c>
    </row>
    <row r="1441" spans="1:19" x14ac:dyDescent="0.3">
      <c r="A1441" s="4" t="s">
        <v>1309</v>
      </c>
      <c r="B1441" s="5">
        <f t="shared" si="481"/>
        <v>3</v>
      </c>
      <c r="C1441" s="5">
        <f t="shared" si="482"/>
        <v>2023</v>
      </c>
      <c r="D1441" s="5" t="s">
        <v>1312</v>
      </c>
      <c r="E1441" s="5" t="str">
        <f>VLOOKUP(F1441,'Set up'!$A$2:$C$48,2,FALSE)</f>
        <v>C00000020</v>
      </c>
      <c r="F1441" s="1" t="s">
        <v>410</v>
      </c>
      <c r="G1441" s="89" t="s">
        <v>655</v>
      </c>
      <c r="H1441" s="5">
        <v>40</v>
      </c>
      <c r="I1441" s="5" t="str">
        <f>VLOOKUP(F1441,'Set up'!$A$2:$C$48,3,FALSE)</f>
        <v>Cash</v>
      </c>
      <c r="J1441" s="5">
        <f>VLOOKUP(F1441,'Set up'!$A$2:$D$48,4,FALSE)</f>
        <v>0</v>
      </c>
      <c r="K1441" s="4">
        <f t="shared" si="479"/>
        <v>44988</v>
      </c>
      <c r="L1441" s="5">
        <f t="shared" si="483"/>
        <v>3</v>
      </c>
      <c r="M1441" s="5">
        <f t="shared" si="484"/>
        <v>2023</v>
      </c>
      <c r="N1441" s="6">
        <v>9120</v>
      </c>
      <c r="O1441" s="6">
        <f>-5788.4-3331.6</f>
        <v>-9120</v>
      </c>
      <c r="P1441" s="6">
        <f t="shared" si="485"/>
        <v>0</v>
      </c>
      <c r="Q1441" s="7">
        <f t="shared" si="486"/>
        <v>2696357.0500000003</v>
      </c>
      <c r="R1441" s="44" t="str">
        <f>VLOOKUP(F1441,'Set up'!$A$2:$E$48,5,FALSE)</f>
        <v>Trsf</v>
      </c>
      <c r="S1441" s="1" t="s">
        <v>2310</v>
      </c>
    </row>
    <row r="1442" spans="1:19" x14ac:dyDescent="0.3">
      <c r="A1442" s="4" t="s">
        <v>1309</v>
      </c>
      <c r="B1442" s="5">
        <f t="shared" si="481"/>
        <v>3</v>
      </c>
      <c r="C1442" s="5">
        <f t="shared" si="482"/>
        <v>2023</v>
      </c>
      <c r="D1442" s="5" t="s">
        <v>1312</v>
      </c>
      <c r="E1442" s="5" t="str">
        <f>VLOOKUP(F1442,'Set up'!$A$2:$C$48,2,FALSE)</f>
        <v>C00000020</v>
      </c>
      <c r="F1442" s="1" t="s">
        <v>410</v>
      </c>
      <c r="G1442" s="89" t="s">
        <v>779</v>
      </c>
      <c r="H1442" s="5">
        <v>20</v>
      </c>
      <c r="I1442" s="5" t="str">
        <f>VLOOKUP(F1442,'Set up'!$A$2:$C$48,3,FALSE)</f>
        <v>Cash</v>
      </c>
      <c r="J1442" s="5">
        <f>VLOOKUP(F1442,'Set up'!$A$2:$D$48,4,FALSE)</f>
        <v>0</v>
      </c>
      <c r="K1442" s="4">
        <f t="shared" si="479"/>
        <v>44988</v>
      </c>
      <c r="L1442" s="5">
        <f t="shared" si="483"/>
        <v>3</v>
      </c>
      <c r="M1442" s="5">
        <f t="shared" si="484"/>
        <v>2023</v>
      </c>
      <c r="N1442" s="6">
        <v>5040</v>
      </c>
      <c r="O1442" s="6">
        <f t="shared" ref="O1442:O1444" si="488">-N1442</f>
        <v>-5040</v>
      </c>
      <c r="P1442" s="6">
        <f t="shared" si="485"/>
        <v>0</v>
      </c>
      <c r="Q1442" s="7">
        <f t="shared" si="486"/>
        <v>2701397.0500000003</v>
      </c>
      <c r="R1442" s="44" t="str">
        <f>VLOOKUP(F1442,'Set up'!$A$2:$E$48,5,FALSE)</f>
        <v>Trsf</v>
      </c>
      <c r="S1442" s="1" t="s">
        <v>2312</v>
      </c>
    </row>
    <row r="1443" spans="1:19" x14ac:dyDescent="0.3">
      <c r="A1443" s="4" t="s">
        <v>1309</v>
      </c>
      <c r="B1443" s="5">
        <f t="shared" si="481"/>
        <v>3</v>
      </c>
      <c r="C1443" s="5">
        <f t="shared" si="482"/>
        <v>2023</v>
      </c>
      <c r="D1443" s="5" t="s">
        <v>1312</v>
      </c>
      <c r="E1443" s="5" t="str">
        <f>VLOOKUP(F1443,'Set up'!$A$2:$C$48,2,FALSE)</f>
        <v>C00000020</v>
      </c>
      <c r="F1443" s="1" t="s">
        <v>410</v>
      </c>
      <c r="G1443" s="89" t="s">
        <v>667</v>
      </c>
      <c r="H1443" s="5">
        <v>4</v>
      </c>
      <c r="I1443" s="5" t="str">
        <f>VLOOKUP(F1443,'Set up'!$A$2:$C$48,3,FALSE)</f>
        <v>Cash</v>
      </c>
      <c r="J1443" s="5">
        <f>VLOOKUP(F1443,'Set up'!$A$2:$D$48,4,FALSE)</f>
        <v>0</v>
      </c>
      <c r="K1443" s="4">
        <f t="shared" si="479"/>
        <v>44988</v>
      </c>
      <c r="L1443" s="5">
        <f t="shared" si="483"/>
        <v>3</v>
      </c>
      <c r="M1443" s="5">
        <f t="shared" si="484"/>
        <v>2023</v>
      </c>
      <c r="N1443" s="6">
        <v>380</v>
      </c>
      <c r="O1443" s="6">
        <f t="shared" si="488"/>
        <v>-380</v>
      </c>
      <c r="P1443" s="6">
        <f t="shared" si="485"/>
        <v>0</v>
      </c>
      <c r="Q1443" s="7">
        <f t="shared" si="486"/>
        <v>2701777.0500000003</v>
      </c>
      <c r="R1443" s="44" t="str">
        <f>VLOOKUP(F1443,'Set up'!$A$2:$E$48,5,FALSE)</f>
        <v>Trsf</v>
      </c>
      <c r="S1443" s="1" t="s">
        <v>2313</v>
      </c>
    </row>
    <row r="1444" spans="1:19" x14ac:dyDescent="0.3">
      <c r="A1444" s="4" t="s">
        <v>1309</v>
      </c>
      <c r="B1444" s="5">
        <f t="shared" si="481"/>
        <v>3</v>
      </c>
      <c r="C1444" s="5">
        <f t="shared" si="482"/>
        <v>2023</v>
      </c>
      <c r="D1444" s="5" t="s">
        <v>1312</v>
      </c>
      <c r="E1444" s="5" t="str">
        <f>VLOOKUP(F1444,'Set up'!$A$2:$C$48,2,FALSE)</f>
        <v>C00000020</v>
      </c>
      <c r="F1444" s="1" t="s">
        <v>410</v>
      </c>
      <c r="G1444" s="89" t="s">
        <v>1074</v>
      </c>
      <c r="H1444" s="5">
        <v>2</v>
      </c>
      <c r="I1444" s="5" t="str">
        <f>VLOOKUP(F1444,'Set up'!$A$2:$C$48,3,FALSE)</f>
        <v>Cash</v>
      </c>
      <c r="J1444" s="5">
        <f>VLOOKUP(F1444,'Set up'!$A$2:$D$48,4,FALSE)</f>
        <v>0</v>
      </c>
      <c r="K1444" s="4">
        <f t="shared" si="479"/>
        <v>44988</v>
      </c>
      <c r="L1444" s="5">
        <f t="shared" si="483"/>
        <v>3</v>
      </c>
      <c r="M1444" s="5">
        <f t="shared" si="484"/>
        <v>2023</v>
      </c>
      <c r="N1444" s="6">
        <v>2000</v>
      </c>
      <c r="O1444" s="6">
        <f t="shared" si="488"/>
        <v>-2000</v>
      </c>
      <c r="P1444" s="6">
        <f t="shared" si="485"/>
        <v>0</v>
      </c>
      <c r="Q1444" s="7">
        <f t="shared" si="486"/>
        <v>2703777.0500000003</v>
      </c>
      <c r="R1444" s="44" t="str">
        <f>VLOOKUP(F1444,'Set up'!$A$2:$E$48,5,FALSE)</f>
        <v>Trsf</v>
      </c>
      <c r="S1444" s="1" t="s">
        <v>2314</v>
      </c>
    </row>
    <row r="1445" spans="1:19" hidden="1" x14ac:dyDescent="0.3">
      <c r="A1445" s="4" t="s">
        <v>1309</v>
      </c>
      <c r="B1445" s="5">
        <f t="shared" si="481"/>
        <v>3</v>
      </c>
      <c r="C1445" s="5">
        <f t="shared" si="482"/>
        <v>2023</v>
      </c>
      <c r="D1445" s="5" t="s">
        <v>1313</v>
      </c>
      <c r="E1445" s="5" t="str">
        <f>VLOOKUP(F1445,'Set up'!$A$2:$C$48,2,FALSE)</f>
        <v>C00000037</v>
      </c>
      <c r="F1445" s="1" t="s">
        <v>1310</v>
      </c>
      <c r="G1445" s="89" t="s">
        <v>720</v>
      </c>
      <c r="H1445" s="5">
        <v>2</v>
      </c>
      <c r="I1445" s="5">
        <f>VLOOKUP(F1445,'Set up'!$A$2:$C$48,3,FALSE)</f>
        <v>30</v>
      </c>
      <c r="J1445" s="5">
        <f>VLOOKUP(F1445,'Set up'!$A$2:$D$48,4,FALSE)</f>
        <v>30</v>
      </c>
      <c r="K1445" s="4">
        <f t="shared" si="479"/>
        <v>45018</v>
      </c>
      <c r="L1445" s="5">
        <f t="shared" si="483"/>
        <v>4</v>
      </c>
      <c r="M1445" s="5">
        <f t="shared" si="484"/>
        <v>2023</v>
      </c>
      <c r="N1445" s="6">
        <v>3608</v>
      </c>
      <c r="O1445" s="6">
        <f t="shared" ref="O1445:O1448" si="489">-N1445</f>
        <v>-3608</v>
      </c>
      <c r="P1445" s="6">
        <f t="shared" si="485"/>
        <v>0</v>
      </c>
      <c r="Q1445" s="7">
        <f t="shared" si="486"/>
        <v>2707385.0500000003</v>
      </c>
      <c r="R1445" s="44" t="str">
        <f>VLOOKUP(F1445,'Set up'!$A$2:$E$48,5,FALSE)</f>
        <v>Chq</v>
      </c>
      <c r="S1445" s="1" t="s">
        <v>1377</v>
      </c>
    </row>
    <row r="1446" spans="1:19" hidden="1" x14ac:dyDescent="0.3">
      <c r="A1446" s="4" t="s">
        <v>1309</v>
      </c>
      <c r="B1446" s="5">
        <f t="shared" si="481"/>
        <v>3</v>
      </c>
      <c r="C1446" s="5">
        <f t="shared" si="482"/>
        <v>2023</v>
      </c>
      <c r="D1446" s="5" t="s">
        <v>1313</v>
      </c>
      <c r="E1446" s="5" t="str">
        <f>VLOOKUP(F1446,'Set up'!$A$2:$C$48,2,FALSE)</f>
        <v>C00000037</v>
      </c>
      <c r="F1446" s="1" t="s">
        <v>1310</v>
      </c>
      <c r="G1446" s="89" t="s">
        <v>708</v>
      </c>
      <c r="H1446" s="5">
        <v>2</v>
      </c>
      <c r="I1446" s="5">
        <f>VLOOKUP(F1446,'Set up'!$A$2:$C$48,3,FALSE)</f>
        <v>30</v>
      </c>
      <c r="J1446" s="5">
        <f>VLOOKUP(F1446,'Set up'!$A$2:$D$48,4,FALSE)</f>
        <v>30</v>
      </c>
      <c r="K1446" s="4">
        <f t="shared" si="479"/>
        <v>45018</v>
      </c>
      <c r="L1446" s="5">
        <f t="shared" si="483"/>
        <v>4</v>
      </c>
      <c r="M1446" s="5">
        <f t="shared" si="484"/>
        <v>2023</v>
      </c>
      <c r="N1446" s="6">
        <v>842.4</v>
      </c>
      <c r="O1446" s="6">
        <f t="shared" si="489"/>
        <v>-842.4</v>
      </c>
      <c r="P1446" s="6">
        <f t="shared" si="485"/>
        <v>0</v>
      </c>
      <c r="Q1446" s="7">
        <f t="shared" si="486"/>
        <v>2708227.45</v>
      </c>
      <c r="R1446" s="44" t="str">
        <f>VLOOKUP(F1446,'Set up'!$A$2:$E$48,5,FALSE)</f>
        <v>Chq</v>
      </c>
      <c r="S1446" s="1" t="s">
        <v>1377</v>
      </c>
    </row>
    <row r="1447" spans="1:19" hidden="1" x14ac:dyDescent="0.3">
      <c r="A1447" s="4" t="s">
        <v>1309</v>
      </c>
      <c r="B1447" s="5">
        <f t="shared" si="481"/>
        <v>3</v>
      </c>
      <c r="C1447" s="5">
        <f t="shared" si="482"/>
        <v>2023</v>
      </c>
      <c r="D1447" s="5" t="s">
        <v>1313</v>
      </c>
      <c r="E1447" s="5" t="str">
        <f>VLOOKUP(F1447,'Set up'!$A$2:$C$48,2,FALSE)</f>
        <v>C00000037</v>
      </c>
      <c r="F1447" s="1" t="s">
        <v>1310</v>
      </c>
      <c r="G1447" s="89" t="s">
        <v>667</v>
      </c>
      <c r="H1447" s="5">
        <v>2</v>
      </c>
      <c r="I1447" s="5">
        <f>VLOOKUP(F1447,'Set up'!$A$2:$C$48,3,FALSE)</f>
        <v>30</v>
      </c>
      <c r="J1447" s="5">
        <f>VLOOKUP(F1447,'Set up'!$A$2:$D$48,4,FALSE)</f>
        <v>30</v>
      </c>
      <c r="K1447" s="4">
        <f t="shared" si="479"/>
        <v>45018</v>
      </c>
      <c r="L1447" s="5">
        <f t="shared" si="483"/>
        <v>4</v>
      </c>
      <c r="M1447" s="5">
        <f t="shared" si="484"/>
        <v>2023</v>
      </c>
      <c r="N1447" s="6">
        <v>190</v>
      </c>
      <c r="O1447" s="6">
        <f t="shared" si="489"/>
        <v>-190</v>
      </c>
      <c r="P1447" s="6">
        <f t="shared" si="485"/>
        <v>0</v>
      </c>
      <c r="Q1447" s="7">
        <f t="shared" si="486"/>
        <v>2708417.45</v>
      </c>
      <c r="R1447" s="44" t="str">
        <f>VLOOKUP(F1447,'Set up'!$A$2:$E$48,5,FALSE)</f>
        <v>Chq</v>
      </c>
      <c r="S1447" s="1" t="s">
        <v>1377</v>
      </c>
    </row>
    <row r="1448" spans="1:19" hidden="1" x14ac:dyDescent="0.3">
      <c r="A1448" s="4" t="s">
        <v>1309</v>
      </c>
      <c r="B1448" s="5">
        <f t="shared" si="481"/>
        <v>3</v>
      </c>
      <c r="C1448" s="5">
        <f t="shared" si="482"/>
        <v>2023</v>
      </c>
      <c r="D1448" s="5" t="s">
        <v>1313</v>
      </c>
      <c r="E1448" s="5" t="str">
        <f>VLOOKUP(F1448,'Set up'!$A$2:$C$48,2,FALSE)</f>
        <v>C00000037</v>
      </c>
      <c r="F1448" s="1" t="s">
        <v>1310</v>
      </c>
      <c r="G1448" s="89" t="s">
        <v>783</v>
      </c>
      <c r="H1448" s="5">
        <v>3</v>
      </c>
      <c r="I1448" s="5">
        <f>VLOOKUP(F1448,'Set up'!$A$2:$C$48,3,FALSE)</f>
        <v>30</v>
      </c>
      <c r="J1448" s="5">
        <f>VLOOKUP(F1448,'Set up'!$A$2:$D$48,4,FALSE)</f>
        <v>30</v>
      </c>
      <c r="K1448" s="4">
        <f t="shared" si="479"/>
        <v>45018</v>
      </c>
      <c r="L1448" s="5">
        <f t="shared" si="483"/>
        <v>4</v>
      </c>
      <c r="M1448" s="5">
        <f t="shared" si="484"/>
        <v>2023</v>
      </c>
      <c r="N1448" s="6">
        <v>144</v>
      </c>
      <c r="O1448" s="6">
        <f t="shared" si="489"/>
        <v>-144</v>
      </c>
      <c r="P1448" s="6">
        <f t="shared" si="485"/>
        <v>0</v>
      </c>
      <c r="Q1448" s="7">
        <f t="shared" si="486"/>
        <v>2708561.45</v>
      </c>
      <c r="R1448" s="44" t="str">
        <f>VLOOKUP(F1448,'Set up'!$A$2:$E$48,5,FALSE)</f>
        <v>Chq</v>
      </c>
      <c r="S1448" s="1" t="s">
        <v>1377</v>
      </c>
    </row>
    <row r="1449" spans="1:19" hidden="1" x14ac:dyDescent="0.3">
      <c r="A1449" s="4" t="s">
        <v>1318</v>
      </c>
      <c r="B1449" s="5">
        <f t="shared" si="481"/>
        <v>3</v>
      </c>
      <c r="C1449" s="5">
        <f t="shared" si="482"/>
        <v>2023</v>
      </c>
      <c r="D1449" s="5" t="s">
        <v>1314</v>
      </c>
      <c r="E1449" s="5" t="str">
        <f>VLOOKUP(F1449,'Set up'!$A$2:$C$48,2,FALSE)</f>
        <v>C00000036</v>
      </c>
      <c r="F1449" s="1" t="s">
        <v>1305</v>
      </c>
      <c r="G1449" s="89" t="s">
        <v>1315</v>
      </c>
      <c r="H1449" s="5">
        <v>1</v>
      </c>
      <c r="I1449" s="5" t="str">
        <f>VLOOKUP(F1449,'Set up'!$A$2:$C$48,3,FALSE)</f>
        <v>Cash</v>
      </c>
      <c r="J1449" s="5">
        <f>VLOOKUP(F1449,'Set up'!$A$2:$D$48,4,FALSE)</f>
        <v>0</v>
      </c>
      <c r="K1449" s="4">
        <f t="shared" si="479"/>
        <v>44991</v>
      </c>
      <c r="L1449" s="5">
        <f t="shared" si="483"/>
        <v>3</v>
      </c>
      <c r="M1449" s="5">
        <f t="shared" si="484"/>
        <v>2023</v>
      </c>
      <c r="N1449" s="6">
        <v>950</v>
      </c>
      <c r="O1449" s="6">
        <f t="shared" ref="O1449:O1454" si="490">-N1449</f>
        <v>-950</v>
      </c>
      <c r="P1449" s="6">
        <f t="shared" si="485"/>
        <v>0</v>
      </c>
      <c r="Q1449" s="7">
        <f t="shared" si="486"/>
        <v>2709511.45</v>
      </c>
      <c r="R1449" s="44" t="str">
        <f>VLOOKUP(F1449,'Set up'!$A$2:$E$48,5,FALSE)</f>
        <v>Trsf</v>
      </c>
      <c r="S1449" s="1" t="s">
        <v>1371</v>
      </c>
    </row>
    <row r="1450" spans="1:19" hidden="1" x14ac:dyDescent="0.3">
      <c r="A1450" s="4" t="s">
        <v>1318</v>
      </c>
      <c r="B1450" s="5">
        <f t="shared" si="481"/>
        <v>3</v>
      </c>
      <c r="C1450" s="5">
        <f t="shared" si="482"/>
        <v>2023</v>
      </c>
      <c r="D1450" s="5" t="s">
        <v>1314</v>
      </c>
      <c r="E1450" s="5" t="str">
        <f>VLOOKUP(F1450,'Set up'!$A$2:$C$48,2,FALSE)</f>
        <v>C00000036</v>
      </c>
      <c r="F1450" s="1" t="s">
        <v>1305</v>
      </c>
      <c r="G1450" s="89" t="s">
        <v>1316</v>
      </c>
      <c r="H1450" s="5">
        <v>1</v>
      </c>
      <c r="I1450" s="5" t="str">
        <f>VLOOKUP(F1450,'Set up'!$A$2:$C$48,3,FALSE)</f>
        <v>Cash</v>
      </c>
      <c r="J1450" s="5">
        <f>VLOOKUP(F1450,'Set up'!$A$2:$D$48,4,FALSE)</f>
        <v>0</v>
      </c>
      <c r="K1450" s="4">
        <f t="shared" si="479"/>
        <v>44991</v>
      </c>
      <c r="L1450" s="5">
        <f t="shared" si="483"/>
        <v>3</v>
      </c>
      <c r="M1450" s="5">
        <f t="shared" si="484"/>
        <v>2023</v>
      </c>
      <c r="N1450" s="6">
        <v>475</v>
      </c>
      <c r="O1450" s="6">
        <f t="shared" si="490"/>
        <v>-475</v>
      </c>
      <c r="P1450" s="6">
        <f t="shared" si="485"/>
        <v>0</v>
      </c>
      <c r="Q1450" s="7">
        <f t="shared" si="486"/>
        <v>2709986.45</v>
      </c>
      <c r="R1450" s="44" t="str">
        <f>VLOOKUP(F1450,'Set up'!$A$2:$E$48,5,FALSE)</f>
        <v>Trsf</v>
      </c>
      <c r="S1450" s="1" t="s">
        <v>1371</v>
      </c>
    </row>
    <row r="1451" spans="1:19" hidden="1" x14ac:dyDescent="0.3">
      <c r="A1451" s="4" t="s">
        <v>1318</v>
      </c>
      <c r="B1451" s="5">
        <f t="shared" si="481"/>
        <v>3</v>
      </c>
      <c r="C1451" s="5">
        <f t="shared" si="482"/>
        <v>2023</v>
      </c>
      <c r="D1451" s="5" t="s">
        <v>1314</v>
      </c>
      <c r="E1451" s="5" t="str">
        <f>VLOOKUP(F1451,'Set up'!$A$2:$C$48,2,FALSE)</f>
        <v>C00000036</v>
      </c>
      <c r="F1451" s="1" t="s">
        <v>1305</v>
      </c>
      <c r="G1451" s="89" t="s">
        <v>1317</v>
      </c>
      <c r="H1451" s="5">
        <v>2</v>
      </c>
      <c r="I1451" s="5" t="str">
        <f>VLOOKUP(F1451,'Set up'!$A$2:$C$48,3,FALSE)</f>
        <v>Cash</v>
      </c>
      <c r="J1451" s="5">
        <f>VLOOKUP(F1451,'Set up'!$A$2:$D$48,4,FALSE)</f>
        <v>0</v>
      </c>
      <c r="K1451" s="4">
        <f t="shared" si="479"/>
        <v>44991</v>
      </c>
      <c r="L1451" s="5">
        <f t="shared" si="483"/>
        <v>3</v>
      </c>
      <c r="M1451" s="5">
        <f t="shared" si="484"/>
        <v>2023</v>
      </c>
      <c r="N1451" s="6">
        <v>0</v>
      </c>
      <c r="O1451" s="6">
        <f t="shared" si="490"/>
        <v>0</v>
      </c>
      <c r="P1451" s="6">
        <f t="shared" si="485"/>
        <v>0</v>
      </c>
      <c r="Q1451" s="7">
        <f t="shared" si="486"/>
        <v>2709986.45</v>
      </c>
      <c r="R1451" s="44" t="str">
        <f>VLOOKUP(F1451,'Set up'!$A$2:$E$48,5,FALSE)</f>
        <v>Trsf</v>
      </c>
      <c r="S1451" s="1" t="s">
        <v>1371</v>
      </c>
    </row>
    <row r="1452" spans="1:19" hidden="1" x14ac:dyDescent="0.3">
      <c r="A1452" s="4" t="s">
        <v>1318</v>
      </c>
      <c r="B1452" s="5">
        <f t="shared" si="481"/>
        <v>3</v>
      </c>
      <c r="C1452" s="5">
        <f t="shared" si="482"/>
        <v>2023</v>
      </c>
      <c r="D1452" s="5" t="s">
        <v>1319</v>
      </c>
      <c r="E1452" s="5" t="str">
        <f>VLOOKUP(F1452,'Set up'!$A$2:$C$48,2,FALSE)</f>
        <v>C00000021</v>
      </c>
      <c r="F1452" s="1" t="s">
        <v>492</v>
      </c>
      <c r="G1452" s="89" t="s">
        <v>717</v>
      </c>
      <c r="H1452" s="5">
        <v>1</v>
      </c>
      <c r="I1452" s="5" t="str">
        <f>VLOOKUP(F1452,'Set up'!$A$2:$C$48,3,FALSE)</f>
        <v>Cash</v>
      </c>
      <c r="J1452" s="5">
        <f>VLOOKUP(F1452,'Set up'!$A$2:$D$48,4,FALSE)</f>
        <v>0</v>
      </c>
      <c r="K1452" s="4">
        <f t="shared" si="479"/>
        <v>44991</v>
      </c>
      <c r="L1452" s="5">
        <f t="shared" si="483"/>
        <v>3</v>
      </c>
      <c r="M1452" s="5">
        <f t="shared" si="484"/>
        <v>2023</v>
      </c>
      <c r="N1452" s="6">
        <v>1870</v>
      </c>
      <c r="O1452" s="6">
        <f t="shared" si="490"/>
        <v>-1870</v>
      </c>
      <c r="P1452" s="6">
        <f t="shared" si="485"/>
        <v>0</v>
      </c>
      <c r="Q1452" s="7">
        <f t="shared" si="486"/>
        <v>2711856.45</v>
      </c>
      <c r="R1452" s="44" t="str">
        <f>VLOOKUP(F1452,'Set up'!$A$2:$E$48,5,FALSE)</f>
        <v>PD Chq</v>
      </c>
      <c r="S1452" s="1" t="s">
        <v>1781</v>
      </c>
    </row>
    <row r="1453" spans="1:19" hidden="1" x14ac:dyDescent="0.3">
      <c r="A1453" s="4" t="s">
        <v>1318</v>
      </c>
      <c r="B1453" s="5">
        <f t="shared" si="481"/>
        <v>3</v>
      </c>
      <c r="C1453" s="5">
        <f t="shared" si="482"/>
        <v>2023</v>
      </c>
      <c r="D1453" s="5" t="s">
        <v>1319</v>
      </c>
      <c r="E1453" s="5" t="str">
        <f>VLOOKUP(F1453,'Set up'!$A$2:$C$48,2,FALSE)</f>
        <v>C00000021</v>
      </c>
      <c r="F1453" s="1" t="s">
        <v>492</v>
      </c>
      <c r="G1453" s="89" t="s">
        <v>655</v>
      </c>
      <c r="H1453" s="5">
        <v>2</v>
      </c>
      <c r="I1453" s="5" t="str">
        <f>VLOOKUP(F1453,'Set up'!$A$2:$C$48,3,FALSE)</f>
        <v>Cash</v>
      </c>
      <c r="J1453" s="5">
        <f>VLOOKUP(F1453,'Set up'!$A$2:$D$48,4,FALSE)</f>
        <v>0</v>
      </c>
      <c r="K1453" s="4">
        <f t="shared" si="479"/>
        <v>44991</v>
      </c>
      <c r="L1453" s="5">
        <f t="shared" si="483"/>
        <v>3</v>
      </c>
      <c r="M1453" s="5">
        <f t="shared" si="484"/>
        <v>2023</v>
      </c>
      <c r="N1453" s="6">
        <v>510</v>
      </c>
      <c r="O1453" s="6">
        <f t="shared" si="490"/>
        <v>-510</v>
      </c>
      <c r="P1453" s="6">
        <f t="shared" si="485"/>
        <v>0</v>
      </c>
      <c r="Q1453" s="7">
        <f t="shared" si="486"/>
        <v>2712366.45</v>
      </c>
      <c r="R1453" s="44" t="str">
        <f>VLOOKUP(F1453,'Set up'!$A$2:$E$48,5,FALSE)</f>
        <v>PD Chq</v>
      </c>
      <c r="S1453" s="1" t="s">
        <v>1781</v>
      </c>
    </row>
    <row r="1454" spans="1:19" hidden="1" x14ac:dyDescent="0.3">
      <c r="A1454" s="4" t="s">
        <v>1318</v>
      </c>
      <c r="B1454" s="5">
        <f t="shared" si="481"/>
        <v>3</v>
      </c>
      <c r="C1454" s="5">
        <f t="shared" si="482"/>
        <v>2023</v>
      </c>
      <c r="D1454" s="5" t="s">
        <v>1319</v>
      </c>
      <c r="E1454" s="5" t="str">
        <f>VLOOKUP(F1454,'Set up'!$A$2:$C$48,2,FALSE)</f>
        <v>C00000021</v>
      </c>
      <c r="F1454" s="1" t="s">
        <v>492</v>
      </c>
      <c r="G1454" s="89" t="s">
        <v>667</v>
      </c>
      <c r="H1454" s="5">
        <v>1</v>
      </c>
      <c r="I1454" s="5" t="str">
        <f>VLOOKUP(F1454,'Set up'!$A$2:$C$48,3,FALSE)</f>
        <v>Cash</v>
      </c>
      <c r="J1454" s="5">
        <f>VLOOKUP(F1454,'Set up'!$A$2:$D$48,4,FALSE)</f>
        <v>0</v>
      </c>
      <c r="K1454" s="4">
        <f t="shared" si="479"/>
        <v>44991</v>
      </c>
      <c r="L1454" s="5">
        <f t="shared" si="483"/>
        <v>3</v>
      </c>
      <c r="M1454" s="5">
        <f t="shared" si="484"/>
        <v>2023</v>
      </c>
      <c r="N1454" s="6">
        <v>95</v>
      </c>
      <c r="O1454" s="6">
        <f t="shared" si="490"/>
        <v>-95</v>
      </c>
      <c r="P1454" s="6">
        <f t="shared" si="485"/>
        <v>0</v>
      </c>
      <c r="Q1454" s="7">
        <f t="shared" si="486"/>
        <v>2712461.45</v>
      </c>
      <c r="R1454" s="44" t="str">
        <f>VLOOKUP(F1454,'Set up'!$A$2:$E$48,5,FALSE)</f>
        <v>PD Chq</v>
      </c>
      <c r="S1454" s="1" t="s">
        <v>1781</v>
      </c>
    </row>
    <row r="1455" spans="1:19" hidden="1" x14ac:dyDescent="0.3">
      <c r="A1455" s="4" t="s">
        <v>1322</v>
      </c>
      <c r="B1455" s="5">
        <f t="shared" si="481"/>
        <v>3</v>
      </c>
      <c r="C1455" s="5">
        <f t="shared" si="482"/>
        <v>2023</v>
      </c>
      <c r="D1455" s="5" t="s">
        <v>1320</v>
      </c>
      <c r="E1455" s="5" t="str">
        <f>VLOOKUP(F1455,'Set up'!$A$2:$C$48,2,FALSE)</f>
        <v>C00000019</v>
      </c>
      <c r="F1455" s="1" t="s">
        <v>401</v>
      </c>
      <c r="G1455" s="89" t="s">
        <v>720</v>
      </c>
      <c r="H1455" s="5">
        <v>2</v>
      </c>
      <c r="I1455" s="5" t="str">
        <f>VLOOKUP(F1455,'Set up'!$A$2:$C$48,3,FALSE)</f>
        <v>Cash</v>
      </c>
      <c r="J1455" s="5">
        <f>VLOOKUP(F1455,'Set up'!$A$2:$D$48,4,FALSE)</f>
        <v>0</v>
      </c>
      <c r="K1455" s="4">
        <f t="shared" si="479"/>
        <v>44992</v>
      </c>
      <c r="L1455" s="5">
        <f t="shared" si="483"/>
        <v>3</v>
      </c>
      <c r="M1455" s="5">
        <f t="shared" si="484"/>
        <v>2023</v>
      </c>
      <c r="N1455" s="6">
        <v>3564</v>
      </c>
      <c r="O1455" s="6">
        <f>-718.7-1000-1845.3</f>
        <v>-3564</v>
      </c>
      <c r="P1455" s="6">
        <f t="shared" si="485"/>
        <v>0</v>
      </c>
      <c r="Q1455" s="7">
        <f t="shared" si="486"/>
        <v>2716025.45</v>
      </c>
      <c r="R1455" s="44" t="str">
        <f>VLOOKUP(F1455,'Set up'!$A$2:$E$48,5,FALSE)</f>
        <v>Trsf</v>
      </c>
      <c r="S1455" s="1" t="s">
        <v>1670</v>
      </c>
    </row>
    <row r="1456" spans="1:19" hidden="1" x14ac:dyDescent="0.3">
      <c r="A1456" s="4" t="s">
        <v>1322</v>
      </c>
      <c r="B1456" s="5">
        <f t="shared" si="481"/>
        <v>3</v>
      </c>
      <c r="C1456" s="5">
        <f t="shared" si="482"/>
        <v>2023</v>
      </c>
      <c r="D1456" s="5" t="s">
        <v>1320</v>
      </c>
      <c r="E1456" s="5" t="str">
        <f>VLOOKUP(F1456,'Set up'!$A$2:$C$48,2,FALSE)</f>
        <v>C00000019</v>
      </c>
      <c r="F1456" s="1" t="s">
        <v>401</v>
      </c>
      <c r="G1456" s="89" t="s">
        <v>708</v>
      </c>
      <c r="H1456" s="5">
        <v>2</v>
      </c>
      <c r="I1456" s="5" t="str">
        <f>VLOOKUP(F1456,'Set up'!$A$2:$C$48,3,FALSE)</f>
        <v>Cash</v>
      </c>
      <c r="J1456" s="5">
        <f>VLOOKUP(F1456,'Set up'!$A$2:$D$48,4,FALSE)</f>
        <v>0</v>
      </c>
      <c r="K1456" s="4">
        <f t="shared" si="479"/>
        <v>44992</v>
      </c>
      <c r="L1456" s="5">
        <f t="shared" si="483"/>
        <v>3</v>
      </c>
      <c r="M1456" s="5">
        <f t="shared" si="484"/>
        <v>2023</v>
      </c>
      <c r="N1456" s="6">
        <v>842.4</v>
      </c>
      <c r="O1456" s="6">
        <f>-154.7-500-187.7</f>
        <v>-842.40000000000009</v>
      </c>
      <c r="P1456" s="6">
        <f t="shared" si="485"/>
        <v>-1.1368683772161603E-13</v>
      </c>
      <c r="Q1456" s="7">
        <f t="shared" si="486"/>
        <v>2716867.85</v>
      </c>
      <c r="R1456" s="44" t="str">
        <f>VLOOKUP(F1456,'Set up'!$A$2:$E$48,5,FALSE)</f>
        <v>Trsf</v>
      </c>
      <c r="S1456" s="1" t="s">
        <v>1770</v>
      </c>
    </row>
    <row r="1457" spans="1:19" hidden="1" x14ac:dyDescent="0.3">
      <c r="A1457" s="4" t="s">
        <v>1325</v>
      </c>
      <c r="B1457" s="5">
        <f t="shared" si="481"/>
        <v>3</v>
      </c>
      <c r="C1457" s="5">
        <f t="shared" si="482"/>
        <v>2023</v>
      </c>
      <c r="D1457" s="5" t="s">
        <v>1321</v>
      </c>
      <c r="E1457" s="5" t="str">
        <f>VLOOKUP(F1457,'Set up'!$A$2:$C$48,2,FALSE)</f>
        <v>C00000019</v>
      </c>
      <c r="F1457" s="1" t="s">
        <v>401</v>
      </c>
      <c r="G1457" s="89" t="s">
        <v>792</v>
      </c>
      <c r="H1457" s="5">
        <v>5</v>
      </c>
      <c r="I1457" s="5" t="str">
        <f>VLOOKUP(F1457,'Set up'!$A$2:$C$48,3,FALSE)</f>
        <v>Cash</v>
      </c>
      <c r="J1457" s="5">
        <f>VLOOKUP(F1457,'Set up'!$A$2:$D$48,4,FALSE)</f>
        <v>0</v>
      </c>
      <c r="K1457" s="4">
        <f t="shared" si="479"/>
        <v>44993</v>
      </c>
      <c r="L1457" s="5">
        <f t="shared" si="483"/>
        <v>3</v>
      </c>
      <c r="M1457" s="5">
        <f t="shared" si="484"/>
        <v>2023</v>
      </c>
      <c r="N1457" s="6">
        <v>312.5</v>
      </c>
      <c r="O1457" s="6">
        <f t="shared" ref="O1457:O1460" si="491">-N1457</f>
        <v>-312.5</v>
      </c>
      <c r="P1457" s="6">
        <f t="shared" si="485"/>
        <v>0</v>
      </c>
      <c r="Q1457" s="7">
        <f t="shared" si="486"/>
        <v>2717180.35</v>
      </c>
      <c r="R1457" s="44" t="str">
        <f>VLOOKUP(F1457,'Set up'!$A$2:$E$48,5,FALSE)</f>
        <v>Trsf</v>
      </c>
      <c r="S1457" s="1" t="s">
        <v>1771</v>
      </c>
    </row>
    <row r="1458" spans="1:19" hidden="1" x14ac:dyDescent="0.3">
      <c r="A1458" s="4" t="s">
        <v>1325</v>
      </c>
      <c r="B1458" s="5">
        <f t="shared" si="481"/>
        <v>3</v>
      </c>
      <c r="C1458" s="5">
        <f t="shared" si="482"/>
        <v>2023</v>
      </c>
      <c r="D1458" s="5" t="s">
        <v>1321</v>
      </c>
      <c r="E1458" s="5" t="str">
        <f>VLOOKUP(F1458,'Set up'!$A$2:$C$48,2,FALSE)</f>
        <v>C00000019</v>
      </c>
      <c r="F1458" s="1" t="s">
        <v>401</v>
      </c>
      <c r="G1458" s="89" t="s">
        <v>1323</v>
      </c>
      <c r="H1458" s="5">
        <v>1</v>
      </c>
      <c r="I1458" s="5" t="str">
        <f>VLOOKUP(F1458,'Set up'!$A$2:$C$48,3,FALSE)</f>
        <v>Cash</v>
      </c>
      <c r="J1458" s="5">
        <f>VLOOKUP(F1458,'Set up'!$A$2:$D$48,4,FALSE)</f>
        <v>0</v>
      </c>
      <c r="K1458" s="4">
        <f t="shared" si="479"/>
        <v>44993</v>
      </c>
      <c r="L1458" s="5">
        <f t="shared" si="483"/>
        <v>3</v>
      </c>
      <c r="M1458" s="5">
        <f t="shared" si="484"/>
        <v>2023</v>
      </c>
      <c r="N1458" s="6">
        <v>625</v>
      </c>
      <c r="O1458" s="6">
        <f>-499.8-125.2</f>
        <v>-625</v>
      </c>
      <c r="P1458" s="6">
        <f t="shared" si="485"/>
        <v>0</v>
      </c>
      <c r="Q1458" s="7">
        <f t="shared" si="486"/>
        <v>2717805.35</v>
      </c>
      <c r="R1458" s="44" t="str">
        <f>VLOOKUP(F1458,'Set up'!$A$2:$E$48,5,FALSE)</f>
        <v>Trsf</v>
      </c>
      <c r="S1458" s="1" t="s">
        <v>1772</v>
      </c>
    </row>
    <row r="1459" spans="1:19" hidden="1" x14ac:dyDescent="0.3">
      <c r="A1459" s="4" t="s">
        <v>1325</v>
      </c>
      <c r="B1459" s="5">
        <f t="shared" si="481"/>
        <v>3</v>
      </c>
      <c r="C1459" s="5">
        <f t="shared" si="482"/>
        <v>2023</v>
      </c>
      <c r="D1459" s="5" t="s">
        <v>1321</v>
      </c>
      <c r="E1459" s="5" t="str">
        <f>VLOOKUP(F1459,'Set up'!$A$2:$C$48,2,FALSE)</f>
        <v>C00000019</v>
      </c>
      <c r="F1459" s="1" t="s">
        <v>401</v>
      </c>
      <c r="G1459" s="89" t="s">
        <v>1324</v>
      </c>
      <c r="H1459" s="5">
        <v>1</v>
      </c>
      <c r="I1459" s="5" t="str">
        <f>VLOOKUP(F1459,'Set up'!$A$2:$C$48,3,FALSE)</f>
        <v>Cash</v>
      </c>
      <c r="J1459" s="5">
        <f>VLOOKUP(F1459,'Set up'!$A$2:$D$48,4,FALSE)</f>
        <v>0</v>
      </c>
      <c r="K1459" s="4">
        <f t="shared" si="479"/>
        <v>44993</v>
      </c>
      <c r="L1459" s="5">
        <f t="shared" si="483"/>
        <v>3</v>
      </c>
      <c r="M1459" s="5">
        <f t="shared" si="484"/>
        <v>2023</v>
      </c>
      <c r="N1459" s="6">
        <v>38</v>
      </c>
      <c r="O1459" s="6">
        <f t="shared" si="491"/>
        <v>-38</v>
      </c>
      <c r="P1459" s="6">
        <f t="shared" si="485"/>
        <v>0</v>
      </c>
      <c r="Q1459" s="7">
        <f t="shared" si="486"/>
        <v>2717843.35</v>
      </c>
      <c r="R1459" s="44" t="str">
        <f>VLOOKUP(F1459,'Set up'!$A$2:$E$48,5,FALSE)</f>
        <v>Trsf</v>
      </c>
      <c r="S1459" s="1" t="s">
        <v>1773</v>
      </c>
    </row>
    <row r="1460" spans="1:19" hidden="1" x14ac:dyDescent="0.3">
      <c r="A1460" s="4" t="s">
        <v>1325</v>
      </c>
      <c r="B1460" s="5">
        <f t="shared" si="481"/>
        <v>3</v>
      </c>
      <c r="C1460" s="5">
        <f t="shared" si="482"/>
        <v>2023</v>
      </c>
      <c r="D1460" s="5" t="s">
        <v>1321</v>
      </c>
      <c r="E1460" s="5" t="str">
        <f>VLOOKUP(F1460,'Set up'!$A$2:$C$48,2,FALSE)</f>
        <v>C00000019</v>
      </c>
      <c r="F1460" s="1" t="s">
        <v>401</v>
      </c>
      <c r="G1460" s="89" t="s">
        <v>1119</v>
      </c>
      <c r="H1460" s="5">
        <v>1</v>
      </c>
      <c r="I1460" s="5" t="str">
        <f>VLOOKUP(F1460,'Set up'!$A$2:$C$48,3,FALSE)</f>
        <v>Cash</v>
      </c>
      <c r="J1460" s="5">
        <f>VLOOKUP(F1460,'Set up'!$A$2:$D$48,4,FALSE)</f>
        <v>0</v>
      </c>
      <c r="K1460" s="4">
        <f t="shared" si="479"/>
        <v>44993</v>
      </c>
      <c r="L1460" s="5">
        <f t="shared" si="483"/>
        <v>3</v>
      </c>
      <c r="M1460" s="5">
        <f t="shared" si="484"/>
        <v>2023</v>
      </c>
      <c r="N1460" s="6">
        <v>45</v>
      </c>
      <c r="O1460" s="6">
        <f t="shared" si="491"/>
        <v>-45</v>
      </c>
      <c r="P1460" s="6">
        <f t="shared" si="485"/>
        <v>0</v>
      </c>
      <c r="Q1460" s="7">
        <f t="shared" si="486"/>
        <v>2717888.35</v>
      </c>
      <c r="R1460" s="44" t="str">
        <f>VLOOKUP(F1460,'Set up'!$A$2:$E$48,5,FALSE)</f>
        <v>Trsf</v>
      </c>
      <c r="S1460" s="1" t="s">
        <v>1774</v>
      </c>
    </row>
    <row r="1461" spans="1:19" hidden="1" x14ac:dyDescent="0.3">
      <c r="A1461" s="4" t="s">
        <v>1331</v>
      </c>
      <c r="B1461" s="5">
        <f t="shared" si="481"/>
        <v>3</v>
      </c>
      <c r="C1461" s="5">
        <f t="shared" si="482"/>
        <v>2023</v>
      </c>
      <c r="D1461" s="5" t="s">
        <v>1330</v>
      </c>
      <c r="E1461" s="5" t="str">
        <f>VLOOKUP(F1461,'Set up'!$A$2:$C$48,2,FALSE)</f>
        <v>C00000014</v>
      </c>
      <c r="F1461" s="1" t="s">
        <v>263</v>
      </c>
      <c r="G1461" s="89" t="s">
        <v>304</v>
      </c>
      <c r="H1461" s="5">
        <v>1</v>
      </c>
      <c r="I1461" s="5" t="str">
        <f>VLOOKUP(F1461,'Set up'!$A$2:$C$48,3,FALSE)</f>
        <v>Cash</v>
      </c>
      <c r="J1461" s="5">
        <f>VLOOKUP(F1461,'Set up'!$A$2:$D$48,4,FALSE)</f>
        <v>0</v>
      </c>
      <c r="K1461" s="4">
        <f t="shared" si="479"/>
        <v>44995</v>
      </c>
      <c r="L1461" s="5">
        <f t="shared" si="483"/>
        <v>3</v>
      </c>
      <c r="M1461" s="5">
        <f t="shared" si="484"/>
        <v>2023</v>
      </c>
      <c r="N1461" s="6">
        <v>1804</v>
      </c>
      <c r="O1461" s="6">
        <f t="shared" ref="O1461:O1468" si="492">-N1461</f>
        <v>-1804</v>
      </c>
      <c r="P1461" s="6">
        <f t="shared" si="485"/>
        <v>0</v>
      </c>
      <c r="Q1461" s="7">
        <f t="shared" si="486"/>
        <v>2719692.35</v>
      </c>
      <c r="R1461" s="44" t="str">
        <f>VLOOKUP(F1461,'Set up'!$A$2:$E$48,5,FALSE)</f>
        <v>Cash</v>
      </c>
      <c r="S1461" s="1" t="s">
        <v>1372</v>
      </c>
    </row>
    <row r="1462" spans="1:19" hidden="1" x14ac:dyDescent="0.3">
      <c r="A1462" s="4" t="s">
        <v>1331</v>
      </c>
      <c r="B1462" s="5">
        <f t="shared" si="481"/>
        <v>3</v>
      </c>
      <c r="C1462" s="5">
        <f t="shared" si="482"/>
        <v>2023</v>
      </c>
      <c r="D1462" s="5" t="s">
        <v>1330</v>
      </c>
      <c r="E1462" s="5" t="str">
        <f>VLOOKUP(F1462,'Set up'!$A$2:$C$48,2,FALSE)</f>
        <v>C00000014</v>
      </c>
      <c r="F1462" s="1" t="s">
        <v>263</v>
      </c>
      <c r="G1462" s="89" t="s">
        <v>1141</v>
      </c>
      <c r="H1462" s="5">
        <v>1</v>
      </c>
      <c r="I1462" s="5" t="str">
        <f>VLOOKUP(F1462,'Set up'!$A$2:$C$48,3,FALSE)</f>
        <v>Cash</v>
      </c>
      <c r="J1462" s="5">
        <f>VLOOKUP(F1462,'Set up'!$A$2:$D$48,4,FALSE)</f>
        <v>0</v>
      </c>
      <c r="K1462" s="4">
        <f t="shared" si="479"/>
        <v>44995</v>
      </c>
      <c r="L1462" s="5">
        <f t="shared" si="483"/>
        <v>3</v>
      </c>
      <c r="M1462" s="5">
        <f t="shared" si="484"/>
        <v>2023</v>
      </c>
      <c r="N1462" s="6">
        <v>237</v>
      </c>
      <c r="O1462" s="6">
        <f t="shared" si="492"/>
        <v>-237</v>
      </c>
      <c r="P1462" s="6">
        <f t="shared" si="485"/>
        <v>0</v>
      </c>
      <c r="Q1462" s="7">
        <f t="shared" si="486"/>
        <v>2719929.35</v>
      </c>
      <c r="R1462" s="44" t="str">
        <f>VLOOKUP(F1462,'Set up'!$A$2:$E$48,5,FALSE)</f>
        <v>Cash</v>
      </c>
      <c r="S1462" s="1" t="s">
        <v>1372</v>
      </c>
    </row>
    <row r="1463" spans="1:19" hidden="1" x14ac:dyDescent="0.3">
      <c r="A1463" s="4" t="s">
        <v>1331</v>
      </c>
      <c r="B1463" s="5">
        <f t="shared" si="481"/>
        <v>3</v>
      </c>
      <c r="C1463" s="5">
        <f t="shared" si="482"/>
        <v>2023</v>
      </c>
      <c r="D1463" s="5" t="s">
        <v>1330</v>
      </c>
      <c r="E1463" s="5" t="str">
        <f>VLOOKUP(F1463,'Set up'!$A$2:$C$48,2,FALSE)</f>
        <v>C00000014</v>
      </c>
      <c r="F1463" s="1" t="s">
        <v>263</v>
      </c>
      <c r="G1463" s="89" t="s">
        <v>1326</v>
      </c>
      <c r="H1463" s="5">
        <v>1</v>
      </c>
      <c r="I1463" s="5" t="str">
        <f>VLOOKUP(F1463,'Set up'!$A$2:$C$48,3,FALSE)</f>
        <v>Cash</v>
      </c>
      <c r="J1463" s="5">
        <f>VLOOKUP(F1463,'Set up'!$A$2:$D$48,4,FALSE)</f>
        <v>0</v>
      </c>
      <c r="K1463" s="4">
        <f t="shared" si="479"/>
        <v>44995</v>
      </c>
      <c r="L1463" s="5">
        <f t="shared" si="483"/>
        <v>3</v>
      </c>
      <c r="M1463" s="5">
        <f t="shared" si="484"/>
        <v>2023</v>
      </c>
      <c r="N1463" s="6">
        <v>64</v>
      </c>
      <c r="O1463" s="6">
        <f t="shared" si="492"/>
        <v>-64</v>
      </c>
      <c r="P1463" s="6">
        <f t="shared" si="485"/>
        <v>0</v>
      </c>
      <c r="Q1463" s="7">
        <f t="shared" si="486"/>
        <v>2719993.35</v>
      </c>
      <c r="R1463" s="44" t="str">
        <f>VLOOKUP(F1463,'Set up'!$A$2:$E$48,5,FALSE)</f>
        <v>Cash</v>
      </c>
      <c r="S1463" s="1" t="s">
        <v>1372</v>
      </c>
    </row>
    <row r="1464" spans="1:19" hidden="1" x14ac:dyDescent="0.3">
      <c r="A1464" s="4" t="s">
        <v>1331</v>
      </c>
      <c r="B1464" s="5">
        <f t="shared" si="481"/>
        <v>3</v>
      </c>
      <c r="C1464" s="5">
        <f t="shared" si="482"/>
        <v>2023</v>
      </c>
      <c r="D1464" s="5" t="s">
        <v>1330</v>
      </c>
      <c r="E1464" s="5" t="str">
        <f>VLOOKUP(F1464,'Set up'!$A$2:$C$48,2,FALSE)</f>
        <v>C00000014</v>
      </c>
      <c r="F1464" s="1" t="s">
        <v>263</v>
      </c>
      <c r="G1464" s="89" t="s">
        <v>1327</v>
      </c>
      <c r="H1464" s="5">
        <v>1</v>
      </c>
      <c r="I1464" s="5" t="str">
        <f>VLOOKUP(F1464,'Set up'!$A$2:$C$48,3,FALSE)</f>
        <v>Cash</v>
      </c>
      <c r="J1464" s="5">
        <f>VLOOKUP(F1464,'Set up'!$A$2:$D$48,4,FALSE)</f>
        <v>0</v>
      </c>
      <c r="K1464" s="4">
        <f t="shared" si="479"/>
        <v>44995</v>
      </c>
      <c r="L1464" s="5">
        <f t="shared" si="483"/>
        <v>3</v>
      </c>
      <c r="M1464" s="5">
        <f t="shared" si="484"/>
        <v>2023</v>
      </c>
      <c r="N1464" s="6">
        <v>66</v>
      </c>
      <c r="O1464" s="6">
        <f t="shared" si="492"/>
        <v>-66</v>
      </c>
      <c r="P1464" s="6">
        <f t="shared" si="485"/>
        <v>0</v>
      </c>
      <c r="Q1464" s="7">
        <f t="shared" si="486"/>
        <v>2720059.35</v>
      </c>
      <c r="R1464" s="44" t="str">
        <f>VLOOKUP(F1464,'Set up'!$A$2:$E$48,5,FALSE)</f>
        <v>Cash</v>
      </c>
      <c r="S1464" s="1" t="s">
        <v>1372</v>
      </c>
    </row>
    <row r="1465" spans="1:19" hidden="1" x14ac:dyDescent="0.3">
      <c r="A1465" s="4" t="s">
        <v>1331</v>
      </c>
      <c r="B1465" s="5">
        <f t="shared" si="481"/>
        <v>3</v>
      </c>
      <c r="C1465" s="5">
        <f t="shared" si="482"/>
        <v>2023</v>
      </c>
      <c r="D1465" s="5" t="s">
        <v>1330</v>
      </c>
      <c r="E1465" s="5" t="str">
        <f>VLOOKUP(F1465,'Set up'!$A$2:$C$48,2,FALSE)</f>
        <v>C00000014</v>
      </c>
      <c r="F1465" s="1" t="s">
        <v>263</v>
      </c>
      <c r="G1465" s="89" t="s">
        <v>1328</v>
      </c>
      <c r="H1465" s="5">
        <v>1</v>
      </c>
      <c r="I1465" s="5" t="str">
        <f>VLOOKUP(F1465,'Set up'!$A$2:$C$48,3,FALSE)</f>
        <v>Cash</v>
      </c>
      <c r="J1465" s="5">
        <f>VLOOKUP(F1465,'Set up'!$A$2:$D$48,4,FALSE)</f>
        <v>0</v>
      </c>
      <c r="K1465" s="4">
        <f t="shared" si="479"/>
        <v>44995</v>
      </c>
      <c r="L1465" s="5">
        <f t="shared" si="483"/>
        <v>3</v>
      </c>
      <c r="M1465" s="5">
        <f t="shared" si="484"/>
        <v>2023</v>
      </c>
      <c r="N1465" s="6">
        <v>116</v>
      </c>
      <c r="O1465" s="6">
        <f t="shared" si="492"/>
        <v>-116</v>
      </c>
      <c r="P1465" s="6">
        <f t="shared" si="485"/>
        <v>0</v>
      </c>
      <c r="Q1465" s="7">
        <f t="shared" si="486"/>
        <v>2720175.35</v>
      </c>
      <c r="R1465" s="44" t="str">
        <f>VLOOKUP(F1465,'Set up'!$A$2:$E$48,5,FALSE)</f>
        <v>Cash</v>
      </c>
      <c r="S1465" s="1" t="s">
        <v>1372</v>
      </c>
    </row>
    <row r="1466" spans="1:19" hidden="1" x14ac:dyDescent="0.3">
      <c r="A1466" s="4" t="s">
        <v>1331</v>
      </c>
      <c r="B1466" s="5">
        <f t="shared" si="481"/>
        <v>3</v>
      </c>
      <c r="C1466" s="5">
        <f t="shared" si="482"/>
        <v>2023</v>
      </c>
      <c r="D1466" s="5" t="s">
        <v>1330</v>
      </c>
      <c r="E1466" s="5" t="str">
        <f>VLOOKUP(F1466,'Set up'!$A$2:$C$48,2,FALSE)</f>
        <v>C00000014</v>
      </c>
      <c r="F1466" s="1" t="s">
        <v>263</v>
      </c>
      <c r="G1466" s="89" t="s">
        <v>1329</v>
      </c>
      <c r="H1466" s="5">
        <v>1</v>
      </c>
      <c r="I1466" s="5" t="str">
        <f>VLOOKUP(F1466,'Set up'!$A$2:$C$48,3,FALSE)</f>
        <v>Cash</v>
      </c>
      <c r="J1466" s="5">
        <f>VLOOKUP(F1466,'Set up'!$A$2:$D$48,4,FALSE)</f>
        <v>0</v>
      </c>
      <c r="K1466" s="4">
        <f t="shared" si="479"/>
        <v>44995</v>
      </c>
      <c r="L1466" s="5">
        <f t="shared" si="483"/>
        <v>3</v>
      </c>
      <c r="M1466" s="5">
        <f t="shared" si="484"/>
        <v>2023</v>
      </c>
      <c r="N1466" s="6">
        <v>258</v>
      </c>
      <c r="O1466" s="6">
        <f t="shared" si="492"/>
        <v>-258</v>
      </c>
      <c r="P1466" s="6">
        <f t="shared" si="485"/>
        <v>0</v>
      </c>
      <c r="Q1466" s="7">
        <f t="shared" si="486"/>
        <v>2720433.35</v>
      </c>
      <c r="R1466" s="44" t="str">
        <f>VLOOKUP(F1466,'Set up'!$A$2:$E$48,5,FALSE)</f>
        <v>Cash</v>
      </c>
      <c r="S1466" s="1" t="s">
        <v>1372</v>
      </c>
    </row>
    <row r="1467" spans="1:19" x14ac:dyDescent="0.3">
      <c r="A1467" s="4" t="s">
        <v>1333</v>
      </c>
      <c r="B1467" s="5">
        <f t="shared" si="481"/>
        <v>3</v>
      </c>
      <c r="C1467" s="5">
        <f t="shared" si="482"/>
        <v>2023</v>
      </c>
      <c r="D1467" s="5" t="s">
        <v>1332</v>
      </c>
      <c r="E1467" s="5" t="str">
        <f>VLOOKUP(F1467,'Set up'!$A$2:$C$48,2,FALSE)</f>
        <v>C00000020</v>
      </c>
      <c r="F1467" s="1" t="s">
        <v>410</v>
      </c>
      <c r="G1467" s="89" t="s">
        <v>667</v>
      </c>
      <c r="H1467" s="5">
        <v>1</v>
      </c>
      <c r="I1467" s="5" t="str">
        <f>VLOOKUP(F1467,'Set up'!$A$2:$C$48,3,FALSE)</f>
        <v>Cash</v>
      </c>
      <c r="J1467" s="5">
        <f>VLOOKUP(F1467,'Set up'!$A$2:$D$48,4,FALSE)</f>
        <v>0</v>
      </c>
      <c r="K1467" s="4">
        <f t="shared" si="479"/>
        <v>44996</v>
      </c>
      <c r="L1467" s="5">
        <f t="shared" si="483"/>
        <v>3</v>
      </c>
      <c r="M1467" s="5">
        <f t="shared" si="484"/>
        <v>2023</v>
      </c>
      <c r="N1467" s="6">
        <v>95</v>
      </c>
      <c r="O1467" s="6">
        <f t="shared" si="492"/>
        <v>-95</v>
      </c>
      <c r="P1467" s="6">
        <f t="shared" si="485"/>
        <v>0</v>
      </c>
      <c r="Q1467" s="7">
        <f t="shared" si="486"/>
        <v>2720528.35</v>
      </c>
      <c r="R1467" s="44" t="str">
        <f>VLOOKUP(F1467,'Set up'!$A$2:$E$48,5,FALSE)</f>
        <v>Trsf</v>
      </c>
      <c r="S1467" s="1" t="s">
        <v>2315</v>
      </c>
    </row>
    <row r="1468" spans="1:19" x14ac:dyDescent="0.3">
      <c r="A1468" s="4" t="s">
        <v>1333</v>
      </c>
      <c r="B1468" s="5">
        <f t="shared" si="481"/>
        <v>3</v>
      </c>
      <c r="C1468" s="5">
        <f t="shared" si="482"/>
        <v>2023</v>
      </c>
      <c r="D1468" s="5" t="s">
        <v>1332</v>
      </c>
      <c r="E1468" s="5" t="str">
        <f>VLOOKUP(F1468,'Set up'!$A$2:$C$48,2,FALSE)</f>
        <v>C00000020</v>
      </c>
      <c r="F1468" s="1" t="s">
        <v>410</v>
      </c>
      <c r="G1468" s="89" t="s">
        <v>46</v>
      </c>
      <c r="H1468" s="5">
        <v>1</v>
      </c>
      <c r="I1468" s="5" t="str">
        <f>VLOOKUP(F1468,'Set up'!$A$2:$C$48,3,FALSE)</f>
        <v>Cash</v>
      </c>
      <c r="J1468" s="5">
        <f>VLOOKUP(F1468,'Set up'!$A$2:$D$48,4,FALSE)</f>
        <v>0</v>
      </c>
      <c r="K1468" s="4">
        <f t="shared" si="479"/>
        <v>44996</v>
      </c>
      <c r="L1468" s="5">
        <f t="shared" si="483"/>
        <v>3</v>
      </c>
      <c r="M1468" s="5">
        <f t="shared" si="484"/>
        <v>2023</v>
      </c>
      <c r="N1468" s="6">
        <v>105</v>
      </c>
      <c r="O1468" s="6">
        <f t="shared" si="492"/>
        <v>-105</v>
      </c>
      <c r="P1468" s="6">
        <f t="shared" si="485"/>
        <v>0</v>
      </c>
      <c r="Q1468" s="7">
        <f t="shared" si="486"/>
        <v>2720633.35</v>
      </c>
      <c r="R1468" s="44" t="str">
        <f>VLOOKUP(F1468,'Set up'!$A$2:$E$48,5,FALSE)</f>
        <v>Trsf</v>
      </c>
      <c r="S1468" s="1" t="s">
        <v>2316</v>
      </c>
    </row>
    <row r="1469" spans="1:19" hidden="1" x14ac:dyDescent="0.3">
      <c r="A1469" s="4" t="s">
        <v>1335</v>
      </c>
      <c r="B1469" s="5">
        <f t="shared" si="481"/>
        <v>3</v>
      </c>
      <c r="C1469" s="5">
        <f t="shared" si="482"/>
        <v>2023</v>
      </c>
      <c r="D1469" s="5" t="s">
        <v>1334</v>
      </c>
      <c r="E1469" s="5" t="str">
        <f>VLOOKUP(F1469,'Set up'!$A$2:$C$48,2,FALSE)</f>
        <v>C00000010</v>
      </c>
      <c r="F1469" s="1" t="s">
        <v>62</v>
      </c>
      <c r="G1469" s="89" t="s">
        <v>1179</v>
      </c>
      <c r="H1469" s="5">
        <v>6</v>
      </c>
      <c r="I1469" s="5">
        <f>VLOOKUP(F1469,'Set up'!$A$2:$C$48,3,FALSE)</f>
        <v>120</v>
      </c>
      <c r="J1469" s="5">
        <f>VLOOKUP(F1469,'Set up'!$A$2:$D$48,4,FALSE)</f>
        <v>120</v>
      </c>
      <c r="K1469" s="4">
        <f t="shared" si="479"/>
        <v>45119</v>
      </c>
      <c r="L1469" s="5">
        <f t="shared" ref="L1469:L1489" si="493">MONTH(K1469)</f>
        <v>7</v>
      </c>
      <c r="M1469" s="5">
        <f t="shared" ref="M1469:M1489" si="494">YEAR(K1469)</f>
        <v>2023</v>
      </c>
      <c r="N1469" s="6">
        <v>9768</v>
      </c>
      <c r="O1469" s="6">
        <f t="shared" ref="O1469:O1476" si="495">-N1469</f>
        <v>-9768</v>
      </c>
      <c r="P1469" s="6">
        <f t="shared" si="485"/>
        <v>0</v>
      </c>
      <c r="Q1469" s="7">
        <f t="shared" si="486"/>
        <v>2730401.35</v>
      </c>
      <c r="R1469" s="44" t="str">
        <f>VLOOKUP(F1469,'Set up'!$A$2:$E$48,5,FALSE)</f>
        <v>Trsf</v>
      </c>
      <c r="S1469" s="1" t="s">
        <v>1695</v>
      </c>
    </row>
    <row r="1470" spans="1:19" hidden="1" x14ac:dyDescent="0.3">
      <c r="A1470" s="4" t="s">
        <v>1335</v>
      </c>
      <c r="B1470" s="5">
        <f t="shared" si="481"/>
        <v>3</v>
      </c>
      <c r="C1470" s="5">
        <f t="shared" si="482"/>
        <v>2023</v>
      </c>
      <c r="D1470" s="5" t="s">
        <v>1334</v>
      </c>
      <c r="E1470" s="5" t="str">
        <f>VLOOKUP(F1470,'Set up'!$A$2:$C$48,2,FALSE)</f>
        <v>C00000010</v>
      </c>
      <c r="F1470" s="1" t="s">
        <v>62</v>
      </c>
      <c r="G1470" s="89" t="s">
        <v>1253</v>
      </c>
      <c r="H1470" s="5">
        <v>10</v>
      </c>
      <c r="I1470" s="5">
        <f>VLOOKUP(F1470,'Set up'!$A$2:$C$48,3,FALSE)</f>
        <v>120</v>
      </c>
      <c r="J1470" s="5">
        <f>VLOOKUP(F1470,'Set up'!$A$2:$D$48,4,FALSE)</f>
        <v>120</v>
      </c>
      <c r="K1470" s="4">
        <f t="shared" si="479"/>
        <v>45119</v>
      </c>
      <c r="L1470" s="5">
        <f t="shared" si="493"/>
        <v>7</v>
      </c>
      <c r="M1470" s="5">
        <f t="shared" si="494"/>
        <v>2023</v>
      </c>
      <c r="N1470" s="6">
        <v>2070</v>
      </c>
      <c r="O1470" s="6">
        <f t="shared" si="495"/>
        <v>-2070</v>
      </c>
      <c r="P1470" s="6">
        <f t="shared" si="485"/>
        <v>0</v>
      </c>
      <c r="Q1470" s="7">
        <f t="shared" si="486"/>
        <v>2732471.35</v>
      </c>
      <c r="R1470" s="44" t="str">
        <f>VLOOKUP(F1470,'Set up'!$A$2:$E$48,5,FALSE)</f>
        <v>Trsf</v>
      </c>
      <c r="S1470" s="1" t="s">
        <v>1695</v>
      </c>
    </row>
    <row r="1471" spans="1:19" hidden="1" x14ac:dyDescent="0.3">
      <c r="A1471" s="4" t="s">
        <v>1335</v>
      </c>
      <c r="B1471" s="5">
        <f t="shared" ref="B1471:B1484" si="496">MONTH(A1471)</f>
        <v>3</v>
      </c>
      <c r="C1471" s="5">
        <f t="shared" ref="C1471:C1484" si="497">YEAR(A1471)</f>
        <v>2023</v>
      </c>
      <c r="D1471" s="5" t="s">
        <v>1334</v>
      </c>
      <c r="E1471" s="5" t="str">
        <f>VLOOKUP(F1471,'Set up'!$A$2:$C$48,2,FALSE)</f>
        <v>C00000010</v>
      </c>
      <c r="F1471" s="1" t="s">
        <v>62</v>
      </c>
      <c r="G1471" s="89" t="s">
        <v>945</v>
      </c>
      <c r="H1471" s="5">
        <v>2</v>
      </c>
      <c r="I1471" s="5">
        <f>VLOOKUP(F1471,'Set up'!$A$2:$C$48,3,FALSE)</f>
        <v>120</v>
      </c>
      <c r="J1471" s="5">
        <f>VLOOKUP(F1471,'Set up'!$A$2:$D$48,4,FALSE)</f>
        <v>120</v>
      </c>
      <c r="K1471" s="4">
        <f t="shared" si="479"/>
        <v>45119</v>
      </c>
      <c r="L1471" s="5">
        <f t="shared" si="493"/>
        <v>7</v>
      </c>
      <c r="M1471" s="5">
        <f t="shared" si="494"/>
        <v>2023</v>
      </c>
      <c r="N1471" s="6">
        <v>840</v>
      </c>
      <c r="O1471" s="6">
        <f t="shared" si="495"/>
        <v>-840</v>
      </c>
      <c r="P1471" s="6">
        <f t="shared" ref="P1471:P1489" si="498">SUM(N1471+O1471)</f>
        <v>0</v>
      </c>
      <c r="Q1471" s="7">
        <f t="shared" ref="Q1471:Q1489" si="499">SUM(Q1470+N1471)</f>
        <v>2733311.35</v>
      </c>
      <c r="R1471" s="44" t="str">
        <f>VLOOKUP(F1471,'Set up'!$A$2:$E$48,5,FALSE)</f>
        <v>Trsf</v>
      </c>
      <c r="S1471" s="1" t="s">
        <v>1695</v>
      </c>
    </row>
    <row r="1472" spans="1:19" x14ac:dyDescent="0.3">
      <c r="A1472" s="4" t="s">
        <v>1335</v>
      </c>
      <c r="B1472" s="5">
        <f t="shared" si="496"/>
        <v>3</v>
      </c>
      <c r="C1472" s="5">
        <f t="shared" si="497"/>
        <v>2023</v>
      </c>
      <c r="D1472" s="5" t="s">
        <v>1336</v>
      </c>
      <c r="E1472" s="5" t="str">
        <f>VLOOKUP(F1472,'Set up'!$A$2:$C$48,2,FALSE)</f>
        <v>C00000020</v>
      </c>
      <c r="F1472" s="1" t="s">
        <v>410</v>
      </c>
      <c r="G1472" s="89" t="s">
        <v>1111</v>
      </c>
      <c r="H1472" s="5">
        <v>10</v>
      </c>
      <c r="I1472" s="5" t="str">
        <f>VLOOKUP(F1472,'Set up'!$A$2:$C$48,3,FALSE)</f>
        <v>Cash</v>
      </c>
      <c r="J1472" s="5">
        <f>VLOOKUP(F1472,'Set up'!$A$2:$D$48,4,FALSE)</f>
        <v>0</v>
      </c>
      <c r="K1472" s="4">
        <f t="shared" si="479"/>
        <v>44999</v>
      </c>
      <c r="L1472" s="5">
        <f t="shared" si="493"/>
        <v>3</v>
      </c>
      <c r="M1472" s="5">
        <f t="shared" si="494"/>
        <v>2023</v>
      </c>
      <c r="N1472" s="6">
        <v>625</v>
      </c>
      <c r="O1472" s="6">
        <f t="shared" si="495"/>
        <v>-625</v>
      </c>
      <c r="P1472" s="6">
        <f t="shared" si="498"/>
        <v>0</v>
      </c>
      <c r="Q1472" s="7">
        <f t="shared" si="499"/>
        <v>2733936.35</v>
      </c>
      <c r="R1472" s="44" t="str">
        <f>VLOOKUP(F1472,'Set up'!$A$2:$E$48,5,FALSE)</f>
        <v>Trsf</v>
      </c>
      <c r="S1472" s="1" t="s">
        <v>2317</v>
      </c>
    </row>
    <row r="1473" spans="1:19" x14ac:dyDescent="0.3">
      <c r="A1473" s="4" t="s">
        <v>1335</v>
      </c>
      <c r="B1473" s="5">
        <f t="shared" si="496"/>
        <v>3</v>
      </c>
      <c r="C1473" s="5">
        <f t="shared" si="497"/>
        <v>2023</v>
      </c>
      <c r="D1473" s="5" t="s">
        <v>1337</v>
      </c>
      <c r="E1473" s="5" t="str">
        <f>VLOOKUP(F1473,'Set up'!$A$2:$C$48,2,FALSE)</f>
        <v>C00000020</v>
      </c>
      <c r="F1473" s="1" t="s">
        <v>410</v>
      </c>
      <c r="G1473" s="89" t="s">
        <v>67</v>
      </c>
      <c r="H1473" s="5">
        <v>10</v>
      </c>
      <c r="I1473" s="5" t="str">
        <f>VLOOKUP(F1473,'Set up'!$A$2:$C$48,3,FALSE)</f>
        <v>Cash</v>
      </c>
      <c r="J1473" s="5">
        <f>VLOOKUP(F1473,'Set up'!$A$2:$D$48,4,FALSE)</f>
        <v>0</v>
      </c>
      <c r="K1473" s="4">
        <f t="shared" si="479"/>
        <v>44999</v>
      </c>
      <c r="L1473" s="5">
        <f t="shared" si="493"/>
        <v>3</v>
      </c>
      <c r="M1473" s="5">
        <f t="shared" si="494"/>
        <v>2023</v>
      </c>
      <c r="N1473" s="6">
        <v>17380</v>
      </c>
      <c r="O1473" s="6">
        <f>-723.4-13000-3656.6</f>
        <v>-17380</v>
      </c>
      <c r="P1473" s="6">
        <f t="shared" si="498"/>
        <v>0</v>
      </c>
      <c r="Q1473" s="7">
        <f t="shared" si="499"/>
        <v>2751316.35</v>
      </c>
      <c r="R1473" s="44" t="str">
        <f>VLOOKUP(F1473,'Set up'!$A$2:$E$48,5,FALSE)</f>
        <v>Trsf</v>
      </c>
      <c r="S1473" s="1" t="s">
        <v>2388</v>
      </c>
    </row>
    <row r="1474" spans="1:19" x14ac:dyDescent="0.3">
      <c r="A1474" s="4" t="s">
        <v>1335</v>
      </c>
      <c r="B1474" s="5">
        <f t="shared" si="496"/>
        <v>3</v>
      </c>
      <c r="C1474" s="5">
        <f t="shared" si="497"/>
        <v>2023</v>
      </c>
      <c r="D1474" s="5" t="s">
        <v>1337</v>
      </c>
      <c r="E1474" s="5" t="str">
        <f>VLOOKUP(F1474,'Set up'!$A$2:$C$48,2,FALSE)</f>
        <v>C00000020</v>
      </c>
      <c r="F1474" s="1" t="s">
        <v>410</v>
      </c>
      <c r="G1474" s="89" t="s">
        <v>655</v>
      </c>
      <c r="H1474" s="5">
        <v>28</v>
      </c>
      <c r="I1474" s="5" t="str">
        <f>VLOOKUP(F1474,'Set up'!$A$2:$C$48,3,FALSE)</f>
        <v>Cash</v>
      </c>
      <c r="J1474" s="5">
        <f>VLOOKUP(F1474,'Set up'!$A$2:$D$48,4,FALSE)</f>
        <v>0</v>
      </c>
      <c r="K1474" s="4">
        <f t="shared" si="479"/>
        <v>44999</v>
      </c>
      <c r="L1474" s="5">
        <f t="shared" si="493"/>
        <v>3</v>
      </c>
      <c r="M1474" s="5">
        <f t="shared" si="494"/>
        <v>2023</v>
      </c>
      <c r="N1474" s="6">
        <v>6384</v>
      </c>
      <c r="O1474" s="6">
        <f t="shared" si="495"/>
        <v>-6384</v>
      </c>
      <c r="P1474" s="6">
        <f t="shared" si="498"/>
        <v>0</v>
      </c>
      <c r="Q1474" s="7">
        <f t="shared" si="499"/>
        <v>2757700.35</v>
      </c>
      <c r="R1474" s="44" t="str">
        <f>VLOOKUP(F1474,'Set up'!$A$2:$E$48,5,FALSE)</f>
        <v>Trsf</v>
      </c>
      <c r="S1474" s="1" t="s">
        <v>2389</v>
      </c>
    </row>
    <row r="1475" spans="1:19" x14ac:dyDescent="0.3">
      <c r="A1475" s="4" t="s">
        <v>1335</v>
      </c>
      <c r="B1475" s="5">
        <f t="shared" si="496"/>
        <v>3</v>
      </c>
      <c r="C1475" s="5">
        <f t="shared" si="497"/>
        <v>2023</v>
      </c>
      <c r="D1475" s="5" t="s">
        <v>1337</v>
      </c>
      <c r="E1475" s="5" t="str">
        <f>VLOOKUP(F1475,'Set up'!$A$2:$C$48,2,FALSE)</f>
        <v>C00000020</v>
      </c>
      <c r="F1475" s="1" t="s">
        <v>410</v>
      </c>
      <c r="G1475" s="89" t="s">
        <v>779</v>
      </c>
      <c r="H1475" s="5">
        <v>12</v>
      </c>
      <c r="I1475" s="5" t="str">
        <f>VLOOKUP(F1475,'Set up'!$A$2:$C$48,3,FALSE)</f>
        <v>Cash</v>
      </c>
      <c r="J1475" s="5">
        <f>VLOOKUP(F1475,'Set up'!$A$2:$D$48,4,FALSE)</f>
        <v>0</v>
      </c>
      <c r="K1475" s="4">
        <f t="shared" si="479"/>
        <v>44999</v>
      </c>
      <c r="L1475" s="5">
        <f t="shared" si="493"/>
        <v>3</v>
      </c>
      <c r="M1475" s="5">
        <f t="shared" si="494"/>
        <v>2023</v>
      </c>
      <c r="N1475" s="6">
        <v>3024</v>
      </c>
      <c r="O1475" s="6">
        <f t="shared" si="495"/>
        <v>-3024</v>
      </c>
      <c r="P1475" s="6">
        <f t="shared" si="498"/>
        <v>0</v>
      </c>
      <c r="Q1475" s="7">
        <f t="shared" si="499"/>
        <v>2760724.35</v>
      </c>
      <c r="R1475" s="44" t="str">
        <f>VLOOKUP(F1475,'Set up'!$A$2:$E$48,5,FALSE)</f>
        <v>Trsf</v>
      </c>
      <c r="S1475" s="1" t="s">
        <v>2390</v>
      </c>
    </row>
    <row r="1476" spans="1:19" x14ac:dyDescent="0.3">
      <c r="A1476" s="4" t="s">
        <v>1335</v>
      </c>
      <c r="B1476" s="5">
        <f t="shared" si="496"/>
        <v>3</v>
      </c>
      <c r="C1476" s="5">
        <f t="shared" si="497"/>
        <v>2023</v>
      </c>
      <c r="D1476" s="5" t="s">
        <v>1337</v>
      </c>
      <c r="E1476" s="5" t="str">
        <f>VLOOKUP(F1476,'Set up'!$A$2:$C$48,2,FALSE)</f>
        <v>C00000020</v>
      </c>
      <c r="F1476" s="1" t="s">
        <v>410</v>
      </c>
      <c r="G1476" s="89" t="s">
        <v>667</v>
      </c>
      <c r="H1476" s="5">
        <v>4</v>
      </c>
      <c r="I1476" s="5" t="str">
        <f>VLOOKUP(F1476,'Set up'!$A$2:$C$48,3,FALSE)</f>
        <v>Cash</v>
      </c>
      <c r="J1476" s="5">
        <f>VLOOKUP(F1476,'Set up'!$A$2:$D$48,4,FALSE)</f>
        <v>0</v>
      </c>
      <c r="K1476" s="4">
        <f t="shared" si="479"/>
        <v>44999</v>
      </c>
      <c r="L1476" s="5">
        <f t="shared" si="493"/>
        <v>3</v>
      </c>
      <c r="M1476" s="5">
        <f t="shared" si="494"/>
        <v>2023</v>
      </c>
      <c r="N1476" s="6">
        <v>380</v>
      </c>
      <c r="O1476" s="6">
        <f t="shared" si="495"/>
        <v>-380</v>
      </c>
      <c r="P1476" s="6">
        <f t="shared" si="498"/>
        <v>0</v>
      </c>
      <c r="Q1476" s="7">
        <f t="shared" si="499"/>
        <v>2761104.35</v>
      </c>
      <c r="R1476" s="44" t="str">
        <f>VLOOKUP(F1476,'Set up'!$A$2:$E$48,5,FALSE)</f>
        <v>Trsf</v>
      </c>
      <c r="S1476" s="1" t="s">
        <v>2391</v>
      </c>
    </row>
    <row r="1477" spans="1:19" x14ac:dyDescent="0.3">
      <c r="A1477" s="4" t="s">
        <v>1335</v>
      </c>
      <c r="B1477" s="5">
        <f t="shared" si="496"/>
        <v>3</v>
      </c>
      <c r="C1477" s="5">
        <f t="shared" si="497"/>
        <v>2023</v>
      </c>
      <c r="D1477" s="5" t="s">
        <v>1337</v>
      </c>
      <c r="E1477" s="5" t="str">
        <f>VLOOKUP(F1477,'Set up'!$A$2:$C$48,2,FALSE)</f>
        <v>C00000020</v>
      </c>
      <c r="F1477" s="1" t="s">
        <v>410</v>
      </c>
      <c r="G1477" s="89" t="s">
        <v>1074</v>
      </c>
      <c r="H1477" s="5">
        <v>2</v>
      </c>
      <c r="I1477" s="5" t="str">
        <f>VLOOKUP(F1477,'Set up'!$A$2:$C$48,3,FALSE)</f>
        <v>Cash</v>
      </c>
      <c r="J1477" s="5">
        <f>VLOOKUP(F1477,'Set up'!$A$2:$D$48,4,FALSE)</f>
        <v>0</v>
      </c>
      <c r="K1477" s="4">
        <f t="shared" si="479"/>
        <v>44999</v>
      </c>
      <c r="L1477" s="5">
        <f t="shared" si="493"/>
        <v>3</v>
      </c>
      <c r="M1477" s="5">
        <f t="shared" si="494"/>
        <v>2023</v>
      </c>
      <c r="N1477" s="6">
        <v>2000</v>
      </c>
      <c r="O1477" s="6">
        <f>-1555.4-444.6</f>
        <v>-2000</v>
      </c>
      <c r="P1477" s="6">
        <f t="shared" si="498"/>
        <v>0</v>
      </c>
      <c r="Q1477" s="7">
        <f t="shared" si="499"/>
        <v>2763104.35</v>
      </c>
      <c r="R1477" s="44" t="str">
        <f>VLOOKUP(F1477,'Set up'!$A$2:$E$48,5,FALSE)</f>
        <v>Trsf</v>
      </c>
      <c r="S1477" s="1" t="s">
        <v>2392</v>
      </c>
    </row>
    <row r="1478" spans="1:19" hidden="1" x14ac:dyDescent="0.3">
      <c r="A1478" s="4" t="s">
        <v>1335</v>
      </c>
      <c r="B1478" s="5">
        <f t="shared" si="496"/>
        <v>3</v>
      </c>
      <c r="C1478" s="5">
        <f t="shared" si="497"/>
        <v>2023</v>
      </c>
      <c r="D1478" s="5" t="s">
        <v>1338</v>
      </c>
      <c r="E1478" s="5" t="str">
        <f>VLOOKUP(F1478,'Set up'!$A$2:$C$48,2,FALSE)</f>
        <v>C00000019</v>
      </c>
      <c r="F1478" s="1" t="s">
        <v>401</v>
      </c>
      <c r="G1478" s="89" t="s">
        <v>950</v>
      </c>
      <c r="H1478" s="5">
        <v>4</v>
      </c>
      <c r="I1478" s="5" t="str">
        <f>VLOOKUP(F1478,'Set up'!$A$2:$C$48,3,FALSE)</f>
        <v>Cash</v>
      </c>
      <c r="J1478" s="5">
        <f>VLOOKUP(F1478,'Set up'!$A$2:$D$48,4,FALSE)</f>
        <v>0</v>
      </c>
      <c r="K1478" s="4">
        <f t="shared" si="479"/>
        <v>44999</v>
      </c>
      <c r="L1478" s="5">
        <f t="shared" si="493"/>
        <v>3</v>
      </c>
      <c r="M1478" s="5">
        <f t="shared" si="494"/>
        <v>2023</v>
      </c>
      <c r="N1478" s="6">
        <v>200</v>
      </c>
      <c r="O1478" s="6">
        <f t="shared" ref="O1478:O1482" si="500">-N1478</f>
        <v>-200</v>
      </c>
      <c r="P1478" s="6">
        <f t="shared" si="498"/>
        <v>0</v>
      </c>
      <c r="Q1478" s="7">
        <f t="shared" si="499"/>
        <v>2763304.35</v>
      </c>
      <c r="R1478" s="44" t="str">
        <f>VLOOKUP(F1478,'Set up'!$A$2:$E$48,5,FALSE)</f>
        <v>Trsf</v>
      </c>
      <c r="S1478" s="1" t="s">
        <v>1775</v>
      </c>
    </row>
    <row r="1479" spans="1:19" hidden="1" x14ac:dyDescent="0.3">
      <c r="A1479" s="4" t="s">
        <v>1335</v>
      </c>
      <c r="B1479" s="5">
        <f t="shared" si="496"/>
        <v>3</v>
      </c>
      <c r="C1479" s="5">
        <f t="shared" si="497"/>
        <v>2023</v>
      </c>
      <c r="D1479" s="5" t="s">
        <v>1338</v>
      </c>
      <c r="E1479" s="5" t="str">
        <f>VLOOKUP(F1479,'Set up'!$A$2:$C$48,2,FALSE)</f>
        <v>C00000019</v>
      </c>
      <c r="F1479" s="1" t="s">
        <v>401</v>
      </c>
      <c r="G1479" s="89" t="s">
        <v>1133</v>
      </c>
      <c r="H1479" s="5">
        <v>1</v>
      </c>
      <c r="I1479" s="5" t="str">
        <f>VLOOKUP(F1479,'Set up'!$A$2:$C$48,3,FALSE)</f>
        <v>Cash</v>
      </c>
      <c r="J1479" s="5">
        <f>VLOOKUP(F1479,'Set up'!$A$2:$D$48,4,FALSE)</f>
        <v>0</v>
      </c>
      <c r="K1479" s="4">
        <f t="shared" si="479"/>
        <v>44999</v>
      </c>
      <c r="L1479" s="5">
        <f t="shared" si="493"/>
        <v>3</v>
      </c>
      <c r="M1479" s="5">
        <f t="shared" si="494"/>
        <v>2023</v>
      </c>
      <c r="N1479" s="6">
        <v>440</v>
      </c>
      <c r="O1479" s="6">
        <f t="shared" si="500"/>
        <v>-440</v>
      </c>
      <c r="P1479" s="6">
        <f t="shared" si="498"/>
        <v>0</v>
      </c>
      <c r="Q1479" s="7">
        <f t="shared" si="499"/>
        <v>2763744.35</v>
      </c>
      <c r="R1479" s="44" t="str">
        <f>VLOOKUP(F1479,'Set up'!$A$2:$E$48,5,FALSE)</f>
        <v>Trsf</v>
      </c>
      <c r="S1479" s="1" t="s">
        <v>1776</v>
      </c>
    </row>
    <row r="1480" spans="1:19" hidden="1" x14ac:dyDescent="0.3">
      <c r="A1480" s="4" t="s">
        <v>1335</v>
      </c>
      <c r="B1480" s="5">
        <f t="shared" si="496"/>
        <v>3</v>
      </c>
      <c r="C1480" s="5">
        <f t="shared" si="497"/>
        <v>2023</v>
      </c>
      <c r="D1480" s="5" t="s">
        <v>1339</v>
      </c>
      <c r="E1480" s="5" t="str">
        <f>VLOOKUP(F1480,'Set up'!$A$2:$C$48,2,FALSE)</f>
        <v>C00000009</v>
      </c>
      <c r="F1480" s="1" t="s">
        <v>58</v>
      </c>
      <c r="G1480" s="89" t="s">
        <v>95</v>
      </c>
      <c r="H1480" s="5">
        <v>2</v>
      </c>
      <c r="I1480" s="5">
        <f>VLOOKUP(F1480,'Set up'!$A$2:$C$48,3,FALSE)</f>
        <v>60</v>
      </c>
      <c r="J1480" s="5">
        <f>VLOOKUP(F1480,'Set up'!$A$2:$D$48,4,FALSE)</f>
        <v>60</v>
      </c>
      <c r="K1480" s="4">
        <f t="shared" si="479"/>
        <v>45059</v>
      </c>
      <c r="L1480" s="5">
        <f t="shared" si="493"/>
        <v>5</v>
      </c>
      <c r="M1480" s="5">
        <f t="shared" si="494"/>
        <v>2023</v>
      </c>
      <c r="N1480" s="6">
        <v>3344</v>
      </c>
      <c r="O1480" s="6">
        <f t="shared" si="500"/>
        <v>-3344</v>
      </c>
      <c r="P1480" s="6">
        <f t="shared" si="498"/>
        <v>0</v>
      </c>
      <c r="Q1480" s="7">
        <f t="shared" si="499"/>
        <v>2767088.35</v>
      </c>
      <c r="R1480" s="44" t="str">
        <f>VLOOKUP(F1480,'Set up'!$A$2:$E$48,5,FALSE)</f>
        <v>Chq</v>
      </c>
      <c r="S1480" s="1" t="s">
        <v>2094</v>
      </c>
    </row>
    <row r="1481" spans="1:19" hidden="1" x14ac:dyDescent="0.3">
      <c r="A1481" s="4" t="s">
        <v>1335</v>
      </c>
      <c r="B1481" s="5">
        <f t="shared" si="496"/>
        <v>3</v>
      </c>
      <c r="C1481" s="5">
        <f t="shared" si="497"/>
        <v>2023</v>
      </c>
      <c r="D1481" s="5" t="s">
        <v>1339</v>
      </c>
      <c r="E1481" s="5" t="str">
        <f>VLOOKUP(F1481,'Set up'!$A$2:$C$48,2,FALSE)</f>
        <v>C00000009</v>
      </c>
      <c r="F1481" s="1" t="s">
        <v>58</v>
      </c>
      <c r="G1481" s="89" t="s">
        <v>708</v>
      </c>
      <c r="H1481" s="5">
        <v>2</v>
      </c>
      <c r="I1481" s="5">
        <f>VLOOKUP(F1481,'Set up'!$A$2:$C$48,3,FALSE)</f>
        <v>60</v>
      </c>
      <c r="J1481" s="5">
        <f>VLOOKUP(F1481,'Set up'!$A$2:$D$48,4,FALSE)</f>
        <v>60</v>
      </c>
      <c r="K1481" s="4">
        <f t="shared" si="479"/>
        <v>45059</v>
      </c>
      <c r="L1481" s="5">
        <f t="shared" si="493"/>
        <v>5</v>
      </c>
      <c r="M1481" s="5">
        <f t="shared" si="494"/>
        <v>2023</v>
      </c>
      <c r="N1481" s="6">
        <v>745.2</v>
      </c>
      <c r="O1481" s="6">
        <f t="shared" si="500"/>
        <v>-745.2</v>
      </c>
      <c r="P1481" s="6">
        <f t="shared" si="498"/>
        <v>0</v>
      </c>
      <c r="Q1481" s="7">
        <f t="shared" si="499"/>
        <v>2767833.5500000003</v>
      </c>
      <c r="R1481" s="44" t="str">
        <f>VLOOKUP(F1481,'Set up'!$A$2:$E$48,5,FALSE)</f>
        <v>Chq</v>
      </c>
      <c r="S1481" s="1" t="s">
        <v>2094</v>
      </c>
    </row>
    <row r="1482" spans="1:19" hidden="1" x14ac:dyDescent="0.3">
      <c r="A1482" s="4" t="s">
        <v>1335</v>
      </c>
      <c r="B1482" s="5">
        <f t="shared" si="496"/>
        <v>3</v>
      </c>
      <c r="C1482" s="5">
        <f t="shared" si="497"/>
        <v>2023</v>
      </c>
      <c r="D1482" s="5" t="s">
        <v>1339</v>
      </c>
      <c r="E1482" s="5" t="str">
        <f>VLOOKUP(F1482,'Set up'!$A$2:$C$48,2,FALSE)</f>
        <v>C00000009</v>
      </c>
      <c r="F1482" s="1" t="s">
        <v>58</v>
      </c>
      <c r="G1482" s="89" t="s">
        <v>1008</v>
      </c>
      <c r="H1482" s="5">
        <v>1</v>
      </c>
      <c r="I1482" s="5">
        <f>VLOOKUP(F1482,'Set up'!$A$2:$C$48,3,FALSE)</f>
        <v>60</v>
      </c>
      <c r="J1482" s="5">
        <f>VLOOKUP(F1482,'Set up'!$A$2:$D$48,4,FALSE)</f>
        <v>60</v>
      </c>
      <c r="K1482" s="4">
        <f t="shared" si="479"/>
        <v>45059</v>
      </c>
      <c r="L1482" s="5">
        <f t="shared" si="493"/>
        <v>5</v>
      </c>
      <c r="M1482" s="5">
        <f t="shared" si="494"/>
        <v>2023</v>
      </c>
      <c r="N1482" s="6">
        <v>372.6</v>
      </c>
      <c r="O1482" s="6">
        <f t="shared" si="500"/>
        <v>-372.6</v>
      </c>
      <c r="P1482" s="6">
        <f t="shared" si="498"/>
        <v>0</v>
      </c>
      <c r="Q1482" s="7">
        <f t="shared" si="499"/>
        <v>2768206.1500000004</v>
      </c>
      <c r="R1482" s="44" t="str">
        <f>VLOOKUP(F1482,'Set up'!$A$2:$E$48,5,FALSE)</f>
        <v>Chq</v>
      </c>
      <c r="S1482" s="1" t="s">
        <v>2094</v>
      </c>
    </row>
    <row r="1483" spans="1:19" hidden="1" x14ac:dyDescent="0.3">
      <c r="A1483" s="4" t="s">
        <v>1341</v>
      </c>
      <c r="B1483" s="5">
        <f t="shared" si="496"/>
        <v>3</v>
      </c>
      <c r="C1483" s="5">
        <f t="shared" si="497"/>
        <v>2023</v>
      </c>
      <c r="D1483" s="5" t="s">
        <v>1340</v>
      </c>
      <c r="E1483" s="5" t="str">
        <f>VLOOKUP(F1483,'Set up'!$A$2:$C$48,2,FALSE)</f>
        <v>C00000021</v>
      </c>
      <c r="F1483" s="1" t="s">
        <v>492</v>
      </c>
      <c r="G1483" s="89" t="s">
        <v>717</v>
      </c>
      <c r="H1483" s="5">
        <v>1</v>
      </c>
      <c r="I1483" s="5" t="str">
        <f>VLOOKUP(F1483,'Set up'!$A$2:$C$48,3,FALSE)</f>
        <v>Cash</v>
      </c>
      <c r="J1483" s="5">
        <f>VLOOKUP(F1483,'Set up'!$A$2:$D$48,4,FALSE)</f>
        <v>0</v>
      </c>
      <c r="K1483" s="4">
        <f t="shared" si="479"/>
        <v>45001</v>
      </c>
      <c r="L1483" s="5">
        <f t="shared" si="493"/>
        <v>3</v>
      </c>
      <c r="M1483" s="5">
        <f t="shared" si="494"/>
        <v>2023</v>
      </c>
      <c r="N1483" s="6">
        <v>1870</v>
      </c>
      <c r="O1483" s="6">
        <f t="shared" ref="O1483:O1485" si="501">-N1483</f>
        <v>-1870</v>
      </c>
      <c r="P1483" s="6">
        <f t="shared" si="498"/>
        <v>0</v>
      </c>
      <c r="Q1483" s="7">
        <f t="shared" si="499"/>
        <v>2770076.1500000004</v>
      </c>
      <c r="R1483" s="44" t="str">
        <f>VLOOKUP(F1483,'Set up'!$A$2:$E$48,5,FALSE)</f>
        <v>PD Chq</v>
      </c>
      <c r="S1483" s="1" t="s">
        <v>1859</v>
      </c>
    </row>
    <row r="1484" spans="1:19" hidden="1" x14ac:dyDescent="0.3">
      <c r="A1484" s="4" t="s">
        <v>1341</v>
      </c>
      <c r="B1484" s="5">
        <f t="shared" si="496"/>
        <v>3</v>
      </c>
      <c r="C1484" s="5">
        <f t="shared" si="497"/>
        <v>2023</v>
      </c>
      <c r="D1484" s="5" t="s">
        <v>1340</v>
      </c>
      <c r="E1484" s="5" t="str">
        <f>VLOOKUP(F1484,'Set up'!$A$2:$C$48,2,FALSE)</f>
        <v>C00000021</v>
      </c>
      <c r="F1484" s="1" t="s">
        <v>492</v>
      </c>
      <c r="G1484" s="89" t="s">
        <v>655</v>
      </c>
      <c r="H1484" s="5">
        <v>2</v>
      </c>
      <c r="I1484" s="5" t="str">
        <f>VLOOKUP(F1484,'Set up'!$A$2:$C$48,3,FALSE)</f>
        <v>Cash</v>
      </c>
      <c r="J1484" s="5">
        <f>VLOOKUP(F1484,'Set up'!$A$2:$D$48,4,FALSE)</f>
        <v>0</v>
      </c>
      <c r="K1484" s="4">
        <f t="shared" si="479"/>
        <v>45001</v>
      </c>
      <c r="L1484" s="5">
        <f t="shared" si="493"/>
        <v>3</v>
      </c>
      <c r="M1484" s="5">
        <f t="shared" si="494"/>
        <v>2023</v>
      </c>
      <c r="N1484" s="6">
        <v>510</v>
      </c>
      <c r="O1484" s="6">
        <f t="shared" si="501"/>
        <v>-510</v>
      </c>
      <c r="P1484" s="6">
        <f t="shared" si="498"/>
        <v>0</v>
      </c>
      <c r="Q1484" s="7">
        <f t="shared" si="499"/>
        <v>2770586.1500000004</v>
      </c>
      <c r="R1484" s="44" t="str">
        <f>VLOOKUP(F1484,'Set up'!$A$2:$E$48,5,FALSE)</f>
        <v>PD Chq</v>
      </c>
      <c r="S1484" s="1" t="s">
        <v>1859</v>
      </c>
    </row>
    <row r="1485" spans="1:19" hidden="1" x14ac:dyDescent="0.3">
      <c r="A1485" s="4" t="s">
        <v>1341</v>
      </c>
      <c r="B1485" s="5">
        <f t="shared" ref="B1485:B1508" si="502">MONTH(A1485)</f>
        <v>3</v>
      </c>
      <c r="C1485" s="5">
        <f t="shared" ref="C1485:C1508" si="503">YEAR(A1485)</f>
        <v>2023</v>
      </c>
      <c r="D1485" s="5" t="s">
        <v>1340</v>
      </c>
      <c r="E1485" s="5" t="str">
        <f>VLOOKUP(F1485,'Set up'!$A$2:$C$48,2,FALSE)</f>
        <v>C00000021</v>
      </c>
      <c r="F1485" s="1" t="s">
        <v>492</v>
      </c>
      <c r="G1485" s="89" t="s">
        <v>667</v>
      </c>
      <c r="H1485" s="5">
        <v>1</v>
      </c>
      <c r="I1485" s="5" t="str">
        <f>VLOOKUP(F1485,'Set up'!$A$2:$C$48,3,FALSE)</f>
        <v>Cash</v>
      </c>
      <c r="J1485" s="5">
        <f>VLOOKUP(F1485,'Set up'!$A$2:$D$48,4,FALSE)</f>
        <v>0</v>
      </c>
      <c r="K1485" s="4">
        <f t="shared" si="479"/>
        <v>45001</v>
      </c>
      <c r="L1485" s="5">
        <f t="shared" si="493"/>
        <v>3</v>
      </c>
      <c r="M1485" s="5">
        <f t="shared" si="494"/>
        <v>2023</v>
      </c>
      <c r="N1485" s="6">
        <v>95</v>
      </c>
      <c r="O1485" s="6">
        <f t="shared" si="501"/>
        <v>-95</v>
      </c>
      <c r="P1485" s="6">
        <f t="shared" si="498"/>
        <v>0</v>
      </c>
      <c r="Q1485" s="7">
        <f t="shared" si="499"/>
        <v>2770681.1500000004</v>
      </c>
      <c r="R1485" s="44" t="str">
        <f>VLOOKUP(F1485,'Set up'!$A$2:$E$48,5,FALSE)</f>
        <v>PD Chq</v>
      </c>
      <c r="S1485" s="1" t="s">
        <v>1859</v>
      </c>
    </row>
    <row r="1486" spans="1:19" hidden="1" x14ac:dyDescent="0.3">
      <c r="A1486" s="4" t="s">
        <v>1341</v>
      </c>
      <c r="B1486" s="5">
        <f t="shared" si="502"/>
        <v>3</v>
      </c>
      <c r="C1486" s="5">
        <f t="shared" si="503"/>
        <v>2023</v>
      </c>
      <c r="D1486" s="5" t="s">
        <v>1342</v>
      </c>
      <c r="E1486" s="5" t="str">
        <f>VLOOKUP(F1486,'Set up'!$A$2:$C$48,2,FALSE)</f>
        <v>C00000014</v>
      </c>
      <c r="F1486" s="1" t="s">
        <v>263</v>
      </c>
      <c r="G1486" s="89" t="s">
        <v>304</v>
      </c>
      <c r="H1486" s="5">
        <v>2</v>
      </c>
      <c r="I1486" s="5" t="str">
        <f>VLOOKUP(F1486,'Set up'!$A$2:$C$48,3,FALSE)</f>
        <v>Cash</v>
      </c>
      <c r="J1486" s="5">
        <f>VLOOKUP(F1486,'Set up'!$A$2:$D$48,4,FALSE)</f>
        <v>0</v>
      </c>
      <c r="K1486" s="4">
        <f t="shared" si="479"/>
        <v>45001</v>
      </c>
      <c r="L1486" s="5">
        <f t="shared" si="493"/>
        <v>3</v>
      </c>
      <c r="M1486" s="5">
        <f t="shared" si="494"/>
        <v>2023</v>
      </c>
      <c r="N1486" s="6">
        <v>3608</v>
      </c>
      <c r="O1486" s="6">
        <f t="shared" ref="O1486:O1493" si="504">-N1486</f>
        <v>-3608</v>
      </c>
      <c r="P1486" s="6">
        <f t="shared" si="498"/>
        <v>0</v>
      </c>
      <c r="Q1486" s="7">
        <f t="shared" si="499"/>
        <v>2774289.1500000004</v>
      </c>
      <c r="R1486" s="44" t="str">
        <f>VLOOKUP(F1486,'Set up'!$A$2:$E$48,5,FALSE)</f>
        <v>Cash</v>
      </c>
      <c r="S1486" s="1" t="s">
        <v>1379</v>
      </c>
    </row>
    <row r="1487" spans="1:19" hidden="1" x14ac:dyDescent="0.3">
      <c r="A1487" s="4" t="s">
        <v>1341</v>
      </c>
      <c r="B1487" s="5">
        <f t="shared" si="502"/>
        <v>3</v>
      </c>
      <c r="C1487" s="5">
        <f t="shared" si="503"/>
        <v>2023</v>
      </c>
      <c r="D1487" s="5" t="s">
        <v>1342</v>
      </c>
      <c r="E1487" s="5" t="str">
        <f>VLOOKUP(F1487,'Set up'!$A$2:$C$48,2,FALSE)</f>
        <v>C00000014</v>
      </c>
      <c r="F1487" s="1" t="s">
        <v>263</v>
      </c>
      <c r="G1487" s="89" t="s">
        <v>989</v>
      </c>
      <c r="H1487" s="5">
        <v>8</v>
      </c>
      <c r="I1487" s="5" t="str">
        <f>VLOOKUP(F1487,'Set up'!$A$2:$C$48,3,FALSE)</f>
        <v>Cash</v>
      </c>
      <c r="J1487" s="5">
        <f>VLOOKUP(F1487,'Set up'!$A$2:$D$48,4,FALSE)</f>
        <v>0</v>
      </c>
      <c r="K1487" s="4">
        <f t="shared" si="479"/>
        <v>45001</v>
      </c>
      <c r="L1487" s="5">
        <f t="shared" si="493"/>
        <v>3</v>
      </c>
      <c r="M1487" s="5">
        <f t="shared" si="494"/>
        <v>2023</v>
      </c>
      <c r="N1487" s="6">
        <v>1896</v>
      </c>
      <c r="O1487" s="6">
        <f t="shared" si="504"/>
        <v>-1896</v>
      </c>
      <c r="P1487" s="6">
        <f t="shared" si="498"/>
        <v>0</v>
      </c>
      <c r="Q1487" s="7">
        <f t="shared" si="499"/>
        <v>2776185.1500000004</v>
      </c>
      <c r="R1487" s="44" t="str">
        <f>VLOOKUP(F1487,'Set up'!$A$2:$E$48,5,FALSE)</f>
        <v>Cash</v>
      </c>
      <c r="S1487" s="1" t="s">
        <v>1379</v>
      </c>
    </row>
    <row r="1488" spans="1:19" hidden="1" x14ac:dyDescent="0.3">
      <c r="A1488" s="4" t="s">
        <v>1341</v>
      </c>
      <c r="B1488" s="5">
        <f t="shared" si="502"/>
        <v>3</v>
      </c>
      <c r="C1488" s="5">
        <f t="shared" si="503"/>
        <v>2023</v>
      </c>
      <c r="D1488" s="5" t="s">
        <v>1342</v>
      </c>
      <c r="E1488" s="5" t="str">
        <f>VLOOKUP(F1488,'Set up'!$A$2:$C$48,2,FALSE)</f>
        <v>C00000014</v>
      </c>
      <c r="F1488" s="1" t="s">
        <v>263</v>
      </c>
      <c r="G1488" s="89" t="s">
        <v>895</v>
      </c>
      <c r="H1488" s="5">
        <v>1</v>
      </c>
      <c r="I1488" s="5" t="str">
        <f>VLOOKUP(F1488,'Set up'!$A$2:$C$48,3,FALSE)</f>
        <v>Cash</v>
      </c>
      <c r="J1488" s="5">
        <f>VLOOKUP(F1488,'Set up'!$A$2:$D$48,4,FALSE)</f>
        <v>0</v>
      </c>
      <c r="K1488" s="4">
        <f t="shared" si="479"/>
        <v>45001</v>
      </c>
      <c r="L1488" s="5">
        <f t="shared" si="493"/>
        <v>3</v>
      </c>
      <c r="M1488" s="5">
        <f t="shared" si="494"/>
        <v>2023</v>
      </c>
      <c r="N1488" s="6">
        <v>160</v>
      </c>
      <c r="O1488" s="6">
        <f t="shared" si="504"/>
        <v>-160</v>
      </c>
      <c r="P1488" s="6">
        <f t="shared" si="498"/>
        <v>0</v>
      </c>
      <c r="Q1488" s="7">
        <f t="shared" si="499"/>
        <v>2776345.1500000004</v>
      </c>
      <c r="R1488" s="44" t="str">
        <f>VLOOKUP(F1488,'Set up'!$A$2:$E$48,5,FALSE)</f>
        <v>Cash</v>
      </c>
      <c r="S1488" s="1" t="s">
        <v>1379</v>
      </c>
    </row>
    <row r="1489" spans="1:19" hidden="1" x14ac:dyDescent="0.3">
      <c r="A1489" s="4" t="s">
        <v>1341</v>
      </c>
      <c r="B1489" s="5">
        <f t="shared" si="502"/>
        <v>3</v>
      </c>
      <c r="C1489" s="5">
        <f t="shared" si="503"/>
        <v>2023</v>
      </c>
      <c r="D1489" s="5" t="s">
        <v>1342</v>
      </c>
      <c r="E1489" s="5" t="str">
        <f>VLOOKUP(F1489,'Set up'!$A$2:$C$48,2,FALSE)</f>
        <v>C00000014</v>
      </c>
      <c r="F1489" s="1" t="s">
        <v>263</v>
      </c>
      <c r="G1489" s="89" t="s">
        <v>1343</v>
      </c>
      <c r="H1489" s="5">
        <v>1</v>
      </c>
      <c r="I1489" s="5" t="str">
        <f>VLOOKUP(F1489,'Set up'!$A$2:$C$48,3,FALSE)</f>
        <v>Cash</v>
      </c>
      <c r="J1489" s="5">
        <f>VLOOKUP(F1489,'Set up'!$A$2:$D$48,4,FALSE)</f>
        <v>0</v>
      </c>
      <c r="K1489" s="4">
        <f t="shared" si="479"/>
        <v>45001</v>
      </c>
      <c r="L1489" s="5">
        <f t="shared" si="493"/>
        <v>3</v>
      </c>
      <c r="M1489" s="5">
        <f t="shared" si="494"/>
        <v>2023</v>
      </c>
      <c r="N1489" s="6">
        <v>165</v>
      </c>
      <c r="O1489" s="6">
        <f t="shared" si="504"/>
        <v>-165</v>
      </c>
      <c r="P1489" s="6">
        <f t="shared" si="498"/>
        <v>0</v>
      </c>
      <c r="Q1489" s="7">
        <f t="shared" si="499"/>
        <v>2776510.1500000004</v>
      </c>
      <c r="R1489" s="44" t="str">
        <f>VLOOKUP(F1489,'Set up'!$A$2:$E$48,5,FALSE)</f>
        <v>Cash</v>
      </c>
      <c r="S1489" s="1" t="s">
        <v>1379</v>
      </c>
    </row>
    <row r="1490" spans="1:19" hidden="1" x14ac:dyDescent="0.3">
      <c r="A1490" s="4" t="s">
        <v>1341</v>
      </c>
      <c r="B1490" s="5">
        <f t="shared" si="502"/>
        <v>3</v>
      </c>
      <c r="C1490" s="5">
        <f t="shared" si="503"/>
        <v>2023</v>
      </c>
      <c r="D1490" s="5" t="s">
        <v>1342</v>
      </c>
      <c r="E1490" s="5" t="str">
        <f>VLOOKUP(F1490,'Set up'!$A$2:$C$48,2,FALSE)</f>
        <v>C00000014</v>
      </c>
      <c r="F1490" s="1" t="s">
        <v>263</v>
      </c>
      <c r="G1490" s="89" t="s">
        <v>1344</v>
      </c>
      <c r="H1490" s="5">
        <v>1</v>
      </c>
      <c r="I1490" s="5" t="str">
        <f>VLOOKUP(F1490,'Set up'!$A$2:$C$48,3,FALSE)</f>
        <v>Cash</v>
      </c>
      <c r="J1490" s="5">
        <f>VLOOKUP(F1490,'Set up'!$A$2:$D$48,4,FALSE)</f>
        <v>0</v>
      </c>
      <c r="K1490" s="4">
        <f t="shared" si="479"/>
        <v>45001</v>
      </c>
      <c r="L1490" s="5">
        <f t="shared" ref="L1490:L1509" si="505">MONTH(K1490)</f>
        <v>3</v>
      </c>
      <c r="M1490" s="5">
        <f t="shared" ref="M1490:M1509" si="506">YEAR(K1490)</f>
        <v>2023</v>
      </c>
      <c r="N1490" s="6">
        <v>290</v>
      </c>
      <c r="O1490" s="6">
        <f t="shared" si="504"/>
        <v>-290</v>
      </c>
      <c r="P1490" s="6">
        <f t="shared" ref="P1490:P1509" si="507">SUM(N1490+O1490)</f>
        <v>0</v>
      </c>
      <c r="Q1490" s="7">
        <f t="shared" ref="Q1490:Q1509" si="508">SUM(Q1489+N1490)</f>
        <v>2776800.1500000004</v>
      </c>
      <c r="R1490" s="44" t="str">
        <f>VLOOKUP(F1490,'Set up'!$A$2:$E$48,5,FALSE)</f>
        <v>Cash</v>
      </c>
      <c r="S1490" s="1" t="s">
        <v>1379</v>
      </c>
    </row>
    <row r="1491" spans="1:19" hidden="1" x14ac:dyDescent="0.3">
      <c r="A1491" s="4" t="s">
        <v>1341</v>
      </c>
      <c r="B1491" s="5">
        <f t="shared" si="502"/>
        <v>3</v>
      </c>
      <c r="C1491" s="5">
        <f t="shared" si="503"/>
        <v>2023</v>
      </c>
      <c r="D1491" s="5" t="s">
        <v>1342</v>
      </c>
      <c r="E1491" s="5" t="str">
        <f>VLOOKUP(F1491,'Set up'!$A$2:$C$48,2,FALSE)</f>
        <v>C00000014</v>
      </c>
      <c r="F1491" s="1" t="s">
        <v>263</v>
      </c>
      <c r="G1491" s="89" t="s">
        <v>866</v>
      </c>
      <c r="H1491" s="5">
        <v>2</v>
      </c>
      <c r="I1491" s="5" t="str">
        <f>VLOOKUP(F1491,'Set up'!$A$2:$C$48,3,FALSE)</f>
        <v>Cash</v>
      </c>
      <c r="J1491" s="5">
        <f>VLOOKUP(F1491,'Set up'!$A$2:$D$48,4,FALSE)</f>
        <v>0</v>
      </c>
      <c r="K1491" s="4">
        <f t="shared" si="479"/>
        <v>45001</v>
      </c>
      <c r="L1491" s="5">
        <f t="shared" si="505"/>
        <v>3</v>
      </c>
      <c r="M1491" s="5">
        <f t="shared" si="506"/>
        <v>2023</v>
      </c>
      <c r="N1491" s="6">
        <v>516</v>
      </c>
      <c r="O1491" s="6">
        <f t="shared" si="504"/>
        <v>-516</v>
      </c>
      <c r="P1491" s="6">
        <f t="shared" si="507"/>
        <v>0</v>
      </c>
      <c r="Q1491" s="7">
        <f t="shared" si="508"/>
        <v>2777316.1500000004</v>
      </c>
      <c r="R1491" s="44" t="str">
        <f>VLOOKUP(F1491,'Set up'!$A$2:$E$48,5,FALSE)</f>
        <v>Cash</v>
      </c>
      <c r="S1491" s="1" t="s">
        <v>1379</v>
      </c>
    </row>
    <row r="1492" spans="1:19" hidden="1" x14ac:dyDescent="0.3">
      <c r="A1492" s="4" t="s">
        <v>1341</v>
      </c>
      <c r="B1492" s="5">
        <f t="shared" si="502"/>
        <v>3</v>
      </c>
      <c r="C1492" s="5">
        <f t="shared" si="503"/>
        <v>2023</v>
      </c>
      <c r="D1492" s="5" t="s">
        <v>1342</v>
      </c>
      <c r="E1492" s="5" t="str">
        <f>VLOOKUP(F1492,'Set up'!$A$2:$C$48,2,FALSE)</f>
        <v>C00000014</v>
      </c>
      <c r="F1492" s="1" t="s">
        <v>263</v>
      </c>
      <c r="G1492" s="89" t="s">
        <v>667</v>
      </c>
      <c r="H1492" s="5">
        <v>2</v>
      </c>
      <c r="I1492" s="5" t="str">
        <f>VLOOKUP(F1492,'Set up'!$A$2:$C$48,3,FALSE)</f>
        <v>Cash</v>
      </c>
      <c r="J1492" s="5">
        <f>VLOOKUP(F1492,'Set up'!$A$2:$D$48,4,FALSE)</f>
        <v>0</v>
      </c>
      <c r="K1492" s="4">
        <f t="shared" si="479"/>
        <v>45001</v>
      </c>
      <c r="L1492" s="5">
        <f t="shared" si="505"/>
        <v>3</v>
      </c>
      <c r="M1492" s="5">
        <f t="shared" si="506"/>
        <v>2023</v>
      </c>
      <c r="N1492" s="6">
        <v>190</v>
      </c>
      <c r="O1492" s="6">
        <f t="shared" si="504"/>
        <v>-190</v>
      </c>
      <c r="P1492" s="6">
        <f t="shared" si="507"/>
        <v>0</v>
      </c>
      <c r="Q1492" s="7">
        <f t="shared" si="508"/>
        <v>2777506.1500000004</v>
      </c>
      <c r="R1492" s="44" t="str">
        <f>VLOOKUP(F1492,'Set up'!$A$2:$E$48,5,FALSE)</f>
        <v>Cash</v>
      </c>
      <c r="S1492" s="1" t="s">
        <v>1379</v>
      </c>
    </row>
    <row r="1493" spans="1:19" hidden="1" x14ac:dyDescent="0.3">
      <c r="A1493" s="4" t="s">
        <v>1341</v>
      </c>
      <c r="B1493" s="5">
        <f t="shared" si="502"/>
        <v>3</v>
      </c>
      <c r="C1493" s="5">
        <f t="shared" si="503"/>
        <v>2023</v>
      </c>
      <c r="D1493" s="5" t="s">
        <v>1342</v>
      </c>
      <c r="E1493" s="5" t="str">
        <f>VLOOKUP(F1493,'Set up'!$A$2:$C$48,2,FALSE)</f>
        <v>C00000014</v>
      </c>
      <c r="F1493" s="1" t="s">
        <v>263</v>
      </c>
      <c r="G1493" s="89" t="s">
        <v>950</v>
      </c>
      <c r="H1493" s="5">
        <v>4</v>
      </c>
      <c r="I1493" s="5" t="str">
        <f>VLOOKUP(F1493,'Set up'!$A$2:$C$48,3,FALSE)</f>
        <v>Cash</v>
      </c>
      <c r="J1493" s="5">
        <f>VLOOKUP(F1493,'Set up'!$A$2:$D$48,4,FALSE)</f>
        <v>0</v>
      </c>
      <c r="K1493" s="4">
        <f t="shared" si="479"/>
        <v>45001</v>
      </c>
      <c r="L1493" s="5">
        <f t="shared" si="505"/>
        <v>3</v>
      </c>
      <c r="M1493" s="5">
        <f t="shared" si="506"/>
        <v>2023</v>
      </c>
      <c r="N1493" s="6">
        <v>200</v>
      </c>
      <c r="O1493" s="6">
        <f t="shared" si="504"/>
        <v>-200</v>
      </c>
      <c r="P1493" s="6">
        <f t="shared" si="507"/>
        <v>0</v>
      </c>
      <c r="Q1493" s="7">
        <f t="shared" si="508"/>
        <v>2777706.1500000004</v>
      </c>
      <c r="R1493" s="44" t="str">
        <f>VLOOKUP(F1493,'Set up'!$A$2:$E$48,5,FALSE)</f>
        <v>Cash</v>
      </c>
      <c r="S1493" s="1" t="s">
        <v>1379</v>
      </c>
    </row>
    <row r="1494" spans="1:19" hidden="1" x14ac:dyDescent="0.3">
      <c r="A1494" s="4" t="s">
        <v>1346</v>
      </c>
      <c r="B1494" s="5">
        <f t="shared" si="502"/>
        <v>3</v>
      </c>
      <c r="C1494" s="5">
        <f t="shared" si="503"/>
        <v>2023</v>
      </c>
      <c r="D1494" s="5" t="s">
        <v>1345</v>
      </c>
      <c r="E1494" s="5" t="str">
        <f>VLOOKUP(F1494,'Set up'!$A$2:$C$48,2,FALSE)</f>
        <v>C00000037</v>
      </c>
      <c r="F1494" s="1" t="s">
        <v>1310</v>
      </c>
      <c r="G1494" s="89" t="s">
        <v>720</v>
      </c>
      <c r="H1494" s="5">
        <v>2</v>
      </c>
      <c r="I1494" s="5">
        <f>VLOOKUP(F1494,'Set up'!$A$2:$C$48,3,FALSE)</f>
        <v>30</v>
      </c>
      <c r="J1494" s="5">
        <f>VLOOKUP(F1494,'Set up'!$A$2:$D$48,4,FALSE)</f>
        <v>30</v>
      </c>
      <c r="K1494" s="4">
        <f t="shared" si="479"/>
        <v>45035</v>
      </c>
      <c r="L1494" s="5">
        <f t="shared" si="505"/>
        <v>4</v>
      </c>
      <c r="M1494" s="5">
        <f t="shared" si="506"/>
        <v>2023</v>
      </c>
      <c r="N1494" s="6">
        <v>3608</v>
      </c>
      <c r="O1494" s="6">
        <f t="shared" ref="O1494:O1500" si="509">-N1494</f>
        <v>-3608</v>
      </c>
      <c r="P1494" s="6">
        <f t="shared" si="507"/>
        <v>0</v>
      </c>
      <c r="Q1494" s="7">
        <f t="shared" si="508"/>
        <v>2781314.1500000004</v>
      </c>
      <c r="R1494" s="44" t="str">
        <f>VLOOKUP(F1494,'Set up'!$A$2:$E$48,5,FALSE)</f>
        <v>Chq</v>
      </c>
      <c r="S1494" s="1" t="s">
        <v>1378</v>
      </c>
    </row>
    <row r="1495" spans="1:19" hidden="1" x14ac:dyDescent="0.3">
      <c r="A1495" s="4" t="s">
        <v>1346</v>
      </c>
      <c r="B1495" s="5">
        <f t="shared" si="502"/>
        <v>3</v>
      </c>
      <c r="C1495" s="5">
        <f t="shared" si="503"/>
        <v>2023</v>
      </c>
      <c r="D1495" s="5" t="s">
        <v>1345</v>
      </c>
      <c r="E1495" s="5" t="str">
        <f>VLOOKUP(F1495,'Set up'!$A$2:$C$48,2,FALSE)</f>
        <v>C00000037</v>
      </c>
      <c r="F1495" s="1" t="s">
        <v>1310</v>
      </c>
      <c r="G1495" s="89" t="s">
        <v>708</v>
      </c>
      <c r="H1495" s="5">
        <v>2</v>
      </c>
      <c r="I1495" s="5">
        <f>VLOOKUP(F1495,'Set up'!$A$2:$C$48,3,FALSE)</f>
        <v>30</v>
      </c>
      <c r="J1495" s="5">
        <f>VLOOKUP(F1495,'Set up'!$A$2:$D$48,4,FALSE)</f>
        <v>30</v>
      </c>
      <c r="K1495" s="4">
        <f t="shared" si="479"/>
        <v>45035</v>
      </c>
      <c r="L1495" s="5">
        <f t="shared" si="505"/>
        <v>4</v>
      </c>
      <c r="M1495" s="5">
        <f t="shared" si="506"/>
        <v>2023</v>
      </c>
      <c r="N1495" s="6">
        <v>842.4</v>
      </c>
      <c r="O1495" s="6">
        <f t="shared" si="509"/>
        <v>-842.4</v>
      </c>
      <c r="P1495" s="6">
        <f t="shared" si="507"/>
        <v>0</v>
      </c>
      <c r="Q1495" s="7">
        <f t="shared" si="508"/>
        <v>2782156.5500000003</v>
      </c>
      <c r="R1495" s="44" t="str">
        <f>VLOOKUP(F1495,'Set up'!$A$2:$E$48,5,FALSE)</f>
        <v>Chq</v>
      </c>
      <c r="S1495" s="1" t="s">
        <v>1378</v>
      </c>
    </row>
    <row r="1496" spans="1:19" x14ac:dyDescent="0.3">
      <c r="A1496" s="4" t="s">
        <v>1349</v>
      </c>
      <c r="B1496" s="5">
        <f t="shared" si="502"/>
        <v>3</v>
      </c>
      <c r="C1496" s="5">
        <f t="shared" si="503"/>
        <v>2023</v>
      </c>
      <c r="D1496" s="5" t="s">
        <v>1347</v>
      </c>
      <c r="E1496" s="5" t="str">
        <f>VLOOKUP(F1496,'Set up'!$A$2:$C$48,2,FALSE)</f>
        <v>C00000020</v>
      </c>
      <c r="F1496" s="1" t="s">
        <v>410</v>
      </c>
      <c r="G1496" s="89" t="s">
        <v>1111</v>
      </c>
      <c r="H1496" s="5">
        <v>5</v>
      </c>
      <c r="I1496" s="5" t="str">
        <f>VLOOKUP(F1496,'Set up'!$A$2:$C$48,3,FALSE)</f>
        <v>Cash</v>
      </c>
      <c r="J1496" s="5">
        <f>VLOOKUP(F1496,'Set up'!$A$2:$D$48,4,FALSE)</f>
        <v>0</v>
      </c>
      <c r="K1496" s="4">
        <f t="shared" ref="K1496:K1559" si="510">A1496+J1496</f>
        <v>45008</v>
      </c>
      <c r="L1496" s="5">
        <f t="shared" si="505"/>
        <v>3</v>
      </c>
      <c r="M1496" s="5">
        <f t="shared" si="506"/>
        <v>2023</v>
      </c>
      <c r="N1496" s="6">
        <v>312.5</v>
      </c>
      <c r="O1496" s="6">
        <f t="shared" si="509"/>
        <v>-312.5</v>
      </c>
      <c r="P1496" s="6">
        <f t="shared" si="507"/>
        <v>0</v>
      </c>
      <c r="Q1496" s="7">
        <f t="shared" si="508"/>
        <v>2782469.0500000003</v>
      </c>
      <c r="R1496" s="44" t="str">
        <f>VLOOKUP(F1496,'Set up'!$A$2:$E$48,5,FALSE)</f>
        <v>Trsf</v>
      </c>
      <c r="S1496" s="1" t="s">
        <v>2393</v>
      </c>
    </row>
    <row r="1497" spans="1:19" x14ac:dyDescent="0.3">
      <c r="A1497" s="4" t="s">
        <v>1349</v>
      </c>
      <c r="B1497" s="5">
        <f t="shared" si="502"/>
        <v>3</v>
      </c>
      <c r="C1497" s="5">
        <f t="shared" si="503"/>
        <v>2023</v>
      </c>
      <c r="D1497" s="5" t="s">
        <v>1348</v>
      </c>
      <c r="E1497" s="5" t="str">
        <f>VLOOKUP(F1497,'Set up'!$A$2:$C$48,2,FALSE)</f>
        <v>C00000020</v>
      </c>
      <c r="F1497" s="1" t="s">
        <v>410</v>
      </c>
      <c r="G1497" s="89" t="s">
        <v>95</v>
      </c>
      <c r="H1497" s="5">
        <v>5</v>
      </c>
      <c r="I1497" s="5" t="str">
        <f>VLOOKUP(F1497,'Set up'!$A$2:$C$48,3,FALSE)</f>
        <v>Cash</v>
      </c>
      <c r="J1497" s="5">
        <f>VLOOKUP(F1497,'Set up'!$A$2:$D$48,4,FALSE)</f>
        <v>0</v>
      </c>
      <c r="K1497" s="4">
        <f t="shared" si="510"/>
        <v>45008</v>
      </c>
      <c r="L1497" s="5">
        <f t="shared" si="505"/>
        <v>3</v>
      </c>
      <c r="M1497" s="5">
        <f t="shared" si="506"/>
        <v>2023</v>
      </c>
      <c r="N1497" s="6">
        <v>8690</v>
      </c>
      <c r="O1497" s="6">
        <f t="shared" si="509"/>
        <v>-8690</v>
      </c>
      <c r="P1497" s="6">
        <f t="shared" si="507"/>
        <v>0</v>
      </c>
      <c r="Q1497" s="7">
        <f t="shared" si="508"/>
        <v>2791159.0500000003</v>
      </c>
      <c r="R1497" s="44" t="str">
        <f>VLOOKUP(F1497,'Set up'!$A$2:$E$48,5,FALSE)</f>
        <v>Trsf</v>
      </c>
      <c r="S1497" s="1" t="s">
        <v>2394</v>
      </c>
    </row>
    <row r="1498" spans="1:19" x14ac:dyDescent="0.3">
      <c r="A1498" s="4" t="s">
        <v>1349</v>
      </c>
      <c r="B1498" s="5">
        <f t="shared" si="502"/>
        <v>3</v>
      </c>
      <c r="C1498" s="5">
        <f t="shared" si="503"/>
        <v>2023</v>
      </c>
      <c r="D1498" s="5" t="s">
        <v>1348</v>
      </c>
      <c r="E1498" s="5" t="str">
        <f>VLOOKUP(F1498,'Set up'!$A$2:$C$48,2,FALSE)</f>
        <v>C00000020</v>
      </c>
      <c r="F1498" s="1" t="s">
        <v>410</v>
      </c>
      <c r="G1498" s="89" t="s">
        <v>655</v>
      </c>
      <c r="H1498" s="5">
        <v>15</v>
      </c>
      <c r="I1498" s="5" t="str">
        <f>VLOOKUP(F1498,'Set up'!$A$2:$C$48,3,FALSE)</f>
        <v>Cash</v>
      </c>
      <c r="J1498" s="5">
        <f>VLOOKUP(F1498,'Set up'!$A$2:$D$48,4,FALSE)</f>
        <v>0</v>
      </c>
      <c r="K1498" s="4">
        <f t="shared" si="510"/>
        <v>45008</v>
      </c>
      <c r="L1498" s="5">
        <f t="shared" si="505"/>
        <v>3</v>
      </c>
      <c r="M1498" s="5">
        <f t="shared" si="506"/>
        <v>2023</v>
      </c>
      <c r="N1498" s="6">
        <v>3420</v>
      </c>
      <c r="O1498" s="6">
        <f t="shared" si="509"/>
        <v>-3420</v>
      </c>
      <c r="P1498" s="6">
        <f t="shared" si="507"/>
        <v>0</v>
      </c>
      <c r="Q1498" s="7">
        <f t="shared" si="508"/>
        <v>2794579.0500000003</v>
      </c>
      <c r="R1498" s="44" t="str">
        <f>VLOOKUP(F1498,'Set up'!$A$2:$E$48,5,FALSE)</f>
        <v>Trsf</v>
      </c>
      <c r="S1498" s="1" t="s">
        <v>2395</v>
      </c>
    </row>
    <row r="1499" spans="1:19" x14ac:dyDescent="0.3">
      <c r="A1499" s="4" t="s">
        <v>1349</v>
      </c>
      <c r="B1499" s="5">
        <f t="shared" si="502"/>
        <v>3</v>
      </c>
      <c r="C1499" s="5">
        <f t="shared" si="503"/>
        <v>2023</v>
      </c>
      <c r="D1499" s="5" t="s">
        <v>1348</v>
      </c>
      <c r="E1499" s="5" t="str">
        <f>VLOOKUP(F1499,'Set up'!$A$2:$C$48,2,FALSE)</f>
        <v>C00000020</v>
      </c>
      <c r="F1499" s="1" t="s">
        <v>410</v>
      </c>
      <c r="G1499" s="89" t="s">
        <v>779</v>
      </c>
      <c r="H1499" s="5">
        <v>8</v>
      </c>
      <c r="I1499" s="5" t="str">
        <f>VLOOKUP(F1499,'Set up'!$A$2:$C$48,3,FALSE)</f>
        <v>Cash</v>
      </c>
      <c r="J1499" s="5">
        <f>VLOOKUP(F1499,'Set up'!$A$2:$D$48,4,FALSE)</f>
        <v>0</v>
      </c>
      <c r="K1499" s="4">
        <f t="shared" si="510"/>
        <v>45008</v>
      </c>
      <c r="L1499" s="5">
        <f t="shared" si="505"/>
        <v>3</v>
      </c>
      <c r="M1499" s="5">
        <f t="shared" si="506"/>
        <v>2023</v>
      </c>
      <c r="N1499" s="6">
        <v>2016</v>
      </c>
      <c r="O1499" s="6">
        <f t="shared" si="509"/>
        <v>-2016</v>
      </c>
      <c r="P1499" s="6">
        <f t="shared" si="507"/>
        <v>0</v>
      </c>
      <c r="Q1499" s="7">
        <f t="shared" si="508"/>
        <v>2796595.0500000003</v>
      </c>
      <c r="R1499" s="44" t="str">
        <f>VLOOKUP(F1499,'Set up'!$A$2:$E$48,5,FALSE)</f>
        <v>Trsf</v>
      </c>
      <c r="S1499" s="1" t="s">
        <v>2396</v>
      </c>
    </row>
    <row r="1500" spans="1:19" x14ac:dyDescent="0.3">
      <c r="A1500" s="4" t="s">
        <v>1349</v>
      </c>
      <c r="B1500" s="5">
        <f t="shared" si="502"/>
        <v>3</v>
      </c>
      <c r="C1500" s="5">
        <f t="shared" si="503"/>
        <v>2023</v>
      </c>
      <c r="D1500" s="5" t="s">
        <v>1348</v>
      </c>
      <c r="E1500" s="5" t="str">
        <f>VLOOKUP(F1500,'Set up'!$A$2:$C$48,2,FALSE)</f>
        <v>C00000020</v>
      </c>
      <c r="F1500" s="1" t="s">
        <v>410</v>
      </c>
      <c r="G1500" s="89" t="s">
        <v>667</v>
      </c>
      <c r="H1500" s="5">
        <v>4</v>
      </c>
      <c r="I1500" s="5" t="str">
        <f>VLOOKUP(F1500,'Set up'!$A$2:$C$48,3,FALSE)</f>
        <v>Cash</v>
      </c>
      <c r="J1500" s="5">
        <f>VLOOKUP(F1500,'Set up'!$A$2:$D$48,4,FALSE)</f>
        <v>0</v>
      </c>
      <c r="K1500" s="4">
        <f t="shared" si="510"/>
        <v>45008</v>
      </c>
      <c r="L1500" s="5">
        <f t="shared" si="505"/>
        <v>3</v>
      </c>
      <c r="M1500" s="5">
        <f t="shared" si="506"/>
        <v>2023</v>
      </c>
      <c r="N1500" s="6">
        <v>380</v>
      </c>
      <c r="O1500" s="6">
        <f t="shared" si="509"/>
        <v>-380</v>
      </c>
      <c r="P1500" s="6">
        <f t="shared" si="507"/>
        <v>0</v>
      </c>
      <c r="Q1500" s="7">
        <f t="shared" si="508"/>
        <v>2796975.0500000003</v>
      </c>
      <c r="R1500" s="44" t="str">
        <f>VLOOKUP(F1500,'Set up'!$A$2:$E$48,5,FALSE)</f>
        <v>Trsf</v>
      </c>
      <c r="S1500" s="1" t="s">
        <v>2397</v>
      </c>
    </row>
    <row r="1501" spans="1:19" x14ac:dyDescent="0.3">
      <c r="A1501" s="4" t="s">
        <v>1349</v>
      </c>
      <c r="B1501" s="5">
        <f t="shared" si="502"/>
        <v>3</v>
      </c>
      <c r="C1501" s="5">
        <f t="shared" si="503"/>
        <v>2023</v>
      </c>
      <c r="D1501" s="5" t="s">
        <v>1348</v>
      </c>
      <c r="E1501" s="5" t="str">
        <f>VLOOKUP(F1501,'Set up'!$A$2:$C$48,2,FALSE)</f>
        <v>C00000020</v>
      </c>
      <c r="F1501" s="1" t="s">
        <v>410</v>
      </c>
      <c r="G1501" s="89" t="s">
        <v>1074</v>
      </c>
      <c r="H1501" s="5">
        <v>1</v>
      </c>
      <c r="I1501" s="5" t="str">
        <f>VLOOKUP(F1501,'Set up'!$A$2:$C$48,3,FALSE)</f>
        <v>Cash</v>
      </c>
      <c r="J1501" s="5">
        <f>VLOOKUP(F1501,'Set up'!$A$2:$D$48,4,FALSE)</f>
        <v>0</v>
      </c>
      <c r="K1501" s="4">
        <f t="shared" si="510"/>
        <v>45008</v>
      </c>
      <c r="L1501" s="5">
        <f t="shared" si="505"/>
        <v>3</v>
      </c>
      <c r="M1501" s="5">
        <f t="shared" si="506"/>
        <v>2023</v>
      </c>
      <c r="N1501" s="6">
        <v>1000</v>
      </c>
      <c r="O1501" s="6">
        <f>-436.9-563.1</f>
        <v>-1000</v>
      </c>
      <c r="P1501" s="6">
        <f t="shared" si="507"/>
        <v>0</v>
      </c>
      <c r="Q1501" s="7">
        <f t="shared" si="508"/>
        <v>2797975.0500000003</v>
      </c>
      <c r="R1501" s="44" t="str">
        <f>VLOOKUP(F1501,'Set up'!$A$2:$E$48,5,FALSE)</f>
        <v>Trsf</v>
      </c>
      <c r="S1501" s="1" t="s">
        <v>2398</v>
      </c>
    </row>
    <row r="1502" spans="1:19" hidden="1" x14ac:dyDescent="0.3">
      <c r="A1502" s="4" t="s">
        <v>1351</v>
      </c>
      <c r="B1502" s="5">
        <f t="shared" si="502"/>
        <v>3</v>
      </c>
      <c r="C1502" s="5">
        <f t="shared" si="503"/>
        <v>2023</v>
      </c>
      <c r="D1502" s="5" t="s">
        <v>1350</v>
      </c>
      <c r="E1502" s="5" t="str">
        <f>VLOOKUP(F1502,'Set up'!$A$2:$C$48,2,FALSE)</f>
        <v>C00000021</v>
      </c>
      <c r="F1502" s="1" t="s">
        <v>492</v>
      </c>
      <c r="G1502" s="89" t="s">
        <v>717</v>
      </c>
      <c r="H1502" s="5">
        <v>1</v>
      </c>
      <c r="I1502" s="5" t="str">
        <f>VLOOKUP(F1502,'Set up'!$A$2:$C$48,3,FALSE)</f>
        <v>Cash</v>
      </c>
      <c r="J1502" s="5">
        <f>VLOOKUP(F1502,'Set up'!$A$2:$D$48,4,FALSE)</f>
        <v>0</v>
      </c>
      <c r="K1502" s="4">
        <f t="shared" si="510"/>
        <v>45010</v>
      </c>
      <c r="L1502" s="5">
        <f t="shared" si="505"/>
        <v>3</v>
      </c>
      <c r="M1502" s="5">
        <f t="shared" si="506"/>
        <v>2023</v>
      </c>
      <c r="N1502" s="6">
        <v>1870</v>
      </c>
      <c r="O1502" s="6">
        <f t="shared" ref="O1502:O1504" si="511">-N1502</f>
        <v>-1870</v>
      </c>
      <c r="P1502" s="6">
        <f t="shared" si="507"/>
        <v>0</v>
      </c>
      <c r="Q1502" s="7">
        <f t="shared" si="508"/>
        <v>2799845.0500000003</v>
      </c>
      <c r="R1502" s="44" t="str">
        <f>VLOOKUP(F1502,'Set up'!$A$2:$E$48,5,FALSE)</f>
        <v>PD Chq</v>
      </c>
      <c r="S1502" s="1" t="s">
        <v>2088</v>
      </c>
    </row>
    <row r="1503" spans="1:19" hidden="1" x14ac:dyDescent="0.3">
      <c r="A1503" s="4" t="s">
        <v>1351</v>
      </c>
      <c r="B1503" s="5">
        <f t="shared" si="502"/>
        <v>3</v>
      </c>
      <c r="C1503" s="5">
        <f t="shared" si="503"/>
        <v>2023</v>
      </c>
      <c r="D1503" s="5" t="s">
        <v>1350</v>
      </c>
      <c r="E1503" s="5" t="str">
        <f>VLOOKUP(F1503,'Set up'!$A$2:$C$48,2,FALSE)</f>
        <v>C00000021</v>
      </c>
      <c r="F1503" s="1" t="s">
        <v>492</v>
      </c>
      <c r="G1503" s="89" t="s">
        <v>655</v>
      </c>
      <c r="H1503" s="5">
        <v>5</v>
      </c>
      <c r="I1503" s="5" t="str">
        <f>VLOOKUP(F1503,'Set up'!$A$2:$C$48,3,FALSE)</f>
        <v>Cash</v>
      </c>
      <c r="J1503" s="5">
        <f>VLOOKUP(F1503,'Set up'!$A$2:$D$48,4,FALSE)</f>
        <v>0</v>
      </c>
      <c r="K1503" s="4">
        <f t="shared" si="510"/>
        <v>45010</v>
      </c>
      <c r="L1503" s="5">
        <f t="shared" si="505"/>
        <v>3</v>
      </c>
      <c r="M1503" s="5">
        <f t="shared" si="506"/>
        <v>2023</v>
      </c>
      <c r="N1503" s="6">
        <v>1275</v>
      </c>
      <c r="O1503" s="6">
        <f t="shared" si="511"/>
        <v>-1275</v>
      </c>
      <c r="P1503" s="6">
        <f t="shared" si="507"/>
        <v>0</v>
      </c>
      <c r="Q1503" s="7">
        <f t="shared" si="508"/>
        <v>2801120.0500000003</v>
      </c>
      <c r="R1503" s="44" t="str">
        <f>VLOOKUP(F1503,'Set up'!$A$2:$E$48,5,FALSE)</f>
        <v>PD Chq</v>
      </c>
      <c r="S1503" s="1" t="s">
        <v>2088</v>
      </c>
    </row>
    <row r="1504" spans="1:19" hidden="1" x14ac:dyDescent="0.3">
      <c r="A1504" s="4" t="s">
        <v>1351</v>
      </c>
      <c r="B1504" s="5">
        <f t="shared" si="502"/>
        <v>3</v>
      </c>
      <c r="C1504" s="5">
        <f t="shared" si="503"/>
        <v>2023</v>
      </c>
      <c r="D1504" s="5" t="s">
        <v>1350</v>
      </c>
      <c r="E1504" s="5" t="str">
        <f>VLOOKUP(F1504,'Set up'!$A$2:$C$48,2,FALSE)</f>
        <v>C00000021</v>
      </c>
      <c r="F1504" s="1" t="s">
        <v>492</v>
      </c>
      <c r="G1504" s="89" t="s">
        <v>667</v>
      </c>
      <c r="H1504" s="5">
        <v>1</v>
      </c>
      <c r="I1504" s="5" t="str">
        <f>VLOOKUP(F1504,'Set up'!$A$2:$C$48,3,FALSE)</f>
        <v>Cash</v>
      </c>
      <c r="J1504" s="5">
        <f>VLOOKUP(F1504,'Set up'!$A$2:$D$48,4,FALSE)</f>
        <v>0</v>
      </c>
      <c r="K1504" s="4">
        <f t="shared" si="510"/>
        <v>45010</v>
      </c>
      <c r="L1504" s="5">
        <f t="shared" si="505"/>
        <v>3</v>
      </c>
      <c r="M1504" s="5">
        <f t="shared" si="506"/>
        <v>2023</v>
      </c>
      <c r="N1504" s="6">
        <v>95</v>
      </c>
      <c r="O1504" s="6">
        <f t="shared" si="511"/>
        <v>-95</v>
      </c>
      <c r="P1504" s="6">
        <f t="shared" si="507"/>
        <v>0</v>
      </c>
      <c r="Q1504" s="7">
        <f t="shared" si="508"/>
        <v>2801215.0500000003</v>
      </c>
      <c r="R1504" s="44" t="str">
        <f>VLOOKUP(F1504,'Set up'!$A$2:$E$48,5,FALSE)</f>
        <v>PD Chq</v>
      </c>
      <c r="S1504" s="1" t="s">
        <v>2088</v>
      </c>
    </row>
    <row r="1505" spans="1:19" hidden="1" x14ac:dyDescent="0.3">
      <c r="A1505" s="4" t="s">
        <v>1351</v>
      </c>
      <c r="B1505" s="5">
        <f t="shared" si="502"/>
        <v>3</v>
      </c>
      <c r="C1505" s="5">
        <f t="shared" si="503"/>
        <v>2023</v>
      </c>
      <c r="D1505" s="5" t="s">
        <v>1354</v>
      </c>
      <c r="E1505" s="5" t="str">
        <f>VLOOKUP(F1505,'Set up'!$A$2:$C$48,2,FALSE)</f>
        <v>C00000034</v>
      </c>
      <c r="F1505" s="1" t="s">
        <v>1197</v>
      </c>
      <c r="G1505" s="89" t="s">
        <v>1352</v>
      </c>
      <c r="H1505" s="5">
        <v>10</v>
      </c>
      <c r="I1505" s="5" t="str">
        <f>VLOOKUP(F1505,'Set up'!$A$2:$C$48,3,FALSE)</f>
        <v>Cash</v>
      </c>
      <c r="J1505" s="5">
        <f>VLOOKUP(F1505,'Set up'!$A$2:$D$48,4,FALSE)</f>
        <v>0</v>
      </c>
      <c r="K1505" s="4">
        <f t="shared" si="510"/>
        <v>45010</v>
      </c>
      <c r="L1505" s="5">
        <f t="shared" si="505"/>
        <v>3</v>
      </c>
      <c r="M1505" s="5">
        <f t="shared" si="506"/>
        <v>2023</v>
      </c>
      <c r="N1505" s="6">
        <v>1350</v>
      </c>
      <c r="O1505" s="6">
        <f t="shared" ref="O1505:O1510" si="512">-N1505</f>
        <v>-1350</v>
      </c>
      <c r="P1505" s="6">
        <f t="shared" si="507"/>
        <v>0</v>
      </c>
      <c r="Q1505" s="7">
        <f t="shared" si="508"/>
        <v>2802565.0500000003</v>
      </c>
      <c r="R1505" s="44" t="str">
        <f>VLOOKUP(F1505,'Set up'!$A$2:$E$48,5,FALSE)</f>
        <v>Trsf</v>
      </c>
      <c r="S1505" s="1" t="s">
        <v>1380</v>
      </c>
    </row>
    <row r="1506" spans="1:19" hidden="1" x14ac:dyDescent="0.3">
      <c r="A1506" s="4" t="s">
        <v>1351</v>
      </c>
      <c r="B1506" s="5">
        <f t="shared" si="502"/>
        <v>3</v>
      </c>
      <c r="C1506" s="5">
        <f t="shared" si="503"/>
        <v>2023</v>
      </c>
      <c r="D1506" s="5" t="s">
        <v>1354</v>
      </c>
      <c r="E1506" s="5" t="str">
        <f>VLOOKUP(F1506,'Set up'!$A$2:$C$48,2,FALSE)</f>
        <v>C00000034</v>
      </c>
      <c r="F1506" s="1" t="s">
        <v>1197</v>
      </c>
      <c r="G1506" s="89" t="s">
        <v>1353</v>
      </c>
      <c r="H1506" s="5">
        <v>1</v>
      </c>
      <c r="I1506" s="5" t="str">
        <f>VLOOKUP(F1506,'Set up'!$A$2:$C$48,3,FALSE)</f>
        <v>Cash</v>
      </c>
      <c r="J1506" s="5">
        <f>VLOOKUP(F1506,'Set up'!$A$2:$D$48,4,FALSE)</f>
        <v>0</v>
      </c>
      <c r="K1506" s="4">
        <f t="shared" si="510"/>
        <v>45010</v>
      </c>
      <c r="L1506" s="5">
        <f t="shared" si="505"/>
        <v>3</v>
      </c>
      <c r="M1506" s="5">
        <f t="shared" si="506"/>
        <v>2023</v>
      </c>
      <c r="N1506" s="6">
        <v>225</v>
      </c>
      <c r="O1506" s="6">
        <f t="shared" si="512"/>
        <v>-225</v>
      </c>
      <c r="P1506" s="6">
        <f t="shared" si="507"/>
        <v>0</v>
      </c>
      <c r="Q1506" s="7">
        <f t="shared" si="508"/>
        <v>2802790.0500000003</v>
      </c>
      <c r="R1506" s="44" t="str">
        <f>VLOOKUP(F1506,'Set up'!$A$2:$E$48,5,FALSE)</f>
        <v>Trsf</v>
      </c>
      <c r="S1506" s="1" t="s">
        <v>1380</v>
      </c>
    </row>
    <row r="1507" spans="1:19" hidden="1" x14ac:dyDescent="0.3">
      <c r="A1507" s="4" t="s">
        <v>1356</v>
      </c>
      <c r="B1507" s="5">
        <f t="shared" si="502"/>
        <v>3</v>
      </c>
      <c r="C1507" s="5">
        <f t="shared" si="503"/>
        <v>2023</v>
      </c>
      <c r="D1507" s="5" t="s">
        <v>1355</v>
      </c>
      <c r="E1507" s="5" t="str">
        <f>VLOOKUP(F1507,'Set up'!$A$2:$C$48,2,FALSE)</f>
        <v>C00000034</v>
      </c>
      <c r="F1507" s="1" t="s">
        <v>1197</v>
      </c>
      <c r="G1507" s="89" t="s">
        <v>1357</v>
      </c>
      <c r="H1507" s="5">
        <v>2</v>
      </c>
      <c r="I1507" s="5" t="str">
        <f>VLOOKUP(F1507,'Set up'!$A$2:$C$48,3,FALSE)</f>
        <v>Cash</v>
      </c>
      <c r="J1507" s="5">
        <f>VLOOKUP(F1507,'Set up'!$A$2:$D$48,4,FALSE)</f>
        <v>0</v>
      </c>
      <c r="K1507" s="4">
        <f t="shared" si="510"/>
        <v>45012</v>
      </c>
      <c r="L1507" s="5">
        <f t="shared" si="505"/>
        <v>3</v>
      </c>
      <c r="M1507" s="5">
        <f t="shared" si="506"/>
        <v>2023</v>
      </c>
      <c r="N1507" s="6">
        <v>3608</v>
      </c>
      <c r="O1507" s="6">
        <f t="shared" si="512"/>
        <v>-3608</v>
      </c>
      <c r="P1507" s="6">
        <f t="shared" si="507"/>
        <v>0</v>
      </c>
      <c r="Q1507" s="7">
        <f t="shared" si="508"/>
        <v>2806398.0500000003</v>
      </c>
      <c r="R1507" s="44" t="str">
        <f>VLOOKUP(F1507,'Set up'!$A$2:$E$48,5,FALSE)</f>
        <v>Trsf</v>
      </c>
      <c r="S1507" s="1" t="s">
        <v>1381</v>
      </c>
    </row>
    <row r="1508" spans="1:19" hidden="1" x14ac:dyDescent="0.3">
      <c r="A1508" s="4" t="s">
        <v>1356</v>
      </c>
      <c r="B1508" s="5">
        <f t="shared" si="502"/>
        <v>3</v>
      </c>
      <c r="C1508" s="5">
        <f t="shared" si="503"/>
        <v>2023</v>
      </c>
      <c r="D1508" s="5" t="s">
        <v>1355</v>
      </c>
      <c r="E1508" s="5" t="str">
        <f>VLOOKUP(F1508,'Set up'!$A$2:$C$48,2,FALSE)</f>
        <v>C00000034</v>
      </c>
      <c r="F1508" s="1" t="s">
        <v>1197</v>
      </c>
      <c r="G1508" s="89" t="s">
        <v>1358</v>
      </c>
      <c r="H1508" s="5">
        <v>2</v>
      </c>
      <c r="I1508" s="5" t="str">
        <f>VLOOKUP(F1508,'Set up'!$A$2:$C$48,3,FALSE)</f>
        <v>Cash</v>
      </c>
      <c r="J1508" s="5">
        <f>VLOOKUP(F1508,'Set up'!$A$2:$D$48,4,FALSE)</f>
        <v>0</v>
      </c>
      <c r="K1508" s="4">
        <f t="shared" si="510"/>
        <v>45012</v>
      </c>
      <c r="L1508" s="5">
        <f t="shared" si="505"/>
        <v>3</v>
      </c>
      <c r="M1508" s="5">
        <f t="shared" si="506"/>
        <v>2023</v>
      </c>
      <c r="N1508" s="6">
        <v>450</v>
      </c>
      <c r="O1508" s="6">
        <f t="shared" si="512"/>
        <v>-450</v>
      </c>
      <c r="P1508" s="6">
        <f t="shared" si="507"/>
        <v>0</v>
      </c>
      <c r="Q1508" s="7">
        <f t="shared" si="508"/>
        <v>2806848.0500000003</v>
      </c>
      <c r="R1508" s="44" t="str">
        <f>VLOOKUP(F1508,'Set up'!$A$2:$E$48,5,FALSE)</f>
        <v>Trsf</v>
      </c>
      <c r="S1508" s="1" t="s">
        <v>1381</v>
      </c>
    </row>
    <row r="1509" spans="1:19" hidden="1" x14ac:dyDescent="0.3">
      <c r="A1509" s="4" t="s">
        <v>1356</v>
      </c>
      <c r="B1509" s="5">
        <f t="shared" ref="B1509:B1526" si="513">MONTH(A1509)</f>
        <v>3</v>
      </c>
      <c r="C1509" s="5">
        <f t="shared" ref="C1509:C1526" si="514">YEAR(A1509)</f>
        <v>2023</v>
      </c>
      <c r="D1509" s="5" t="s">
        <v>1355</v>
      </c>
      <c r="E1509" s="5" t="str">
        <f>VLOOKUP(F1509,'Set up'!$A$2:$C$48,2,FALSE)</f>
        <v>C00000034</v>
      </c>
      <c r="F1509" s="1" t="s">
        <v>1197</v>
      </c>
      <c r="G1509" s="89" t="s">
        <v>656</v>
      </c>
      <c r="H1509" s="5">
        <v>2</v>
      </c>
      <c r="I1509" s="5" t="str">
        <f>VLOOKUP(F1509,'Set up'!$A$2:$C$48,3,FALSE)</f>
        <v>Cash</v>
      </c>
      <c r="J1509" s="5">
        <f>VLOOKUP(F1509,'Set up'!$A$2:$D$48,4,FALSE)</f>
        <v>0</v>
      </c>
      <c r="K1509" s="4">
        <f t="shared" si="510"/>
        <v>45012</v>
      </c>
      <c r="L1509" s="5">
        <f t="shared" si="505"/>
        <v>3</v>
      </c>
      <c r="M1509" s="5">
        <f t="shared" si="506"/>
        <v>2023</v>
      </c>
      <c r="N1509" s="6">
        <v>472</v>
      </c>
      <c r="O1509" s="6">
        <f t="shared" si="512"/>
        <v>-472</v>
      </c>
      <c r="P1509" s="6">
        <f t="shared" si="507"/>
        <v>0</v>
      </c>
      <c r="Q1509" s="7">
        <f t="shared" si="508"/>
        <v>2807320.0500000003</v>
      </c>
      <c r="R1509" s="44" t="str">
        <f>VLOOKUP(F1509,'Set up'!$A$2:$E$48,5,FALSE)</f>
        <v>Trsf</v>
      </c>
      <c r="S1509" s="1" t="s">
        <v>1381</v>
      </c>
    </row>
    <row r="1510" spans="1:19" hidden="1" x14ac:dyDescent="0.3">
      <c r="A1510" s="4" t="s">
        <v>1360</v>
      </c>
      <c r="B1510" s="5">
        <f t="shared" si="513"/>
        <v>3</v>
      </c>
      <c r="C1510" s="5">
        <f t="shared" si="514"/>
        <v>2023</v>
      </c>
      <c r="D1510" s="5" t="s">
        <v>1359</v>
      </c>
      <c r="E1510" s="5" t="str">
        <f>VLOOKUP(F1510,'Set up'!$A$2:$C$48,2,FALSE)</f>
        <v>C00000026</v>
      </c>
      <c r="F1510" s="1" t="s">
        <v>785</v>
      </c>
      <c r="G1510" s="89" t="s">
        <v>717</v>
      </c>
      <c r="H1510" s="5">
        <v>1</v>
      </c>
      <c r="I1510" s="5" t="str">
        <f>VLOOKUP(F1510,'Set up'!$A$2:$C$48,3,FALSE)</f>
        <v>Cash</v>
      </c>
      <c r="J1510" s="5">
        <f>VLOOKUP(F1510,'Set up'!$A$2:$D$48,4,FALSE)</f>
        <v>0</v>
      </c>
      <c r="K1510" s="4">
        <f t="shared" si="510"/>
        <v>45013</v>
      </c>
      <c r="L1510" s="5">
        <f t="shared" ref="L1510:L1526" si="515">MONTH(K1510)</f>
        <v>3</v>
      </c>
      <c r="M1510" s="5">
        <f t="shared" ref="M1510:M1526" si="516">YEAR(K1510)</f>
        <v>2023</v>
      </c>
      <c r="N1510" s="6">
        <v>1870</v>
      </c>
      <c r="O1510" s="6">
        <f t="shared" si="512"/>
        <v>-1870</v>
      </c>
      <c r="P1510" s="6">
        <f t="shared" ref="P1510:P1526" si="517">SUM(N1510+O1510)</f>
        <v>0</v>
      </c>
      <c r="Q1510" s="7">
        <f t="shared" ref="Q1510:Q1526" si="518">SUM(Q1509+N1510)</f>
        <v>2809190.0500000003</v>
      </c>
      <c r="R1510" s="44" t="str">
        <f>VLOOKUP(F1510,'Set up'!$A$2:$E$48,5,FALSE)</f>
        <v>Trsf</v>
      </c>
      <c r="S1510" s="1" t="s">
        <v>1387</v>
      </c>
    </row>
    <row r="1511" spans="1:19" hidden="1" x14ac:dyDescent="0.3">
      <c r="A1511" s="4" t="s">
        <v>1360</v>
      </c>
      <c r="B1511" s="5">
        <f t="shared" si="513"/>
        <v>3</v>
      </c>
      <c r="C1511" s="5">
        <f t="shared" si="514"/>
        <v>2023</v>
      </c>
      <c r="D1511" s="5" t="s">
        <v>1359</v>
      </c>
      <c r="E1511" s="5" t="str">
        <f>VLOOKUP(F1511,'Set up'!$A$2:$C$48,2,FALSE)</f>
        <v>C00000026</v>
      </c>
      <c r="F1511" s="1" t="s">
        <v>785</v>
      </c>
      <c r="G1511" s="89" t="s">
        <v>708</v>
      </c>
      <c r="H1511" s="5">
        <v>1</v>
      </c>
      <c r="I1511" s="5" t="str">
        <f>VLOOKUP(F1511,'Set up'!$A$2:$C$48,3,FALSE)</f>
        <v>Cash</v>
      </c>
      <c r="J1511" s="5">
        <f>VLOOKUP(F1511,'Set up'!$A$2:$D$48,4,FALSE)</f>
        <v>0</v>
      </c>
      <c r="K1511" s="4">
        <f t="shared" si="510"/>
        <v>45013</v>
      </c>
      <c r="L1511" s="5">
        <f t="shared" si="515"/>
        <v>3</v>
      </c>
      <c r="M1511" s="5">
        <f t="shared" si="516"/>
        <v>2023</v>
      </c>
      <c r="N1511" s="6">
        <v>448.2</v>
      </c>
      <c r="O1511" s="6">
        <f>-130-318.2</f>
        <v>-448.2</v>
      </c>
      <c r="P1511" s="6">
        <f t="shared" si="517"/>
        <v>0</v>
      </c>
      <c r="Q1511" s="7">
        <f t="shared" si="518"/>
        <v>2809638.2500000005</v>
      </c>
      <c r="R1511" s="44" t="str">
        <f>VLOOKUP(F1511,'Set up'!$A$2:$E$48,5,FALSE)</f>
        <v>Trsf</v>
      </c>
      <c r="S1511" s="1" t="s">
        <v>1481</v>
      </c>
    </row>
    <row r="1512" spans="1:19" hidden="1" x14ac:dyDescent="0.3">
      <c r="A1512" s="4" t="s">
        <v>1360</v>
      </c>
      <c r="B1512" s="5">
        <f t="shared" si="513"/>
        <v>3</v>
      </c>
      <c r="C1512" s="5">
        <f t="shared" si="514"/>
        <v>2023</v>
      </c>
      <c r="D1512" s="5" t="s">
        <v>1359</v>
      </c>
      <c r="E1512" s="5" t="str">
        <f>VLOOKUP(F1512,'Set up'!$A$2:$C$48,2,FALSE)</f>
        <v>C00000026</v>
      </c>
      <c r="F1512" s="1" t="s">
        <v>785</v>
      </c>
      <c r="G1512" s="89" t="s">
        <v>866</v>
      </c>
      <c r="H1512" s="5">
        <v>1</v>
      </c>
      <c r="I1512" s="5" t="str">
        <f>VLOOKUP(F1512,'Set up'!$A$2:$C$48,3,FALSE)</f>
        <v>Cash</v>
      </c>
      <c r="J1512" s="5">
        <f>VLOOKUP(F1512,'Set up'!$A$2:$D$48,4,FALSE)</f>
        <v>0</v>
      </c>
      <c r="K1512" s="4">
        <f t="shared" si="510"/>
        <v>45013</v>
      </c>
      <c r="L1512" s="5">
        <f t="shared" si="515"/>
        <v>3</v>
      </c>
      <c r="M1512" s="5">
        <f t="shared" si="516"/>
        <v>2023</v>
      </c>
      <c r="N1512" s="6">
        <v>258</v>
      </c>
      <c r="O1512" s="6">
        <f t="shared" ref="O1512:O1519" si="519">-N1512</f>
        <v>-258</v>
      </c>
      <c r="P1512" s="6">
        <f t="shared" si="517"/>
        <v>0</v>
      </c>
      <c r="Q1512" s="7">
        <f t="shared" si="518"/>
        <v>2809896.2500000005</v>
      </c>
      <c r="R1512" s="44" t="str">
        <f>VLOOKUP(F1512,'Set up'!$A$2:$E$48,5,FALSE)</f>
        <v>Trsf</v>
      </c>
      <c r="S1512" s="1" t="s">
        <v>1482</v>
      </c>
    </row>
    <row r="1513" spans="1:19" hidden="1" x14ac:dyDescent="0.3">
      <c r="A1513" s="4" t="s">
        <v>1360</v>
      </c>
      <c r="B1513" s="5">
        <f t="shared" si="513"/>
        <v>3</v>
      </c>
      <c r="C1513" s="5">
        <f t="shared" si="514"/>
        <v>2023</v>
      </c>
      <c r="D1513" s="5" t="s">
        <v>1359</v>
      </c>
      <c r="E1513" s="5" t="str">
        <f>VLOOKUP(F1513,'Set up'!$A$2:$C$48,2,FALSE)</f>
        <v>C00000026</v>
      </c>
      <c r="F1513" s="1" t="s">
        <v>785</v>
      </c>
      <c r="G1513" s="89" t="s">
        <v>293</v>
      </c>
      <c r="H1513" s="5">
        <v>1</v>
      </c>
      <c r="I1513" s="5" t="str">
        <f>VLOOKUP(F1513,'Set up'!$A$2:$C$48,3,FALSE)</f>
        <v>Cash</v>
      </c>
      <c r="J1513" s="5">
        <f>VLOOKUP(F1513,'Set up'!$A$2:$D$48,4,FALSE)</f>
        <v>0</v>
      </c>
      <c r="K1513" s="4">
        <f t="shared" si="510"/>
        <v>45013</v>
      </c>
      <c r="L1513" s="5">
        <f t="shared" si="515"/>
        <v>3</v>
      </c>
      <c r="M1513" s="5">
        <f t="shared" si="516"/>
        <v>2023</v>
      </c>
      <c r="N1513" s="6">
        <v>450</v>
      </c>
      <c r="O1513" s="6">
        <f t="shared" si="519"/>
        <v>-450</v>
      </c>
      <c r="P1513" s="6">
        <f t="shared" si="517"/>
        <v>0</v>
      </c>
      <c r="Q1513" s="7">
        <f t="shared" si="518"/>
        <v>2810346.2500000005</v>
      </c>
      <c r="R1513" s="44" t="str">
        <f>VLOOKUP(F1513,'Set up'!$A$2:$E$48,5,FALSE)</f>
        <v>Trsf</v>
      </c>
      <c r="S1513" s="1" t="s">
        <v>1483</v>
      </c>
    </row>
    <row r="1514" spans="1:19" hidden="1" x14ac:dyDescent="0.3">
      <c r="A1514" s="4" t="s">
        <v>1363</v>
      </c>
      <c r="B1514" s="5">
        <f t="shared" si="513"/>
        <v>3</v>
      </c>
      <c r="C1514" s="5">
        <f t="shared" si="514"/>
        <v>2023</v>
      </c>
      <c r="D1514" s="5" t="s">
        <v>1362</v>
      </c>
      <c r="E1514" s="5" t="str">
        <f>VLOOKUP(F1514,'Set up'!$A$2:$C$48,2,FALSE)</f>
        <v>C00000037</v>
      </c>
      <c r="F1514" s="1" t="s">
        <v>1310</v>
      </c>
      <c r="G1514" s="89" t="s">
        <v>720</v>
      </c>
      <c r="H1514" s="5">
        <v>2</v>
      </c>
      <c r="I1514" s="5">
        <f>VLOOKUP(F1514,'Set up'!$A$2:$C$48,3,FALSE)</f>
        <v>30</v>
      </c>
      <c r="J1514" s="5">
        <f>VLOOKUP(F1514,'Set up'!$A$2:$D$48,4,FALSE)</f>
        <v>30</v>
      </c>
      <c r="K1514" s="4">
        <f t="shared" si="510"/>
        <v>45045</v>
      </c>
      <c r="L1514" s="5">
        <f t="shared" si="515"/>
        <v>4</v>
      </c>
      <c r="M1514" s="5">
        <f t="shared" si="516"/>
        <v>2023</v>
      </c>
      <c r="N1514" s="6">
        <v>3608</v>
      </c>
      <c r="O1514" s="6">
        <f t="shared" si="519"/>
        <v>-3608</v>
      </c>
      <c r="P1514" s="6">
        <f t="shared" si="517"/>
        <v>0</v>
      </c>
      <c r="Q1514" s="7">
        <f t="shared" si="518"/>
        <v>2813954.2500000005</v>
      </c>
      <c r="R1514" s="44" t="str">
        <f>VLOOKUP(F1514,'Set up'!$A$2:$E$48,5,FALSE)</f>
        <v>Chq</v>
      </c>
      <c r="S1514" s="1" t="s">
        <v>1567</v>
      </c>
    </row>
    <row r="1515" spans="1:19" hidden="1" x14ac:dyDescent="0.3">
      <c r="A1515" s="4" t="s">
        <v>1363</v>
      </c>
      <c r="B1515" s="5">
        <f t="shared" si="513"/>
        <v>3</v>
      </c>
      <c r="C1515" s="5">
        <f t="shared" si="514"/>
        <v>2023</v>
      </c>
      <c r="D1515" s="5" t="s">
        <v>1362</v>
      </c>
      <c r="E1515" s="5" t="str">
        <f>VLOOKUP(F1515,'Set up'!$A$2:$C$48,2,FALSE)</f>
        <v>C00000037</v>
      </c>
      <c r="F1515" s="1" t="s">
        <v>1310</v>
      </c>
      <c r="G1515" s="89" t="s">
        <v>708</v>
      </c>
      <c r="H1515" s="5">
        <v>3</v>
      </c>
      <c r="I1515" s="5">
        <f>VLOOKUP(F1515,'Set up'!$A$2:$C$48,3,FALSE)</f>
        <v>30</v>
      </c>
      <c r="J1515" s="5">
        <f>VLOOKUP(F1515,'Set up'!$A$2:$D$48,4,FALSE)</f>
        <v>30</v>
      </c>
      <c r="K1515" s="4">
        <f t="shared" si="510"/>
        <v>45045</v>
      </c>
      <c r="L1515" s="5">
        <f t="shared" si="515"/>
        <v>4</v>
      </c>
      <c r="M1515" s="5">
        <f t="shared" si="516"/>
        <v>2023</v>
      </c>
      <c r="N1515" s="6">
        <v>1263.5999999999999</v>
      </c>
      <c r="O1515" s="6">
        <f t="shared" si="519"/>
        <v>-1263.5999999999999</v>
      </c>
      <c r="P1515" s="6">
        <f t="shared" si="517"/>
        <v>0</v>
      </c>
      <c r="Q1515" s="7">
        <f t="shared" si="518"/>
        <v>2815217.8500000006</v>
      </c>
      <c r="R1515" s="44" t="str">
        <f>VLOOKUP(F1515,'Set up'!$A$2:$E$48,5,FALSE)</f>
        <v>Chq</v>
      </c>
      <c r="S1515" s="1" t="s">
        <v>1567</v>
      </c>
    </row>
    <row r="1516" spans="1:19" hidden="1" x14ac:dyDescent="0.3">
      <c r="A1516" s="4" t="s">
        <v>1363</v>
      </c>
      <c r="B1516" s="5">
        <f t="shared" si="513"/>
        <v>3</v>
      </c>
      <c r="C1516" s="5">
        <f t="shared" si="514"/>
        <v>2023</v>
      </c>
      <c r="D1516" s="5" t="s">
        <v>1362</v>
      </c>
      <c r="E1516" s="5" t="str">
        <f>VLOOKUP(F1516,'Set up'!$A$2:$C$48,2,FALSE)</f>
        <v>C00000037</v>
      </c>
      <c r="F1516" s="1" t="s">
        <v>1310</v>
      </c>
      <c r="G1516" s="89" t="s">
        <v>667</v>
      </c>
      <c r="H1516" s="5">
        <v>2</v>
      </c>
      <c r="I1516" s="5">
        <f>VLOOKUP(F1516,'Set up'!$A$2:$C$48,3,FALSE)</f>
        <v>30</v>
      </c>
      <c r="J1516" s="5">
        <f>VLOOKUP(F1516,'Set up'!$A$2:$D$48,4,FALSE)</f>
        <v>30</v>
      </c>
      <c r="K1516" s="4">
        <f t="shared" si="510"/>
        <v>45045</v>
      </c>
      <c r="L1516" s="5">
        <f t="shared" si="515"/>
        <v>4</v>
      </c>
      <c r="M1516" s="5">
        <f t="shared" si="516"/>
        <v>2023</v>
      </c>
      <c r="N1516" s="6">
        <v>190</v>
      </c>
      <c r="O1516" s="6">
        <f t="shared" si="519"/>
        <v>-190</v>
      </c>
      <c r="P1516" s="6">
        <f t="shared" si="517"/>
        <v>0</v>
      </c>
      <c r="Q1516" s="7">
        <f t="shared" si="518"/>
        <v>2815407.8500000006</v>
      </c>
      <c r="R1516" s="44" t="str">
        <f>VLOOKUP(F1516,'Set up'!$A$2:$E$48,5,FALSE)</f>
        <v>Chq</v>
      </c>
      <c r="S1516" s="1" t="s">
        <v>1567</v>
      </c>
    </row>
    <row r="1517" spans="1:19" hidden="1" x14ac:dyDescent="0.3">
      <c r="A1517" s="4" t="s">
        <v>1363</v>
      </c>
      <c r="B1517" s="5">
        <f t="shared" si="513"/>
        <v>3</v>
      </c>
      <c r="C1517" s="5">
        <f t="shared" si="514"/>
        <v>2023</v>
      </c>
      <c r="D1517" s="5" t="s">
        <v>1362</v>
      </c>
      <c r="E1517" s="5" t="str">
        <f>VLOOKUP(F1517,'Set up'!$A$2:$C$48,2,FALSE)</f>
        <v>C00000037</v>
      </c>
      <c r="F1517" s="1" t="s">
        <v>1310</v>
      </c>
      <c r="G1517" s="89" t="s">
        <v>866</v>
      </c>
      <c r="H1517" s="5">
        <v>2</v>
      </c>
      <c r="I1517" s="5">
        <f>VLOOKUP(F1517,'Set up'!$A$2:$C$48,3,FALSE)</f>
        <v>30</v>
      </c>
      <c r="J1517" s="5">
        <f>VLOOKUP(F1517,'Set up'!$A$2:$D$48,4,FALSE)</f>
        <v>30</v>
      </c>
      <c r="K1517" s="4">
        <f t="shared" si="510"/>
        <v>45045</v>
      </c>
      <c r="L1517" s="5">
        <f t="shared" si="515"/>
        <v>4</v>
      </c>
      <c r="M1517" s="5">
        <f t="shared" si="516"/>
        <v>2023</v>
      </c>
      <c r="N1517" s="6">
        <v>520</v>
      </c>
      <c r="O1517" s="6">
        <f t="shared" si="519"/>
        <v>-520</v>
      </c>
      <c r="P1517" s="6">
        <f t="shared" si="517"/>
        <v>0</v>
      </c>
      <c r="Q1517" s="7">
        <f t="shared" si="518"/>
        <v>2815927.8500000006</v>
      </c>
      <c r="R1517" s="44" t="str">
        <f>VLOOKUP(F1517,'Set up'!$A$2:$E$48,5,FALSE)</f>
        <v>Chq</v>
      </c>
      <c r="S1517" s="1" t="s">
        <v>1567</v>
      </c>
    </row>
    <row r="1518" spans="1:19" hidden="1" x14ac:dyDescent="0.3">
      <c r="A1518" s="4" t="s">
        <v>1363</v>
      </c>
      <c r="B1518" s="5">
        <f t="shared" si="513"/>
        <v>3</v>
      </c>
      <c r="C1518" s="5">
        <f t="shared" si="514"/>
        <v>2023</v>
      </c>
      <c r="D1518" s="5" t="s">
        <v>1362</v>
      </c>
      <c r="E1518" s="5" t="str">
        <f>VLOOKUP(F1518,'Set up'!$A$2:$C$48,2,FALSE)</f>
        <v>C00000037</v>
      </c>
      <c r="F1518" s="1" t="s">
        <v>1310</v>
      </c>
      <c r="G1518" s="89" t="s">
        <v>1361</v>
      </c>
      <c r="H1518" s="5">
        <v>1</v>
      </c>
      <c r="I1518" s="5">
        <f>VLOOKUP(F1518,'Set up'!$A$2:$C$48,3,FALSE)</f>
        <v>30</v>
      </c>
      <c r="J1518" s="5">
        <f>VLOOKUP(F1518,'Set up'!$A$2:$D$48,4,FALSE)</f>
        <v>30</v>
      </c>
      <c r="K1518" s="4">
        <f t="shared" si="510"/>
        <v>45045</v>
      </c>
      <c r="L1518" s="5">
        <f t="shared" si="515"/>
        <v>4</v>
      </c>
      <c r="M1518" s="5">
        <f t="shared" si="516"/>
        <v>2023</v>
      </c>
      <c r="N1518" s="6">
        <v>875</v>
      </c>
      <c r="O1518" s="6">
        <f t="shared" si="519"/>
        <v>-875</v>
      </c>
      <c r="P1518" s="6">
        <f t="shared" si="517"/>
        <v>0</v>
      </c>
      <c r="Q1518" s="7">
        <f t="shared" si="518"/>
        <v>2816802.8500000006</v>
      </c>
      <c r="R1518" s="44" t="str">
        <f>VLOOKUP(F1518,'Set up'!$A$2:$E$48,5,FALSE)</f>
        <v>Chq</v>
      </c>
      <c r="S1518" s="1" t="s">
        <v>1567</v>
      </c>
    </row>
    <row r="1519" spans="1:19" hidden="1" x14ac:dyDescent="0.3">
      <c r="A1519" s="4" t="s">
        <v>1363</v>
      </c>
      <c r="B1519" s="5">
        <f t="shared" si="513"/>
        <v>3</v>
      </c>
      <c r="C1519" s="5">
        <f t="shared" si="514"/>
        <v>2023</v>
      </c>
      <c r="D1519" s="5" t="s">
        <v>1362</v>
      </c>
      <c r="E1519" s="5" t="str">
        <f>VLOOKUP(F1519,'Set up'!$A$2:$C$48,2,FALSE)</f>
        <v>C00000037</v>
      </c>
      <c r="F1519" s="1" t="s">
        <v>1310</v>
      </c>
      <c r="G1519" s="89" t="s">
        <v>1111</v>
      </c>
      <c r="H1519" s="5">
        <v>3</v>
      </c>
      <c r="I1519" s="5">
        <f>VLOOKUP(F1519,'Set up'!$A$2:$C$48,3,FALSE)</f>
        <v>30</v>
      </c>
      <c r="J1519" s="5">
        <f>VLOOKUP(F1519,'Set up'!$A$2:$D$48,4,FALSE)</f>
        <v>30</v>
      </c>
      <c r="K1519" s="4">
        <f t="shared" si="510"/>
        <v>45045</v>
      </c>
      <c r="L1519" s="5">
        <f t="shared" si="515"/>
        <v>4</v>
      </c>
      <c r="M1519" s="5">
        <f t="shared" si="516"/>
        <v>2023</v>
      </c>
      <c r="N1519" s="6">
        <v>187.5</v>
      </c>
      <c r="O1519" s="6">
        <f t="shared" si="519"/>
        <v>-187.5</v>
      </c>
      <c r="P1519" s="6">
        <f t="shared" si="517"/>
        <v>0</v>
      </c>
      <c r="Q1519" s="7">
        <f t="shared" si="518"/>
        <v>2816990.3500000006</v>
      </c>
      <c r="R1519" s="44" t="str">
        <f>VLOOKUP(F1519,'Set up'!$A$2:$E$48,5,FALSE)</f>
        <v>Chq</v>
      </c>
      <c r="S1519" s="1" t="s">
        <v>1567</v>
      </c>
    </row>
    <row r="1520" spans="1:19" hidden="1" x14ac:dyDescent="0.3">
      <c r="A1520" s="4" t="s">
        <v>1363</v>
      </c>
      <c r="B1520" s="5">
        <f t="shared" si="513"/>
        <v>3</v>
      </c>
      <c r="C1520" s="5">
        <f t="shared" si="514"/>
        <v>2023</v>
      </c>
      <c r="D1520" s="5" t="s">
        <v>1364</v>
      </c>
      <c r="E1520" s="5" t="str">
        <f>VLOOKUP(F1520,'Set up'!$A$2:$C$48,2,FALSE)</f>
        <v>C00000034</v>
      </c>
      <c r="F1520" s="1" t="s">
        <v>1197</v>
      </c>
      <c r="G1520" s="89" t="s">
        <v>667</v>
      </c>
      <c r="H1520" s="5">
        <v>3</v>
      </c>
      <c r="I1520" s="5" t="str">
        <f>VLOOKUP(F1520,'Set up'!$A$2:$C$48,3,FALSE)</f>
        <v>Cash</v>
      </c>
      <c r="J1520" s="5">
        <f>VLOOKUP(F1520,'Set up'!$A$2:$D$48,4,FALSE)</f>
        <v>0</v>
      </c>
      <c r="K1520" s="4">
        <f t="shared" si="510"/>
        <v>45015</v>
      </c>
      <c r="L1520" s="5">
        <f t="shared" si="515"/>
        <v>3</v>
      </c>
      <c r="M1520" s="5">
        <f t="shared" si="516"/>
        <v>2023</v>
      </c>
      <c r="N1520" s="6">
        <v>300</v>
      </c>
      <c r="O1520" s="6">
        <f t="shared" ref="O1520:O1521" si="520">-N1520</f>
        <v>-300</v>
      </c>
      <c r="P1520" s="6">
        <f t="shared" si="517"/>
        <v>0</v>
      </c>
      <c r="Q1520" s="7">
        <f t="shared" si="518"/>
        <v>2817290.3500000006</v>
      </c>
      <c r="R1520" s="44" t="str">
        <f>VLOOKUP(F1520,'Set up'!$A$2:$E$48,5,FALSE)</f>
        <v>Trsf</v>
      </c>
      <c r="S1520" s="1" t="s">
        <v>1382</v>
      </c>
    </row>
    <row r="1521" spans="1:19" hidden="1" x14ac:dyDescent="0.3">
      <c r="A1521" s="4" t="s">
        <v>1363</v>
      </c>
      <c r="B1521" s="5">
        <f t="shared" si="513"/>
        <v>3</v>
      </c>
      <c r="C1521" s="5">
        <f t="shared" si="514"/>
        <v>2023</v>
      </c>
      <c r="D1521" s="5" t="s">
        <v>1365</v>
      </c>
      <c r="E1521" s="5" t="str">
        <f>VLOOKUP(F1521,'Set up'!$A$2:$C$48,2,FALSE)</f>
        <v>C00000034</v>
      </c>
      <c r="F1521" s="1" t="s">
        <v>1197</v>
      </c>
      <c r="G1521" s="89" t="s">
        <v>1111</v>
      </c>
      <c r="H1521" s="5">
        <v>3</v>
      </c>
      <c r="I1521" s="5" t="str">
        <f>VLOOKUP(F1521,'Set up'!$A$2:$C$48,3,FALSE)</f>
        <v>Cash</v>
      </c>
      <c r="J1521" s="5">
        <f>VLOOKUP(F1521,'Set up'!$A$2:$D$48,4,FALSE)</f>
        <v>0</v>
      </c>
      <c r="K1521" s="4">
        <f t="shared" si="510"/>
        <v>45015</v>
      </c>
      <c r="L1521" s="5">
        <f t="shared" si="515"/>
        <v>3</v>
      </c>
      <c r="M1521" s="5">
        <f t="shared" si="516"/>
        <v>2023</v>
      </c>
      <c r="N1521" s="6">
        <v>187.5</v>
      </c>
      <c r="O1521" s="6">
        <f t="shared" si="520"/>
        <v>-187.5</v>
      </c>
      <c r="P1521" s="6">
        <f t="shared" si="517"/>
        <v>0</v>
      </c>
      <c r="Q1521" s="7">
        <f t="shared" si="518"/>
        <v>2817477.8500000006</v>
      </c>
      <c r="R1521" s="44" t="str">
        <f>VLOOKUP(F1521,'Set up'!$A$2:$E$48,5,FALSE)</f>
        <v>Trsf</v>
      </c>
      <c r="S1521" s="1" t="s">
        <v>1382</v>
      </c>
    </row>
    <row r="1522" spans="1:19" x14ac:dyDescent="0.3">
      <c r="A1522" s="4" t="s">
        <v>1363</v>
      </c>
      <c r="B1522" s="5">
        <f t="shared" si="513"/>
        <v>3</v>
      </c>
      <c r="C1522" s="5">
        <f t="shared" si="514"/>
        <v>2023</v>
      </c>
      <c r="D1522" s="5" t="s">
        <v>1366</v>
      </c>
      <c r="E1522" s="5" t="str">
        <f>VLOOKUP(F1522,'Set up'!$A$2:$C$48,2,FALSE)</f>
        <v>C00000020</v>
      </c>
      <c r="F1522" s="1" t="s">
        <v>410</v>
      </c>
      <c r="G1522" s="89" t="s">
        <v>1111</v>
      </c>
      <c r="H1522" s="5">
        <v>5</v>
      </c>
      <c r="I1522" s="5" t="str">
        <f>VLOOKUP(F1522,'Set up'!$A$2:$C$48,3,FALSE)</f>
        <v>Cash</v>
      </c>
      <c r="J1522" s="5">
        <f>VLOOKUP(F1522,'Set up'!$A$2:$D$48,4,FALSE)</f>
        <v>0</v>
      </c>
      <c r="K1522" s="4">
        <f t="shared" si="510"/>
        <v>45015</v>
      </c>
      <c r="L1522" s="5">
        <f t="shared" si="515"/>
        <v>3</v>
      </c>
      <c r="M1522" s="5">
        <f t="shared" si="516"/>
        <v>2023</v>
      </c>
      <c r="N1522" s="6">
        <v>312.5</v>
      </c>
      <c r="P1522" s="6">
        <f t="shared" si="517"/>
        <v>312.5</v>
      </c>
      <c r="Q1522" s="7">
        <f t="shared" si="518"/>
        <v>2817790.3500000006</v>
      </c>
      <c r="R1522" s="44" t="str">
        <f>VLOOKUP(F1522,'Set up'!$A$2:$E$48,5,FALSE)</f>
        <v>Trsf</v>
      </c>
      <c r="S1522" s="1" t="s">
        <v>2402</v>
      </c>
    </row>
    <row r="1523" spans="1:19" x14ac:dyDescent="0.3">
      <c r="A1523" s="4" t="s">
        <v>1363</v>
      </c>
      <c r="B1523" s="5">
        <f t="shared" si="513"/>
        <v>3</v>
      </c>
      <c r="C1523" s="5">
        <f t="shared" si="514"/>
        <v>2023</v>
      </c>
      <c r="D1523" s="5" t="s">
        <v>1367</v>
      </c>
      <c r="E1523" s="5" t="str">
        <f>VLOOKUP(F1523,'Set up'!$A$2:$C$48,2,FALSE)</f>
        <v>C00000020</v>
      </c>
      <c r="F1523" s="1" t="s">
        <v>410</v>
      </c>
      <c r="G1523" s="89" t="s">
        <v>95</v>
      </c>
      <c r="H1523" s="5">
        <v>5</v>
      </c>
      <c r="I1523" s="5" t="str">
        <f>VLOOKUP(F1523,'Set up'!$A$2:$C$48,3,FALSE)</f>
        <v>Cash</v>
      </c>
      <c r="J1523" s="5">
        <f>VLOOKUP(F1523,'Set up'!$A$2:$D$48,4,FALSE)</f>
        <v>0</v>
      </c>
      <c r="K1523" s="4">
        <f t="shared" si="510"/>
        <v>45015</v>
      </c>
      <c r="L1523" s="5">
        <f t="shared" si="515"/>
        <v>3</v>
      </c>
      <c r="M1523" s="5">
        <f t="shared" si="516"/>
        <v>2023</v>
      </c>
      <c r="N1523" s="6">
        <v>8690</v>
      </c>
      <c r="P1523" s="6">
        <f t="shared" si="517"/>
        <v>8690</v>
      </c>
      <c r="Q1523" s="7">
        <f t="shared" si="518"/>
        <v>2826480.3500000006</v>
      </c>
      <c r="R1523" s="44" t="str">
        <f>VLOOKUP(F1523,'Set up'!$A$2:$E$48,5,FALSE)</f>
        <v>Trsf</v>
      </c>
      <c r="S1523" s="1" t="s">
        <v>2403</v>
      </c>
    </row>
    <row r="1524" spans="1:19" x14ac:dyDescent="0.3">
      <c r="A1524" s="4" t="s">
        <v>1363</v>
      </c>
      <c r="B1524" s="5">
        <f t="shared" si="513"/>
        <v>3</v>
      </c>
      <c r="C1524" s="5">
        <f t="shared" si="514"/>
        <v>2023</v>
      </c>
      <c r="D1524" s="5" t="s">
        <v>1367</v>
      </c>
      <c r="E1524" s="5" t="str">
        <f>VLOOKUP(F1524,'Set up'!$A$2:$C$48,2,FALSE)</f>
        <v>C00000020</v>
      </c>
      <c r="F1524" s="1" t="s">
        <v>410</v>
      </c>
      <c r="G1524" s="89" t="s">
        <v>655</v>
      </c>
      <c r="H1524" s="5">
        <v>10</v>
      </c>
      <c r="I1524" s="5" t="str">
        <f>VLOOKUP(F1524,'Set up'!$A$2:$C$48,3,FALSE)</f>
        <v>Cash</v>
      </c>
      <c r="J1524" s="5">
        <f>VLOOKUP(F1524,'Set up'!$A$2:$D$48,4,FALSE)</f>
        <v>0</v>
      </c>
      <c r="K1524" s="4">
        <f t="shared" si="510"/>
        <v>45015</v>
      </c>
      <c r="L1524" s="5">
        <f t="shared" si="515"/>
        <v>3</v>
      </c>
      <c r="M1524" s="5">
        <f t="shared" si="516"/>
        <v>2023</v>
      </c>
      <c r="N1524" s="6">
        <v>2280</v>
      </c>
      <c r="P1524" s="6">
        <f t="shared" si="517"/>
        <v>2280</v>
      </c>
      <c r="Q1524" s="7">
        <f t="shared" si="518"/>
        <v>2828760.3500000006</v>
      </c>
      <c r="R1524" s="44" t="str">
        <f>VLOOKUP(F1524,'Set up'!$A$2:$E$48,5,FALSE)</f>
        <v>Trsf</v>
      </c>
      <c r="S1524" s="1" t="s">
        <v>2399</v>
      </c>
    </row>
    <row r="1525" spans="1:19" x14ac:dyDescent="0.3">
      <c r="A1525" s="4" t="s">
        <v>1363</v>
      </c>
      <c r="B1525" s="5">
        <f t="shared" si="513"/>
        <v>3</v>
      </c>
      <c r="C1525" s="5">
        <f t="shared" si="514"/>
        <v>2023</v>
      </c>
      <c r="D1525" s="5" t="s">
        <v>1367</v>
      </c>
      <c r="E1525" s="5" t="str">
        <f>VLOOKUP(F1525,'Set up'!$A$2:$C$48,2,FALSE)</f>
        <v>C00000020</v>
      </c>
      <c r="F1525" s="1" t="s">
        <v>410</v>
      </c>
      <c r="G1525" s="89" t="s">
        <v>779</v>
      </c>
      <c r="H1525" s="5">
        <v>5</v>
      </c>
      <c r="I1525" s="5" t="str">
        <f>VLOOKUP(F1525,'Set up'!$A$2:$C$48,3,FALSE)</f>
        <v>Cash</v>
      </c>
      <c r="J1525" s="5">
        <f>VLOOKUP(F1525,'Set up'!$A$2:$D$48,4,FALSE)</f>
        <v>0</v>
      </c>
      <c r="K1525" s="4">
        <f t="shared" si="510"/>
        <v>45015</v>
      </c>
      <c r="L1525" s="5">
        <f t="shared" si="515"/>
        <v>3</v>
      </c>
      <c r="M1525" s="5">
        <f t="shared" si="516"/>
        <v>2023</v>
      </c>
      <c r="N1525" s="6">
        <v>1260</v>
      </c>
      <c r="P1525" s="6">
        <f t="shared" si="517"/>
        <v>1260</v>
      </c>
      <c r="Q1525" s="7">
        <f t="shared" si="518"/>
        <v>2830020.3500000006</v>
      </c>
      <c r="R1525" s="44" t="str">
        <f>VLOOKUP(F1525,'Set up'!$A$2:$E$48,5,FALSE)</f>
        <v>Trsf</v>
      </c>
      <c r="S1525" s="1" t="s">
        <v>2404</v>
      </c>
    </row>
    <row r="1526" spans="1:19" x14ac:dyDescent="0.3">
      <c r="A1526" s="4" t="s">
        <v>1363</v>
      </c>
      <c r="B1526" s="5">
        <f t="shared" si="513"/>
        <v>3</v>
      </c>
      <c r="C1526" s="5">
        <f t="shared" si="514"/>
        <v>2023</v>
      </c>
      <c r="D1526" s="5" t="s">
        <v>1367</v>
      </c>
      <c r="E1526" s="5" t="str">
        <f>VLOOKUP(F1526,'Set up'!$A$2:$C$48,2,FALSE)</f>
        <v>C00000020</v>
      </c>
      <c r="F1526" s="1" t="s">
        <v>410</v>
      </c>
      <c r="G1526" s="89" t="s">
        <v>667</v>
      </c>
      <c r="H1526" s="5">
        <v>4</v>
      </c>
      <c r="I1526" s="5" t="str">
        <f>VLOOKUP(F1526,'Set up'!$A$2:$C$48,3,FALSE)</f>
        <v>Cash</v>
      </c>
      <c r="J1526" s="5">
        <f>VLOOKUP(F1526,'Set up'!$A$2:$D$48,4,FALSE)</f>
        <v>0</v>
      </c>
      <c r="K1526" s="4">
        <f t="shared" si="510"/>
        <v>45015</v>
      </c>
      <c r="L1526" s="5">
        <f t="shared" si="515"/>
        <v>3</v>
      </c>
      <c r="M1526" s="5">
        <f t="shared" si="516"/>
        <v>2023</v>
      </c>
      <c r="N1526" s="6">
        <v>380</v>
      </c>
      <c r="P1526" s="6">
        <f t="shared" si="517"/>
        <v>380</v>
      </c>
      <c r="Q1526" s="7">
        <f t="shared" si="518"/>
        <v>2830400.3500000006</v>
      </c>
      <c r="R1526" s="44" t="str">
        <f>VLOOKUP(F1526,'Set up'!$A$2:$E$48,5,FALSE)</f>
        <v>Trsf</v>
      </c>
      <c r="S1526" s="1" t="s">
        <v>2405</v>
      </c>
    </row>
    <row r="1527" spans="1:19" hidden="1" x14ac:dyDescent="0.3">
      <c r="A1527" s="4">
        <v>45019</v>
      </c>
      <c r="B1527" s="5">
        <f t="shared" ref="B1527:B1577" si="521">MONTH(A1527)</f>
        <v>4</v>
      </c>
      <c r="C1527" s="5">
        <f t="shared" ref="C1527:C1577" si="522">YEAR(A1527)</f>
        <v>2023</v>
      </c>
      <c r="D1527" s="5" t="s">
        <v>1392</v>
      </c>
      <c r="E1527" s="5" t="str">
        <f>VLOOKUP(F1527,'Set up'!$A$2:$C$48,2,FALSE)</f>
        <v>C00000022</v>
      </c>
      <c r="F1527" s="1" t="s">
        <v>638</v>
      </c>
      <c r="G1527" s="89" t="s">
        <v>1391</v>
      </c>
      <c r="H1527" s="5">
        <v>1</v>
      </c>
      <c r="I1527" s="5" t="str">
        <f>VLOOKUP(F1527,'Set up'!$A$2:$C$48,3,FALSE)</f>
        <v>Cash</v>
      </c>
      <c r="J1527" s="5">
        <f>VLOOKUP(F1527,'Set up'!$A$2:$D$48,4,FALSE)</f>
        <v>0</v>
      </c>
      <c r="K1527" s="4">
        <f t="shared" si="510"/>
        <v>45019</v>
      </c>
      <c r="L1527" s="5">
        <f t="shared" ref="L1527:L1577" si="523">MONTH(K1527)</f>
        <v>4</v>
      </c>
      <c r="M1527" s="5">
        <f t="shared" ref="M1527:M1577" si="524">YEAR(K1527)</f>
        <v>2023</v>
      </c>
      <c r="N1527" s="6">
        <v>475.2</v>
      </c>
      <c r="O1527" s="6">
        <f t="shared" ref="O1527" si="525">-N1527</f>
        <v>-475.2</v>
      </c>
      <c r="P1527" s="6">
        <f t="shared" ref="P1527:P1577" si="526">SUM(N1527+O1527)</f>
        <v>0</v>
      </c>
      <c r="Q1527" s="7">
        <f t="shared" ref="Q1527:Q1577" si="527">SUM(Q1526+N1527)</f>
        <v>2830875.5500000007</v>
      </c>
      <c r="R1527" s="44" t="str">
        <f>VLOOKUP(F1527,'Set up'!$A$2:$E$48,5,FALSE)</f>
        <v>Trsf</v>
      </c>
      <c r="S1527" s="1" t="s">
        <v>1985</v>
      </c>
    </row>
    <row r="1528" spans="1:19" hidden="1" x14ac:dyDescent="0.3">
      <c r="A1528" s="4">
        <v>45019</v>
      </c>
      <c r="B1528" s="5">
        <f t="shared" si="521"/>
        <v>4</v>
      </c>
      <c r="C1528" s="5">
        <f t="shared" si="522"/>
        <v>2023</v>
      </c>
      <c r="D1528" s="5" t="s">
        <v>1395</v>
      </c>
      <c r="E1528" s="5" t="str">
        <f>VLOOKUP(F1528,'Set up'!$A$2:$C$48,2,FALSE)</f>
        <v>C00000034</v>
      </c>
      <c r="F1528" s="1" t="s">
        <v>1197</v>
      </c>
      <c r="G1528" s="89" t="s">
        <v>1357</v>
      </c>
      <c r="H1528" s="5">
        <v>1</v>
      </c>
      <c r="I1528" s="5" t="str">
        <f>VLOOKUP(F1528,'Set up'!$A$2:$C$48,3,FALSE)</f>
        <v>Cash</v>
      </c>
      <c r="J1528" s="5">
        <f>VLOOKUP(F1528,'Set up'!$A$2:$D$48,4,FALSE)</f>
        <v>0</v>
      </c>
      <c r="K1528" s="4">
        <f t="shared" si="510"/>
        <v>45019</v>
      </c>
      <c r="L1528" s="5">
        <f t="shared" si="523"/>
        <v>4</v>
      </c>
      <c r="M1528" s="5">
        <f t="shared" si="524"/>
        <v>2023</v>
      </c>
      <c r="N1528" s="6">
        <v>1848</v>
      </c>
      <c r="O1528" s="6">
        <f t="shared" ref="O1528:O1539" si="528">-N1528</f>
        <v>-1848</v>
      </c>
      <c r="P1528" s="6">
        <f t="shared" si="526"/>
        <v>0</v>
      </c>
      <c r="Q1528" s="7">
        <f t="shared" si="527"/>
        <v>2832723.5500000007</v>
      </c>
      <c r="R1528" s="44" t="str">
        <f>VLOOKUP(F1528,'Set up'!$A$2:$E$48,5,FALSE)</f>
        <v>Trsf</v>
      </c>
      <c r="S1528" s="1" t="s">
        <v>1471</v>
      </c>
    </row>
    <row r="1529" spans="1:19" hidden="1" x14ac:dyDescent="0.3">
      <c r="A1529" s="4">
        <v>45019</v>
      </c>
      <c r="B1529" s="5">
        <f t="shared" si="521"/>
        <v>4</v>
      </c>
      <c r="C1529" s="5">
        <f t="shared" si="522"/>
        <v>2023</v>
      </c>
      <c r="D1529" s="5" t="s">
        <v>1395</v>
      </c>
      <c r="E1529" s="5" t="str">
        <f>VLOOKUP(F1529,'Set up'!$A$2:$C$48,2,FALSE)</f>
        <v>C00000034</v>
      </c>
      <c r="F1529" s="1" t="s">
        <v>1197</v>
      </c>
      <c r="G1529" s="89" t="s">
        <v>1393</v>
      </c>
      <c r="H1529" s="5">
        <v>5</v>
      </c>
      <c r="I1529" s="5" t="str">
        <f>VLOOKUP(F1529,'Set up'!$A$2:$C$48,3,FALSE)</f>
        <v>Cash</v>
      </c>
      <c r="J1529" s="5">
        <f>VLOOKUP(F1529,'Set up'!$A$2:$D$48,4,FALSE)</f>
        <v>0</v>
      </c>
      <c r="K1529" s="4">
        <f t="shared" si="510"/>
        <v>45019</v>
      </c>
      <c r="L1529" s="5">
        <f t="shared" si="523"/>
        <v>4</v>
      </c>
      <c r="M1529" s="5">
        <f t="shared" si="524"/>
        <v>2023</v>
      </c>
      <c r="N1529" s="6">
        <v>1125</v>
      </c>
      <c r="O1529" s="6">
        <f t="shared" si="528"/>
        <v>-1125</v>
      </c>
      <c r="P1529" s="6">
        <f t="shared" si="526"/>
        <v>0</v>
      </c>
      <c r="Q1529" s="7">
        <f t="shared" si="527"/>
        <v>2833848.5500000007</v>
      </c>
      <c r="R1529" s="44" t="str">
        <f>VLOOKUP(F1529,'Set up'!$A$2:$E$48,5,FALSE)</f>
        <v>Trsf</v>
      </c>
      <c r="S1529" s="1" t="s">
        <v>1472</v>
      </c>
    </row>
    <row r="1530" spans="1:19" hidden="1" x14ac:dyDescent="0.3">
      <c r="A1530" s="4">
        <v>45019</v>
      </c>
      <c r="B1530" s="5">
        <f t="shared" si="521"/>
        <v>4</v>
      </c>
      <c r="C1530" s="5">
        <f t="shared" si="522"/>
        <v>2023</v>
      </c>
      <c r="D1530" s="5" t="s">
        <v>1395</v>
      </c>
      <c r="E1530" s="5" t="str">
        <f>VLOOKUP(F1530,'Set up'!$A$2:$C$48,2,FALSE)</f>
        <v>C00000034</v>
      </c>
      <c r="F1530" s="1" t="s">
        <v>1197</v>
      </c>
      <c r="G1530" s="89" t="s">
        <v>1394</v>
      </c>
      <c r="H1530" s="5">
        <v>1</v>
      </c>
      <c r="I1530" s="5" t="str">
        <f>VLOOKUP(F1530,'Set up'!$A$2:$C$48,3,FALSE)</f>
        <v>Cash</v>
      </c>
      <c r="J1530" s="5">
        <f>VLOOKUP(F1530,'Set up'!$A$2:$D$48,4,FALSE)</f>
        <v>0</v>
      </c>
      <c r="K1530" s="4">
        <f t="shared" si="510"/>
        <v>45019</v>
      </c>
      <c r="L1530" s="5">
        <f t="shared" si="523"/>
        <v>4</v>
      </c>
      <c r="M1530" s="5">
        <f t="shared" si="524"/>
        <v>2023</v>
      </c>
      <c r="N1530" s="6">
        <v>225</v>
      </c>
      <c r="O1530" s="6">
        <f t="shared" si="528"/>
        <v>-225</v>
      </c>
      <c r="P1530" s="6">
        <f t="shared" si="526"/>
        <v>0</v>
      </c>
      <c r="Q1530" s="7">
        <f t="shared" si="527"/>
        <v>2834073.5500000007</v>
      </c>
      <c r="R1530" s="44" t="str">
        <f>VLOOKUP(F1530,'Set up'!$A$2:$E$48,5,FALSE)</f>
        <v>Trsf</v>
      </c>
      <c r="S1530" s="1" t="s">
        <v>1473</v>
      </c>
    </row>
    <row r="1531" spans="1:19" hidden="1" x14ac:dyDescent="0.3">
      <c r="A1531" s="4">
        <v>45019</v>
      </c>
      <c r="B1531" s="5">
        <f t="shared" si="521"/>
        <v>4</v>
      </c>
      <c r="C1531" s="5">
        <f t="shared" si="522"/>
        <v>2023</v>
      </c>
      <c r="D1531" s="5" t="s">
        <v>1395</v>
      </c>
      <c r="E1531" s="5" t="str">
        <f>VLOOKUP(F1531,'Set up'!$A$2:$C$48,2,FALSE)</f>
        <v>C00000034</v>
      </c>
      <c r="F1531" s="1" t="s">
        <v>1197</v>
      </c>
      <c r="G1531" s="89" t="s">
        <v>656</v>
      </c>
      <c r="H1531" s="5">
        <v>2</v>
      </c>
      <c r="I1531" s="5" t="str">
        <f>VLOOKUP(F1531,'Set up'!$A$2:$C$48,3,FALSE)</f>
        <v>Cash</v>
      </c>
      <c r="J1531" s="5">
        <f>VLOOKUP(F1531,'Set up'!$A$2:$D$48,4,FALSE)</f>
        <v>0</v>
      </c>
      <c r="K1531" s="4">
        <f t="shared" si="510"/>
        <v>45019</v>
      </c>
      <c r="L1531" s="5">
        <f t="shared" si="523"/>
        <v>4</v>
      </c>
      <c r="M1531" s="5">
        <f t="shared" si="524"/>
        <v>2023</v>
      </c>
      <c r="N1531" s="6">
        <v>472</v>
      </c>
      <c r="O1531" s="6">
        <f t="shared" si="528"/>
        <v>-472</v>
      </c>
      <c r="P1531" s="6">
        <f t="shared" si="526"/>
        <v>0</v>
      </c>
      <c r="Q1531" s="7">
        <f t="shared" si="527"/>
        <v>2834545.5500000007</v>
      </c>
      <c r="R1531" s="44" t="str">
        <f>VLOOKUP(F1531,'Set up'!$A$2:$E$48,5,FALSE)</f>
        <v>Trsf</v>
      </c>
      <c r="S1531" s="1" t="s">
        <v>1474</v>
      </c>
    </row>
    <row r="1532" spans="1:19" hidden="1" x14ac:dyDescent="0.3">
      <c r="A1532" s="4">
        <v>45019</v>
      </c>
      <c r="B1532" s="5">
        <f t="shared" si="521"/>
        <v>4</v>
      </c>
      <c r="C1532" s="5">
        <f t="shared" si="522"/>
        <v>2023</v>
      </c>
      <c r="D1532" s="5" t="s">
        <v>1395</v>
      </c>
      <c r="E1532" s="5" t="str">
        <f>VLOOKUP(F1532,'Set up'!$A$2:$C$48,2,FALSE)</f>
        <v>C00000034</v>
      </c>
      <c r="F1532" s="1" t="s">
        <v>1197</v>
      </c>
      <c r="G1532" s="89" t="s">
        <v>667</v>
      </c>
      <c r="H1532" s="5">
        <v>1</v>
      </c>
      <c r="I1532" s="5" t="str">
        <f>VLOOKUP(F1532,'Set up'!$A$2:$C$48,3,FALSE)</f>
        <v>Cash</v>
      </c>
      <c r="J1532" s="5">
        <f>VLOOKUP(F1532,'Set up'!$A$2:$D$48,4,FALSE)</f>
        <v>0</v>
      </c>
      <c r="K1532" s="4">
        <f t="shared" si="510"/>
        <v>45019</v>
      </c>
      <c r="L1532" s="5">
        <f t="shared" si="523"/>
        <v>4</v>
      </c>
      <c r="M1532" s="5">
        <f t="shared" si="524"/>
        <v>2023</v>
      </c>
      <c r="N1532" s="6">
        <v>100</v>
      </c>
      <c r="O1532" s="6">
        <f t="shared" si="528"/>
        <v>-100</v>
      </c>
      <c r="P1532" s="6">
        <f t="shared" si="526"/>
        <v>0</v>
      </c>
      <c r="Q1532" s="7">
        <f t="shared" si="527"/>
        <v>2834645.5500000007</v>
      </c>
      <c r="R1532" s="44" t="str">
        <f>VLOOKUP(F1532,'Set up'!$A$2:$E$48,5,FALSE)</f>
        <v>Trsf</v>
      </c>
      <c r="S1532" s="1" t="s">
        <v>1475</v>
      </c>
    </row>
    <row r="1533" spans="1:19" hidden="1" x14ac:dyDescent="0.3">
      <c r="A1533" s="4">
        <v>45019</v>
      </c>
      <c r="B1533" s="5">
        <f t="shared" si="521"/>
        <v>4</v>
      </c>
      <c r="C1533" s="5">
        <f t="shared" si="522"/>
        <v>2023</v>
      </c>
      <c r="D1533" s="5" t="s">
        <v>1395</v>
      </c>
      <c r="E1533" s="5" t="str">
        <f>VLOOKUP(F1533,'Set up'!$A$2:$C$48,2,FALSE)</f>
        <v>C00000034</v>
      </c>
      <c r="F1533" s="1" t="s">
        <v>1197</v>
      </c>
      <c r="G1533" s="89" t="s">
        <v>945</v>
      </c>
      <c r="H1533" s="5">
        <v>1</v>
      </c>
      <c r="I1533" s="5" t="str">
        <f>VLOOKUP(F1533,'Set up'!$A$2:$C$48,3,FALSE)</f>
        <v>Cash</v>
      </c>
      <c r="J1533" s="5">
        <f>VLOOKUP(F1533,'Set up'!$A$2:$D$48,4,FALSE)</f>
        <v>0</v>
      </c>
      <c r="K1533" s="4">
        <f t="shared" si="510"/>
        <v>45019</v>
      </c>
      <c r="L1533" s="5">
        <f t="shared" si="523"/>
        <v>4</v>
      </c>
      <c r="M1533" s="5">
        <f t="shared" si="524"/>
        <v>2023</v>
      </c>
      <c r="N1533" s="6">
        <v>420</v>
      </c>
      <c r="O1533" s="6">
        <f t="shared" si="528"/>
        <v>-420</v>
      </c>
      <c r="P1533" s="6">
        <f t="shared" si="526"/>
        <v>0</v>
      </c>
      <c r="Q1533" s="7">
        <f t="shared" si="527"/>
        <v>2835065.5500000007</v>
      </c>
      <c r="R1533" s="44" t="str">
        <f>VLOOKUP(F1533,'Set up'!$A$2:$E$48,5,FALSE)</f>
        <v>Trsf</v>
      </c>
      <c r="S1533" s="1" t="s">
        <v>1476</v>
      </c>
    </row>
    <row r="1534" spans="1:19" hidden="1" x14ac:dyDescent="0.3">
      <c r="A1534" s="4">
        <v>45019</v>
      </c>
      <c r="B1534" s="5">
        <f t="shared" si="521"/>
        <v>4</v>
      </c>
      <c r="C1534" s="5">
        <f t="shared" si="522"/>
        <v>2023</v>
      </c>
      <c r="D1534" s="5" t="s">
        <v>1395</v>
      </c>
      <c r="E1534" s="5" t="str">
        <f>VLOOKUP(F1534,'Set up'!$A$2:$C$48,2,FALSE)</f>
        <v>C00000034</v>
      </c>
      <c r="F1534" s="1" t="s">
        <v>1197</v>
      </c>
      <c r="G1534" s="89" t="s">
        <v>1111</v>
      </c>
      <c r="H1534" s="5">
        <v>4</v>
      </c>
      <c r="I1534" s="5" t="str">
        <f>VLOOKUP(F1534,'Set up'!$A$2:$C$48,3,FALSE)</f>
        <v>Cash</v>
      </c>
      <c r="J1534" s="5">
        <f>VLOOKUP(F1534,'Set up'!$A$2:$D$48,4,FALSE)</f>
        <v>0</v>
      </c>
      <c r="K1534" s="4">
        <f t="shared" si="510"/>
        <v>45019</v>
      </c>
      <c r="L1534" s="5">
        <f t="shared" si="523"/>
        <v>4</v>
      </c>
      <c r="M1534" s="5">
        <f t="shared" si="524"/>
        <v>2023</v>
      </c>
      <c r="N1534" s="6">
        <v>250</v>
      </c>
      <c r="O1534" s="6">
        <f t="shared" si="528"/>
        <v>-250</v>
      </c>
      <c r="P1534" s="6">
        <f t="shared" si="526"/>
        <v>0</v>
      </c>
      <c r="Q1534" s="7">
        <f t="shared" si="527"/>
        <v>2835315.5500000007</v>
      </c>
      <c r="R1534" s="44" t="str">
        <f>VLOOKUP(F1534,'Set up'!$A$2:$E$48,5,FALSE)</f>
        <v>Trsf</v>
      </c>
      <c r="S1534" s="1" t="s">
        <v>1477</v>
      </c>
    </row>
    <row r="1535" spans="1:19" hidden="1" x14ac:dyDescent="0.3">
      <c r="A1535" s="4" t="s">
        <v>1399</v>
      </c>
      <c r="B1535" s="5">
        <f t="shared" si="521"/>
        <v>4</v>
      </c>
      <c r="C1535" s="5">
        <f t="shared" si="522"/>
        <v>2023</v>
      </c>
      <c r="D1535" s="5" t="s">
        <v>1396</v>
      </c>
      <c r="E1535" s="5" t="str">
        <f>VLOOKUP(F1535,'Set up'!$A$2:$C$48,2,FALSE)</f>
        <v>C00000035</v>
      </c>
      <c r="F1535" s="1" t="s">
        <v>1258</v>
      </c>
      <c r="G1535" s="89" t="s">
        <v>866</v>
      </c>
      <c r="H1535" s="5">
        <v>1</v>
      </c>
      <c r="I1535" s="5" t="str">
        <f>VLOOKUP(F1535,'Set up'!$A$2:$C$48,3,FALSE)</f>
        <v>Cash</v>
      </c>
      <c r="J1535" s="5">
        <f>VLOOKUP(F1535,'Set up'!$A$2:$D$48,4,FALSE)</f>
        <v>0</v>
      </c>
      <c r="K1535" s="4">
        <f t="shared" si="510"/>
        <v>45019</v>
      </c>
      <c r="L1535" s="5">
        <f t="shared" si="523"/>
        <v>4</v>
      </c>
      <c r="M1535" s="5">
        <f t="shared" si="524"/>
        <v>2023</v>
      </c>
      <c r="N1535" s="6">
        <v>264</v>
      </c>
      <c r="O1535" s="6">
        <f t="shared" si="528"/>
        <v>-264</v>
      </c>
      <c r="P1535" s="6">
        <f t="shared" si="526"/>
        <v>0</v>
      </c>
      <c r="Q1535" s="7">
        <f t="shared" si="527"/>
        <v>2835579.5500000007</v>
      </c>
      <c r="R1535" s="44" t="str">
        <f>VLOOKUP(F1535,'Set up'!$A$2:$E$48,5,FALSE)</f>
        <v>Trsf</v>
      </c>
      <c r="S1535" s="1" t="s">
        <v>1480</v>
      </c>
    </row>
    <row r="1536" spans="1:19" hidden="1" x14ac:dyDescent="0.3">
      <c r="A1536" s="4" t="s">
        <v>1399</v>
      </c>
      <c r="B1536" s="5">
        <f t="shared" si="521"/>
        <v>4</v>
      </c>
      <c r="C1536" s="5">
        <f t="shared" si="522"/>
        <v>2023</v>
      </c>
      <c r="D1536" s="5" t="s">
        <v>1396</v>
      </c>
      <c r="E1536" s="5" t="str">
        <f>VLOOKUP(F1536,'Set up'!$A$2:$C$48,2,FALSE)</f>
        <v>C00000035</v>
      </c>
      <c r="F1536" s="1" t="s">
        <v>1258</v>
      </c>
      <c r="G1536" s="89" t="s">
        <v>1397</v>
      </c>
      <c r="H1536" s="5">
        <v>1</v>
      </c>
      <c r="I1536" s="5" t="str">
        <f>VLOOKUP(F1536,'Set up'!$A$2:$C$48,3,FALSE)</f>
        <v>Cash</v>
      </c>
      <c r="J1536" s="5">
        <f>VLOOKUP(F1536,'Set up'!$A$2:$D$48,4,FALSE)</f>
        <v>0</v>
      </c>
      <c r="K1536" s="4">
        <f t="shared" si="510"/>
        <v>45019</v>
      </c>
      <c r="L1536" s="5">
        <f t="shared" si="523"/>
        <v>4</v>
      </c>
      <c r="M1536" s="5">
        <f t="shared" si="524"/>
        <v>2023</v>
      </c>
      <c r="N1536" s="6">
        <v>70</v>
      </c>
      <c r="O1536" s="6">
        <f t="shared" si="528"/>
        <v>-70</v>
      </c>
      <c r="P1536" s="6">
        <f t="shared" si="526"/>
        <v>0</v>
      </c>
      <c r="Q1536" s="7">
        <f t="shared" si="527"/>
        <v>2835649.5500000007</v>
      </c>
      <c r="R1536" s="44" t="str">
        <f>VLOOKUP(F1536,'Set up'!$A$2:$E$48,5,FALSE)</f>
        <v>Trsf</v>
      </c>
      <c r="S1536" s="1" t="s">
        <v>1480</v>
      </c>
    </row>
    <row r="1537" spans="1:19" hidden="1" x14ac:dyDescent="0.3">
      <c r="A1537" s="4" t="s">
        <v>1399</v>
      </c>
      <c r="B1537" s="5">
        <f t="shared" si="521"/>
        <v>4</v>
      </c>
      <c r="C1537" s="5">
        <f t="shared" si="522"/>
        <v>2023</v>
      </c>
      <c r="D1537" s="5" t="s">
        <v>1396</v>
      </c>
      <c r="E1537" s="5" t="str">
        <f>VLOOKUP(F1537,'Set up'!$A$2:$C$48,2,FALSE)</f>
        <v>C00000035</v>
      </c>
      <c r="F1537" s="1" t="s">
        <v>1258</v>
      </c>
      <c r="G1537" s="89" t="s">
        <v>1398</v>
      </c>
      <c r="H1537" s="5">
        <v>1</v>
      </c>
      <c r="I1537" s="5" t="str">
        <f>VLOOKUP(F1537,'Set up'!$A$2:$C$48,3,FALSE)</f>
        <v>Cash</v>
      </c>
      <c r="J1537" s="5">
        <f>VLOOKUP(F1537,'Set up'!$A$2:$D$48,4,FALSE)</f>
        <v>0</v>
      </c>
      <c r="K1537" s="4">
        <f t="shared" si="510"/>
        <v>45019</v>
      </c>
      <c r="L1537" s="5">
        <f t="shared" si="523"/>
        <v>4</v>
      </c>
      <c r="M1537" s="5">
        <f t="shared" si="524"/>
        <v>2023</v>
      </c>
      <c r="N1537" s="6">
        <v>118</v>
      </c>
      <c r="O1537" s="6">
        <f t="shared" si="528"/>
        <v>-118</v>
      </c>
      <c r="P1537" s="6">
        <f t="shared" si="526"/>
        <v>0</v>
      </c>
      <c r="Q1537" s="7">
        <f t="shared" si="527"/>
        <v>2835767.5500000007</v>
      </c>
      <c r="R1537" s="44" t="str">
        <f>VLOOKUP(F1537,'Set up'!$A$2:$E$48,5,FALSE)</f>
        <v>Trsf</v>
      </c>
      <c r="S1537" s="1" t="s">
        <v>1480</v>
      </c>
    </row>
    <row r="1538" spans="1:19" hidden="1" x14ac:dyDescent="0.3">
      <c r="A1538" s="4">
        <v>45020</v>
      </c>
      <c r="B1538" s="5">
        <f t="shared" si="521"/>
        <v>4</v>
      </c>
      <c r="C1538" s="5">
        <f t="shared" si="522"/>
        <v>2023</v>
      </c>
      <c r="D1538" s="5" t="s">
        <v>1401</v>
      </c>
      <c r="E1538" s="5" t="str">
        <f>VLOOKUP(F1538,'Set up'!$A$2:$C$48,2,FALSE)</f>
        <v>C00000027</v>
      </c>
      <c r="F1538" s="1" t="s">
        <v>860</v>
      </c>
      <c r="G1538" s="89" t="s">
        <v>717</v>
      </c>
      <c r="H1538" s="5">
        <v>4</v>
      </c>
      <c r="I1538" s="5" t="str">
        <f>VLOOKUP(F1538,'Set up'!$A$2:$C$48,3,FALSE)</f>
        <v>Cash</v>
      </c>
      <c r="J1538" s="5">
        <f>VLOOKUP(F1538,'Set up'!$A$2:$D$48,4,FALSE)</f>
        <v>0</v>
      </c>
      <c r="K1538" s="4">
        <f t="shared" si="510"/>
        <v>45020</v>
      </c>
      <c r="L1538" s="5">
        <f t="shared" si="523"/>
        <v>4</v>
      </c>
      <c r="M1538" s="5">
        <f t="shared" si="524"/>
        <v>2023</v>
      </c>
      <c r="N1538" s="6">
        <v>7480</v>
      </c>
      <c r="O1538" s="6">
        <f t="shared" si="528"/>
        <v>-7480</v>
      </c>
      <c r="P1538" s="6">
        <f t="shared" si="526"/>
        <v>0</v>
      </c>
      <c r="Q1538" s="7">
        <f t="shared" si="527"/>
        <v>2843247.5500000007</v>
      </c>
      <c r="R1538" s="44" t="str">
        <f>VLOOKUP(F1538,'Set up'!$A$2:$E$48,5,FALSE)</f>
        <v>Trsf</v>
      </c>
      <c r="S1538" s="1" t="s">
        <v>2071</v>
      </c>
    </row>
    <row r="1539" spans="1:19" hidden="1" x14ac:dyDescent="0.3">
      <c r="A1539" s="4" t="s">
        <v>1402</v>
      </c>
      <c r="B1539" s="5">
        <f t="shared" si="521"/>
        <v>4</v>
      </c>
      <c r="C1539" s="5">
        <f t="shared" si="522"/>
        <v>2023</v>
      </c>
      <c r="D1539" s="5" t="s">
        <v>1401</v>
      </c>
      <c r="E1539" s="5" t="str">
        <f>VLOOKUP(F1539,'Set up'!$A$2:$C$48,2,FALSE)</f>
        <v>C00000027</v>
      </c>
      <c r="F1539" s="1" t="s">
        <v>860</v>
      </c>
      <c r="G1539" s="89" t="s">
        <v>708</v>
      </c>
      <c r="H1539" s="5">
        <v>3</v>
      </c>
      <c r="I1539" s="5" t="str">
        <f>VLOOKUP(F1539,'Set up'!$A$2:$C$48,3,FALSE)</f>
        <v>Cash</v>
      </c>
      <c r="J1539" s="5">
        <f>VLOOKUP(F1539,'Set up'!$A$2:$D$48,4,FALSE)</f>
        <v>0</v>
      </c>
      <c r="K1539" s="4">
        <f t="shared" si="510"/>
        <v>45020</v>
      </c>
      <c r="L1539" s="5">
        <f t="shared" si="523"/>
        <v>4</v>
      </c>
      <c r="M1539" s="5">
        <f t="shared" si="524"/>
        <v>2023</v>
      </c>
      <c r="N1539" s="6">
        <v>1263.5999999999999</v>
      </c>
      <c r="O1539" s="6">
        <f t="shared" si="528"/>
        <v>-1263.5999999999999</v>
      </c>
      <c r="P1539" s="6">
        <f t="shared" si="526"/>
        <v>0</v>
      </c>
      <c r="Q1539" s="7">
        <f t="shared" si="527"/>
        <v>2844511.1500000008</v>
      </c>
      <c r="R1539" s="44" t="str">
        <f>VLOOKUP(F1539,'Set up'!$A$2:$E$48,5,FALSE)</f>
        <v>Trsf</v>
      </c>
      <c r="S1539" s="1" t="s">
        <v>2072</v>
      </c>
    </row>
    <row r="1540" spans="1:19" hidden="1" x14ac:dyDescent="0.3">
      <c r="A1540" s="4" t="s">
        <v>1402</v>
      </c>
      <c r="B1540" s="5">
        <f t="shared" si="521"/>
        <v>4</v>
      </c>
      <c r="C1540" s="5">
        <f t="shared" si="522"/>
        <v>2023</v>
      </c>
      <c r="D1540" s="5" t="s">
        <v>1401</v>
      </c>
      <c r="E1540" s="5" t="str">
        <f>VLOOKUP(F1540,'Set up'!$A$2:$C$48,2,FALSE)</f>
        <v>C00000027</v>
      </c>
      <c r="F1540" s="1" t="s">
        <v>860</v>
      </c>
      <c r="G1540" s="89" t="s">
        <v>1008</v>
      </c>
      <c r="H1540" s="5">
        <v>5</v>
      </c>
      <c r="I1540" s="5" t="str">
        <f>VLOOKUP(F1540,'Set up'!$A$2:$C$48,3,FALSE)</f>
        <v>Cash</v>
      </c>
      <c r="J1540" s="5">
        <f>VLOOKUP(F1540,'Set up'!$A$2:$D$48,4,FALSE)</f>
        <v>0</v>
      </c>
      <c r="K1540" s="4">
        <f t="shared" si="510"/>
        <v>45020</v>
      </c>
      <c r="L1540" s="5">
        <f t="shared" si="523"/>
        <v>4</v>
      </c>
      <c r="M1540" s="5">
        <f t="shared" si="524"/>
        <v>2023</v>
      </c>
      <c r="N1540" s="6">
        <v>2106</v>
      </c>
      <c r="O1540" s="6">
        <f>-196.9</f>
        <v>-196.9</v>
      </c>
      <c r="P1540" s="6">
        <f t="shared" si="526"/>
        <v>1909.1</v>
      </c>
      <c r="Q1540" s="7">
        <f t="shared" si="527"/>
        <v>2846617.1500000008</v>
      </c>
      <c r="R1540" s="44" t="str">
        <f>VLOOKUP(F1540,'Set up'!$A$2:$E$48,5,FALSE)</f>
        <v>Trsf</v>
      </c>
      <c r="S1540" s="1" t="s">
        <v>2073</v>
      </c>
    </row>
    <row r="1541" spans="1:19" hidden="1" x14ac:dyDescent="0.3">
      <c r="A1541" s="4" t="s">
        <v>1402</v>
      </c>
      <c r="B1541" s="5">
        <f t="shared" si="521"/>
        <v>4</v>
      </c>
      <c r="C1541" s="5">
        <f t="shared" si="522"/>
        <v>2023</v>
      </c>
      <c r="D1541" s="5" t="s">
        <v>1401</v>
      </c>
      <c r="E1541" s="5" t="str">
        <f>VLOOKUP(F1541,'Set up'!$A$2:$C$48,2,FALSE)</f>
        <v>C00000027</v>
      </c>
      <c r="F1541" s="1" t="s">
        <v>860</v>
      </c>
      <c r="G1541" s="89" t="s">
        <v>1122</v>
      </c>
      <c r="H1541" s="5">
        <v>1</v>
      </c>
      <c r="I1541" s="5" t="str">
        <f>VLOOKUP(F1541,'Set up'!$A$2:$C$48,3,FALSE)</f>
        <v>Cash</v>
      </c>
      <c r="J1541" s="5">
        <f>VLOOKUP(F1541,'Set up'!$A$2:$D$48,4,FALSE)</f>
        <v>0</v>
      </c>
      <c r="K1541" s="4">
        <f t="shared" si="510"/>
        <v>45020</v>
      </c>
      <c r="L1541" s="5">
        <f t="shared" si="523"/>
        <v>4</v>
      </c>
      <c r="M1541" s="5">
        <f t="shared" si="524"/>
        <v>2023</v>
      </c>
      <c r="N1541" s="6">
        <v>260</v>
      </c>
      <c r="P1541" s="6">
        <f t="shared" si="526"/>
        <v>260</v>
      </c>
      <c r="Q1541" s="7">
        <f t="shared" si="527"/>
        <v>2846877.1500000008</v>
      </c>
      <c r="R1541" s="44" t="str">
        <f>VLOOKUP(F1541,'Set up'!$A$2:$E$48,5,FALSE)</f>
        <v>Trsf</v>
      </c>
    </row>
    <row r="1542" spans="1:19" hidden="1" x14ac:dyDescent="0.3">
      <c r="A1542" s="4" t="s">
        <v>1402</v>
      </c>
      <c r="B1542" s="5">
        <f t="shared" si="521"/>
        <v>4</v>
      </c>
      <c r="C1542" s="5">
        <f t="shared" si="522"/>
        <v>2023</v>
      </c>
      <c r="D1542" s="5" t="s">
        <v>1401</v>
      </c>
      <c r="E1542" s="5" t="str">
        <f>VLOOKUP(F1542,'Set up'!$A$2:$C$48,2,FALSE)</f>
        <v>C00000027</v>
      </c>
      <c r="F1542" s="1" t="s">
        <v>860</v>
      </c>
      <c r="G1542" s="89" t="s">
        <v>1400</v>
      </c>
      <c r="H1542" s="5">
        <v>4</v>
      </c>
      <c r="I1542" s="5" t="str">
        <f>VLOOKUP(F1542,'Set up'!$A$2:$C$48,3,FALSE)</f>
        <v>Cash</v>
      </c>
      <c r="J1542" s="5">
        <f>VLOOKUP(F1542,'Set up'!$A$2:$D$48,4,FALSE)</f>
        <v>0</v>
      </c>
      <c r="K1542" s="4">
        <f t="shared" si="510"/>
        <v>45020</v>
      </c>
      <c r="L1542" s="5">
        <f t="shared" si="523"/>
        <v>4</v>
      </c>
      <c r="M1542" s="5">
        <f t="shared" si="524"/>
        <v>2023</v>
      </c>
      <c r="N1542" s="6">
        <v>640</v>
      </c>
      <c r="P1542" s="6">
        <f t="shared" si="526"/>
        <v>640</v>
      </c>
      <c r="Q1542" s="7">
        <f t="shared" si="527"/>
        <v>2847517.1500000008</v>
      </c>
      <c r="R1542" s="44" t="str">
        <f>VLOOKUP(F1542,'Set up'!$A$2:$E$48,5,FALSE)</f>
        <v>Trsf</v>
      </c>
    </row>
    <row r="1543" spans="1:19" hidden="1" x14ac:dyDescent="0.3">
      <c r="A1543" s="4" t="s">
        <v>1402</v>
      </c>
      <c r="B1543" s="5">
        <f t="shared" si="521"/>
        <v>4</v>
      </c>
      <c r="C1543" s="5">
        <f t="shared" si="522"/>
        <v>2023</v>
      </c>
      <c r="D1543" s="5" t="s">
        <v>1401</v>
      </c>
      <c r="E1543" s="5" t="str">
        <f>VLOOKUP(F1543,'Set up'!$A$2:$C$48,2,FALSE)</f>
        <v>C00000027</v>
      </c>
      <c r="F1543" s="1" t="s">
        <v>860</v>
      </c>
      <c r="G1543" s="89" t="s">
        <v>667</v>
      </c>
      <c r="H1543" s="5">
        <v>4</v>
      </c>
      <c r="I1543" s="5" t="str">
        <f>VLOOKUP(F1543,'Set up'!$A$2:$C$48,3,FALSE)</f>
        <v>Cash</v>
      </c>
      <c r="J1543" s="5">
        <f>VLOOKUP(F1543,'Set up'!$A$2:$D$48,4,FALSE)</f>
        <v>0</v>
      </c>
      <c r="K1543" s="4">
        <f t="shared" si="510"/>
        <v>45020</v>
      </c>
      <c r="L1543" s="5">
        <f t="shared" si="523"/>
        <v>4</v>
      </c>
      <c r="M1543" s="5">
        <f t="shared" si="524"/>
        <v>2023</v>
      </c>
      <c r="N1543" s="6">
        <v>380</v>
      </c>
      <c r="P1543" s="6">
        <f t="shared" si="526"/>
        <v>380</v>
      </c>
      <c r="Q1543" s="7">
        <f t="shared" si="527"/>
        <v>2847897.1500000008</v>
      </c>
      <c r="R1543" s="44" t="str">
        <f>VLOOKUP(F1543,'Set up'!$A$2:$E$48,5,FALSE)</f>
        <v>Trsf</v>
      </c>
    </row>
    <row r="1544" spans="1:19" hidden="1" x14ac:dyDescent="0.3">
      <c r="A1544" s="4" t="s">
        <v>1402</v>
      </c>
      <c r="B1544" s="5">
        <f t="shared" si="521"/>
        <v>4</v>
      </c>
      <c r="C1544" s="5">
        <f t="shared" si="522"/>
        <v>2023</v>
      </c>
      <c r="D1544" s="5" t="s">
        <v>1401</v>
      </c>
      <c r="E1544" s="5" t="str">
        <f>VLOOKUP(F1544,'Set up'!$A$2:$C$48,2,FALSE)</f>
        <v>C00000027</v>
      </c>
      <c r="F1544" s="1" t="s">
        <v>860</v>
      </c>
      <c r="G1544" s="89" t="s">
        <v>864</v>
      </c>
      <c r="H1544" s="5">
        <v>12</v>
      </c>
      <c r="I1544" s="5" t="str">
        <f>VLOOKUP(F1544,'Set up'!$A$2:$C$48,3,FALSE)</f>
        <v>Cash</v>
      </c>
      <c r="J1544" s="5">
        <f>VLOOKUP(F1544,'Set up'!$A$2:$D$48,4,FALSE)</f>
        <v>0</v>
      </c>
      <c r="K1544" s="4">
        <f t="shared" si="510"/>
        <v>45020</v>
      </c>
      <c r="L1544" s="5">
        <f t="shared" si="523"/>
        <v>4</v>
      </c>
      <c r="M1544" s="5">
        <f t="shared" si="524"/>
        <v>2023</v>
      </c>
      <c r="N1544" s="6">
        <v>540</v>
      </c>
      <c r="P1544" s="6">
        <f t="shared" si="526"/>
        <v>540</v>
      </c>
      <c r="Q1544" s="7">
        <f t="shared" si="527"/>
        <v>2848437.1500000008</v>
      </c>
      <c r="R1544" s="44" t="str">
        <f>VLOOKUP(F1544,'Set up'!$A$2:$E$48,5,FALSE)</f>
        <v>Trsf</v>
      </c>
    </row>
    <row r="1545" spans="1:19" hidden="1" x14ac:dyDescent="0.3">
      <c r="A1545" s="4" t="s">
        <v>1402</v>
      </c>
      <c r="B1545" s="5">
        <f t="shared" si="521"/>
        <v>4</v>
      </c>
      <c r="C1545" s="5">
        <f t="shared" si="522"/>
        <v>2023</v>
      </c>
      <c r="D1545" s="5" t="s">
        <v>1401</v>
      </c>
      <c r="E1545" s="5" t="str">
        <f>VLOOKUP(F1545,'Set up'!$A$2:$C$48,2,FALSE)</f>
        <v>C00000027</v>
      </c>
      <c r="F1545" s="1" t="s">
        <v>860</v>
      </c>
      <c r="G1545" s="89" t="s">
        <v>866</v>
      </c>
      <c r="H1545" s="5">
        <v>5</v>
      </c>
      <c r="I1545" s="5" t="str">
        <f>VLOOKUP(F1545,'Set up'!$A$2:$C$48,3,FALSE)</f>
        <v>Cash</v>
      </c>
      <c r="J1545" s="5">
        <f>VLOOKUP(F1545,'Set up'!$A$2:$D$48,4,FALSE)</f>
        <v>0</v>
      </c>
      <c r="K1545" s="4">
        <f t="shared" si="510"/>
        <v>45020</v>
      </c>
      <c r="L1545" s="5">
        <f t="shared" si="523"/>
        <v>4</v>
      </c>
      <c r="M1545" s="5">
        <f t="shared" si="524"/>
        <v>2023</v>
      </c>
      <c r="N1545" s="6">
        <v>1270</v>
      </c>
      <c r="P1545" s="6">
        <f t="shared" si="526"/>
        <v>1270</v>
      </c>
      <c r="Q1545" s="7">
        <f t="shared" si="527"/>
        <v>2849707.1500000008</v>
      </c>
      <c r="R1545" s="44" t="str">
        <f>VLOOKUP(F1545,'Set up'!$A$2:$E$48,5,FALSE)</f>
        <v>Trsf</v>
      </c>
    </row>
    <row r="1546" spans="1:19" hidden="1" x14ac:dyDescent="0.3">
      <c r="A1546" s="4" t="s">
        <v>1402</v>
      </c>
      <c r="B1546" s="5">
        <f t="shared" si="521"/>
        <v>4</v>
      </c>
      <c r="C1546" s="5">
        <f t="shared" si="522"/>
        <v>2023</v>
      </c>
      <c r="D1546" s="5" t="s">
        <v>1401</v>
      </c>
      <c r="E1546" s="5" t="str">
        <f>VLOOKUP(F1546,'Set up'!$A$2:$C$48,2,FALSE)</f>
        <v>C00000027</v>
      </c>
      <c r="F1546" s="1" t="s">
        <v>860</v>
      </c>
      <c r="G1546" s="89" t="s">
        <v>659</v>
      </c>
      <c r="H1546" s="5">
        <v>1</v>
      </c>
      <c r="I1546" s="5" t="str">
        <f>VLOOKUP(F1546,'Set up'!$A$2:$C$48,3,FALSE)</f>
        <v>Cash</v>
      </c>
      <c r="J1546" s="5">
        <f>VLOOKUP(F1546,'Set up'!$A$2:$D$48,4,FALSE)</f>
        <v>0</v>
      </c>
      <c r="K1546" s="4">
        <f t="shared" si="510"/>
        <v>45020</v>
      </c>
      <c r="L1546" s="5">
        <f t="shared" si="523"/>
        <v>4</v>
      </c>
      <c r="M1546" s="5">
        <f t="shared" si="524"/>
        <v>2023</v>
      </c>
      <c r="N1546" s="6">
        <v>1059.5</v>
      </c>
      <c r="P1546" s="6">
        <f t="shared" si="526"/>
        <v>1059.5</v>
      </c>
      <c r="Q1546" s="7">
        <f t="shared" si="527"/>
        <v>2850766.6500000008</v>
      </c>
      <c r="R1546" s="44" t="str">
        <f>VLOOKUP(F1546,'Set up'!$A$2:$E$48,5,FALSE)</f>
        <v>Trsf</v>
      </c>
    </row>
    <row r="1547" spans="1:19" hidden="1" x14ac:dyDescent="0.3">
      <c r="A1547" s="4" t="s">
        <v>1404</v>
      </c>
      <c r="B1547" s="5">
        <f t="shared" si="521"/>
        <v>4</v>
      </c>
      <c r="C1547" s="5">
        <f t="shared" si="522"/>
        <v>2023</v>
      </c>
      <c r="D1547" s="5" t="s">
        <v>1405</v>
      </c>
      <c r="E1547" s="5" t="str">
        <f>VLOOKUP(F1547,'Set up'!$A$2:$C$48,2,FALSE)</f>
        <v>C00000010</v>
      </c>
      <c r="F1547" s="1" t="s">
        <v>62</v>
      </c>
      <c r="G1547" s="89" t="s">
        <v>1403</v>
      </c>
      <c r="H1547" s="5">
        <v>6</v>
      </c>
      <c r="I1547" s="5">
        <f>VLOOKUP(F1547,'Set up'!$A$2:$C$48,3,FALSE)</f>
        <v>120</v>
      </c>
      <c r="J1547" s="5">
        <f>VLOOKUP(F1547,'Set up'!$A$2:$D$48,4,FALSE)</f>
        <v>120</v>
      </c>
      <c r="K1547" s="4">
        <f t="shared" si="510"/>
        <v>45142</v>
      </c>
      <c r="L1547" s="5">
        <f t="shared" si="523"/>
        <v>8</v>
      </c>
      <c r="M1547" s="5">
        <f t="shared" si="524"/>
        <v>2023</v>
      </c>
      <c r="N1547" s="6">
        <v>9900</v>
      </c>
      <c r="O1547" s="6">
        <f t="shared" ref="O1547:O1551" si="529">-N1547</f>
        <v>-9900</v>
      </c>
      <c r="P1547" s="6">
        <f t="shared" si="526"/>
        <v>0</v>
      </c>
      <c r="Q1547" s="7">
        <f t="shared" si="527"/>
        <v>2860666.6500000008</v>
      </c>
      <c r="R1547" s="44" t="str">
        <f>VLOOKUP(F1547,'Set up'!$A$2:$E$48,5,FALSE)</f>
        <v>Trsf</v>
      </c>
      <c r="S1547" s="1" t="s">
        <v>1788</v>
      </c>
    </row>
    <row r="1548" spans="1:19" hidden="1" x14ac:dyDescent="0.3">
      <c r="A1548" s="4" t="s">
        <v>1404</v>
      </c>
      <c r="B1548" s="5">
        <f t="shared" si="521"/>
        <v>4</v>
      </c>
      <c r="C1548" s="5">
        <f t="shared" si="522"/>
        <v>2023</v>
      </c>
      <c r="D1548" s="5" t="s">
        <v>1405</v>
      </c>
      <c r="E1548" s="5" t="str">
        <f>VLOOKUP(F1548,'Set up'!$A$2:$C$48,2,FALSE)</f>
        <v>C00000010</v>
      </c>
      <c r="F1548" s="1" t="s">
        <v>62</v>
      </c>
      <c r="G1548" s="89" t="s">
        <v>1393</v>
      </c>
      <c r="H1548" s="5">
        <v>10</v>
      </c>
      <c r="I1548" s="5">
        <f>VLOOKUP(F1548,'Set up'!$A$2:$C$48,3,FALSE)</f>
        <v>120</v>
      </c>
      <c r="J1548" s="5">
        <f>VLOOKUP(F1548,'Set up'!$A$2:$D$48,4,FALSE)</f>
        <v>120</v>
      </c>
      <c r="K1548" s="4">
        <f t="shared" si="510"/>
        <v>45142</v>
      </c>
      <c r="L1548" s="5">
        <f t="shared" si="523"/>
        <v>8</v>
      </c>
      <c r="M1548" s="5">
        <f t="shared" si="524"/>
        <v>2023</v>
      </c>
      <c r="N1548" s="6">
        <v>2070</v>
      </c>
      <c r="O1548" s="6">
        <f t="shared" si="529"/>
        <v>-2070</v>
      </c>
      <c r="P1548" s="6">
        <f t="shared" si="526"/>
        <v>0</v>
      </c>
      <c r="Q1548" s="7">
        <f t="shared" si="527"/>
        <v>2862736.6500000008</v>
      </c>
      <c r="R1548" s="44" t="str">
        <f>VLOOKUP(F1548,'Set up'!$A$2:$E$48,5,FALSE)</f>
        <v>Trsf</v>
      </c>
      <c r="S1548" s="1" t="s">
        <v>1788</v>
      </c>
    </row>
    <row r="1549" spans="1:19" hidden="1" x14ac:dyDescent="0.3">
      <c r="A1549" s="4" t="s">
        <v>1404</v>
      </c>
      <c r="B1549" s="5">
        <f t="shared" si="521"/>
        <v>4</v>
      </c>
      <c r="C1549" s="5">
        <f t="shared" si="522"/>
        <v>2023</v>
      </c>
      <c r="D1549" s="5" t="s">
        <v>1405</v>
      </c>
      <c r="E1549" s="5" t="str">
        <f>VLOOKUP(F1549,'Set up'!$A$2:$C$48,2,FALSE)</f>
        <v>C00000010</v>
      </c>
      <c r="F1549" s="1" t="s">
        <v>62</v>
      </c>
      <c r="G1549" s="89" t="s">
        <v>792</v>
      </c>
      <c r="H1549" s="5">
        <v>5</v>
      </c>
      <c r="I1549" s="5">
        <f>VLOOKUP(F1549,'Set up'!$A$2:$C$48,3,FALSE)</f>
        <v>120</v>
      </c>
      <c r="J1549" s="5">
        <f>VLOOKUP(F1549,'Set up'!$A$2:$D$48,4,FALSE)</f>
        <v>120</v>
      </c>
      <c r="K1549" s="4">
        <f t="shared" si="510"/>
        <v>45142</v>
      </c>
      <c r="L1549" s="5">
        <f t="shared" si="523"/>
        <v>8</v>
      </c>
      <c r="M1549" s="5">
        <f t="shared" si="524"/>
        <v>2023</v>
      </c>
      <c r="N1549" s="6">
        <v>287.5</v>
      </c>
      <c r="O1549" s="6">
        <f t="shared" si="529"/>
        <v>-287.5</v>
      </c>
      <c r="P1549" s="6">
        <f t="shared" si="526"/>
        <v>0</v>
      </c>
      <c r="Q1549" s="7">
        <f t="shared" si="527"/>
        <v>2863024.1500000008</v>
      </c>
      <c r="R1549" s="44" t="str">
        <f>VLOOKUP(F1549,'Set up'!$A$2:$E$48,5,FALSE)</f>
        <v>Trsf</v>
      </c>
      <c r="S1549" s="1" t="s">
        <v>1788</v>
      </c>
    </row>
    <row r="1550" spans="1:19" hidden="1" x14ac:dyDescent="0.3">
      <c r="A1550" s="4" t="s">
        <v>1404</v>
      </c>
      <c r="B1550" s="5">
        <f t="shared" si="521"/>
        <v>4</v>
      </c>
      <c r="C1550" s="5">
        <f t="shared" si="522"/>
        <v>2023</v>
      </c>
      <c r="D1550" s="5" t="s">
        <v>1405</v>
      </c>
      <c r="E1550" s="5" t="str">
        <f>VLOOKUP(F1550,'Set up'!$A$2:$C$48,2,FALSE)</f>
        <v>C00000010</v>
      </c>
      <c r="F1550" s="1" t="s">
        <v>62</v>
      </c>
      <c r="G1550" s="89" t="s">
        <v>46</v>
      </c>
      <c r="H1550" s="5">
        <v>4</v>
      </c>
      <c r="I1550" s="5">
        <f>VLOOKUP(F1550,'Set up'!$A$2:$C$48,3,FALSE)</f>
        <v>120</v>
      </c>
      <c r="J1550" s="5">
        <f>VLOOKUP(F1550,'Set up'!$A$2:$D$48,4,FALSE)</f>
        <v>120</v>
      </c>
      <c r="K1550" s="4">
        <f t="shared" si="510"/>
        <v>45142</v>
      </c>
      <c r="L1550" s="5">
        <f t="shared" si="523"/>
        <v>8</v>
      </c>
      <c r="M1550" s="5">
        <f t="shared" si="524"/>
        <v>2023</v>
      </c>
      <c r="N1550" s="6">
        <v>420</v>
      </c>
      <c r="O1550" s="6">
        <f t="shared" si="529"/>
        <v>-420</v>
      </c>
      <c r="P1550" s="6">
        <f t="shared" si="526"/>
        <v>0</v>
      </c>
      <c r="Q1550" s="7">
        <f t="shared" si="527"/>
        <v>2863444.1500000008</v>
      </c>
      <c r="R1550" s="44" t="str">
        <f>VLOOKUP(F1550,'Set up'!$A$2:$E$48,5,FALSE)</f>
        <v>Trsf</v>
      </c>
      <c r="S1550" s="1" t="s">
        <v>1788</v>
      </c>
    </row>
    <row r="1551" spans="1:19" hidden="1" x14ac:dyDescent="0.3">
      <c r="A1551" s="4" t="s">
        <v>1404</v>
      </c>
      <c r="B1551" s="5">
        <f t="shared" si="521"/>
        <v>4</v>
      </c>
      <c r="C1551" s="5">
        <f t="shared" si="522"/>
        <v>2023</v>
      </c>
      <c r="D1551" s="5" t="s">
        <v>1405</v>
      </c>
      <c r="E1551" s="5" t="str">
        <f>VLOOKUP(F1551,'Set up'!$A$2:$C$48,2,FALSE)</f>
        <v>C00000010</v>
      </c>
      <c r="F1551" s="1" t="s">
        <v>62</v>
      </c>
      <c r="G1551" s="89" t="s">
        <v>945</v>
      </c>
      <c r="H1551" s="5">
        <v>1</v>
      </c>
      <c r="I1551" s="5">
        <f>VLOOKUP(F1551,'Set up'!$A$2:$C$48,3,FALSE)</f>
        <v>120</v>
      </c>
      <c r="J1551" s="5">
        <f>VLOOKUP(F1551,'Set up'!$A$2:$D$48,4,FALSE)</f>
        <v>120</v>
      </c>
      <c r="K1551" s="4">
        <f t="shared" si="510"/>
        <v>45142</v>
      </c>
      <c r="L1551" s="5">
        <f t="shared" si="523"/>
        <v>8</v>
      </c>
      <c r="M1551" s="5">
        <f t="shared" si="524"/>
        <v>2023</v>
      </c>
      <c r="N1551" s="6">
        <v>420</v>
      </c>
      <c r="O1551" s="6">
        <f t="shared" si="529"/>
        <v>-420</v>
      </c>
      <c r="P1551" s="6">
        <f t="shared" si="526"/>
        <v>0</v>
      </c>
      <c r="Q1551" s="7">
        <f t="shared" si="527"/>
        <v>2863864.1500000008</v>
      </c>
      <c r="R1551" s="44" t="str">
        <f>VLOOKUP(F1551,'Set up'!$A$2:$E$48,5,FALSE)</f>
        <v>Trsf</v>
      </c>
      <c r="S1551" s="1" t="s">
        <v>1788</v>
      </c>
    </row>
    <row r="1552" spans="1:19" hidden="1" x14ac:dyDescent="0.3">
      <c r="A1552" s="4" t="s">
        <v>1404</v>
      </c>
      <c r="B1552" s="5">
        <f t="shared" si="521"/>
        <v>4</v>
      </c>
      <c r="C1552" s="5">
        <f t="shared" si="522"/>
        <v>2023</v>
      </c>
      <c r="D1552" s="5" t="s">
        <v>1405</v>
      </c>
      <c r="E1552" s="5" t="str">
        <f>VLOOKUP(F1552,'Set up'!$A$2:$C$48,2,FALSE)</f>
        <v>C00000010</v>
      </c>
      <c r="F1552" s="1" t="s">
        <v>62</v>
      </c>
      <c r="G1552" s="89" t="s">
        <v>1094</v>
      </c>
      <c r="H1552" s="5">
        <v>4</v>
      </c>
      <c r="I1552" s="5">
        <f>VLOOKUP(F1552,'Set up'!$A$2:$C$48,3,FALSE)</f>
        <v>120</v>
      </c>
      <c r="J1552" s="5">
        <f>VLOOKUP(F1552,'Set up'!$A$2:$D$48,4,FALSE)</f>
        <v>120</v>
      </c>
      <c r="K1552" s="4">
        <f t="shared" si="510"/>
        <v>45142</v>
      </c>
      <c r="L1552" s="5">
        <f t="shared" si="523"/>
        <v>8</v>
      </c>
      <c r="M1552" s="5">
        <f t="shared" si="524"/>
        <v>2023</v>
      </c>
      <c r="N1552" s="6">
        <v>200</v>
      </c>
      <c r="O1552" s="6">
        <f>-N1552</f>
        <v>-200</v>
      </c>
      <c r="P1552" s="6">
        <f t="shared" ref="P1552:P1557" si="530">SUM(N1552+O1552)</f>
        <v>0</v>
      </c>
      <c r="Q1552" s="7">
        <f t="shared" si="527"/>
        <v>2864064.1500000008</v>
      </c>
      <c r="R1552" s="44" t="str">
        <f>VLOOKUP(F1552,'Set up'!$A$2:$E$48,5,FALSE)</f>
        <v>Trsf</v>
      </c>
      <c r="S1552" s="1" t="s">
        <v>1788</v>
      </c>
    </row>
    <row r="1553" spans="1:19" hidden="1" x14ac:dyDescent="0.3">
      <c r="A1553" s="4" t="s">
        <v>1404</v>
      </c>
      <c r="B1553" s="5">
        <f t="shared" si="521"/>
        <v>4</v>
      </c>
      <c r="C1553" s="5">
        <f t="shared" si="522"/>
        <v>2023</v>
      </c>
      <c r="D1553" s="5" t="s">
        <v>1407</v>
      </c>
      <c r="E1553" s="5" t="str">
        <f>VLOOKUP(F1553,'Set up'!$A$2:$C$48,2,FALSE)</f>
        <v>C00000021</v>
      </c>
      <c r="F1553" s="1" t="s">
        <v>492</v>
      </c>
      <c r="G1553" s="89" t="s">
        <v>717</v>
      </c>
      <c r="H1553" s="5">
        <v>1</v>
      </c>
      <c r="I1553" s="5" t="str">
        <f>VLOOKUP(F1553,'Set up'!$A$2:$C$48,3,FALSE)</f>
        <v>Cash</v>
      </c>
      <c r="J1553" s="5">
        <f>VLOOKUP(F1553,'Set up'!$A$2:$D$48,4,FALSE)</f>
        <v>0</v>
      </c>
      <c r="K1553" s="4">
        <f t="shared" si="510"/>
        <v>45022</v>
      </c>
      <c r="L1553" s="5">
        <f t="shared" si="523"/>
        <v>4</v>
      </c>
      <c r="M1553" s="5">
        <f t="shared" si="524"/>
        <v>2023</v>
      </c>
      <c r="N1553" s="6">
        <v>1870</v>
      </c>
      <c r="O1553" s="6">
        <f t="shared" ref="O1553:O1557" si="531">-N1553</f>
        <v>-1870</v>
      </c>
      <c r="P1553" s="6">
        <f t="shared" si="530"/>
        <v>0</v>
      </c>
      <c r="Q1553" s="7">
        <f>SUM(Q1552+N1553)</f>
        <v>2865934.1500000008</v>
      </c>
      <c r="R1553" s="44" t="str">
        <f>VLOOKUP(F1553,'Set up'!$A$2:$E$48,5,FALSE)</f>
        <v>PD Chq</v>
      </c>
      <c r="S1553" s="1" t="s">
        <v>2090</v>
      </c>
    </row>
    <row r="1554" spans="1:19" hidden="1" x14ac:dyDescent="0.3">
      <c r="A1554" s="4" t="s">
        <v>1404</v>
      </c>
      <c r="B1554" s="5">
        <f t="shared" si="521"/>
        <v>4</v>
      </c>
      <c r="C1554" s="5">
        <f t="shared" si="522"/>
        <v>2023</v>
      </c>
      <c r="D1554" s="5" t="s">
        <v>1407</v>
      </c>
      <c r="E1554" s="5" t="str">
        <f>VLOOKUP(F1554,'Set up'!$A$2:$C$48,2,FALSE)</f>
        <v>C00000021</v>
      </c>
      <c r="F1554" s="1" t="s">
        <v>492</v>
      </c>
      <c r="G1554" s="89" t="s">
        <v>667</v>
      </c>
      <c r="H1554" s="5">
        <v>1</v>
      </c>
      <c r="I1554" s="5" t="str">
        <f>VLOOKUP(F1554,'Set up'!$A$2:$C$48,3,FALSE)</f>
        <v>Cash</v>
      </c>
      <c r="J1554" s="5">
        <f>VLOOKUP(F1554,'Set up'!$A$2:$D$48,4,FALSE)</f>
        <v>0</v>
      </c>
      <c r="K1554" s="4">
        <f t="shared" si="510"/>
        <v>45022</v>
      </c>
      <c r="L1554" s="5">
        <f t="shared" si="523"/>
        <v>4</v>
      </c>
      <c r="M1554" s="5">
        <f t="shared" si="524"/>
        <v>2023</v>
      </c>
      <c r="N1554" s="6">
        <v>95</v>
      </c>
      <c r="O1554" s="6">
        <f t="shared" si="531"/>
        <v>-95</v>
      </c>
      <c r="P1554" s="6">
        <f t="shared" si="530"/>
        <v>0</v>
      </c>
      <c r="Q1554" s="7">
        <f>SUM(Q1553+N1554)</f>
        <v>2866029.1500000008</v>
      </c>
      <c r="R1554" s="44" t="str">
        <f>VLOOKUP(F1554,'Set up'!$A$2:$E$48,5,FALSE)</f>
        <v>PD Chq</v>
      </c>
      <c r="S1554" s="1" t="s">
        <v>2089</v>
      </c>
    </row>
    <row r="1555" spans="1:19" hidden="1" x14ac:dyDescent="0.3">
      <c r="A1555" s="4" t="s">
        <v>1404</v>
      </c>
      <c r="B1555" s="5">
        <f t="shared" si="521"/>
        <v>4</v>
      </c>
      <c r="C1555" s="5">
        <f t="shared" si="522"/>
        <v>2023</v>
      </c>
      <c r="D1555" s="5" t="s">
        <v>1407</v>
      </c>
      <c r="E1555" s="5" t="str">
        <f>VLOOKUP(F1555,'Set up'!$A$2:$C$48,2,FALSE)</f>
        <v>C00000021</v>
      </c>
      <c r="F1555" s="1" t="s">
        <v>492</v>
      </c>
      <c r="G1555" s="89" t="s">
        <v>1111</v>
      </c>
      <c r="H1555" s="5">
        <v>5</v>
      </c>
      <c r="I1555" s="5" t="str">
        <f>VLOOKUP(F1555,'Set up'!$A$2:$C$48,3,FALSE)</f>
        <v>Cash</v>
      </c>
      <c r="J1555" s="5">
        <f>VLOOKUP(F1555,'Set up'!$A$2:$D$48,4,FALSE)</f>
        <v>0</v>
      </c>
      <c r="K1555" s="4">
        <f t="shared" si="510"/>
        <v>45022</v>
      </c>
      <c r="L1555" s="5">
        <f t="shared" si="523"/>
        <v>4</v>
      </c>
      <c r="M1555" s="5">
        <f t="shared" si="524"/>
        <v>2023</v>
      </c>
      <c r="N1555" s="6">
        <v>312.5</v>
      </c>
      <c r="O1555" s="6">
        <f t="shared" si="531"/>
        <v>-312.5</v>
      </c>
      <c r="P1555" s="6">
        <f t="shared" si="530"/>
        <v>0</v>
      </c>
      <c r="Q1555" s="7">
        <f>SUM(Q1554+N1555)</f>
        <v>2866341.6500000008</v>
      </c>
      <c r="R1555" s="44" t="str">
        <f>VLOOKUP(F1555,'Set up'!$A$2:$E$48,5,FALSE)</f>
        <v>PD Chq</v>
      </c>
      <c r="S1555" s="1" t="s">
        <v>2089</v>
      </c>
    </row>
    <row r="1556" spans="1:19" hidden="1" x14ac:dyDescent="0.3">
      <c r="A1556" s="4" t="s">
        <v>1404</v>
      </c>
      <c r="B1556" s="5">
        <f t="shared" si="521"/>
        <v>4</v>
      </c>
      <c r="C1556" s="5">
        <f t="shared" si="522"/>
        <v>2023</v>
      </c>
      <c r="D1556" s="5" t="s">
        <v>1407</v>
      </c>
      <c r="E1556" s="5" t="str">
        <f>VLOOKUP(F1556,'Set up'!$A$2:$C$48,2,FALSE)</f>
        <v>C00000021</v>
      </c>
      <c r="F1556" s="1" t="s">
        <v>492</v>
      </c>
      <c r="G1556" s="89" t="s">
        <v>801</v>
      </c>
      <c r="H1556" s="5">
        <v>1</v>
      </c>
      <c r="I1556" s="5" t="str">
        <f>VLOOKUP(F1556,'Set up'!$A$2:$C$48,3,FALSE)</f>
        <v>Cash</v>
      </c>
      <c r="J1556" s="5">
        <f>VLOOKUP(F1556,'Set up'!$A$2:$D$48,4,FALSE)</f>
        <v>0</v>
      </c>
      <c r="K1556" s="4">
        <f t="shared" si="510"/>
        <v>45022</v>
      </c>
      <c r="L1556" s="5">
        <f t="shared" si="523"/>
        <v>4</v>
      </c>
      <c r="M1556" s="5">
        <f t="shared" si="524"/>
        <v>2023</v>
      </c>
      <c r="N1556" s="6">
        <v>225</v>
      </c>
      <c r="O1556" s="6">
        <f t="shared" si="531"/>
        <v>-225</v>
      </c>
      <c r="P1556" s="6">
        <f t="shared" si="530"/>
        <v>0</v>
      </c>
      <c r="Q1556" s="7">
        <f>SUM(Q1555+N1556)</f>
        <v>2866566.6500000008</v>
      </c>
      <c r="R1556" s="44" t="str">
        <f>VLOOKUP(F1556,'Set up'!$A$2:$E$48,5,FALSE)</f>
        <v>PD Chq</v>
      </c>
      <c r="S1556" s="1" t="s">
        <v>2089</v>
      </c>
    </row>
    <row r="1557" spans="1:19" hidden="1" x14ac:dyDescent="0.3">
      <c r="A1557" s="4" t="s">
        <v>1404</v>
      </c>
      <c r="B1557" s="5">
        <f t="shared" si="521"/>
        <v>4</v>
      </c>
      <c r="C1557" s="5">
        <f t="shared" si="522"/>
        <v>2023</v>
      </c>
      <c r="D1557" s="5" t="s">
        <v>1407</v>
      </c>
      <c r="E1557" s="5" t="str">
        <f>VLOOKUP(F1557,'Set up'!$A$2:$C$48,2,FALSE)</f>
        <v>C00000021</v>
      </c>
      <c r="F1557" s="1" t="s">
        <v>492</v>
      </c>
      <c r="G1557" s="89" t="s">
        <v>1406</v>
      </c>
      <c r="H1557" s="5">
        <v>12</v>
      </c>
      <c r="I1557" s="5" t="str">
        <f>VLOOKUP(F1557,'Set up'!$A$2:$C$48,3,FALSE)</f>
        <v>Cash</v>
      </c>
      <c r="J1557" s="5">
        <f>VLOOKUP(F1557,'Set up'!$A$2:$D$48,4,FALSE)</f>
        <v>0</v>
      </c>
      <c r="K1557" s="4">
        <f t="shared" si="510"/>
        <v>45022</v>
      </c>
      <c r="L1557" s="5">
        <f t="shared" si="523"/>
        <v>4</v>
      </c>
      <c r="M1557" s="5">
        <f t="shared" si="524"/>
        <v>2023</v>
      </c>
      <c r="N1557" s="6">
        <v>576</v>
      </c>
      <c r="O1557" s="6">
        <f t="shared" si="531"/>
        <v>-576</v>
      </c>
      <c r="P1557" s="6">
        <f t="shared" si="530"/>
        <v>0</v>
      </c>
      <c r="Q1557" s="7">
        <f>SUM(Q1556+N1557)</f>
        <v>2867142.6500000008</v>
      </c>
      <c r="R1557" s="44" t="str">
        <f>VLOOKUP(F1557,'Set up'!$A$2:$E$48,5,FALSE)</f>
        <v>PD Chq</v>
      </c>
      <c r="S1557" s="1" t="s">
        <v>2089</v>
      </c>
    </row>
    <row r="1558" spans="1:19" x14ac:dyDescent="0.3">
      <c r="A1558" s="4" t="s">
        <v>1410</v>
      </c>
      <c r="B1558" s="5">
        <f t="shared" si="521"/>
        <v>4</v>
      </c>
      <c r="C1558" s="5">
        <f t="shared" si="522"/>
        <v>2023</v>
      </c>
      <c r="D1558" s="5" t="s">
        <v>1408</v>
      </c>
      <c r="E1558" s="5" t="str">
        <f>VLOOKUP(F1558,'Set up'!$A$2:$C$48,2,FALSE)</f>
        <v>C00000020</v>
      </c>
      <c r="F1558" s="1" t="s">
        <v>410</v>
      </c>
      <c r="G1558" s="89" t="s">
        <v>1111</v>
      </c>
      <c r="H1558" s="5">
        <v>10</v>
      </c>
      <c r="I1558" s="5" t="str">
        <f>VLOOKUP(F1558,'Set up'!$A$2:$C$48,3,FALSE)</f>
        <v>Cash</v>
      </c>
      <c r="J1558" s="5">
        <f>VLOOKUP(F1558,'Set up'!$A$2:$D$48,4,FALSE)</f>
        <v>0</v>
      </c>
      <c r="K1558" s="4">
        <f t="shared" si="510"/>
        <v>45023</v>
      </c>
      <c r="L1558" s="5">
        <f t="shared" si="523"/>
        <v>4</v>
      </c>
      <c r="M1558" s="5">
        <f t="shared" si="524"/>
        <v>2023</v>
      </c>
      <c r="N1558" s="6">
        <v>625</v>
      </c>
      <c r="P1558" s="6">
        <f t="shared" si="526"/>
        <v>625</v>
      </c>
      <c r="Q1558" s="7">
        <f t="shared" si="527"/>
        <v>2867767.6500000008</v>
      </c>
      <c r="R1558" s="44" t="str">
        <f>VLOOKUP(F1558,'Set up'!$A$2:$E$48,5,FALSE)</f>
        <v>Trsf</v>
      </c>
      <c r="S1558" s="1" t="s">
        <v>2406</v>
      </c>
    </row>
    <row r="1559" spans="1:19" x14ac:dyDescent="0.3">
      <c r="A1559" s="4" t="s">
        <v>1410</v>
      </c>
      <c r="B1559" s="5">
        <f t="shared" si="521"/>
        <v>4</v>
      </c>
      <c r="C1559" s="5">
        <f t="shared" si="522"/>
        <v>2023</v>
      </c>
      <c r="D1559" s="5" t="s">
        <v>1408</v>
      </c>
      <c r="E1559" s="5" t="str">
        <f>VLOOKUP(F1559,'Set up'!$A$2:$C$48,2,FALSE)</f>
        <v>C00000020</v>
      </c>
      <c r="F1559" s="1" t="s">
        <v>410</v>
      </c>
      <c r="G1559" s="89" t="s">
        <v>1409</v>
      </c>
      <c r="H1559" s="5">
        <v>10</v>
      </c>
      <c r="I1559" s="5" t="str">
        <f>VLOOKUP(F1559,'Set up'!$A$2:$C$48,3,FALSE)</f>
        <v>Cash</v>
      </c>
      <c r="J1559" s="5">
        <f>VLOOKUP(F1559,'Set up'!$A$2:$D$48,4,FALSE)</f>
        <v>0</v>
      </c>
      <c r="K1559" s="4">
        <f t="shared" si="510"/>
        <v>45023</v>
      </c>
      <c r="L1559" s="5">
        <f t="shared" si="523"/>
        <v>4</v>
      </c>
      <c r="M1559" s="5">
        <f t="shared" si="524"/>
        <v>2023</v>
      </c>
      <c r="N1559" s="6">
        <v>17820</v>
      </c>
      <c r="P1559" s="6">
        <f t="shared" si="526"/>
        <v>17820</v>
      </c>
      <c r="Q1559" s="7">
        <f t="shared" si="527"/>
        <v>2885587.6500000008</v>
      </c>
      <c r="R1559" s="44" t="str">
        <f>VLOOKUP(F1559,'Set up'!$A$2:$E$48,5,FALSE)</f>
        <v>Trsf</v>
      </c>
      <c r="S1559" s="1" t="s">
        <v>2407</v>
      </c>
    </row>
    <row r="1560" spans="1:19" x14ac:dyDescent="0.3">
      <c r="A1560" s="4" t="s">
        <v>1410</v>
      </c>
      <c r="B1560" s="5">
        <f t="shared" si="521"/>
        <v>4</v>
      </c>
      <c r="C1560" s="5">
        <f t="shared" si="522"/>
        <v>2023</v>
      </c>
      <c r="D1560" s="5" t="s">
        <v>1408</v>
      </c>
      <c r="E1560" s="5" t="str">
        <f>VLOOKUP(F1560,'Set up'!$A$2:$C$48,2,FALSE)</f>
        <v>C00000020</v>
      </c>
      <c r="F1560" s="1" t="s">
        <v>410</v>
      </c>
      <c r="G1560" s="89" t="s">
        <v>655</v>
      </c>
      <c r="H1560" s="5">
        <v>30</v>
      </c>
      <c r="I1560" s="5" t="str">
        <f>VLOOKUP(F1560,'Set up'!$A$2:$C$48,3,FALSE)</f>
        <v>Cash</v>
      </c>
      <c r="J1560" s="5">
        <f>VLOOKUP(F1560,'Set up'!$A$2:$D$48,4,FALSE)</f>
        <v>0</v>
      </c>
      <c r="K1560" s="4">
        <f t="shared" ref="K1560:K1623" si="532">A1560+J1560</f>
        <v>45023</v>
      </c>
      <c r="L1560" s="5">
        <f t="shared" si="523"/>
        <v>4</v>
      </c>
      <c r="M1560" s="5">
        <f t="shared" si="524"/>
        <v>2023</v>
      </c>
      <c r="N1560" s="6">
        <v>6840</v>
      </c>
      <c r="P1560" s="6">
        <f t="shared" si="526"/>
        <v>6840</v>
      </c>
      <c r="Q1560" s="7">
        <f t="shared" si="527"/>
        <v>2892427.6500000008</v>
      </c>
      <c r="R1560" s="44" t="str">
        <f>VLOOKUP(F1560,'Set up'!$A$2:$E$48,5,FALSE)</f>
        <v>Trsf</v>
      </c>
      <c r="S1560" s="1" t="s">
        <v>2400</v>
      </c>
    </row>
    <row r="1561" spans="1:19" x14ac:dyDescent="0.3">
      <c r="A1561" s="4" t="s">
        <v>1410</v>
      </c>
      <c r="B1561" s="5">
        <f t="shared" si="521"/>
        <v>4</v>
      </c>
      <c r="C1561" s="5">
        <f t="shared" si="522"/>
        <v>2023</v>
      </c>
      <c r="D1561" s="5" t="s">
        <v>1408</v>
      </c>
      <c r="E1561" s="5" t="str">
        <f>VLOOKUP(F1561,'Set up'!$A$2:$C$48,2,FALSE)</f>
        <v>C00000020</v>
      </c>
      <c r="F1561" s="1" t="s">
        <v>410</v>
      </c>
      <c r="G1561" s="89" t="s">
        <v>656</v>
      </c>
      <c r="H1561" s="5">
        <v>15</v>
      </c>
      <c r="I1561" s="5" t="str">
        <f>VLOOKUP(F1561,'Set up'!$A$2:$C$48,3,FALSE)</f>
        <v>Cash</v>
      </c>
      <c r="J1561" s="5">
        <f>VLOOKUP(F1561,'Set up'!$A$2:$D$48,4,FALSE)</f>
        <v>0</v>
      </c>
      <c r="K1561" s="4">
        <f t="shared" si="532"/>
        <v>45023</v>
      </c>
      <c r="L1561" s="5">
        <f t="shared" si="523"/>
        <v>4</v>
      </c>
      <c r="M1561" s="5">
        <f t="shared" si="524"/>
        <v>2023</v>
      </c>
      <c r="N1561" s="6">
        <v>3780</v>
      </c>
      <c r="P1561" s="6">
        <f t="shared" si="526"/>
        <v>3780</v>
      </c>
      <c r="Q1561" s="7">
        <f t="shared" si="527"/>
        <v>2896207.6500000008</v>
      </c>
      <c r="R1561" s="44" t="str">
        <f>VLOOKUP(F1561,'Set up'!$A$2:$E$48,5,FALSE)</f>
        <v>Trsf</v>
      </c>
      <c r="S1561" s="1" t="s">
        <v>2401</v>
      </c>
    </row>
    <row r="1562" spans="1:19" x14ac:dyDescent="0.3">
      <c r="A1562" s="4" t="s">
        <v>1410</v>
      </c>
      <c r="B1562" s="5">
        <f t="shared" si="521"/>
        <v>4</v>
      </c>
      <c r="C1562" s="5">
        <f t="shared" si="522"/>
        <v>2023</v>
      </c>
      <c r="D1562" s="5" t="s">
        <v>1408</v>
      </c>
      <c r="E1562" s="5" t="str">
        <f>VLOOKUP(F1562,'Set up'!$A$2:$C$48,2,FALSE)</f>
        <v>C00000020</v>
      </c>
      <c r="F1562" s="1" t="s">
        <v>410</v>
      </c>
      <c r="G1562" s="89" t="s">
        <v>667</v>
      </c>
      <c r="H1562" s="5">
        <v>4</v>
      </c>
      <c r="I1562" s="5" t="str">
        <f>VLOOKUP(F1562,'Set up'!$A$2:$C$48,3,FALSE)</f>
        <v>Cash</v>
      </c>
      <c r="J1562" s="5">
        <f>VLOOKUP(F1562,'Set up'!$A$2:$D$48,4,FALSE)</f>
        <v>0</v>
      </c>
      <c r="K1562" s="4">
        <f t="shared" si="532"/>
        <v>45023</v>
      </c>
      <c r="L1562" s="5">
        <f t="shared" si="523"/>
        <v>4</v>
      </c>
      <c r="M1562" s="5">
        <f t="shared" si="524"/>
        <v>2023</v>
      </c>
      <c r="N1562" s="6">
        <v>380</v>
      </c>
      <c r="P1562" s="6">
        <f t="shared" si="526"/>
        <v>380</v>
      </c>
      <c r="Q1562" s="7">
        <f t="shared" si="527"/>
        <v>2896587.6500000008</v>
      </c>
      <c r="R1562" s="44" t="str">
        <f>VLOOKUP(F1562,'Set up'!$A$2:$E$48,5,FALSE)</f>
        <v>Trsf</v>
      </c>
    </row>
    <row r="1563" spans="1:19" x14ac:dyDescent="0.3">
      <c r="A1563" s="4" t="s">
        <v>1410</v>
      </c>
      <c r="B1563" s="5">
        <f t="shared" si="521"/>
        <v>4</v>
      </c>
      <c r="C1563" s="5">
        <f t="shared" si="522"/>
        <v>2023</v>
      </c>
      <c r="D1563" s="5" t="s">
        <v>1408</v>
      </c>
      <c r="E1563" s="5" t="str">
        <f>VLOOKUP(F1563,'Set up'!$A$2:$C$48,2,FALSE)</f>
        <v>C00000020</v>
      </c>
      <c r="F1563" s="1" t="s">
        <v>410</v>
      </c>
      <c r="G1563" s="89" t="s">
        <v>1074</v>
      </c>
      <c r="H1563" s="5">
        <v>1</v>
      </c>
      <c r="I1563" s="5" t="str">
        <f>VLOOKUP(F1563,'Set up'!$A$2:$C$48,3,FALSE)</f>
        <v>Cash</v>
      </c>
      <c r="J1563" s="5">
        <f>VLOOKUP(F1563,'Set up'!$A$2:$D$48,4,FALSE)</f>
        <v>0</v>
      </c>
      <c r="K1563" s="4">
        <f t="shared" si="532"/>
        <v>45023</v>
      </c>
      <c r="L1563" s="5">
        <f t="shared" si="523"/>
        <v>4</v>
      </c>
      <c r="M1563" s="5">
        <f t="shared" si="524"/>
        <v>2023</v>
      </c>
      <c r="N1563" s="6">
        <v>1000</v>
      </c>
      <c r="P1563" s="6">
        <f t="shared" si="526"/>
        <v>1000</v>
      </c>
      <c r="Q1563" s="7">
        <f t="shared" si="527"/>
        <v>2897587.6500000008</v>
      </c>
      <c r="R1563" s="44" t="str">
        <f>VLOOKUP(F1563,'Set up'!$A$2:$E$48,5,FALSE)</f>
        <v>Trsf</v>
      </c>
    </row>
    <row r="1564" spans="1:19" hidden="1" x14ac:dyDescent="0.3">
      <c r="A1564" s="4" t="s">
        <v>1404</v>
      </c>
      <c r="B1564" s="5">
        <f t="shared" si="521"/>
        <v>4</v>
      </c>
      <c r="C1564" s="5">
        <f t="shared" si="522"/>
        <v>2023</v>
      </c>
      <c r="D1564" s="5" t="s">
        <v>1411</v>
      </c>
      <c r="E1564" s="5" t="str">
        <f>VLOOKUP(F1564,'Set up'!$A$2:$C$48,2,FALSE)</f>
        <v>C00000009</v>
      </c>
      <c r="F1564" s="1" t="s">
        <v>58</v>
      </c>
      <c r="G1564" s="89" t="s">
        <v>46</v>
      </c>
      <c r="H1564" s="5">
        <v>2</v>
      </c>
      <c r="I1564" s="5">
        <f>VLOOKUP(F1564,'Set up'!$A$2:$C$48,3,FALSE)</f>
        <v>60</v>
      </c>
      <c r="J1564" s="5">
        <f>VLOOKUP(F1564,'Set up'!$A$2:$D$48,4,FALSE)</f>
        <v>60</v>
      </c>
      <c r="K1564" s="4">
        <f t="shared" si="532"/>
        <v>45082</v>
      </c>
      <c r="L1564" s="5">
        <f t="shared" si="523"/>
        <v>6</v>
      </c>
      <c r="M1564" s="5">
        <f t="shared" si="524"/>
        <v>2023</v>
      </c>
      <c r="N1564" s="6">
        <v>220</v>
      </c>
      <c r="O1564" s="6">
        <f t="shared" ref="O1564" si="533">-N1564</f>
        <v>-220</v>
      </c>
      <c r="P1564" s="6">
        <f t="shared" si="526"/>
        <v>0</v>
      </c>
      <c r="Q1564" s="7">
        <f t="shared" si="527"/>
        <v>2897807.6500000008</v>
      </c>
      <c r="R1564" s="44" t="str">
        <f>VLOOKUP(F1564,'Set up'!$A$2:$E$48,5,FALSE)</f>
        <v>Chq</v>
      </c>
      <c r="S1564" s="1" t="s">
        <v>1846</v>
      </c>
    </row>
    <row r="1565" spans="1:19" hidden="1" x14ac:dyDescent="0.3">
      <c r="A1565" s="4">
        <v>45023</v>
      </c>
      <c r="B1565" s="5">
        <f t="shared" si="521"/>
        <v>4</v>
      </c>
      <c r="C1565" s="5">
        <f t="shared" si="522"/>
        <v>2023</v>
      </c>
      <c r="D1565" s="5" t="s">
        <v>1413</v>
      </c>
      <c r="E1565" s="5" t="str">
        <f>VLOOKUP(F1565,'Set up'!$A$2:$C$48,2,FALSE)</f>
        <v>C00000019</v>
      </c>
      <c r="F1565" s="1" t="s">
        <v>401</v>
      </c>
      <c r="G1565" s="89" t="s">
        <v>720</v>
      </c>
      <c r="H1565" s="5">
        <v>2</v>
      </c>
      <c r="I1565" s="5" t="str">
        <f>VLOOKUP(F1565,'Set up'!$A$2:$C$48,3,FALSE)</f>
        <v>Cash</v>
      </c>
      <c r="J1565" s="5">
        <f>VLOOKUP(F1565,'Set up'!$A$2:$D$48,4,FALSE)</f>
        <v>0</v>
      </c>
      <c r="K1565" s="4">
        <f t="shared" si="532"/>
        <v>45023</v>
      </c>
      <c r="L1565" s="5">
        <f t="shared" si="523"/>
        <v>4</v>
      </c>
      <c r="M1565" s="5">
        <f t="shared" si="524"/>
        <v>2023</v>
      </c>
      <c r="N1565" s="6">
        <v>3608</v>
      </c>
      <c r="O1565" s="6">
        <f>-151.8-1000-1000-1000-456.2</f>
        <v>-3608</v>
      </c>
      <c r="P1565" s="6">
        <f t="shared" si="526"/>
        <v>0</v>
      </c>
      <c r="Q1565" s="7">
        <f t="shared" si="527"/>
        <v>2901415.6500000008</v>
      </c>
      <c r="R1565" s="44" t="str">
        <f>VLOOKUP(F1565,'Set up'!$A$2:$E$48,5,FALSE)</f>
        <v>Trsf</v>
      </c>
      <c r="S1565" s="1" t="s">
        <v>1837</v>
      </c>
    </row>
    <row r="1566" spans="1:19" hidden="1" x14ac:dyDescent="0.3">
      <c r="A1566" s="4">
        <v>45023</v>
      </c>
      <c r="B1566" s="5">
        <f t="shared" si="521"/>
        <v>4</v>
      </c>
      <c r="C1566" s="5">
        <f t="shared" si="522"/>
        <v>2023</v>
      </c>
      <c r="D1566" s="5" t="s">
        <v>1413</v>
      </c>
      <c r="E1566" s="5" t="str">
        <f>VLOOKUP(F1566,'Set up'!$A$2:$C$48,2,FALSE)</f>
        <v>C00000019</v>
      </c>
      <c r="F1566" s="1" t="s">
        <v>401</v>
      </c>
      <c r="G1566" s="89" t="s">
        <v>1412</v>
      </c>
      <c r="H1566" s="5">
        <v>2</v>
      </c>
      <c r="I1566" s="5" t="str">
        <f>VLOOKUP(F1566,'Set up'!$A$2:$C$48,3,FALSE)</f>
        <v>Cash</v>
      </c>
      <c r="J1566" s="5">
        <f>VLOOKUP(F1566,'Set up'!$A$2:$D$48,4,FALSE)</f>
        <v>0</v>
      </c>
      <c r="K1566" s="4">
        <f t="shared" si="532"/>
        <v>45023</v>
      </c>
      <c r="L1566" s="5">
        <f t="shared" si="523"/>
        <v>4</v>
      </c>
      <c r="M1566" s="5">
        <f t="shared" si="524"/>
        <v>2023</v>
      </c>
      <c r="N1566" s="6">
        <v>842.4</v>
      </c>
      <c r="O1566" s="6">
        <f t="shared" ref="O1566:O1571" si="534">-N1566</f>
        <v>-842.4</v>
      </c>
      <c r="P1566" s="6">
        <f t="shared" si="526"/>
        <v>0</v>
      </c>
      <c r="Q1566" s="7">
        <f t="shared" si="527"/>
        <v>2902258.0500000007</v>
      </c>
      <c r="R1566" s="44" t="str">
        <f>VLOOKUP(F1566,'Set up'!$A$2:$E$48,5,FALSE)</f>
        <v>Trsf</v>
      </c>
      <c r="S1566" s="1" t="s">
        <v>1838</v>
      </c>
    </row>
    <row r="1567" spans="1:19" hidden="1" x14ac:dyDescent="0.3">
      <c r="A1567" s="4">
        <v>45023</v>
      </c>
      <c r="B1567" s="5">
        <f t="shared" si="521"/>
        <v>4</v>
      </c>
      <c r="C1567" s="5">
        <f t="shared" si="522"/>
        <v>2023</v>
      </c>
      <c r="D1567" s="5" t="s">
        <v>1413</v>
      </c>
      <c r="E1567" s="5" t="str">
        <f>VLOOKUP(F1567,'Set up'!$A$2:$C$48,2,FALSE)</f>
        <v>C00000019</v>
      </c>
      <c r="F1567" s="1" t="s">
        <v>401</v>
      </c>
      <c r="G1567" s="89" t="s">
        <v>46</v>
      </c>
      <c r="H1567" s="5">
        <v>1</v>
      </c>
      <c r="I1567" s="5" t="str">
        <f>VLOOKUP(F1567,'Set up'!$A$2:$C$48,3,FALSE)</f>
        <v>Cash</v>
      </c>
      <c r="J1567" s="5">
        <f>VLOOKUP(F1567,'Set up'!$A$2:$D$48,4,FALSE)</f>
        <v>0</v>
      </c>
      <c r="K1567" s="4">
        <f t="shared" si="532"/>
        <v>45023</v>
      </c>
      <c r="L1567" s="5">
        <f t="shared" si="523"/>
        <v>4</v>
      </c>
      <c r="M1567" s="5">
        <f t="shared" si="524"/>
        <v>2023</v>
      </c>
      <c r="N1567" s="6">
        <v>105</v>
      </c>
      <c r="O1567" s="6">
        <f t="shared" si="534"/>
        <v>-105</v>
      </c>
      <c r="P1567" s="6">
        <f t="shared" si="526"/>
        <v>0</v>
      </c>
      <c r="Q1567" s="7">
        <f t="shared" si="527"/>
        <v>2902363.0500000007</v>
      </c>
      <c r="R1567" s="44" t="str">
        <f>VLOOKUP(F1567,'Set up'!$A$2:$E$48,5,FALSE)</f>
        <v>Trsf</v>
      </c>
      <c r="S1567" s="1" t="s">
        <v>1839</v>
      </c>
    </row>
    <row r="1568" spans="1:19" hidden="1" x14ac:dyDescent="0.3">
      <c r="A1568" s="4">
        <v>45023</v>
      </c>
      <c r="B1568" s="5">
        <f t="shared" si="521"/>
        <v>4</v>
      </c>
      <c r="C1568" s="5">
        <f t="shared" si="522"/>
        <v>2023</v>
      </c>
      <c r="D1568" s="5" t="s">
        <v>1413</v>
      </c>
      <c r="E1568" s="5" t="str">
        <f>VLOOKUP(F1568,'Set up'!$A$2:$C$48,2,FALSE)</f>
        <v>C00000019</v>
      </c>
      <c r="F1568" s="1" t="s">
        <v>401</v>
      </c>
      <c r="G1568" s="89" t="s">
        <v>293</v>
      </c>
      <c r="H1568" s="5">
        <v>1</v>
      </c>
      <c r="I1568" s="5" t="str">
        <f>VLOOKUP(F1568,'Set up'!$A$2:$C$48,3,FALSE)</f>
        <v>Cash</v>
      </c>
      <c r="J1568" s="5">
        <f>VLOOKUP(F1568,'Set up'!$A$2:$D$48,4,FALSE)</f>
        <v>0</v>
      </c>
      <c r="K1568" s="4">
        <f t="shared" si="532"/>
        <v>45023</v>
      </c>
      <c r="L1568" s="5">
        <f t="shared" si="523"/>
        <v>4</v>
      </c>
      <c r="M1568" s="5">
        <f t="shared" si="524"/>
        <v>2023</v>
      </c>
      <c r="N1568" s="6">
        <v>450</v>
      </c>
      <c r="O1568" s="6">
        <f t="shared" si="534"/>
        <v>-450</v>
      </c>
      <c r="P1568" s="6">
        <f t="shared" si="526"/>
        <v>0</v>
      </c>
      <c r="Q1568" s="7">
        <f t="shared" si="527"/>
        <v>2902813.0500000007</v>
      </c>
      <c r="R1568" s="44" t="str">
        <f>VLOOKUP(F1568,'Set up'!$A$2:$E$48,5,FALSE)</f>
        <v>Trsf</v>
      </c>
      <c r="S1568" s="1" t="s">
        <v>1840</v>
      </c>
    </row>
    <row r="1569" spans="1:19" hidden="1" x14ac:dyDescent="0.3">
      <c r="A1569" s="4">
        <v>45023</v>
      </c>
      <c r="B1569" s="5">
        <f t="shared" si="521"/>
        <v>4</v>
      </c>
      <c r="C1569" s="5">
        <f t="shared" si="522"/>
        <v>2023</v>
      </c>
      <c r="D1569" s="5" t="s">
        <v>1413</v>
      </c>
      <c r="E1569" s="5" t="str">
        <f>VLOOKUP(F1569,'Set up'!$A$2:$C$48,2,FALSE)</f>
        <v>C00000019</v>
      </c>
      <c r="F1569" s="1" t="s">
        <v>401</v>
      </c>
      <c r="G1569" s="89" t="s">
        <v>788</v>
      </c>
      <c r="H1569" s="5">
        <v>1</v>
      </c>
      <c r="I1569" s="5" t="str">
        <f>VLOOKUP(F1569,'Set up'!$A$2:$C$48,3,FALSE)</f>
        <v>Cash</v>
      </c>
      <c r="J1569" s="5">
        <f>VLOOKUP(F1569,'Set up'!$A$2:$D$48,4,FALSE)</f>
        <v>0</v>
      </c>
      <c r="K1569" s="4">
        <f t="shared" si="532"/>
        <v>45023</v>
      </c>
      <c r="L1569" s="5">
        <f t="shared" si="523"/>
        <v>4</v>
      </c>
      <c r="M1569" s="5">
        <f t="shared" si="524"/>
        <v>2023</v>
      </c>
      <c r="N1569" s="6">
        <v>440</v>
      </c>
      <c r="O1569" s="6">
        <f t="shared" si="534"/>
        <v>-440</v>
      </c>
      <c r="P1569" s="6">
        <f t="shared" si="526"/>
        <v>0</v>
      </c>
      <c r="Q1569" s="7">
        <f t="shared" si="527"/>
        <v>2903253.0500000007</v>
      </c>
      <c r="R1569" s="44" t="str">
        <f>VLOOKUP(F1569,'Set up'!$A$2:$E$48,5,FALSE)</f>
        <v>Trsf</v>
      </c>
      <c r="S1569" s="1" t="s">
        <v>1841</v>
      </c>
    </row>
    <row r="1570" spans="1:19" hidden="1" x14ac:dyDescent="0.3">
      <c r="A1570" s="4">
        <v>45023</v>
      </c>
      <c r="B1570" s="5">
        <f t="shared" si="521"/>
        <v>4</v>
      </c>
      <c r="C1570" s="5">
        <f t="shared" si="522"/>
        <v>2023</v>
      </c>
      <c r="D1570" s="5" t="s">
        <v>1413</v>
      </c>
      <c r="E1570" s="5" t="str">
        <f>VLOOKUP(F1570,'Set up'!$A$2:$C$48,2,FALSE)</f>
        <v>C00000019</v>
      </c>
      <c r="F1570" s="1" t="s">
        <v>401</v>
      </c>
      <c r="G1570" s="89" t="s">
        <v>792</v>
      </c>
      <c r="H1570" s="5">
        <v>3</v>
      </c>
      <c r="I1570" s="5" t="str">
        <f>VLOOKUP(F1570,'Set up'!$A$2:$C$48,3,FALSE)</f>
        <v>Cash</v>
      </c>
      <c r="J1570" s="5">
        <f>VLOOKUP(F1570,'Set up'!$A$2:$D$48,4,FALSE)</f>
        <v>0</v>
      </c>
      <c r="K1570" s="4">
        <f t="shared" si="532"/>
        <v>45023</v>
      </c>
      <c r="L1570" s="5">
        <f t="shared" si="523"/>
        <v>4</v>
      </c>
      <c r="M1570" s="5">
        <f t="shared" si="524"/>
        <v>2023</v>
      </c>
      <c r="N1570" s="6">
        <v>187.5</v>
      </c>
      <c r="O1570" s="6">
        <f t="shared" si="534"/>
        <v>-187.5</v>
      </c>
      <c r="P1570" s="6">
        <f t="shared" si="526"/>
        <v>0</v>
      </c>
      <c r="Q1570" s="7">
        <f t="shared" si="527"/>
        <v>2903440.5500000007</v>
      </c>
      <c r="R1570" s="44" t="str">
        <f>VLOOKUP(F1570,'Set up'!$A$2:$E$48,5,FALSE)</f>
        <v>Trsf</v>
      </c>
      <c r="S1570" s="1" t="s">
        <v>1842</v>
      </c>
    </row>
    <row r="1571" spans="1:19" hidden="1" x14ac:dyDescent="0.3">
      <c r="A1571" s="4" t="s">
        <v>1415</v>
      </c>
      <c r="B1571" s="5">
        <f t="shared" si="521"/>
        <v>4</v>
      </c>
      <c r="C1571" s="5">
        <f t="shared" si="522"/>
        <v>2023</v>
      </c>
      <c r="D1571" s="5" t="s">
        <v>1414</v>
      </c>
      <c r="E1571" s="5" t="str">
        <f>VLOOKUP(F1571,'Set up'!$A$2:$C$48,2,FALSE)</f>
        <v>C00000022</v>
      </c>
      <c r="F1571" s="1" t="s">
        <v>638</v>
      </c>
      <c r="G1571" s="89" t="s">
        <v>720</v>
      </c>
      <c r="H1571" s="5">
        <v>1</v>
      </c>
      <c r="I1571" s="5" t="str">
        <f>VLOOKUP(F1571,'Set up'!$A$2:$C$48,3,FALSE)</f>
        <v>Cash</v>
      </c>
      <c r="J1571" s="5">
        <f>VLOOKUP(F1571,'Set up'!$A$2:$D$48,4,FALSE)</f>
        <v>0</v>
      </c>
      <c r="K1571" s="4">
        <f t="shared" si="532"/>
        <v>45024</v>
      </c>
      <c r="L1571" s="5">
        <f t="shared" si="523"/>
        <v>4</v>
      </c>
      <c r="M1571" s="5">
        <f t="shared" si="524"/>
        <v>2023</v>
      </c>
      <c r="N1571" s="6">
        <v>1892</v>
      </c>
      <c r="O1571" s="6">
        <f t="shared" si="534"/>
        <v>-1892</v>
      </c>
      <c r="P1571" s="6">
        <f t="shared" si="526"/>
        <v>0</v>
      </c>
      <c r="Q1571" s="7">
        <f t="shared" si="527"/>
        <v>2905332.5500000007</v>
      </c>
      <c r="R1571" s="44" t="str">
        <f>VLOOKUP(F1571,'Set up'!$A$2:$E$48,5,FALSE)</f>
        <v>Trsf</v>
      </c>
      <c r="S1571" s="1" t="s">
        <v>1986</v>
      </c>
    </row>
    <row r="1572" spans="1:19" hidden="1" x14ac:dyDescent="0.3">
      <c r="A1572" s="4" t="s">
        <v>1415</v>
      </c>
      <c r="B1572" s="5">
        <f t="shared" si="521"/>
        <v>4</v>
      </c>
      <c r="C1572" s="5">
        <f t="shared" si="522"/>
        <v>2023</v>
      </c>
      <c r="D1572" s="5" t="s">
        <v>1416</v>
      </c>
      <c r="E1572" s="5" t="str">
        <f>VLOOKUP(F1572,'Set up'!$A$2:$C$48,2,FALSE)</f>
        <v>C00000006</v>
      </c>
      <c r="F1572" s="1" t="s">
        <v>43</v>
      </c>
      <c r="G1572" s="89" t="s">
        <v>720</v>
      </c>
      <c r="H1572" s="5">
        <v>1</v>
      </c>
      <c r="I1572" s="5" t="str">
        <f>VLOOKUP(F1572,'Set up'!$A$2:$C$48,3,FALSE)</f>
        <v>Cash</v>
      </c>
      <c r="J1572" s="5">
        <f>VLOOKUP(F1572,'Set up'!$A$2:$D$48,4,FALSE)</f>
        <v>0</v>
      </c>
      <c r="K1572" s="4">
        <f t="shared" si="532"/>
        <v>45024</v>
      </c>
      <c r="L1572" s="5">
        <f t="shared" si="523"/>
        <v>4</v>
      </c>
      <c r="M1572" s="5">
        <f t="shared" si="524"/>
        <v>2023</v>
      </c>
      <c r="N1572" s="6">
        <v>1870</v>
      </c>
      <c r="O1572" s="6">
        <f>-N1572</f>
        <v>-1870</v>
      </c>
      <c r="P1572" s="6">
        <f t="shared" si="526"/>
        <v>0</v>
      </c>
      <c r="Q1572" s="7">
        <f t="shared" si="527"/>
        <v>2907202.5500000007</v>
      </c>
      <c r="R1572" s="44" t="str">
        <f>VLOOKUP(F1572,'Set up'!$A$2:$E$48,5,FALSE)</f>
        <v>Chq</v>
      </c>
      <c r="S1572" s="1" t="s">
        <v>1684</v>
      </c>
    </row>
    <row r="1573" spans="1:19" hidden="1" x14ac:dyDescent="0.3">
      <c r="A1573" s="4" t="s">
        <v>1415</v>
      </c>
      <c r="B1573" s="5">
        <f t="shared" si="521"/>
        <v>4</v>
      </c>
      <c r="C1573" s="5">
        <f t="shared" si="522"/>
        <v>2023</v>
      </c>
      <c r="D1573" s="5" t="s">
        <v>1416</v>
      </c>
      <c r="E1573" s="5" t="str">
        <f>VLOOKUP(F1573,'Set up'!$A$2:$C$48,2,FALSE)</f>
        <v>C00000006</v>
      </c>
      <c r="F1573" s="1" t="s">
        <v>43</v>
      </c>
      <c r="G1573" s="89" t="s">
        <v>1353</v>
      </c>
      <c r="H1573" s="5">
        <v>1</v>
      </c>
      <c r="I1573" s="5" t="str">
        <f>VLOOKUP(F1573,'Set up'!$A$2:$C$48,3,FALSE)</f>
        <v>Cash</v>
      </c>
      <c r="J1573" s="5">
        <f>VLOOKUP(F1573,'Set up'!$A$2:$D$48,4,FALSE)</f>
        <v>0</v>
      </c>
      <c r="K1573" s="4">
        <f t="shared" si="532"/>
        <v>45024</v>
      </c>
      <c r="L1573" s="5">
        <f t="shared" si="523"/>
        <v>4</v>
      </c>
      <c r="M1573" s="5">
        <f t="shared" si="524"/>
        <v>2023</v>
      </c>
      <c r="N1573" s="6">
        <v>234</v>
      </c>
      <c r="O1573" s="6">
        <f>-N1573</f>
        <v>-234</v>
      </c>
      <c r="P1573" s="6">
        <f t="shared" si="526"/>
        <v>0</v>
      </c>
      <c r="Q1573" s="7">
        <f t="shared" si="527"/>
        <v>2907436.5500000007</v>
      </c>
      <c r="R1573" s="44" t="str">
        <f>VLOOKUP(F1573,'Set up'!$A$2:$E$48,5,FALSE)</f>
        <v>Chq</v>
      </c>
      <c r="S1573" s="1" t="s">
        <v>1684</v>
      </c>
    </row>
    <row r="1574" spans="1:19" hidden="1" x14ac:dyDescent="0.3">
      <c r="A1574" s="4" t="s">
        <v>1418</v>
      </c>
      <c r="B1574" s="5">
        <f t="shared" si="521"/>
        <v>4</v>
      </c>
      <c r="C1574" s="5">
        <f t="shared" si="522"/>
        <v>2023</v>
      </c>
      <c r="D1574" s="5" t="s">
        <v>1417</v>
      </c>
      <c r="E1574" s="5" t="str">
        <f>VLOOKUP(F1574,'Set up'!$A$2:$C$48,2,FALSE)</f>
        <v>C00000034</v>
      </c>
      <c r="F1574" s="1" t="s">
        <v>1197</v>
      </c>
      <c r="G1574" s="89" t="s">
        <v>1352</v>
      </c>
      <c r="H1574" s="5">
        <v>13</v>
      </c>
      <c r="I1574" s="5" t="str">
        <f>VLOOKUP(F1574,'Set up'!$A$2:$C$48,3,FALSE)</f>
        <v>Cash</v>
      </c>
      <c r="J1574" s="5">
        <f>VLOOKUP(F1574,'Set up'!$A$2:$D$48,4,FALSE)</f>
        <v>0</v>
      </c>
      <c r="K1574" s="4">
        <f t="shared" si="532"/>
        <v>45026</v>
      </c>
      <c r="L1574" s="5">
        <f t="shared" si="523"/>
        <v>4</v>
      </c>
      <c r="M1574" s="5">
        <f t="shared" si="524"/>
        <v>2023</v>
      </c>
      <c r="N1574" s="6">
        <v>1755</v>
      </c>
      <c r="O1574" s="6">
        <f t="shared" ref="O1574:O1577" si="535">-N1574</f>
        <v>-1755</v>
      </c>
      <c r="P1574" s="6">
        <f t="shared" si="526"/>
        <v>0</v>
      </c>
      <c r="Q1574" s="7">
        <f t="shared" si="527"/>
        <v>2909191.5500000007</v>
      </c>
      <c r="R1574" s="44" t="str">
        <f>VLOOKUP(F1574,'Set up'!$A$2:$E$48,5,FALSE)</f>
        <v>Trsf</v>
      </c>
      <c r="S1574" s="1" t="s">
        <v>1525</v>
      </c>
    </row>
    <row r="1575" spans="1:19" hidden="1" x14ac:dyDescent="0.3">
      <c r="A1575" s="4" t="s">
        <v>1418</v>
      </c>
      <c r="B1575" s="5">
        <f t="shared" si="521"/>
        <v>4</v>
      </c>
      <c r="C1575" s="5">
        <f t="shared" si="522"/>
        <v>2023</v>
      </c>
      <c r="D1575" s="5" t="s">
        <v>1417</v>
      </c>
      <c r="E1575" s="5" t="str">
        <f>VLOOKUP(F1575,'Set up'!$A$2:$C$48,2,FALSE)</f>
        <v>C00000034</v>
      </c>
      <c r="F1575" s="1" t="s">
        <v>1197</v>
      </c>
      <c r="G1575" s="89" t="s">
        <v>1357</v>
      </c>
      <c r="H1575" s="5">
        <v>2</v>
      </c>
      <c r="I1575" s="5" t="str">
        <f>VLOOKUP(F1575,'Set up'!$A$2:$C$48,3,FALSE)</f>
        <v>Cash</v>
      </c>
      <c r="J1575" s="5">
        <f>VLOOKUP(F1575,'Set up'!$A$2:$D$48,4,FALSE)</f>
        <v>0</v>
      </c>
      <c r="K1575" s="4">
        <f t="shared" si="532"/>
        <v>45026</v>
      </c>
      <c r="L1575" s="5">
        <f t="shared" si="523"/>
        <v>4</v>
      </c>
      <c r="M1575" s="5">
        <f t="shared" si="524"/>
        <v>2023</v>
      </c>
      <c r="N1575" s="6">
        <v>3696</v>
      </c>
      <c r="O1575" s="6">
        <f t="shared" si="535"/>
        <v>-3696</v>
      </c>
      <c r="P1575" s="6">
        <f t="shared" si="526"/>
        <v>0</v>
      </c>
      <c r="Q1575" s="7">
        <f t="shared" si="527"/>
        <v>2912887.5500000007</v>
      </c>
      <c r="R1575" s="44" t="str">
        <f>VLOOKUP(F1575,'Set up'!$A$2:$E$48,5,FALSE)</f>
        <v>Trsf</v>
      </c>
      <c r="S1575" s="1" t="s">
        <v>1525</v>
      </c>
    </row>
    <row r="1576" spans="1:19" hidden="1" x14ac:dyDescent="0.3">
      <c r="A1576" s="4" t="s">
        <v>1418</v>
      </c>
      <c r="B1576" s="5">
        <f t="shared" si="521"/>
        <v>4</v>
      </c>
      <c r="C1576" s="5">
        <f t="shared" si="522"/>
        <v>2023</v>
      </c>
      <c r="D1576" s="5" t="s">
        <v>1417</v>
      </c>
      <c r="E1576" s="5" t="str">
        <f>VLOOKUP(F1576,'Set up'!$A$2:$C$48,2,FALSE)</f>
        <v>C00000034</v>
      </c>
      <c r="F1576" s="1" t="s">
        <v>1197</v>
      </c>
      <c r="G1576" s="89" t="s">
        <v>1111</v>
      </c>
      <c r="H1576" s="5">
        <v>4</v>
      </c>
      <c r="I1576" s="5" t="str">
        <f>VLOOKUP(F1576,'Set up'!$A$2:$C$48,3,FALSE)</f>
        <v>Cash</v>
      </c>
      <c r="J1576" s="5">
        <f>VLOOKUP(F1576,'Set up'!$A$2:$D$48,4,FALSE)</f>
        <v>0</v>
      </c>
      <c r="K1576" s="4">
        <f t="shared" si="532"/>
        <v>45026</v>
      </c>
      <c r="L1576" s="5">
        <f t="shared" si="523"/>
        <v>4</v>
      </c>
      <c r="M1576" s="5">
        <f t="shared" si="524"/>
        <v>2023</v>
      </c>
      <c r="N1576" s="6">
        <v>250</v>
      </c>
      <c r="O1576" s="6">
        <f t="shared" si="535"/>
        <v>-250</v>
      </c>
      <c r="P1576" s="6">
        <f t="shared" si="526"/>
        <v>0</v>
      </c>
      <c r="Q1576" s="7">
        <f t="shared" si="527"/>
        <v>2913137.5500000007</v>
      </c>
      <c r="R1576" s="44" t="str">
        <f>VLOOKUP(F1576,'Set up'!$A$2:$E$48,5,FALSE)</f>
        <v>Trsf</v>
      </c>
      <c r="S1576" s="1" t="s">
        <v>1525</v>
      </c>
    </row>
    <row r="1577" spans="1:19" hidden="1" x14ac:dyDescent="0.3">
      <c r="A1577" s="4" t="s">
        <v>1418</v>
      </c>
      <c r="B1577" s="5">
        <f t="shared" si="521"/>
        <v>4</v>
      </c>
      <c r="C1577" s="5">
        <f t="shared" si="522"/>
        <v>2023</v>
      </c>
      <c r="D1577" s="5" t="s">
        <v>1417</v>
      </c>
      <c r="E1577" s="5" t="str">
        <f>VLOOKUP(F1577,'Set up'!$A$2:$C$48,2,FALSE)</f>
        <v>C00000034</v>
      </c>
      <c r="F1577" s="1" t="s">
        <v>1197</v>
      </c>
      <c r="G1577" s="89" t="s">
        <v>667</v>
      </c>
      <c r="H1577" s="5">
        <v>1</v>
      </c>
      <c r="I1577" s="5" t="str">
        <f>VLOOKUP(F1577,'Set up'!$A$2:$C$48,3,FALSE)</f>
        <v>Cash</v>
      </c>
      <c r="J1577" s="5">
        <f>VLOOKUP(F1577,'Set up'!$A$2:$D$48,4,FALSE)</f>
        <v>0</v>
      </c>
      <c r="K1577" s="4">
        <f t="shared" si="532"/>
        <v>45026</v>
      </c>
      <c r="L1577" s="5">
        <f t="shared" si="523"/>
        <v>4</v>
      </c>
      <c r="M1577" s="5">
        <f t="shared" si="524"/>
        <v>2023</v>
      </c>
      <c r="N1577" s="6">
        <v>100</v>
      </c>
      <c r="O1577" s="6">
        <f t="shared" si="535"/>
        <v>-100</v>
      </c>
      <c r="P1577" s="6">
        <f t="shared" si="526"/>
        <v>0</v>
      </c>
      <c r="Q1577" s="7">
        <f t="shared" si="527"/>
        <v>2913237.5500000007</v>
      </c>
      <c r="R1577" s="44" t="str">
        <f>VLOOKUP(F1577,'Set up'!$A$2:$E$48,5,FALSE)</f>
        <v>Trsf</v>
      </c>
      <c r="S1577" s="1" t="s">
        <v>1525</v>
      </c>
    </row>
    <row r="1578" spans="1:19" x14ac:dyDescent="0.3">
      <c r="A1578" s="4" t="s">
        <v>1420</v>
      </c>
      <c r="B1578" s="5">
        <f t="shared" ref="B1578:B1595" si="536">MONTH(A1578)</f>
        <v>4</v>
      </c>
      <c r="C1578" s="5">
        <f t="shared" ref="C1578:C1595" si="537">YEAR(A1578)</f>
        <v>2023</v>
      </c>
      <c r="D1578" s="5" t="s">
        <v>1419</v>
      </c>
      <c r="E1578" s="5" t="str">
        <f>VLOOKUP(F1578,'Set up'!$A$2:$C$48,2,FALSE)</f>
        <v>C00000020</v>
      </c>
      <c r="F1578" s="1" t="s">
        <v>410</v>
      </c>
      <c r="G1578" s="89" t="s">
        <v>1074</v>
      </c>
      <c r="H1578" s="5">
        <v>1</v>
      </c>
      <c r="I1578" s="5" t="str">
        <f>VLOOKUP(F1578,'Set up'!$A$2:$C$48,3,FALSE)</f>
        <v>Cash</v>
      </c>
      <c r="J1578" s="5">
        <f>VLOOKUP(F1578,'Set up'!$A$2:$D$48,4,FALSE)</f>
        <v>0</v>
      </c>
      <c r="K1578" s="4">
        <f t="shared" si="532"/>
        <v>45025</v>
      </c>
      <c r="L1578" s="5">
        <f t="shared" ref="L1578:L1595" si="538">MONTH(K1578)</f>
        <v>4</v>
      </c>
      <c r="M1578" s="5">
        <f t="shared" ref="M1578:M1595" si="539">YEAR(K1578)</f>
        <v>2023</v>
      </c>
      <c r="N1578" s="6">
        <v>1000</v>
      </c>
      <c r="P1578" s="6">
        <f t="shared" ref="P1578:P1595" si="540">SUM(N1578+O1578)</f>
        <v>1000</v>
      </c>
      <c r="Q1578" s="7">
        <f t="shared" ref="Q1578:Q1595" si="541">SUM(Q1577+N1578)</f>
        <v>2914237.5500000007</v>
      </c>
      <c r="R1578" s="44" t="str">
        <f>VLOOKUP(F1578,'Set up'!$A$2:$E$48,5,FALSE)</f>
        <v>Trsf</v>
      </c>
    </row>
    <row r="1579" spans="1:19" hidden="1" x14ac:dyDescent="0.3">
      <c r="A1579" s="4" t="s">
        <v>1427</v>
      </c>
      <c r="B1579" s="5">
        <f t="shared" si="536"/>
        <v>4</v>
      </c>
      <c r="C1579" s="5">
        <f t="shared" si="537"/>
        <v>2023</v>
      </c>
      <c r="D1579" s="5" t="s">
        <v>1423</v>
      </c>
      <c r="E1579" s="5" t="str">
        <f>VLOOKUP(F1579,'Set up'!$A$2:$C$48,2,FALSE)</f>
        <v>C00000038</v>
      </c>
      <c r="F1579" s="1" t="s">
        <v>1421</v>
      </c>
      <c r="G1579" s="89" t="s">
        <v>1424</v>
      </c>
      <c r="H1579" s="5">
        <v>1</v>
      </c>
      <c r="I1579" s="5" t="str">
        <f>VLOOKUP(F1579,'Set up'!$A$2:$C$48,3,FALSE)</f>
        <v>Cash</v>
      </c>
      <c r="J1579" s="5">
        <f>VLOOKUP(F1579,'Set up'!$A$2:$D$48,4,FALSE)</f>
        <v>0</v>
      </c>
      <c r="K1579" s="4">
        <f t="shared" si="532"/>
        <v>45027</v>
      </c>
      <c r="L1579" s="5">
        <f t="shared" si="538"/>
        <v>4</v>
      </c>
      <c r="M1579" s="5">
        <f t="shared" si="539"/>
        <v>2023</v>
      </c>
      <c r="N1579" s="6">
        <v>267</v>
      </c>
      <c r="O1579" s="6">
        <f t="shared" ref="O1579:O1585" si="542">-N1579</f>
        <v>-267</v>
      </c>
      <c r="P1579" s="6">
        <f t="shared" si="540"/>
        <v>0</v>
      </c>
      <c r="Q1579" s="7">
        <f t="shared" si="541"/>
        <v>2914504.5500000007</v>
      </c>
      <c r="R1579" s="44" t="str">
        <f>VLOOKUP(F1579,'Set up'!$A$2:$E$48,5,FALSE)</f>
        <v>Trsf</v>
      </c>
      <c r="S1579" s="1" t="s">
        <v>1486</v>
      </c>
    </row>
    <row r="1580" spans="1:19" hidden="1" x14ac:dyDescent="0.3">
      <c r="A1580" s="4" t="s">
        <v>1427</v>
      </c>
      <c r="B1580" s="5">
        <f t="shared" si="536"/>
        <v>4</v>
      </c>
      <c r="C1580" s="5">
        <f t="shared" si="537"/>
        <v>2023</v>
      </c>
      <c r="D1580" s="5" t="s">
        <v>1423</v>
      </c>
      <c r="E1580" s="5" t="str">
        <f>VLOOKUP(F1580,'Set up'!$A$2:$C$48,2,FALSE)</f>
        <v>C00000038</v>
      </c>
      <c r="F1580" s="1" t="s">
        <v>1421</v>
      </c>
      <c r="G1580" s="89" t="s">
        <v>1061</v>
      </c>
      <c r="H1580" s="5">
        <v>1</v>
      </c>
      <c r="I1580" s="5" t="str">
        <f>VLOOKUP(F1580,'Set up'!$A$2:$C$48,3,FALSE)</f>
        <v>Cash</v>
      </c>
      <c r="J1580" s="5">
        <f>VLOOKUP(F1580,'Set up'!$A$2:$D$48,4,FALSE)</f>
        <v>0</v>
      </c>
      <c r="K1580" s="4">
        <f t="shared" si="532"/>
        <v>45027</v>
      </c>
      <c r="L1580" s="5">
        <f t="shared" si="538"/>
        <v>4</v>
      </c>
      <c r="M1580" s="5">
        <f t="shared" si="539"/>
        <v>2023</v>
      </c>
      <c r="N1580" s="6">
        <v>258</v>
      </c>
      <c r="O1580" s="6">
        <f t="shared" si="542"/>
        <v>-258</v>
      </c>
      <c r="P1580" s="6">
        <f t="shared" si="540"/>
        <v>0</v>
      </c>
      <c r="Q1580" s="7">
        <f t="shared" si="541"/>
        <v>2914762.5500000007</v>
      </c>
      <c r="R1580" s="44" t="str">
        <f>VLOOKUP(F1580,'Set up'!$A$2:$E$48,5,FALSE)</f>
        <v>Trsf</v>
      </c>
      <c r="S1580" s="1" t="s">
        <v>1486</v>
      </c>
    </row>
    <row r="1581" spans="1:19" hidden="1" x14ac:dyDescent="0.3">
      <c r="A1581" s="4" t="s">
        <v>1427</v>
      </c>
      <c r="B1581" s="5">
        <f t="shared" si="536"/>
        <v>4</v>
      </c>
      <c r="C1581" s="5">
        <f t="shared" si="537"/>
        <v>2023</v>
      </c>
      <c r="D1581" s="5" t="s">
        <v>1423</v>
      </c>
      <c r="E1581" s="5" t="str">
        <f>VLOOKUP(F1581,'Set up'!$A$2:$C$48,2,FALSE)</f>
        <v>C00000038</v>
      </c>
      <c r="F1581" s="1" t="s">
        <v>1421</v>
      </c>
      <c r="G1581" s="89" t="s">
        <v>1425</v>
      </c>
      <c r="H1581" s="5">
        <v>1</v>
      </c>
      <c r="I1581" s="5" t="str">
        <f>VLOOKUP(F1581,'Set up'!$A$2:$C$48,3,FALSE)</f>
        <v>Cash</v>
      </c>
      <c r="J1581" s="5">
        <f>VLOOKUP(F1581,'Set up'!$A$2:$D$48,4,FALSE)</f>
        <v>0</v>
      </c>
      <c r="K1581" s="4">
        <f t="shared" si="532"/>
        <v>45027</v>
      </c>
      <c r="L1581" s="5">
        <f t="shared" si="538"/>
        <v>4</v>
      </c>
      <c r="M1581" s="5">
        <f t="shared" si="539"/>
        <v>2023</v>
      </c>
      <c r="N1581" s="6">
        <v>95</v>
      </c>
      <c r="O1581" s="6">
        <f t="shared" si="542"/>
        <v>-95</v>
      </c>
      <c r="P1581" s="6">
        <f t="shared" si="540"/>
        <v>0</v>
      </c>
      <c r="Q1581" s="7">
        <f t="shared" si="541"/>
        <v>2914857.5500000007</v>
      </c>
      <c r="R1581" s="44" t="str">
        <f>VLOOKUP(F1581,'Set up'!$A$2:$E$48,5,FALSE)</f>
        <v>Trsf</v>
      </c>
      <c r="S1581" s="1" t="s">
        <v>1486</v>
      </c>
    </row>
    <row r="1582" spans="1:19" hidden="1" x14ac:dyDescent="0.3">
      <c r="A1582" s="4" t="s">
        <v>1427</v>
      </c>
      <c r="B1582" s="5">
        <f t="shared" si="536"/>
        <v>4</v>
      </c>
      <c r="C1582" s="5">
        <f t="shared" si="537"/>
        <v>2023</v>
      </c>
      <c r="D1582" s="5" t="s">
        <v>1423</v>
      </c>
      <c r="E1582" s="5" t="str">
        <f>VLOOKUP(F1582,'Set up'!$A$2:$C$48,2,FALSE)</f>
        <v>C00000038</v>
      </c>
      <c r="F1582" s="1" t="s">
        <v>1421</v>
      </c>
      <c r="G1582" s="89" t="s">
        <v>1426</v>
      </c>
      <c r="H1582" s="5">
        <v>1</v>
      </c>
      <c r="I1582" s="5" t="str">
        <f>VLOOKUP(F1582,'Set up'!$A$2:$C$48,3,FALSE)</f>
        <v>Cash</v>
      </c>
      <c r="J1582" s="5">
        <f>VLOOKUP(F1582,'Set up'!$A$2:$D$48,4,FALSE)</f>
        <v>0</v>
      </c>
      <c r="K1582" s="4">
        <f t="shared" si="532"/>
        <v>45027</v>
      </c>
      <c r="L1582" s="5">
        <f t="shared" si="538"/>
        <v>4</v>
      </c>
      <c r="M1582" s="5">
        <f t="shared" si="539"/>
        <v>2023</v>
      </c>
      <c r="N1582" s="6">
        <v>50</v>
      </c>
      <c r="O1582" s="6">
        <f t="shared" si="542"/>
        <v>-50</v>
      </c>
      <c r="P1582" s="6">
        <f t="shared" si="540"/>
        <v>0</v>
      </c>
      <c r="Q1582" s="7">
        <f t="shared" si="541"/>
        <v>2914907.5500000007</v>
      </c>
      <c r="R1582" s="44" t="str">
        <f>VLOOKUP(F1582,'Set up'!$A$2:$E$48,5,FALSE)</f>
        <v>Trsf</v>
      </c>
      <c r="S1582" s="1" t="s">
        <v>1486</v>
      </c>
    </row>
    <row r="1583" spans="1:19" hidden="1" x14ac:dyDescent="0.3">
      <c r="A1583" s="4" t="s">
        <v>1429</v>
      </c>
      <c r="B1583" s="5">
        <f t="shared" si="536"/>
        <v>4</v>
      </c>
      <c r="C1583" s="5">
        <f t="shared" si="537"/>
        <v>2023</v>
      </c>
      <c r="D1583" s="5" t="s">
        <v>1428</v>
      </c>
      <c r="E1583" s="5" t="str">
        <f>VLOOKUP(F1583,'Set up'!$A$2:$C$48,2,FALSE)</f>
        <v>C00000021</v>
      </c>
      <c r="F1583" s="1" t="s">
        <v>492</v>
      </c>
      <c r="G1583" s="89" t="s">
        <v>717</v>
      </c>
      <c r="H1583" s="5">
        <v>1</v>
      </c>
      <c r="I1583" s="5" t="str">
        <f>VLOOKUP(F1583,'Set up'!$A$2:$C$48,3,FALSE)</f>
        <v>Cash</v>
      </c>
      <c r="J1583" s="5">
        <f>VLOOKUP(F1583,'Set up'!$A$2:$D$48,4,FALSE)</f>
        <v>0</v>
      </c>
      <c r="K1583" s="4">
        <f t="shared" si="532"/>
        <v>45028</v>
      </c>
      <c r="L1583" s="5">
        <f t="shared" si="538"/>
        <v>4</v>
      </c>
      <c r="M1583" s="5">
        <f t="shared" si="539"/>
        <v>2023</v>
      </c>
      <c r="N1583" s="6">
        <v>1870</v>
      </c>
      <c r="O1583" s="6">
        <f t="shared" si="542"/>
        <v>-1870</v>
      </c>
      <c r="P1583" s="6">
        <f t="shared" si="540"/>
        <v>0</v>
      </c>
      <c r="Q1583" s="7">
        <f t="shared" si="541"/>
        <v>2916777.5500000007</v>
      </c>
      <c r="R1583" s="44" t="str">
        <f>VLOOKUP(F1583,'Set up'!$A$2:$E$48,5,FALSE)</f>
        <v>PD Chq</v>
      </c>
      <c r="S1583" s="1" t="s">
        <v>2148</v>
      </c>
    </row>
    <row r="1584" spans="1:19" hidden="1" x14ac:dyDescent="0.3">
      <c r="A1584" s="4" t="s">
        <v>1429</v>
      </c>
      <c r="B1584" s="5">
        <f t="shared" si="536"/>
        <v>4</v>
      </c>
      <c r="C1584" s="5">
        <f t="shared" si="537"/>
        <v>2023</v>
      </c>
      <c r="D1584" s="5" t="s">
        <v>1428</v>
      </c>
      <c r="E1584" s="5" t="str">
        <f>VLOOKUP(F1584,'Set up'!$A$2:$C$48,2,FALSE)</f>
        <v>C00000021</v>
      </c>
      <c r="F1584" s="1" t="s">
        <v>492</v>
      </c>
      <c r="G1584" s="89" t="s">
        <v>655</v>
      </c>
      <c r="H1584" s="5">
        <v>3</v>
      </c>
      <c r="I1584" s="5" t="str">
        <f>VLOOKUP(F1584,'Set up'!$A$2:$C$48,3,FALSE)</f>
        <v>Cash</v>
      </c>
      <c r="J1584" s="5">
        <f>VLOOKUP(F1584,'Set up'!$A$2:$D$48,4,FALSE)</f>
        <v>0</v>
      </c>
      <c r="K1584" s="4">
        <f t="shared" si="532"/>
        <v>45028</v>
      </c>
      <c r="L1584" s="5">
        <f t="shared" si="538"/>
        <v>4</v>
      </c>
      <c r="M1584" s="5">
        <f t="shared" si="539"/>
        <v>2023</v>
      </c>
      <c r="N1584" s="6">
        <v>765</v>
      </c>
      <c r="O1584" s="6">
        <f t="shared" si="542"/>
        <v>-765</v>
      </c>
      <c r="P1584" s="6">
        <f t="shared" si="540"/>
        <v>0</v>
      </c>
      <c r="Q1584" s="7">
        <f t="shared" si="541"/>
        <v>2917542.5500000007</v>
      </c>
      <c r="R1584" s="44" t="str">
        <f>VLOOKUP(F1584,'Set up'!$A$2:$E$48,5,FALSE)</f>
        <v>PD Chq</v>
      </c>
      <c r="S1584" s="1" t="s">
        <v>2148</v>
      </c>
    </row>
    <row r="1585" spans="1:19" hidden="1" x14ac:dyDescent="0.3">
      <c r="A1585" s="4" t="s">
        <v>1429</v>
      </c>
      <c r="B1585" s="5">
        <f t="shared" si="536"/>
        <v>4</v>
      </c>
      <c r="C1585" s="5">
        <f t="shared" si="537"/>
        <v>2023</v>
      </c>
      <c r="D1585" s="5" t="s">
        <v>1428</v>
      </c>
      <c r="E1585" s="5" t="str">
        <f>VLOOKUP(F1585,'Set up'!$A$2:$C$48,2,FALSE)</f>
        <v>C00000021</v>
      </c>
      <c r="F1585" s="1" t="s">
        <v>492</v>
      </c>
      <c r="G1585" s="89" t="s">
        <v>1111</v>
      </c>
      <c r="H1585" s="5">
        <v>5</v>
      </c>
      <c r="I1585" s="5" t="str">
        <f>VLOOKUP(F1585,'Set up'!$A$2:$C$48,3,FALSE)</f>
        <v>Cash</v>
      </c>
      <c r="J1585" s="5">
        <f>VLOOKUP(F1585,'Set up'!$A$2:$D$48,4,FALSE)</f>
        <v>0</v>
      </c>
      <c r="K1585" s="4">
        <f t="shared" si="532"/>
        <v>45028</v>
      </c>
      <c r="L1585" s="5">
        <f t="shared" si="538"/>
        <v>4</v>
      </c>
      <c r="M1585" s="5">
        <f t="shared" si="539"/>
        <v>2023</v>
      </c>
      <c r="N1585" s="6">
        <v>312.5</v>
      </c>
      <c r="O1585" s="6">
        <f t="shared" si="542"/>
        <v>-312.5</v>
      </c>
      <c r="P1585" s="6">
        <f t="shared" si="540"/>
        <v>0</v>
      </c>
      <c r="Q1585" s="7">
        <f t="shared" si="541"/>
        <v>2917855.0500000007</v>
      </c>
      <c r="R1585" s="44" t="str">
        <f>VLOOKUP(F1585,'Set up'!$A$2:$E$48,5,FALSE)</f>
        <v>PD Chq</v>
      </c>
      <c r="S1585" s="1" t="s">
        <v>2148</v>
      </c>
    </row>
    <row r="1586" spans="1:19" hidden="1" x14ac:dyDescent="0.3">
      <c r="A1586" s="4" t="s">
        <v>1431</v>
      </c>
      <c r="B1586" s="5">
        <f t="shared" si="536"/>
        <v>4</v>
      </c>
      <c r="C1586" s="5">
        <f t="shared" si="537"/>
        <v>2023</v>
      </c>
      <c r="D1586" s="5" t="s">
        <v>1430</v>
      </c>
      <c r="E1586" s="5" t="str">
        <f>VLOOKUP(F1586,'Set up'!$A$2:$C$48,2,FALSE)</f>
        <v>C00000037</v>
      </c>
      <c r="F1586" s="1" t="s">
        <v>1310</v>
      </c>
      <c r="G1586" s="89" t="s">
        <v>720</v>
      </c>
      <c r="H1586" s="5">
        <v>2</v>
      </c>
      <c r="I1586" s="5">
        <f>VLOOKUP(F1586,'Set up'!$A$2:$C$48,3,FALSE)</f>
        <v>30</v>
      </c>
      <c r="J1586" s="5">
        <f>VLOOKUP(F1586,'Set up'!$A$2:$D$48,4,FALSE)</f>
        <v>30</v>
      </c>
      <c r="K1586" s="4">
        <f t="shared" si="532"/>
        <v>45059</v>
      </c>
      <c r="L1586" s="5">
        <f t="shared" si="538"/>
        <v>5</v>
      </c>
      <c r="M1586" s="5">
        <f t="shared" si="539"/>
        <v>2023</v>
      </c>
      <c r="N1586" s="6">
        <v>3696</v>
      </c>
      <c r="O1586" s="6">
        <f t="shared" ref="O1586:O1587" si="543">-N1586</f>
        <v>-3696</v>
      </c>
      <c r="P1586" s="6">
        <f t="shared" si="540"/>
        <v>0</v>
      </c>
      <c r="Q1586" s="7">
        <f t="shared" si="541"/>
        <v>2921551.0500000007</v>
      </c>
      <c r="R1586" s="44" t="str">
        <f>VLOOKUP(F1586,'Set up'!$A$2:$E$48,5,FALSE)</f>
        <v>Chq</v>
      </c>
      <c r="S1586" s="1" t="s">
        <v>1569</v>
      </c>
    </row>
    <row r="1587" spans="1:19" hidden="1" x14ac:dyDescent="0.3">
      <c r="A1587" s="4" t="s">
        <v>1431</v>
      </c>
      <c r="B1587" s="5">
        <f t="shared" si="536"/>
        <v>4</v>
      </c>
      <c r="C1587" s="5">
        <f t="shared" si="537"/>
        <v>2023</v>
      </c>
      <c r="D1587" s="5" t="s">
        <v>1430</v>
      </c>
      <c r="E1587" s="5" t="str">
        <f>VLOOKUP(F1587,'Set up'!$A$2:$C$48,2,FALSE)</f>
        <v>C00000037</v>
      </c>
      <c r="F1587" s="1" t="s">
        <v>1310</v>
      </c>
      <c r="G1587" s="89" t="s">
        <v>708</v>
      </c>
      <c r="H1587" s="5">
        <v>3</v>
      </c>
      <c r="I1587" s="5">
        <f>VLOOKUP(F1587,'Set up'!$A$2:$C$48,3,FALSE)</f>
        <v>30</v>
      </c>
      <c r="J1587" s="5">
        <f>VLOOKUP(F1587,'Set up'!$A$2:$D$48,4,FALSE)</f>
        <v>30</v>
      </c>
      <c r="K1587" s="4">
        <f t="shared" si="532"/>
        <v>45059</v>
      </c>
      <c r="L1587" s="5">
        <f t="shared" si="538"/>
        <v>5</v>
      </c>
      <c r="M1587" s="5">
        <f t="shared" si="539"/>
        <v>2023</v>
      </c>
      <c r="N1587" s="6">
        <v>1263.5999999999999</v>
      </c>
      <c r="O1587" s="6">
        <f t="shared" si="543"/>
        <v>-1263.5999999999999</v>
      </c>
      <c r="P1587" s="6">
        <f t="shared" si="540"/>
        <v>0</v>
      </c>
      <c r="Q1587" s="7">
        <f t="shared" si="541"/>
        <v>2922814.6500000008</v>
      </c>
      <c r="R1587" s="44" t="str">
        <f>VLOOKUP(F1587,'Set up'!$A$2:$E$48,5,FALSE)</f>
        <v>Chq</v>
      </c>
      <c r="S1587" s="1" t="s">
        <v>1569</v>
      </c>
    </row>
    <row r="1588" spans="1:19" hidden="1" x14ac:dyDescent="0.3">
      <c r="A1588" s="4">
        <v>45030</v>
      </c>
      <c r="B1588" s="5">
        <f t="shared" si="536"/>
        <v>4</v>
      </c>
      <c r="C1588" s="5">
        <f t="shared" si="537"/>
        <v>2023</v>
      </c>
      <c r="D1588" s="5" t="s">
        <v>1433</v>
      </c>
      <c r="E1588" s="5" t="str">
        <f>VLOOKUP(F1588,'Set up'!$A$2:$C$48,2,FALSE)</f>
        <v>C00000022</v>
      </c>
      <c r="F1588" s="1" t="s">
        <v>638</v>
      </c>
      <c r="G1588" s="89" t="s">
        <v>720</v>
      </c>
      <c r="H1588" s="5">
        <v>1</v>
      </c>
      <c r="I1588" s="5" t="str">
        <f>VLOOKUP(F1588,'Set up'!$A$2:$C$48,3,FALSE)</f>
        <v>Cash</v>
      </c>
      <c r="J1588" s="5">
        <f>VLOOKUP(F1588,'Set up'!$A$2:$D$48,4,FALSE)</f>
        <v>0</v>
      </c>
      <c r="K1588" s="4">
        <f t="shared" si="532"/>
        <v>45030</v>
      </c>
      <c r="L1588" s="5">
        <f t="shared" si="538"/>
        <v>4</v>
      </c>
      <c r="M1588" s="5">
        <f t="shared" si="539"/>
        <v>2023</v>
      </c>
      <c r="N1588" s="6">
        <v>1892</v>
      </c>
      <c r="O1588" s="6">
        <f>-1642.8-249.2</f>
        <v>-1892</v>
      </c>
      <c r="P1588" s="6">
        <f t="shared" si="540"/>
        <v>0</v>
      </c>
      <c r="Q1588" s="7">
        <f t="shared" si="541"/>
        <v>2924706.6500000008</v>
      </c>
      <c r="R1588" s="44" t="str">
        <f>VLOOKUP(F1588,'Set up'!$A$2:$E$48,5,FALSE)</f>
        <v>Trsf</v>
      </c>
      <c r="S1588" s="1" t="s">
        <v>2318</v>
      </c>
    </row>
    <row r="1589" spans="1:19" hidden="1" x14ac:dyDescent="0.3">
      <c r="A1589" s="4">
        <v>45030</v>
      </c>
      <c r="B1589" s="5">
        <f t="shared" si="536"/>
        <v>4</v>
      </c>
      <c r="C1589" s="5">
        <f t="shared" si="537"/>
        <v>2023</v>
      </c>
      <c r="D1589" s="5" t="s">
        <v>1433</v>
      </c>
      <c r="E1589" s="5" t="str">
        <f>VLOOKUP(F1589,'Set up'!$A$2:$C$48,2,FALSE)</f>
        <v>C00000022</v>
      </c>
      <c r="F1589" s="1" t="s">
        <v>638</v>
      </c>
      <c r="G1589" s="89" t="s">
        <v>1432</v>
      </c>
      <c r="H1589" s="5">
        <v>1</v>
      </c>
      <c r="I1589" s="5" t="str">
        <f>VLOOKUP(F1589,'Set up'!$A$2:$C$48,3,FALSE)</f>
        <v>Cash</v>
      </c>
      <c r="J1589" s="5">
        <f>VLOOKUP(F1589,'Set up'!$A$2:$D$48,4,FALSE)</f>
        <v>0</v>
      </c>
      <c r="K1589" s="4">
        <f t="shared" si="532"/>
        <v>45030</v>
      </c>
      <c r="L1589" s="5">
        <f t="shared" si="538"/>
        <v>4</v>
      </c>
      <c r="M1589" s="5">
        <f t="shared" si="539"/>
        <v>2023</v>
      </c>
      <c r="N1589" s="6">
        <v>258</v>
      </c>
      <c r="O1589" s="6">
        <f t="shared" ref="O1589:O1590" si="544">-N1589</f>
        <v>-258</v>
      </c>
      <c r="P1589" s="6">
        <f t="shared" si="540"/>
        <v>0</v>
      </c>
      <c r="Q1589" s="7">
        <f t="shared" si="541"/>
        <v>2924964.6500000008</v>
      </c>
      <c r="R1589" s="44" t="str">
        <f>VLOOKUP(F1589,'Set up'!$A$2:$E$48,5,FALSE)</f>
        <v>Trsf</v>
      </c>
      <c r="S1589" s="1" t="s">
        <v>2320</v>
      </c>
    </row>
    <row r="1590" spans="1:19" hidden="1" x14ac:dyDescent="0.3">
      <c r="A1590" s="4">
        <v>45030</v>
      </c>
      <c r="B1590" s="5">
        <f t="shared" si="536"/>
        <v>4</v>
      </c>
      <c r="C1590" s="5">
        <f t="shared" si="537"/>
        <v>2023</v>
      </c>
      <c r="D1590" s="5" t="s">
        <v>1433</v>
      </c>
      <c r="E1590" s="5" t="str">
        <f>VLOOKUP(F1590,'Set up'!$A$2:$C$48,2,FALSE)</f>
        <v>C00000022</v>
      </c>
      <c r="F1590" s="1" t="s">
        <v>638</v>
      </c>
      <c r="G1590" s="89" t="s">
        <v>567</v>
      </c>
      <c r="H1590" s="5">
        <v>1</v>
      </c>
      <c r="I1590" s="5" t="str">
        <f>VLOOKUP(F1590,'Set up'!$A$2:$C$48,3,FALSE)</f>
        <v>Cash</v>
      </c>
      <c r="J1590" s="5">
        <f>VLOOKUP(F1590,'Set up'!$A$2:$D$48,4,FALSE)</f>
        <v>0</v>
      </c>
      <c r="K1590" s="4">
        <f t="shared" si="532"/>
        <v>45030</v>
      </c>
      <c r="L1590" s="5">
        <f t="shared" si="538"/>
        <v>4</v>
      </c>
      <c r="M1590" s="5">
        <f t="shared" si="539"/>
        <v>2023</v>
      </c>
      <c r="N1590" s="6">
        <v>110</v>
      </c>
      <c r="O1590" s="6">
        <f t="shared" si="544"/>
        <v>-110</v>
      </c>
      <c r="P1590" s="6">
        <f t="shared" si="540"/>
        <v>0</v>
      </c>
      <c r="Q1590" s="7">
        <f t="shared" si="541"/>
        <v>2925074.6500000008</v>
      </c>
      <c r="R1590" s="44" t="str">
        <f>VLOOKUP(F1590,'Set up'!$A$2:$E$48,5,FALSE)</f>
        <v>Trsf</v>
      </c>
      <c r="S1590" s="1" t="s">
        <v>2319</v>
      </c>
    </row>
    <row r="1591" spans="1:19" x14ac:dyDescent="0.3">
      <c r="A1591" s="4" t="s">
        <v>1436</v>
      </c>
      <c r="B1591" s="5">
        <f t="shared" si="536"/>
        <v>4</v>
      </c>
      <c r="C1591" s="5">
        <f t="shared" si="537"/>
        <v>2023</v>
      </c>
      <c r="D1591" s="5" t="s">
        <v>1434</v>
      </c>
      <c r="E1591" s="5" t="str">
        <f>VLOOKUP(F1591,'Set up'!$A$2:$C$48,2,FALSE)</f>
        <v>C00000020</v>
      </c>
      <c r="F1591" s="1" t="s">
        <v>410</v>
      </c>
      <c r="G1591" s="89" t="s">
        <v>1111</v>
      </c>
      <c r="H1591" s="5">
        <v>5</v>
      </c>
      <c r="I1591" s="5" t="str">
        <f>VLOOKUP(F1591,'Set up'!$A$2:$C$48,3,FALSE)</f>
        <v>Cash</v>
      </c>
      <c r="J1591" s="5">
        <f>VLOOKUP(F1591,'Set up'!$A$2:$D$48,4,FALSE)</f>
        <v>0</v>
      </c>
      <c r="K1591" s="4">
        <f t="shared" si="532"/>
        <v>45031</v>
      </c>
      <c r="L1591" s="5">
        <f t="shared" si="538"/>
        <v>4</v>
      </c>
      <c r="M1591" s="5">
        <f t="shared" si="539"/>
        <v>2023</v>
      </c>
      <c r="N1591" s="6">
        <v>312.5</v>
      </c>
      <c r="P1591" s="6">
        <f t="shared" si="540"/>
        <v>312.5</v>
      </c>
      <c r="Q1591" s="7">
        <f t="shared" si="541"/>
        <v>2925387.1500000008</v>
      </c>
      <c r="R1591" s="44" t="str">
        <f>VLOOKUP(F1591,'Set up'!$A$2:$E$48,5,FALSE)</f>
        <v>Trsf</v>
      </c>
    </row>
    <row r="1592" spans="1:19" x14ac:dyDescent="0.3">
      <c r="A1592" s="4" t="s">
        <v>1436</v>
      </c>
      <c r="B1592" s="5">
        <f t="shared" si="536"/>
        <v>4</v>
      </c>
      <c r="C1592" s="5">
        <f t="shared" si="537"/>
        <v>2023</v>
      </c>
      <c r="D1592" s="5" t="s">
        <v>1435</v>
      </c>
      <c r="E1592" s="5" t="str">
        <f>VLOOKUP(F1592,'Set up'!$A$2:$C$48,2,FALSE)</f>
        <v>C00000020</v>
      </c>
      <c r="F1592" s="1" t="s">
        <v>410</v>
      </c>
      <c r="G1592" s="89" t="s">
        <v>1409</v>
      </c>
      <c r="H1592" s="5">
        <v>5</v>
      </c>
      <c r="I1592" s="5" t="str">
        <f>VLOOKUP(F1592,'Set up'!$A$2:$C$48,3,FALSE)</f>
        <v>Cash</v>
      </c>
      <c r="J1592" s="5">
        <f>VLOOKUP(F1592,'Set up'!$A$2:$D$48,4,FALSE)</f>
        <v>0</v>
      </c>
      <c r="K1592" s="4">
        <f t="shared" si="532"/>
        <v>45031</v>
      </c>
      <c r="L1592" s="5">
        <f t="shared" si="538"/>
        <v>4</v>
      </c>
      <c r="M1592" s="5">
        <f t="shared" si="539"/>
        <v>2023</v>
      </c>
      <c r="N1592" s="6">
        <v>8910</v>
      </c>
      <c r="P1592" s="6">
        <f t="shared" si="540"/>
        <v>8910</v>
      </c>
      <c r="Q1592" s="7">
        <f t="shared" si="541"/>
        <v>2934297.1500000008</v>
      </c>
      <c r="R1592" s="44" t="str">
        <f>VLOOKUP(F1592,'Set up'!$A$2:$E$48,5,FALSE)</f>
        <v>Trsf</v>
      </c>
    </row>
    <row r="1593" spans="1:19" x14ac:dyDescent="0.3">
      <c r="A1593" s="4" t="s">
        <v>1436</v>
      </c>
      <c r="B1593" s="5">
        <f t="shared" si="536"/>
        <v>4</v>
      </c>
      <c r="C1593" s="5">
        <f t="shared" si="537"/>
        <v>2023</v>
      </c>
      <c r="D1593" s="5" t="s">
        <v>1435</v>
      </c>
      <c r="E1593" s="5" t="str">
        <f>VLOOKUP(F1593,'Set up'!$A$2:$C$48,2,FALSE)</f>
        <v>C00000020</v>
      </c>
      <c r="F1593" s="1" t="s">
        <v>410</v>
      </c>
      <c r="G1593" s="89" t="s">
        <v>655</v>
      </c>
      <c r="H1593" s="5">
        <v>15</v>
      </c>
      <c r="I1593" s="5" t="str">
        <f>VLOOKUP(F1593,'Set up'!$A$2:$C$48,3,FALSE)</f>
        <v>Cash</v>
      </c>
      <c r="J1593" s="5">
        <f>VLOOKUP(F1593,'Set up'!$A$2:$D$48,4,FALSE)</f>
        <v>0</v>
      </c>
      <c r="K1593" s="4">
        <f t="shared" si="532"/>
        <v>45031</v>
      </c>
      <c r="L1593" s="5">
        <f t="shared" si="538"/>
        <v>4</v>
      </c>
      <c r="M1593" s="5">
        <f t="shared" si="539"/>
        <v>2023</v>
      </c>
      <c r="N1593" s="6">
        <v>3420</v>
      </c>
      <c r="P1593" s="6">
        <f t="shared" si="540"/>
        <v>3420</v>
      </c>
      <c r="Q1593" s="7">
        <f t="shared" si="541"/>
        <v>2937717.1500000008</v>
      </c>
      <c r="R1593" s="44" t="str">
        <f>VLOOKUP(F1593,'Set up'!$A$2:$E$48,5,FALSE)</f>
        <v>Trsf</v>
      </c>
    </row>
    <row r="1594" spans="1:19" x14ac:dyDescent="0.3">
      <c r="A1594" s="4" t="s">
        <v>1436</v>
      </c>
      <c r="B1594" s="5">
        <f t="shared" si="536"/>
        <v>4</v>
      </c>
      <c r="C1594" s="5">
        <f t="shared" si="537"/>
        <v>2023</v>
      </c>
      <c r="D1594" s="5" t="s">
        <v>1435</v>
      </c>
      <c r="E1594" s="5" t="str">
        <f>VLOOKUP(F1594,'Set up'!$A$2:$C$48,2,FALSE)</f>
        <v>C00000020</v>
      </c>
      <c r="F1594" s="1" t="s">
        <v>410</v>
      </c>
      <c r="G1594" s="89" t="s">
        <v>1438</v>
      </c>
      <c r="H1594" s="5">
        <v>7</v>
      </c>
      <c r="I1594" s="5" t="str">
        <f>VLOOKUP(F1594,'Set up'!$A$2:$C$48,3,FALSE)</f>
        <v>Cash</v>
      </c>
      <c r="J1594" s="5">
        <f>VLOOKUP(F1594,'Set up'!$A$2:$D$48,4,FALSE)</f>
        <v>0</v>
      </c>
      <c r="K1594" s="4">
        <f t="shared" si="532"/>
        <v>45031</v>
      </c>
      <c r="L1594" s="5">
        <f t="shared" si="538"/>
        <v>4</v>
      </c>
      <c r="M1594" s="5">
        <f t="shared" si="539"/>
        <v>2023</v>
      </c>
      <c r="N1594" s="6">
        <v>1852.2000000000003</v>
      </c>
      <c r="P1594" s="6">
        <f t="shared" si="540"/>
        <v>1852.2000000000003</v>
      </c>
      <c r="Q1594" s="7">
        <f t="shared" si="541"/>
        <v>2939569.350000001</v>
      </c>
      <c r="R1594" s="44" t="str">
        <f>VLOOKUP(F1594,'Set up'!$A$2:$E$48,5,FALSE)</f>
        <v>Trsf</v>
      </c>
    </row>
    <row r="1595" spans="1:19" x14ac:dyDescent="0.3">
      <c r="A1595" s="4" t="s">
        <v>1436</v>
      </c>
      <c r="B1595" s="5">
        <f t="shared" si="536"/>
        <v>4</v>
      </c>
      <c r="C1595" s="5">
        <f t="shared" si="537"/>
        <v>2023</v>
      </c>
      <c r="D1595" s="5" t="s">
        <v>1435</v>
      </c>
      <c r="E1595" s="5" t="str">
        <f>VLOOKUP(F1595,'Set up'!$A$2:$C$48,2,FALSE)</f>
        <v>C00000020</v>
      </c>
      <c r="F1595" s="1" t="s">
        <v>410</v>
      </c>
      <c r="G1595" s="89" t="s">
        <v>1074</v>
      </c>
      <c r="H1595" s="5">
        <v>1</v>
      </c>
      <c r="I1595" s="5" t="str">
        <f>VLOOKUP(F1595,'Set up'!$A$2:$C$48,3,FALSE)</f>
        <v>Cash</v>
      </c>
      <c r="J1595" s="5">
        <f>VLOOKUP(F1595,'Set up'!$A$2:$D$48,4,FALSE)</f>
        <v>0</v>
      </c>
      <c r="K1595" s="4">
        <f t="shared" si="532"/>
        <v>45031</v>
      </c>
      <c r="L1595" s="5">
        <f t="shared" si="538"/>
        <v>4</v>
      </c>
      <c r="M1595" s="5">
        <f t="shared" si="539"/>
        <v>2023</v>
      </c>
      <c r="N1595" s="6">
        <v>1000</v>
      </c>
      <c r="P1595" s="6">
        <f t="shared" si="540"/>
        <v>1000</v>
      </c>
      <c r="Q1595" s="7">
        <f t="shared" si="541"/>
        <v>2940569.350000001</v>
      </c>
      <c r="R1595" s="44" t="str">
        <f>VLOOKUP(F1595,'Set up'!$A$2:$E$48,5,FALSE)</f>
        <v>Trsf</v>
      </c>
    </row>
    <row r="1596" spans="1:19" hidden="1" x14ac:dyDescent="0.3">
      <c r="A1596" s="4" t="s">
        <v>1440</v>
      </c>
      <c r="B1596" s="5">
        <f t="shared" ref="B1596:B1619" si="545">MONTH(A1596)</f>
        <v>4</v>
      </c>
      <c r="C1596" s="5">
        <f t="shared" ref="C1596:C1619" si="546">YEAR(A1596)</f>
        <v>2023</v>
      </c>
      <c r="D1596" s="5" t="s">
        <v>1439</v>
      </c>
      <c r="E1596" s="5" t="str">
        <f>VLOOKUP(F1596,'Set up'!$A$2:$C$48,2,FALSE)</f>
        <v>C00000021</v>
      </c>
      <c r="F1596" s="1" t="s">
        <v>492</v>
      </c>
      <c r="G1596" s="89" t="s">
        <v>717</v>
      </c>
      <c r="H1596" s="5">
        <v>1</v>
      </c>
      <c r="I1596" s="5" t="str">
        <f>VLOOKUP(F1596,'Set up'!$A$2:$C$48,3,FALSE)</f>
        <v>Cash</v>
      </c>
      <c r="J1596" s="5">
        <f>VLOOKUP(F1596,'Set up'!$A$2:$D$48,4,FALSE)</f>
        <v>0</v>
      </c>
      <c r="K1596" s="4">
        <f t="shared" si="532"/>
        <v>45034</v>
      </c>
      <c r="L1596" s="5">
        <f t="shared" ref="L1596:L1620" si="547">MONTH(K1596)</f>
        <v>4</v>
      </c>
      <c r="M1596" s="5">
        <f t="shared" ref="M1596:M1620" si="548">YEAR(K1596)</f>
        <v>2023</v>
      </c>
      <c r="N1596" s="6">
        <v>1870</v>
      </c>
      <c r="O1596" s="6">
        <f t="shared" ref="O1596:O1599" si="549">-N1596</f>
        <v>-1870</v>
      </c>
      <c r="P1596" s="6">
        <f t="shared" ref="P1596:P1620" si="550">SUM(N1596+O1596)</f>
        <v>0</v>
      </c>
      <c r="Q1596" s="7">
        <f t="shared" ref="Q1596:Q1620" si="551">SUM(Q1595+N1596)</f>
        <v>2942439.350000001</v>
      </c>
      <c r="R1596" s="44" t="str">
        <f>VLOOKUP(F1596,'Set up'!$A$2:$E$48,5,FALSE)</f>
        <v>PD Chq</v>
      </c>
      <c r="S1596" s="1" t="s">
        <v>2149</v>
      </c>
    </row>
    <row r="1597" spans="1:19" hidden="1" x14ac:dyDescent="0.3">
      <c r="A1597" s="4" t="s">
        <v>1440</v>
      </c>
      <c r="B1597" s="5">
        <f t="shared" si="545"/>
        <v>4</v>
      </c>
      <c r="C1597" s="5">
        <f t="shared" si="546"/>
        <v>2023</v>
      </c>
      <c r="D1597" s="5" t="s">
        <v>1439</v>
      </c>
      <c r="E1597" s="5" t="str">
        <f>VLOOKUP(F1597,'Set up'!$A$2:$C$48,2,FALSE)</f>
        <v>C00000021</v>
      </c>
      <c r="F1597" s="1" t="s">
        <v>492</v>
      </c>
      <c r="G1597" s="89" t="s">
        <v>655</v>
      </c>
      <c r="H1597" s="5">
        <v>3</v>
      </c>
      <c r="I1597" s="5" t="str">
        <f>VLOOKUP(F1597,'Set up'!$A$2:$C$48,3,FALSE)</f>
        <v>Cash</v>
      </c>
      <c r="J1597" s="5">
        <f>VLOOKUP(F1597,'Set up'!$A$2:$D$48,4,FALSE)</f>
        <v>0</v>
      </c>
      <c r="K1597" s="4">
        <f t="shared" si="532"/>
        <v>45034</v>
      </c>
      <c r="L1597" s="5">
        <f t="shared" si="547"/>
        <v>4</v>
      </c>
      <c r="M1597" s="5">
        <f t="shared" si="548"/>
        <v>2023</v>
      </c>
      <c r="N1597" s="6">
        <v>765</v>
      </c>
      <c r="O1597" s="6">
        <f t="shared" si="549"/>
        <v>-765</v>
      </c>
      <c r="P1597" s="6">
        <f t="shared" si="550"/>
        <v>0</v>
      </c>
      <c r="Q1597" s="7">
        <f t="shared" si="551"/>
        <v>2943204.350000001</v>
      </c>
      <c r="R1597" s="44" t="str">
        <f>VLOOKUP(F1597,'Set up'!$A$2:$E$48,5,FALSE)</f>
        <v>PD Chq</v>
      </c>
      <c r="S1597" s="1" t="s">
        <v>2149</v>
      </c>
    </row>
    <row r="1598" spans="1:19" hidden="1" x14ac:dyDescent="0.3">
      <c r="A1598" s="4" t="s">
        <v>1440</v>
      </c>
      <c r="B1598" s="5">
        <f t="shared" si="545"/>
        <v>4</v>
      </c>
      <c r="C1598" s="5">
        <f t="shared" si="546"/>
        <v>2023</v>
      </c>
      <c r="D1598" s="5" t="s">
        <v>1439</v>
      </c>
      <c r="E1598" s="5" t="str">
        <f>VLOOKUP(F1598,'Set up'!$A$2:$C$48,2,FALSE)</f>
        <v>C00000021</v>
      </c>
      <c r="F1598" s="1" t="s">
        <v>492</v>
      </c>
      <c r="G1598" s="89" t="s">
        <v>1111</v>
      </c>
      <c r="H1598" s="5">
        <v>5</v>
      </c>
      <c r="I1598" s="5" t="str">
        <f>VLOOKUP(F1598,'Set up'!$A$2:$C$48,3,FALSE)</f>
        <v>Cash</v>
      </c>
      <c r="J1598" s="5">
        <f>VLOOKUP(F1598,'Set up'!$A$2:$D$48,4,FALSE)</f>
        <v>0</v>
      </c>
      <c r="K1598" s="4">
        <f t="shared" si="532"/>
        <v>45034</v>
      </c>
      <c r="L1598" s="5">
        <f t="shared" si="547"/>
        <v>4</v>
      </c>
      <c r="M1598" s="5">
        <f t="shared" si="548"/>
        <v>2023</v>
      </c>
      <c r="N1598" s="6">
        <v>312.5</v>
      </c>
      <c r="O1598" s="6">
        <f t="shared" si="549"/>
        <v>-312.5</v>
      </c>
      <c r="P1598" s="6">
        <f t="shared" si="550"/>
        <v>0</v>
      </c>
      <c r="Q1598" s="7">
        <f t="shared" si="551"/>
        <v>2943516.850000001</v>
      </c>
      <c r="R1598" s="44" t="str">
        <f>VLOOKUP(F1598,'Set up'!$A$2:$E$48,5,FALSE)</f>
        <v>PD Chq</v>
      </c>
      <c r="S1598" s="1" t="s">
        <v>2149</v>
      </c>
    </row>
    <row r="1599" spans="1:19" hidden="1" x14ac:dyDescent="0.3">
      <c r="A1599" s="4" t="s">
        <v>1440</v>
      </c>
      <c r="B1599" s="5">
        <f t="shared" si="545"/>
        <v>4</v>
      </c>
      <c r="C1599" s="5">
        <f t="shared" si="546"/>
        <v>2023</v>
      </c>
      <c r="D1599" s="5" t="s">
        <v>1439</v>
      </c>
      <c r="E1599" s="5" t="str">
        <f>VLOOKUP(F1599,'Set up'!$A$2:$C$48,2,FALSE)</f>
        <v>C00000021</v>
      </c>
      <c r="F1599" s="1" t="s">
        <v>492</v>
      </c>
      <c r="G1599" s="89" t="s">
        <v>667</v>
      </c>
      <c r="H1599" s="5">
        <v>2</v>
      </c>
      <c r="I1599" s="5" t="str">
        <f>VLOOKUP(F1599,'Set up'!$A$2:$C$48,3,FALSE)</f>
        <v>Cash</v>
      </c>
      <c r="J1599" s="5">
        <f>VLOOKUP(F1599,'Set up'!$A$2:$D$48,4,FALSE)</f>
        <v>0</v>
      </c>
      <c r="K1599" s="4">
        <f t="shared" si="532"/>
        <v>45034</v>
      </c>
      <c r="L1599" s="5">
        <f t="shared" si="547"/>
        <v>4</v>
      </c>
      <c r="M1599" s="5">
        <f t="shared" si="548"/>
        <v>2023</v>
      </c>
      <c r="N1599" s="6">
        <v>190</v>
      </c>
      <c r="O1599" s="6">
        <f t="shared" si="549"/>
        <v>-190</v>
      </c>
      <c r="P1599" s="6">
        <f t="shared" si="550"/>
        <v>0</v>
      </c>
      <c r="Q1599" s="7">
        <f t="shared" si="551"/>
        <v>2943706.850000001</v>
      </c>
      <c r="R1599" s="44" t="str">
        <f>VLOOKUP(F1599,'Set up'!$A$2:$E$48,5,FALSE)</f>
        <v>PD Chq</v>
      </c>
      <c r="S1599" s="1" t="s">
        <v>2149</v>
      </c>
    </row>
    <row r="1600" spans="1:19" hidden="1" x14ac:dyDescent="0.3">
      <c r="A1600" s="4" t="s">
        <v>1442</v>
      </c>
      <c r="B1600" s="5">
        <f t="shared" si="545"/>
        <v>4</v>
      </c>
      <c r="C1600" s="5">
        <f t="shared" si="546"/>
        <v>2023</v>
      </c>
      <c r="D1600" s="5" t="s">
        <v>1441</v>
      </c>
      <c r="E1600" s="5" t="str">
        <f>VLOOKUP(F1600,'Set up'!$A$2:$C$48,2,FALSE)</f>
        <v>C00000009</v>
      </c>
      <c r="F1600" s="1" t="s">
        <v>58</v>
      </c>
      <c r="G1600" s="11" t="s">
        <v>95</v>
      </c>
      <c r="H1600" s="5">
        <v>2</v>
      </c>
      <c r="I1600" s="5">
        <f>VLOOKUP(F1600,'Set up'!$A$2:$C$48,3,FALSE)</f>
        <v>60</v>
      </c>
      <c r="J1600" s="5">
        <f>VLOOKUP(F1600,'Set up'!$A$2:$D$48,4,FALSE)</f>
        <v>60</v>
      </c>
      <c r="K1600" s="4">
        <f t="shared" si="532"/>
        <v>45095</v>
      </c>
      <c r="L1600" s="5">
        <f t="shared" si="547"/>
        <v>6</v>
      </c>
      <c r="M1600" s="5">
        <f t="shared" si="548"/>
        <v>2023</v>
      </c>
      <c r="N1600" s="6">
        <v>3388</v>
      </c>
      <c r="O1600" s="6">
        <f t="shared" ref="O1600:O1602" si="552">-N1600</f>
        <v>-3388</v>
      </c>
      <c r="P1600" s="6">
        <f t="shared" si="550"/>
        <v>0</v>
      </c>
      <c r="Q1600" s="7">
        <f t="shared" si="551"/>
        <v>2947094.850000001</v>
      </c>
      <c r="R1600" s="44" t="str">
        <f>VLOOKUP(F1600,'Set up'!$A$2:$E$48,5,FALSE)</f>
        <v>Chq</v>
      </c>
      <c r="S1600" s="1" t="s">
        <v>1846</v>
      </c>
    </row>
    <row r="1601" spans="1:19" hidden="1" x14ac:dyDescent="0.3">
      <c r="A1601" s="4" t="s">
        <v>1442</v>
      </c>
      <c r="B1601" s="5">
        <f t="shared" si="545"/>
        <v>4</v>
      </c>
      <c r="C1601" s="5">
        <f t="shared" si="546"/>
        <v>2023</v>
      </c>
      <c r="D1601" s="5" t="s">
        <v>1441</v>
      </c>
      <c r="E1601" s="5" t="str">
        <f>VLOOKUP(F1601,'Set up'!$A$2:$C$48,2,FALSE)</f>
        <v>C00000009</v>
      </c>
      <c r="F1601" s="1" t="s">
        <v>58</v>
      </c>
      <c r="G1601" s="11" t="s">
        <v>708</v>
      </c>
      <c r="H1601" s="5">
        <v>2</v>
      </c>
      <c r="I1601" s="5">
        <f>VLOOKUP(F1601,'Set up'!$A$2:$C$48,3,FALSE)</f>
        <v>60</v>
      </c>
      <c r="J1601" s="5">
        <f>VLOOKUP(F1601,'Set up'!$A$2:$D$48,4,FALSE)</f>
        <v>60</v>
      </c>
      <c r="K1601" s="4">
        <f t="shared" si="532"/>
        <v>45095</v>
      </c>
      <c r="L1601" s="5">
        <f t="shared" si="547"/>
        <v>6</v>
      </c>
      <c r="M1601" s="5">
        <f t="shared" si="548"/>
        <v>2023</v>
      </c>
      <c r="N1601" s="6">
        <v>745.2</v>
      </c>
      <c r="O1601" s="6">
        <f t="shared" si="552"/>
        <v>-745.2</v>
      </c>
      <c r="P1601" s="6">
        <f t="shared" si="550"/>
        <v>0</v>
      </c>
      <c r="Q1601" s="7">
        <f t="shared" si="551"/>
        <v>2947840.0500000012</v>
      </c>
      <c r="R1601" s="44" t="str">
        <f>VLOOKUP(F1601,'Set up'!$A$2:$E$48,5,FALSE)</f>
        <v>Chq</v>
      </c>
      <c r="S1601" s="1" t="s">
        <v>1846</v>
      </c>
    </row>
    <row r="1602" spans="1:19" hidden="1" x14ac:dyDescent="0.3">
      <c r="A1602" s="4" t="s">
        <v>1442</v>
      </c>
      <c r="B1602" s="5">
        <f t="shared" si="545"/>
        <v>4</v>
      </c>
      <c r="C1602" s="5">
        <f t="shared" si="546"/>
        <v>2023</v>
      </c>
      <c r="D1602" s="5" t="s">
        <v>1441</v>
      </c>
      <c r="E1602" s="5" t="str">
        <f>VLOOKUP(F1602,'Set up'!$A$2:$C$48,2,FALSE)</f>
        <v>C00000009</v>
      </c>
      <c r="F1602" s="1" t="s">
        <v>58</v>
      </c>
      <c r="G1602" s="89" t="s">
        <v>1008</v>
      </c>
      <c r="H1602" s="5">
        <v>2</v>
      </c>
      <c r="I1602" s="5">
        <f>VLOOKUP(F1602,'Set up'!$A$2:$C$48,3,FALSE)</f>
        <v>60</v>
      </c>
      <c r="J1602" s="5">
        <f>VLOOKUP(F1602,'Set up'!$A$2:$D$48,4,FALSE)</f>
        <v>60</v>
      </c>
      <c r="K1602" s="4">
        <f t="shared" si="532"/>
        <v>45095</v>
      </c>
      <c r="L1602" s="5">
        <f t="shared" si="547"/>
        <v>6</v>
      </c>
      <c r="M1602" s="5">
        <f t="shared" si="548"/>
        <v>2023</v>
      </c>
      <c r="N1602" s="6">
        <v>745.2</v>
      </c>
      <c r="O1602" s="6">
        <f t="shared" si="552"/>
        <v>-745.2</v>
      </c>
      <c r="P1602" s="6">
        <f t="shared" si="550"/>
        <v>0</v>
      </c>
      <c r="Q1602" s="7">
        <f t="shared" si="551"/>
        <v>2948585.2500000014</v>
      </c>
      <c r="R1602" s="44" t="str">
        <f>VLOOKUP(F1602,'Set up'!$A$2:$E$48,5,FALSE)</f>
        <v>Chq</v>
      </c>
      <c r="S1602" s="1" t="s">
        <v>1846</v>
      </c>
    </row>
    <row r="1603" spans="1:19" hidden="1" x14ac:dyDescent="0.3">
      <c r="A1603" s="4" t="s">
        <v>1456</v>
      </c>
      <c r="B1603" s="5">
        <f t="shared" si="545"/>
        <v>4</v>
      </c>
      <c r="C1603" s="5">
        <f t="shared" si="546"/>
        <v>2023</v>
      </c>
      <c r="D1603" s="5" t="s">
        <v>1455</v>
      </c>
      <c r="E1603" s="5" t="str">
        <f>VLOOKUP(F1603,'Set up'!$A$2:$C$48,2,FALSE)</f>
        <v>C00000013</v>
      </c>
      <c r="F1603" s="1" t="s">
        <v>1454</v>
      </c>
      <c r="G1603" s="89" t="s">
        <v>1443</v>
      </c>
      <c r="H1603" s="5">
        <v>3</v>
      </c>
      <c r="I1603" s="5" t="str">
        <f>VLOOKUP(F1603,'Set up'!$A$2:$C$48,3,FALSE)</f>
        <v>Cash</v>
      </c>
      <c r="J1603" s="5">
        <f>VLOOKUP(F1603,'Set up'!$A$2:$D$48,4,FALSE)</f>
        <v>0</v>
      </c>
      <c r="K1603" s="4">
        <f t="shared" si="532"/>
        <v>45036</v>
      </c>
      <c r="L1603" s="5">
        <f t="shared" si="547"/>
        <v>4</v>
      </c>
      <c r="M1603" s="5">
        <f t="shared" si="548"/>
        <v>2023</v>
      </c>
      <c r="N1603" s="6">
        <v>5478</v>
      </c>
      <c r="O1603" s="6">
        <f t="shared" ref="O1603:O1612" si="553">-N1603</f>
        <v>-5478</v>
      </c>
      <c r="P1603" s="6">
        <f t="shared" si="550"/>
        <v>0</v>
      </c>
      <c r="Q1603" s="7">
        <f t="shared" si="551"/>
        <v>2954063.2500000014</v>
      </c>
      <c r="R1603" s="44" t="str">
        <f>VLOOKUP(F1603,'Set up'!$A$2:$E$48,5,FALSE)</f>
        <v>Chq</v>
      </c>
      <c r="S1603" s="1" t="s">
        <v>1489</v>
      </c>
    </row>
    <row r="1604" spans="1:19" hidden="1" x14ac:dyDescent="0.3">
      <c r="A1604" s="4" t="s">
        <v>1456</v>
      </c>
      <c r="B1604" s="5">
        <f t="shared" si="545"/>
        <v>4</v>
      </c>
      <c r="C1604" s="5">
        <f t="shared" si="546"/>
        <v>2023</v>
      </c>
      <c r="D1604" s="5" t="s">
        <v>1455</v>
      </c>
      <c r="E1604" s="5" t="str">
        <f>VLOOKUP(F1604,'Set up'!$A$2:$C$48,2,FALSE)</f>
        <v>C00000013</v>
      </c>
      <c r="F1604" s="1" t="s">
        <v>1454</v>
      </c>
      <c r="G1604" s="89" t="s">
        <v>1444</v>
      </c>
      <c r="H1604" s="5">
        <v>5</v>
      </c>
      <c r="I1604" s="5" t="str">
        <f>VLOOKUP(F1604,'Set up'!$A$2:$C$48,3,FALSE)</f>
        <v>Cash</v>
      </c>
      <c r="J1604" s="5">
        <f>VLOOKUP(F1604,'Set up'!$A$2:$D$48,4,FALSE)</f>
        <v>0</v>
      </c>
      <c r="K1604" s="4">
        <f t="shared" si="532"/>
        <v>45036</v>
      </c>
      <c r="L1604" s="5">
        <f t="shared" si="547"/>
        <v>4</v>
      </c>
      <c r="M1604" s="5">
        <f t="shared" si="548"/>
        <v>2023</v>
      </c>
      <c r="N1604" s="6">
        <v>2133</v>
      </c>
      <c r="O1604" s="6">
        <f t="shared" si="553"/>
        <v>-2133</v>
      </c>
      <c r="P1604" s="6">
        <f t="shared" si="550"/>
        <v>0</v>
      </c>
      <c r="Q1604" s="7">
        <f t="shared" si="551"/>
        <v>2956196.2500000014</v>
      </c>
      <c r="R1604" s="44" t="str">
        <f>VLOOKUP(F1604,'Set up'!$A$2:$E$48,5,FALSE)</f>
        <v>Chq</v>
      </c>
      <c r="S1604" s="1" t="s">
        <v>1490</v>
      </c>
    </row>
    <row r="1605" spans="1:19" hidden="1" x14ac:dyDescent="0.3">
      <c r="A1605" s="4" t="s">
        <v>1456</v>
      </c>
      <c r="B1605" s="5">
        <f t="shared" si="545"/>
        <v>4</v>
      </c>
      <c r="C1605" s="5">
        <f t="shared" si="546"/>
        <v>2023</v>
      </c>
      <c r="D1605" s="5" t="s">
        <v>1455</v>
      </c>
      <c r="E1605" s="5" t="str">
        <f>VLOOKUP(F1605,'Set up'!$A$2:$C$48,2,FALSE)</f>
        <v>C00000013</v>
      </c>
      <c r="F1605" s="1" t="s">
        <v>1454</v>
      </c>
      <c r="G1605" s="89" t="s">
        <v>1445</v>
      </c>
      <c r="H1605" s="5">
        <v>3</v>
      </c>
      <c r="I1605" s="5" t="str">
        <f>VLOOKUP(F1605,'Set up'!$A$2:$C$48,3,FALSE)</f>
        <v>Cash</v>
      </c>
      <c r="J1605" s="5">
        <f>VLOOKUP(F1605,'Set up'!$A$2:$D$48,4,FALSE)</f>
        <v>0</v>
      </c>
      <c r="K1605" s="4">
        <f t="shared" si="532"/>
        <v>45036</v>
      </c>
      <c r="L1605" s="5">
        <f t="shared" si="547"/>
        <v>4</v>
      </c>
      <c r="M1605" s="5">
        <f t="shared" si="548"/>
        <v>2023</v>
      </c>
      <c r="N1605" s="6">
        <v>1279.8000000000002</v>
      </c>
      <c r="O1605" s="6">
        <f t="shared" si="553"/>
        <v>-1279.8000000000002</v>
      </c>
      <c r="P1605" s="6">
        <f t="shared" si="550"/>
        <v>0</v>
      </c>
      <c r="Q1605" s="7">
        <f t="shared" si="551"/>
        <v>2957476.0500000012</v>
      </c>
      <c r="R1605" s="44" t="str">
        <f>VLOOKUP(F1605,'Set up'!$A$2:$E$48,5,FALSE)</f>
        <v>Chq</v>
      </c>
      <c r="S1605" s="1" t="s">
        <v>1491</v>
      </c>
    </row>
    <row r="1606" spans="1:19" hidden="1" x14ac:dyDescent="0.3">
      <c r="A1606" s="4" t="s">
        <v>1456</v>
      </c>
      <c r="B1606" s="5">
        <f t="shared" si="545"/>
        <v>4</v>
      </c>
      <c r="C1606" s="5">
        <f t="shared" si="546"/>
        <v>2023</v>
      </c>
      <c r="D1606" s="5" t="s">
        <v>1455</v>
      </c>
      <c r="E1606" s="5" t="str">
        <f>VLOOKUP(F1606,'Set up'!$A$2:$C$48,2,FALSE)</f>
        <v>C00000013</v>
      </c>
      <c r="F1606" s="1" t="s">
        <v>1454</v>
      </c>
      <c r="G1606" s="89" t="s">
        <v>1446</v>
      </c>
      <c r="H1606" s="5">
        <v>5</v>
      </c>
      <c r="I1606" s="5" t="str">
        <f>VLOOKUP(F1606,'Set up'!$A$2:$C$48,3,FALSE)</f>
        <v>Cash</v>
      </c>
      <c r="J1606" s="5">
        <f>VLOOKUP(F1606,'Set up'!$A$2:$D$48,4,FALSE)</f>
        <v>0</v>
      </c>
      <c r="K1606" s="4">
        <f t="shared" si="532"/>
        <v>45036</v>
      </c>
      <c r="L1606" s="5">
        <f t="shared" si="547"/>
        <v>4</v>
      </c>
      <c r="M1606" s="5">
        <f t="shared" si="548"/>
        <v>2023</v>
      </c>
      <c r="N1606" s="6">
        <v>1290</v>
      </c>
      <c r="O1606" s="6">
        <f t="shared" si="553"/>
        <v>-1290</v>
      </c>
      <c r="P1606" s="6">
        <f t="shared" si="550"/>
        <v>0</v>
      </c>
      <c r="Q1606" s="7">
        <f t="shared" si="551"/>
        <v>2958766.0500000012</v>
      </c>
      <c r="R1606" s="44" t="str">
        <f>VLOOKUP(F1606,'Set up'!$A$2:$E$48,5,FALSE)</f>
        <v>Chq</v>
      </c>
      <c r="S1606" s="1" t="s">
        <v>1492</v>
      </c>
    </row>
    <row r="1607" spans="1:19" hidden="1" x14ac:dyDescent="0.3">
      <c r="A1607" s="4" t="s">
        <v>1456</v>
      </c>
      <c r="B1607" s="5">
        <f t="shared" si="545"/>
        <v>4</v>
      </c>
      <c r="C1607" s="5">
        <f t="shared" si="546"/>
        <v>2023</v>
      </c>
      <c r="D1607" s="5" t="s">
        <v>1455</v>
      </c>
      <c r="E1607" s="5" t="str">
        <f>VLOOKUP(F1607,'Set up'!$A$2:$C$48,2,FALSE)</f>
        <v>C00000013</v>
      </c>
      <c r="F1607" s="1" t="s">
        <v>1454</v>
      </c>
      <c r="G1607" s="89" t="s">
        <v>1447</v>
      </c>
      <c r="H1607" s="5">
        <v>12</v>
      </c>
      <c r="I1607" s="5" t="str">
        <f>VLOOKUP(F1607,'Set up'!$A$2:$C$48,3,FALSE)</f>
        <v>Cash</v>
      </c>
      <c r="J1607" s="5">
        <f>VLOOKUP(F1607,'Set up'!$A$2:$D$48,4,FALSE)</f>
        <v>0</v>
      </c>
      <c r="K1607" s="4">
        <f t="shared" si="532"/>
        <v>45036</v>
      </c>
      <c r="L1607" s="5">
        <f t="shared" si="547"/>
        <v>4</v>
      </c>
      <c r="M1607" s="5">
        <f t="shared" si="548"/>
        <v>2023</v>
      </c>
      <c r="N1607" s="6">
        <v>600</v>
      </c>
      <c r="O1607" s="6">
        <f t="shared" si="553"/>
        <v>-600</v>
      </c>
      <c r="P1607" s="6">
        <f t="shared" si="550"/>
        <v>0</v>
      </c>
      <c r="Q1607" s="7">
        <f t="shared" si="551"/>
        <v>2959366.0500000012</v>
      </c>
      <c r="R1607" s="44" t="str">
        <f>VLOOKUP(F1607,'Set up'!$A$2:$E$48,5,FALSE)</f>
        <v>Chq</v>
      </c>
      <c r="S1607" s="1" t="s">
        <v>1493</v>
      </c>
    </row>
    <row r="1608" spans="1:19" hidden="1" x14ac:dyDescent="0.3">
      <c r="A1608" s="4" t="s">
        <v>1456</v>
      </c>
      <c r="B1608" s="5">
        <f t="shared" si="545"/>
        <v>4</v>
      </c>
      <c r="C1608" s="5">
        <f t="shared" si="546"/>
        <v>2023</v>
      </c>
      <c r="D1608" s="5" t="s">
        <v>1455</v>
      </c>
      <c r="E1608" s="5" t="str">
        <f>VLOOKUP(F1608,'Set up'!$A$2:$C$48,2,FALSE)</f>
        <v>C00000013</v>
      </c>
      <c r="F1608" s="1" t="s">
        <v>1454</v>
      </c>
      <c r="G1608" s="89" t="s">
        <v>1448</v>
      </c>
      <c r="H1608" s="5">
        <v>1</v>
      </c>
      <c r="I1608" s="5" t="str">
        <f>VLOOKUP(F1608,'Set up'!$A$2:$C$48,3,FALSE)</f>
        <v>Cash</v>
      </c>
      <c r="J1608" s="5">
        <f>VLOOKUP(F1608,'Set up'!$A$2:$D$48,4,FALSE)</f>
        <v>0</v>
      </c>
      <c r="K1608" s="4">
        <f t="shared" si="532"/>
        <v>45036</v>
      </c>
      <c r="L1608" s="5">
        <f t="shared" si="547"/>
        <v>4</v>
      </c>
      <c r="M1608" s="5">
        <f t="shared" si="548"/>
        <v>2023</v>
      </c>
      <c r="N1608" s="6">
        <v>800</v>
      </c>
      <c r="O1608" s="6">
        <f t="shared" si="553"/>
        <v>-800</v>
      </c>
      <c r="P1608" s="6">
        <f t="shared" si="550"/>
        <v>0</v>
      </c>
      <c r="Q1608" s="7">
        <f t="shared" si="551"/>
        <v>2960166.0500000012</v>
      </c>
      <c r="R1608" s="44" t="str">
        <f>VLOOKUP(F1608,'Set up'!$A$2:$E$48,5,FALSE)</f>
        <v>Chq</v>
      </c>
      <c r="S1608" s="1" t="s">
        <v>1494</v>
      </c>
    </row>
    <row r="1609" spans="1:19" hidden="1" x14ac:dyDescent="0.3">
      <c r="A1609" s="4" t="s">
        <v>1456</v>
      </c>
      <c r="B1609" s="5">
        <f t="shared" si="545"/>
        <v>4</v>
      </c>
      <c r="C1609" s="5">
        <f t="shared" si="546"/>
        <v>2023</v>
      </c>
      <c r="D1609" s="5" t="s">
        <v>1455</v>
      </c>
      <c r="E1609" s="5" t="str">
        <f>VLOOKUP(F1609,'Set up'!$A$2:$C$48,2,FALSE)</f>
        <v>C00000013</v>
      </c>
      <c r="F1609" s="1" t="s">
        <v>1454</v>
      </c>
      <c r="G1609" s="89" t="s">
        <v>1449</v>
      </c>
      <c r="H1609" s="5">
        <v>2</v>
      </c>
      <c r="I1609" s="5" t="str">
        <f>VLOOKUP(F1609,'Set up'!$A$2:$C$48,3,FALSE)</f>
        <v>Cash</v>
      </c>
      <c r="J1609" s="5">
        <f>VLOOKUP(F1609,'Set up'!$A$2:$D$48,4,FALSE)</f>
        <v>0</v>
      </c>
      <c r="K1609" s="4">
        <f t="shared" si="532"/>
        <v>45036</v>
      </c>
      <c r="L1609" s="5">
        <f t="shared" si="547"/>
        <v>4</v>
      </c>
      <c r="M1609" s="5">
        <f t="shared" si="548"/>
        <v>2023</v>
      </c>
      <c r="N1609" s="6">
        <v>860</v>
      </c>
      <c r="O1609" s="6">
        <f t="shared" si="553"/>
        <v>-860</v>
      </c>
      <c r="P1609" s="6">
        <f t="shared" si="550"/>
        <v>0</v>
      </c>
      <c r="Q1609" s="7">
        <f t="shared" si="551"/>
        <v>2961026.0500000012</v>
      </c>
      <c r="R1609" s="44" t="str">
        <f>VLOOKUP(F1609,'Set up'!$A$2:$E$48,5,FALSE)</f>
        <v>Chq</v>
      </c>
      <c r="S1609" s="1" t="s">
        <v>1495</v>
      </c>
    </row>
    <row r="1610" spans="1:19" hidden="1" x14ac:dyDescent="0.3">
      <c r="A1610" s="4" t="s">
        <v>1456</v>
      </c>
      <c r="B1610" s="5">
        <f t="shared" si="545"/>
        <v>4</v>
      </c>
      <c r="C1610" s="5">
        <f t="shared" si="546"/>
        <v>2023</v>
      </c>
      <c r="D1610" s="5" t="s">
        <v>1455</v>
      </c>
      <c r="E1610" s="5" t="str">
        <f>VLOOKUP(F1610,'Set up'!$A$2:$C$48,2,FALSE)</f>
        <v>C00000013</v>
      </c>
      <c r="F1610" s="1" t="s">
        <v>1454</v>
      </c>
      <c r="G1610" s="89" t="s">
        <v>1450</v>
      </c>
      <c r="H1610" s="5">
        <v>4</v>
      </c>
      <c r="I1610" s="5" t="str">
        <f>VLOOKUP(F1610,'Set up'!$A$2:$C$48,3,FALSE)</f>
        <v>Cash</v>
      </c>
      <c r="J1610" s="5">
        <f>VLOOKUP(F1610,'Set up'!$A$2:$D$48,4,FALSE)</f>
        <v>0</v>
      </c>
      <c r="K1610" s="4">
        <f t="shared" si="532"/>
        <v>45036</v>
      </c>
      <c r="L1610" s="5">
        <f t="shared" si="547"/>
        <v>4</v>
      </c>
      <c r="M1610" s="5">
        <f t="shared" si="548"/>
        <v>2023</v>
      </c>
      <c r="N1610" s="6">
        <v>440</v>
      </c>
      <c r="O1610" s="6">
        <f t="shared" si="553"/>
        <v>-440</v>
      </c>
      <c r="P1610" s="6">
        <f t="shared" si="550"/>
        <v>0</v>
      </c>
      <c r="Q1610" s="7">
        <f t="shared" si="551"/>
        <v>2961466.0500000012</v>
      </c>
      <c r="R1610" s="44" t="str">
        <f>VLOOKUP(F1610,'Set up'!$A$2:$E$48,5,FALSE)</f>
        <v>Chq</v>
      </c>
      <c r="S1610" s="1" t="s">
        <v>1496</v>
      </c>
    </row>
    <row r="1611" spans="1:19" hidden="1" x14ac:dyDescent="0.3">
      <c r="A1611" s="4" t="s">
        <v>1456</v>
      </c>
      <c r="B1611" s="5">
        <f t="shared" si="545"/>
        <v>4</v>
      </c>
      <c r="C1611" s="5">
        <f t="shared" si="546"/>
        <v>2023</v>
      </c>
      <c r="D1611" s="5" t="s">
        <v>1455</v>
      </c>
      <c r="E1611" s="5" t="str">
        <f>VLOOKUP(F1611,'Set up'!$A$2:$C$48,2,FALSE)</f>
        <v>C00000013</v>
      </c>
      <c r="F1611" s="1" t="s">
        <v>1454</v>
      </c>
      <c r="G1611" s="89" t="s">
        <v>1451</v>
      </c>
      <c r="H1611" s="5">
        <v>3</v>
      </c>
      <c r="I1611" s="5" t="str">
        <f>VLOOKUP(F1611,'Set up'!$A$2:$C$48,3,FALSE)</f>
        <v>Cash</v>
      </c>
      <c r="J1611" s="5">
        <f>VLOOKUP(F1611,'Set up'!$A$2:$D$48,4,FALSE)</f>
        <v>0</v>
      </c>
      <c r="K1611" s="4">
        <f t="shared" si="532"/>
        <v>45036</v>
      </c>
      <c r="L1611" s="5">
        <f t="shared" si="547"/>
        <v>4</v>
      </c>
      <c r="M1611" s="5">
        <f t="shared" si="548"/>
        <v>2023</v>
      </c>
      <c r="N1611" s="6">
        <v>180</v>
      </c>
      <c r="O1611" s="6">
        <f t="shared" si="553"/>
        <v>-180</v>
      </c>
      <c r="P1611" s="6">
        <f t="shared" si="550"/>
        <v>0</v>
      </c>
      <c r="Q1611" s="7">
        <f t="shared" si="551"/>
        <v>2961646.0500000012</v>
      </c>
      <c r="R1611" s="44" t="str">
        <f>VLOOKUP(F1611,'Set up'!$A$2:$E$48,5,FALSE)</f>
        <v>Chq</v>
      </c>
      <c r="S1611" s="1" t="s">
        <v>1497</v>
      </c>
    </row>
    <row r="1612" spans="1:19" hidden="1" x14ac:dyDescent="0.3">
      <c r="A1612" s="4" t="s">
        <v>1456</v>
      </c>
      <c r="B1612" s="5">
        <f t="shared" si="545"/>
        <v>4</v>
      </c>
      <c r="C1612" s="5">
        <f t="shared" si="546"/>
        <v>2023</v>
      </c>
      <c r="D1612" s="5" t="s">
        <v>1455</v>
      </c>
      <c r="E1612" s="5" t="str">
        <f>VLOOKUP(F1612,'Set up'!$A$2:$C$48,2,FALSE)</f>
        <v>C00000013</v>
      </c>
      <c r="F1612" s="1" t="s">
        <v>1454</v>
      </c>
      <c r="G1612" s="89" t="s">
        <v>1452</v>
      </c>
      <c r="H1612" s="5">
        <v>2</v>
      </c>
      <c r="I1612" s="5" t="str">
        <f>VLOOKUP(F1612,'Set up'!$A$2:$C$48,3,FALSE)</f>
        <v>Cash</v>
      </c>
      <c r="J1612" s="5">
        <f>VLOOKUP(F1612,'Set up'!$A$2:$D$48,4,FALSE)</f>
        <v>0</v>
      </c>
      <c r="K1612" s="4">
        <f t="shared" si="532"/>
        <v>45036</v>
      </c>
      <c r="L1612" s="5">
        <f t="shared" si="547"/>
        <v>4</v>
      </c>
      <c r="M1612" s="5">
        <f t="shared" si="548"/>
        <v>2023</v>
      </c>
      <c r="N1612" s="6">
        <v>110.4</v>
      </c>
      <c r="O1612" s="6">
        <f t="shared" si="553"/>
        <v>-110.4</v>
      </c>
      <c r="P1612" s="6">
        <f t="shared" si="550"/>
        <v>0</v>
      </c>
      <c r="Q1612" s="7">
        <f t="shared" si="551"/>
        <v>2961756.4500000011</v>
      </c>
      <c r="R1612" s="44" t="str">
        <f>VLOOKUP(F1612,'Set up'!$A$2:$E$48,5,FALSE)</f>
        <v>Chq</v>
      </c>
      <c r="S1612" s="1" t="s">
        <v>1498</v>
      </c>
    </row>
    <row r="1613" spans="1:19" hidden="1" x14ac:dyDescent="0.3">
      <c r="A1613" s="4" t="s">
        <v>1456</v>
      </c>
      <c r="B1613" s="5">
        <f t="shared" si="545"/>
        <v>4</v>
      </c>
      <c r="C1613" s="5">
        <f t="shared" si="546"/>
        <v>2023</v>
      </c>
      <c r="D1613" s="5" t="s">
        <v>1455</v>
      </c>
      <c r="E1613" s="5" t="str">
        <f>VLOOKUP(F1613,'Set up'!$A$2:$C$48,2,FALSE)</f>
        <v>C00000013</v>
      </c>
      <c r="F1613" s="1" t="s">
        <v>1454</v>
      </c>
      <c r="G1613" s="89" t="s">
        <v>1453</v>
      </c>
      <c r="H1613" s="5">
        <v>1</v>
      </c>
      <c r="I1613" s="5" t="str">
        <f>VLOOKUP(F1613,'Set up'!$A$2:$C$48,3,FALSE)</f>
        <v>Cash</v>
      </c>
      <c r="J1613" s="5">
        <f>VLOOKUP(F1613,'Set up'!$A$2:$D$48,4,FALSE)</f>
        <v>0</v>
      </c>
      <c r="K1613" s="4">
        <f t="shared" si="532"/>
        <v>45036</v>
      </c>
      <c r="L1613" s="5">
        <f t="shared" si="547"/>
        <v>4</v>
      </c>
      <c r="M1613" s="5">
        <f t="shared" si="548"/>
        <v>2023</v>
      </c>
      <c r="N1613" s="6">
        <v>1108.4000000000001</v>
      </c>
      <c r="O1613" s="6">
        <f>-828.8-279.6</f>
        <v>-1108.4000000000001</v>
      </c>
      <c r="P1613" s="6">
        <f t="shared" si="550"/>
        <v>0</v>
      </c>
      <c r="Q1613" s="7">
        <f t="shared" si="551"/>
        <v>2962864.850000001</v>
      </c>
      <c r="R1613" s="44" t="str">
        <f>VLOOKUP(F1613,'Set up'!$A$2:$E$48,5,FALSE)</f>
        <v>Chq</v>
      </c>
      <c r="S1613" s="1" t="s">
        <v>1598</v>
      </c>
    </row>
    <row r="1614" spans="1:19" hidden="1" x14ac:dyDescent="0.3">
      <c r="A1614" s="4" t="s">
        <v>1459</v>
      </c>
      <c r="B1614" s="5">
        <f t="shared" si="545"/>
        <v>4</v>
      </c>
      <c r="C1614" s="5">
        <f t="shared" si="546"/>
        <v>2023</v>
      </c>
      <c r="D1614" s="5" t="s">
        <v>1457</v>
      </c>
      <c r="E1614" s="5" t="str">
        <f>VLOOKUP(F1614,'Set up'!$A$2:$C$48,2,FALSE)</f>
        <v>C00000014</v>
      </c>
      <c r="F1614" s="1" t="s">
        <v>263</v>
      </c>
      <c r="G1614" s="89" t="s">
        <v>304</v>
      </c>
      <c r="H1614" s="5">
        <v>2</v>
      </c>
      <c r="I1614" s="5" t="str">
        <f>VLOOKUP(F1614,'Set up'!$A$2:$C$48,3,FALSE)</f>
        <v>Cash</v>
      </c>
      <c r="J1614" s="5">
        <f>VLOOKUP(F1614,'Set up'!$A$2:$D$48,4,FALSE)</f>
        <v>0</v>
      </c>
      <c r="K1614" s="4">
        <f t="shared" si="532"/>
        <v>45042</v>
      </c>
      <c r="L1614" s="5">
        <f t="shared" si="547"/>
        <v>4</v>
      </c>
      <c r="M1614" s="5">
        <f t="shared" si="548"/>
        <v>2023</v>
      </c>
      <c r="N1614" s="6">
        <v>3608</v>
      </c>
      <c r="O1614" s="6">
        <f t="shared" ref="O1614:O1622" si="554">-N1614</f>
        <v>-3608</v>
      </c>
      <c r="P1614" s="6">
        <f t="shared" si="550"/>
        <v>0</v>
      </c>
      <c r="Q1614" s="7">
        <f t="shared" si="551"/>
        <v>2966472.850000001</v>
      </c>
      <c r="R1614" s="44" t="str">
        <f>VLOOKUP(F1614,'Set up'!$A$2:$E$48,5,FALSE)</f>
        <v>Cash</v>
      </c>
      <c r="S1614" s="1" t="s">
        <v>1499</v>
      </c>
    </row>
    <row r="1615" spans="1:19" hidden="1" x14ac:dyDescent="0.3">
      <c r="A1615" s="4" t="s">
        <v>1459</v>
      </c>
      <c r="B1615" s="5">
        <f t="shared" si="545"/>
        <v>4</v>
      </c>
      <c r="C1615" s="5">
        <f t="shared" si="546"/>
        <v>2023</v>
      </c>
      <c r="D1615" s="5" t="s">
        <v>1457</v>
      </c>
      <c r="E1615" s="5" t="str">
        <f>VLOOKUP(F1615,'Set up'!$A$2:$C$48,2,FALSE)</f>
        <v>C00000014</v>
      </c>
      <c r="F1615" s="1" t="s">
        <v>263</v>
      </c>
      <c r="G1615" s="89" t="s">
        <v>989</v>
      </c>
      <c r="H1615" s="5">
        <v>8</v>
      </c>
      <c r="I1615" s="5" t="str">
        <f>VLOOKUP(F1615,'Set up'!$A$2:$C$48,3,FALSE)</f>
        <v>Cash</v>
      </c>
      <c r="J1615" s="5">
        <f>VLOOKUP(F1615,'Set up'!$A$2:$D$48,4,FALSE)</f>
        <v>0</v>
      </c>
      <c r="K1615" s="4">
        <f t="shared" si="532"/>
        <v>45042</v>
      </c>
      <c r="L1615" s="5">
        <f t="shared" si="547"/>
        <v>4</v>
      </c>
      <c r="M1615" s="5">
        <f t="shared" si="548"/>
        <v>2023</v>
      </c>
      <c r="N1615" s="6">
        <v>1896</v>
      </c>
      <c r="O1615" s="6">
        <f t="shared" si="554"/>
        <v>-1896</v>
      </c>
      <c r="P1615" s="6">
        <f t="shared" si="550"/>
        <v>0</v>
      </c>
      <c r="Q1615" s="7">
        <f t="shared" si="551"/>
        <v>2968368.850000001</v>
      </c>
      <c r="R1615" s="44" t="str">
        <f>VLOOKUP(F1615,'Set up'!$A$2:$E$48,5,FALSE)</f>
        <v>Cash</v>
      </c>
      <c r="S1615" s="1" t="s">
        <v>1499</v>
      </c>
    </row>
    <row r="1616" spans="1:19" hidden="1" x14ac:dyDescent="0.3">
      <c r="A1616" s="4" t="s">
        <v>1459</v>
      </c>
      <c r="B1616" s="5">
        <f t="shared" si="545"/>
        <v>4</v>
      </c>
      <c r="C1616" s="5">
        <f t="shared" si="546"/>
        <v>2023</v>
      </c>
      <c r="D1616" s="5" t="s">
        <v>1457</v>
      </c>
      <c r="E1616" s="5" t="str">
        <f>VLOOKUP(F1616,'Set up'!$A$2:$C$48,2,FALSE)</f>
        <v>C00000014</v>
      </c>
      <c r="F1616" s="1" t="s">
        <v>263</v>
      </c>
      <c r="G1616" s="89" t="s">
        <v>895</v>
      </c>
      <c r="H1616" s="5">
        <v>2</v>
      </c>
      <c r="I1616" s="5" t="str">
        <f>VLOOKUP(F1616,'Set up'!$A$2:$C$48,3,FALSE)</f>
        <v>Cash</v>
      </c>
      <c r="J1616" s="5">
        <f>VLOOKUP(F1616,'Set up'!$A$2:$D$48,4,FALSE)</f>
        <v>0</v>
      </c>
      <c r="K1616" s="4">
        <f t="shared" si="532"/>
        <v>45042</v>
      </c>
      <c r="L1616" s="5">
        <f t="shared" si="547"/>
        <v>4</v>
      </c>
      <c r="M1616" s="5">
        <f t="shared" si="548"/>
        <v>2023</v>
      </c>
      <c r="N1616" s="6">
        <v>320</v>
      </c>
      <c r="O1616" s="6">
        <f t="shared" si="554"/>
        <v>-320</v>
      </c>
      <c r="P1616" s="6">
        <f t="shared" si="550"/>
        <v>0</v>
      </c>
      <c r="Q1616" s="7">
        <f t="shared" si="551"/>
        <v>2968688.850000001</v>
      </c>
      <c r="R1616" s="44" t="str">
        <f>VLOOKUP(F1616,'Set up'!$A$2:$E$48,5,FALSE)</f>
        <v>Cash</v>
      </c>
      <c r="S1616" s="1" t="s">
        <v>1499</v>
      </c>
    </row>
    <row r="1617" spans="1:19" hidden="1" x14ac:dyDescent="0.3">
      <c r="A1617" s="4" t="s">
        <v>1459</v>
      </c>
      <c r="B1617" s="5">
        <f t="shared" si="545"/>
        <v>4</v>
      </c>
      <c r="C1617" s="5">
        <f t="shared" si="546"/>
        <v>2023</v>
      </c>
      <c r="D1617" s="5" t="s">
        <v>1457</v>
      </c>
      <c r="E1617" s="5" t="str">
        <f>VLOOKUP(F1617,'Set up'!$A$2:$C$48,2,FALSE)</f>
        <v>C00000014</v>
      </c>
      <c r="F1617" s="1" t="s">
        <v>263</v>
      </c>
      <c r="G1617" s="89" t="s">
        <v>1111</v>
      </c>
      <c r="H1617" s="5">
        <v>1</v>
      </c>
      <c r="I1617" s="5" t="str">
        <f>VLOOKUP(F1617,'Set up'!$A$2:$C$48,3,FALSE)</f>
        <v>Cash</v>
      </c>
      <c r="J1617" s="5">
        <f>VLOOKUP(F1617,'Set up'!$A$2:$D$48,4,FALSE)</f>
        <v>0</v>
      </c>
      <c r="K1617" s="4">
        <f t="shared" si="532"/>
        <v>45042</v>
      </c>
      <c r="L1617" s="5">
        <f t="shared" si="547"/>
        <v>4</v>
      </c>
      <c r="M1617" s="5">
        <f t="shared" si="548"/>
        <v>2023</v>
      </c>
      <c r="N1617" s="6">
        <v>62.5</v>
      </c>
      <c r="O1617" s="6">
        <f t="shared" si="554"/>
        <v>-62.5</v>
      </c>
      <c r="P1617" s="6">
        <f t="shared" si="550"/>
        <v>0</v>
      </c>
      <c r="Q1617" s="7">
        <f t="shared" si="551"/>
        <v>2968751.350000001</v>
      </c>
      <c r="R1617" s="44" t="str">
        <f>VLOOKUP(F1617,'Set up'!$A$2:$E$48,5,FALSE)</f>
        <v>Cash</v>
      </c>
      <c r="S1617" s="1" t="s">
        <v>1499</v>
      </c>
    </row>
    <row r="1618" spans="1:19" hidden="1" x14ac:dyDescent="0.3">
      <c r="A1618" s="4" t="s">
        <v>1459</v>
      </c>
      <c r="B1618" s="5">
        <f t="shared" si="545"/>
        <v>4</v>
      </c>
      <c r="C1618" s="5">
        <f t="shared" si="546"/>
        <v>2023</v>
      </c>
      <c r="D1618" s="5" t="s">
        <v>1457</v>
      </c>
      <c r="E1618" s="5" t="str">
        <f>VLOOKUP(F1618,'Set up'!$A$2:$C$48,2,FALSE)</f>
        <v>C00000014</v>
      </c>
      <c r="F1618" s="1" t="s">
        <v>263</v>
      </c>
      <c r="G1618" s="89" t="s">
        <v>866</v>
      </c>
      <c r="H1618" s="5">
        <v>2</v>
      </c>
      <c r="I1618" s="5" t="str">
        <f>VLOOKUP(F1618,'Set up'!$A$2:$C$48,3,FALSE)</f>
        <v>Cash</v>
      </c>
      <c r="J1618" s="5">
        <f>VLOOKUP(F1618,'Set up'!$A$2:$D$48,4,FALSE)</f>
        <v>0</v>
      </c>
      <c r="K1618" s="4">
        <f t="shared" si="532"/>
        <v>45042</v>
      </c>
      <c r="L1618" s="5">
        <f t="shared" si="547"/>
        <v>4</v>
      </c>
      <c r="M1618" s="5">
        <f t="shared" si="548"/>
        <v>2023</v>
      </c>
      <c r="N1618" s="6">
        <v>516</v>
      </c>
      <c r="O1618" s="6">
        <f t="shared" si="554"/>
        <v>-516</v>
      </c>
      <c r="P1618" s="6">
        <f t="shared" si="550"/>
        <v>0</v>
      </c>
      <c r="Q1618" s="7">
        <f t="shared" si="551"/>
        <v>2969267.350000001</v>
      </c>
      <c r="R1618" s="44" t="str">
        <f>VLOOKUP(F1618,'Set up'!$A$2:$E$48,5,FALSE)</f>
        <v>Cash</v>
      </c>
      <c r="S1618" s="1" t="s">
        <v>1499</v>
      </c>
    </row>
    <row r="1619" spans="1:19" hidden="1" x14ac:dyDescent="0.3">
      <c r="A1619" s="4" t="s">
        <v>1459</v>
      </c>
      <c r="B1619" s="5">
        <f t="shared" si="545"/>
        <v>4</v>
      </c>
      <c r="C1619" s="5">
        <f t="shared" si="546"/>
        <v>2023</v>
      </c>
      <c r="D1619" s="5" t="s">
        <v>1457</v>
      </c>
      <c r="E1619" s="5" t="str">
        <f>VLOOKUP(F1619,'Set up'!$A$2:$C$48,2,FALSE)</f>
        <v>C00000014</v>
      </c>
      <c r="F1619" s="1" t="s">
        <v>263</v>
      </c>
      <c r="G1619" s="89" t="s">
        <v>667</v>
      </c>
      <c r="H1619" s="5">
        <v>2</v>
      </c>
      <c r="I1619" s="5" t="str">
        <f>VLOOKUP(F1619,'Set up'!$A$2:$C$48,3,FALSE)</f>
        <v>Cash</v>
      </c>
      <c r="J1619" s="5">
        <f>VLOOKUP(F1619,'Set up'!$A$2:$D$48,4,FALSE)</f>
        <v>0</v>
      </c>
      <c r="K1619" s="4">
        <f t="shared" si="532"/>
        <v>45042</v>
      </c>
      <c r="L1619" s="5">
        <f t="shared" si="547"/>
        <v>4</v>
      </c>
      <c r="M1619" s="5">
        <f t="shared" si="548"/>
        <v>2023</v>
      </c>
      <c r="N1619" s="6">
        <v>190</v>
      </c>
      <c r="O1619" s="6">
        <f t="shared" si="554"/>
        <v>-190</v>
      </c>
      <c r="P1619" s="6">
        <f t="shared" si="550"/>
        <v>0</v>
      </c>
      <c r="Q1619" s="7">
        <f t="shared" si="551"/>
        <v>2969457.350000001</v>
      </c>
      <c r="R1619" s="44" t="str">
        <f>VLOOKUP(F1619,'Set up'!$A$2:$E$48,5,FALSE)</f>
        <v>Cash</v>
      </c>
      <c r="S1619" s="1" t="s">
        <v>1499</v>
      </c>
    </row>
    <row r="1620" spans="1:19" hidden="1" x14ac:dyDescent="0.3">
      <c r="A1620" s="4" t="s">
        <v>1459</v>
      </c>
      <c r="B1620" s="5">
        <f t="shared" ref="B1620:B1633" si="555">MONTH(A1620)</f>
        <v>4</v>
      </c>
      <c r="C1620" s="5">
        <f t="shared" ref="C1620:C1633" si="556">YEAR(A1620)</f>
        <v>2023</v>
      </c>
      <c r="D1620" s="5" t="s">
        <v>1457</v>
      </c>
      <c r="E1620" s="5" t="str">
        <f>VLOOKUP(F1620,'Set up'!$A$2:$C$48,2,FALSE)</f>
        <v>C00000014</v>
      </c>
      <c r="F1620" s="1" t="s">
        <v>263</v>
      </c>
      <c r="G1620" s="89" t="s">
        <v>950</v>
      </c>
      <c r="H1620" s="5">
        <v>4</v>
      </c>
      <c r="I1620" s="5" t="str">
        <f>VLOOKUP(F1620,'Set up'!$A$2:$C$48,3,FALSE)</f>
        <v>Cash</v>
      </c>
      <c r="J1620" s="5">
        <f>VLOOKUP(F1620,'Set up'!$A$2:$D$48,4,FALSE)</f>
        <v>0</v>
      </c>
      <c r="K1620" s="4">
        <f t="shared" si="532"/>
        <v>45042</v>
      </c>
      <c r="L1620" s="5">
        <f t="shared" si="547"/>
        <v>4</v>
      </c>
      <c r="M1620" s="5">
        <f t="shared" si="548"/>
        <v>2023</v>
      </c>
      <c r="N1620" s="6">
        <v>200</v>
      </c>
      <c r="O1620" s="6">
        <f t="shared" si="554"/>
        <v>-200</v>
      </c>
      <c r="P1620" s="6">
        <f t="shared" si="550"/>
        <v>0</v>
      </c>
      <c r="Q1620" s="7">
        <f t="shared" si="551"/>
        <v>2969657.350000001</v>
      </c>
      <c r="R1620" s="44" t="str">
        <f>VLOOKUP(F1620,'Set up'!$A$2:$E$48,5,FALSE)</f>
        <v>Cash</v>
      </c>
      <c r="S1620" s="1" t="s">
        <v>1499</v>
      </c>
    </row>
    <row r="1621" spans="1:19" hidden="1" x14ac:dyDescent="0.3">
      <c r="A1621" s="4" t="s">
        <v>1459</v>
      </c>
      <c r="B1621" s="5">
        <f t="shared" si="555"/>
        <v>4</v>
      </c>
      <c r="C1621" s="5">
        <f t="shared" si="556"/>
        <v>2023</v>
      </c>
      <c r="D1621" s="5" t="s">
        <v>1458</v>
      </c>
      <c r="E1621" s="5" t="str">
        <f>VLOOKUP(F1621,'Set up'!$A$2:$C$48,2,FALSE)</f>
        <v>C00000001</v>
      </c>
      <c r="F1621" s="1" t="s">
        <v>7</v>
      </c>
      <c r="G1621" s="89" t="s">
        <v>717</v>
      </c>
      <c r="H1621" s="5">
        <v>1</v>
      </c>
      <c r="I1621" s="5" t="str">
        <f>VLOOKUP(F1621,'Set up'!$A$2:$C$48,3,FALSE)</f>
        <v>Cash</v>
      </c>
      <c r="J1621" s="5">
        <f>VLOOKUP(F1621,'Set up'!$A$2:$D$48,4,FALSE)</f>
        <v>0</v>
      </c>
      <c r="K1621" s="4">
        <f t="shared" si="532"/>
        <v>45042</v>
      </c>
      <c r="L1621" s="5">
        <f t="shared" ref="L1621:L1633" si="557">MONTH(K1621)</f>
        <v>4</v>
      </c>
      <c r="M1621" s="5">
        <f t="shared" ref="M1621:M1633" si="558">YEAR(K1621)</f>
        <v>2023</v>
      </c>
      <c r="N1621" s="6">
        <v>1804</v>
      </c>
      <c r="O1621" s="6">
        <f t="shared" si="554"/>
        <v>-1804</v>
      </c>
      <c r="P1621" s="6">
        <f t="shared" ref="P1621:P1684" si="559">SUM(N1621+O1621)</f>
        <v>0</v>
      </c>
      <c r="Q1621" s="7">
        <f t="shared" ref="Q1621:Q1633" si="560">SUM(Q1620+N1621)</f>
        <v>2971461.350000001</v>
      </c>
      <c r="R1621" s="44" t="str">
        <f>VLOOKUP(F1621,'Set up'!$A$2:$E$48,5,FALSE)</f>
        <v>Trsf</v>
      </c>
      <c r="S1621" s="1" t="s">
        <v>1570</v>
      </c>
    </row>
    <row r="1622" spans="1:19" hidden="1" x14ac:dyDescent="0.3">
      <c r="A1622" s="4" t="s">
        <v>1459</v>
      </c>
      <c r="B1622" s="5">
        <f t="shared" si="555"/>
        <v>4</v>
      </c>
      <c r="C1622" s="5">
        <f t="shared" si="556"/>
        <v>2023</v>
      </c>
      <c r="D1622" s="5" t="s">
        <v>1458</v>
      </c>
      <c r="E1622" s="5" t="str">
        <f>VLOOKUP(F1622,'Set up'!$A$2:$C$48,2,FALSE)</f>
        <v>C00000001</v>
      </c>
      <c r="F1622" s="1" t="s">
        <v>7</v>
      </c>
      <c r="G1622" s="89" t="s">
        <v>655</v>
      </c>
      <c r="H1622" s="5">
        <v>4</v>
      </c>
      <c r="I1622" s="5" t="str">
        <f>VLOOKUP(F1622,'Set up'!$A$2:$C$48,3,FALSE)</f>
        <v>Cash</v>
      </c>
      <c r="J1622" s="5">
        <f>VLOOKUP(F1622,'Set up'!$A$2:$D$48,4,FALSE)</f>
        <v>0</v>
      </c>
      <c r="K1622" s="4">
        <f t="shared" si="532"/>
        <v>45042</v>
      </c>
      <c r="L1622" s="5">
        <f t="shared" si="557"/>
        <v>4</v>
      </c>
      <c r="M1622" s="5">
        <f t="shared" si="558"/>
        <v>2023</v>
      </c>
      <c r="N1622" s="6">
        <v>912</v>
      </c>
      <c r="O1622" s="6">
        <f t="shared" si="554"/>
        <v>-912</v>
      </c>
      <c r="P1622" s="6">
        <f t="shared" si="559"/>
        <v>0</v>
      </c>
      <c r="Q1622" s="7">
        <f t="shared" si="560"/>
        <v>2972373.350000001</v>
      </c>
      <c r="R1622" s="44" t="str">
        <f>VLOOKUP(F1622,'Set up'!$A$2:$E$48,5,FALSE)</f>
        <v>Trsf</v>
      </c>
      <c r="S1622" s="1" t="s">
        <v>1570</v>
      </c>
    </row>
    <row r="1623" spans="1:19" hidden="1" x14ac:dyDescent="0.3">
      <c r="A1623" s="4" t="s">
        <v>1463</v>
      </c>
      <c r="B1623" s="5">
        <f t="shared" si="555"/>
        <v>4</v>
      </c>
      <c r="C1623" s="5">
        <f t="shared" si="556"/>
        <v>2023</v>
      </c>
      <c r="D1623" s="5" t="s">
        <v>1462</v>
      </c>
      <c r="E1623" s="5" t="str">
        <f>VLOOKUP(F1623,'Set up'!$A$2:$C$48,2,FALSE)</f>
        <v>C00000019</v>
      </c>
      <c r="F1623" s="1" t="s">
        <v>401</v>
      </c>
      <c r="G1623" s="89" t="s">
        <v>720</v>
      </c>
      <c r="H1623" s="5">
        <v>2</v>
      </c>
      <c r="I1623" s="5" t="str">
        <f>VLOOKUP(F1623,'Set up'!$A$2:$C$48,3,FALSE)</f>
        <v>Cash</v>
      </c>
      <c r="J1623" s="5">
        <f>VLOOKUP(F1623,'Set up'!$A$2:$D$48,4,FALSE)</f>
        <v>0</v>
      </c>
      <c r="K1623" s="4">
        <f t="shared" si="532"/>
        <v>45043</v>
      </c>
      <c r="L1623" s="5">
        <f t="shared" si="557"/>
        <v>4</v>
      </c>
      <c r="M1623" s="5">
        <f t="shared" si="558"/>
        <v>2023</v>
      </c>
      <c r="N1623" s="6">
        <v>3608</v>
      </c>
      <c r="O1623" s="6">
        <f>-568.9-1000-1000-1000-39.1</f>
        <v>-3608</v>
      </c>
      <c r="P1623" s="6">
        <f t="shared" si="559"/>
        <v>0</v>
      </c>
      <c r="Q1623" s="7">
        <f t="shared" si="560"/>
        <v>2975981.350000001</v>
      </c>
      <c r="R1623" s="44" t="str">
        <f>VLOOKUP(F1623,'Set up'!$A$2:$E$48,5,FALSE)</f>
        <v>Trsf</v>
      </c>
      <c r="S1623" s="1" t="s">
        <v>1968</v>
      </c>
    </row>
    <row r="1624" spans="1:19" hidden="1" x14ac:dyDescent="0.3">
      <c r="A1624" s="4" t="s">
        <v>1463</v>
      </c>
      <c r="B1624" s="5">
        <f t="shared" si="555"/>
        <v>4</v>
      </c>
      <c r="C1624" s="5">
        <f t="shared" si="556"/>
        <v>2023</v>
      </c>
      <c r="D1624" s="5" t="s">
        <v>1462</v>
      </c>
      <c r="E1624" s="5" t="str">
        <f>VLOOKUP(F1624,'Set up'!$A$2:$C$48,2,FALSE)</f>
        <v>C00000019</v>
      </c>
      <c r="F1624" s="1" t="s">
        <v>401</v>
      </c>
      <c r="G1624" s="89" t="s">
        <v>1412</v>
      </c>
      <c r="H1624" s="5">
        <v>2</v>
      </c>
      <c r="I1624" s="5" t="str">
        <f>VLOOKUP(F1624,'Set up'!$A$2:$C$48,3,FALSE)</f>
        <v>Cash</v>
      </c>
      <c r="J1624" s="5">
        <f>VLOOKUP(F1624,'Set up'!$A$2:$D$48,4,FALSE)</f>
        <v>0</v>
      </c>
      <c r="K1624" s="4">
        <f t="shared" ref="K1624:K1687" si="561">A1624+J1624</f>
        <v>45043</v>
      </c>
      <c r="L1624" s="5">
        <f t="shared" si="557"/>
        <v>4</v>
      </c>
      <c r="M1624" s="5">
        <f t="shared" si="558"/>
        <v>2023</v>
      </c>
      <c r="N1624" s="6">
        <v>842.4</v>
      </c>
      <c r="O1624" s="6">
        <f t="shared" ref="O1624" si="562">-N1624</f>
        <v>-842.4</v>
      </c>
      <c r="P1624" s="6">
        <f t="shared" si="559"/>
        <v>0</v>
      </c>
      <c r="Q1624" s="7">
        <f t="shared" si="560"/>
        <v>2976823.7500000009</v>
      </c>
      <c r="R1624" s="44" t="str">
        <f>VLOOKUP(F1624,'Set up'!$A$2:$E$48,5,FALSE)</f>
        <v>Trsf</v>
      </c>
      <c r="S1624" s="1" t="s">
        <v>1969</v>
      </c>
    </row>
    <row r="1625" spans="1:19" hidden="1" x14ac:dyDescent="0.3">
      <c r="A1625" s="4" t="s">
        <v>1463</v>
      </c>
      <c r="B1625" s="5">
        <f t="shared" si="555"/>
        <v>4</v>
      </c>
      <c r="C1625" s="5">
        <f t="shared" si="556"/>
        <v>2023</v>
      </c>
      <c r="D1625" s="5" t="s">
        <v>1462</v>
      </c>
      <c r="E1625" s="5" t="str">
        <f>VLOOKUP(F1625,'Set up'!$A$2:$C$48,2,FALSE)</f>
        <v>C00000019</v>
      </c>
      <c r="F1625" s="1" t="s">
        <v>401</v>
      </c>
      <c r="G1625" s="89" t="s">
        <v>792</v>
      </c>
      <c r="H1625" s="5">
        <v>3</v>
      </c>
      <c r="I1625" s="5" t="str">
        <f>VLOOKUP(F1625,'Set up'!$A$2:$C$48,3,FALSE)</f>
        <v>Cash</v>
      </c>
      <c r="J1625" s="5">
        <f>VLOOKUP(F1625,'Set up'!$A$2:$D$48,4,FALSE)</f>
        <v>0</v>
      </c>
      <c r="K1625" s="4">
        <f t="shared" si="561"/>
        <v>45043</v>
      </c>
      <c r="L1625" s="5">
        <f t="shared" si="557"/>
        <v>4</v>
      </c>
      <c r="M1625" s="5">
        <f t="shared" si="558"/>
        <v>2023</v>
      </c>
      <c r="N1625" s="6">
        <v>187.5</v>
      </c>
      <c r="O1625" s="6">
        <f>-118.5-69</f>
        <v>-187.5</v>
      </c>
      <c r="P1625" s="6">
        <f t="shared" si="559"/>
        <v>0</v>
      </c>
      <c r="Q1625" s="7">
        <f t="shared" si="560"/>
        <v>2977011.2500000009</v>
      </c>
      <c r="R1625" s="44" t="str">
        <f>VLOOKUP(F1625,'Set up'!$A$2:$E$48,5,FALSE)</f>
        <v>Trsf</v>
      </c>
      <c r="S1625" s="1" t="s">
        <v>1970</v>
      </c>
    </row>
    <row r="1626" spans="1:19" hidden="1" x14ac:dyDescent="0.3">
      <c r="A1626" s="4" t="s">
        <v>1463</v>
      </c>
      <c r="B1626" s="5">
        <f t="shared" si="555"/>
        <v>4</v>
      </c>
      <c r="C1626" s="5">
        <f t="shared" si="556"/>
        <v>2023</v>
      </c>
      <c r="D1626" s="5" t="s">
        <v>1462</v>
      </c>
      <c r="E1626" s="5" t="str">
        <f>VLOOKUP(F1626,'Set up'!$A$2:$C$48,2,FALSE)</f>
        <v>C00000019</v>
      </c>
      <c r="F1626" s="1" t="s">
        <v>401</v>
      </c>
      <c r="G1626" s="89" t="s">
        <v>1460</v>
      </c>
      <c r="H1626" s="5">
        <v>1</v>
      </c>
      <c r="I1626" s="5" t="str">
        <f>VLOOKUP(F1626,'Set up'!$A$2:$C$48,3,FALSE)</f>
        <v>Cash</v>
      </c>
      <c r="J1626" s="5">
        <f>VLOOKUP(F1626,'Set up'!$A$2:$D$48,4,FALSE)</f>
        <v>0</v>
      </c>
      <c r="K1626" s="4">
        <f t="shared" si="561"/>
        <v>45043</v>
      </c>
      <c r="L1626" s="5">
        <f t="shared" si="557"/>
        <v>4</v>
      </c>
      <c r="M1626" s="5">
        <f t="shared" si="558"/>
        <v>2023</v>
      </c>
      <c r="N1626" s="6">
        <v>150</v>
      </c>
      <c r="O1626" s="6">
        <f t="shared" ref="O1626:O1627" si="563">-N1626</f>
        <v>-150</v>
      </c>
      <c r="P1626" s="6">
        <f t="shared" si="559"/>
        <v>0</v>
      </c>
      <c r="Q1626" s="7">
        <f t="shared" si="560"/>
        <v>2977161.2500000009</v>
      </c>
      <c r="R1626" s="44" t="str">
        <f>VLOOKUP(F1626,'Set up'!$A$2:$E$48,5,FALSE)</f>
        <v>Trsf</v>
      </c>
      <c r="S1626" s="1" t="s">
        <v>1971</v>
      </c>
    </row>
    <row r="1627" spans="1:19" hidden="1" x14ac:dyDescent="0.3">
      <c r="A1627" s="4" t="s">
        <v>1463</v>
      </c>
      <c r="B1627" s="5">
        <f t="shared" si="555"/>
        <v>4</v>
      </c>
      <c r="C1627" s="5">
        <f t="shared" si="556"/>
        <v>2023</v>
      </c>
      <c r="D1627" s="5" t="s">
        <v>1462</v>
      </c>
      <c r="E1627" s="5" t="str">
        <f>VLOOKUP(F1627,'Set up'!$A$2:$C$48,2,FALSE)</f>
        <v>C00000019</v>
      </c>
      <c r="F1627" s="1" t="s">
        <v>401</v>
      </c>
      <c r="G1627" s="89" t="s">
        <v>1461</v>
      </c>
      <c r="H1627" s="5">
        <v>1</v>
      </c>
      <c r="I1627" s="5" t="str">
        <f>VLOOKUP(F1627,'Set up'!$A$2:$C$48,3,FALSE)</f>
        <v>Cash</v>
      </c>
      <c r="J1627" s="5">
        <f>VLOOKUP(F1627,'Set up'!$A$2:$D$48,4,FALSE)</f>
        <v>0</v>
      </c>
      <c r="K1627" s="4">
        <f t="shared" si="561"/>
        <v>45043</v>
      </c>
      <c r="L1627" s="5">
        <f t="shared" si="557"/>
        <v>4</v>
      </c>
      <c r="M1627" s="5">
        <f t="shared" si="558"/>
        <v>2023</v>
      </c>
      <c r="N1627" s="6">
        <v>160</v>
      </c>
      <c r="O1627" s="6">
        <f t="shared" si="563"/>
        <v>-160</v>
      </c>
      <c r="P1627" s="6">
        <f t="shared" si="559"/>
        <v>0</v>
      </c>
      <c r="Q1627" s="7">
        <f t="shared" si="560"/>
        <v>2977321.2500000009</v>
      </c>
      <c r="R1627" s="44" t="str">
        <f>VLOOKUP(F1627,'Set up'!$A$2:$E$48,5,FALSE)</f>
        <v>Trsf</v>
      </c>
      <c r="S1627" s="1" t="s">
        <v>1972</v>
      </c>
    </row>
    <row r="1628" spans="1:19" x14ac:dyDescent="0.3">
      <c r="A1628" s="4" t="s">
        <v>1465</v>
      </c>
      <c r="B1628" s="5">
        <f t="shared" si="555"/>
        <v>4</v>
      </c>
      <c r="C1628" s="5">
        <f t="shared" si="556"/>
        <v>2023</v>
      </c>
      <c r="D1628" s="5" t="s">
        <v>1464</v>
      </c>
      <c r="E1628" s="5" t="str">
        <f>VLOOKUP(F1628,'Set up'!$A$2:$C$48,2,FALSE)</f>
        <v>C00000020</v>
      </c>
      <c r="F1628" s="1" t="s">
        <v>410</v>
      </c>
      <c r="G1628" s="89" t="s">
        <v>723</v>
      </c>
      <c r="H1628" s="5">
        <v>1</v>
      </c>
      <c r="I1628" s="5" t="str">
        <f>VLOOKUP(F1628,'Set up'!$A$2:$C$48,3,FALSE)</f>
        <v>Cash</v>
      </c>
      <c r="J1628" s="5">
        <f>VLOOKUP(F1628,'Set up'!$A$2:$D$48,4,FALSE)</f>
        <v>0</v>
      </c>
      <c r="K1628" s="4">
        <f t="shared" si="561"/>
        <v>45041</v>
      </c>
      <c r="L1628" s="5">
        <f t="shared" si="557"/>
        <v>4</v>
      </c>
      <c r="M1628" s="5">
        <f t="shared" si="558"/>
        <v>2023</v>
      </c>
      <c r="N1628" s="6">
        <v>1782</v>
      </c>
      <c r="P1628" s="6">
        <f t="shared" si="559"/>
        <v>1782</v>
      </c>
      <c r="Q1628" s="7">
        <f t="shared" si="560"/>
        <v>2979103.2500000009</v>
      </c>
      <c r="R1628" s="44" t="str">
        <f>VLOOKUP(F1628,'Set up'!$A$2:$E$48,5,FALSE)</f>
        <v>Trsf</v>
      </c>
    </row>
    <row r="1629" spans="1:19" x14ac:dyDescent="0.3">
      <c r="A1629" s="4" t="s">
        <v>1465</v>
      </c>
      <c r="B1629" s="5">
        <f t="shared" si="555"/>
        <v>4</v>
      </c>
      <c r="C1629" s="5">
        <f t="shared" si="556"/>
        <v>2023</v>
      </c>
      <c r="D1629" s="5" t="s">
        <v>1464</v>
      </c>
      <c r="E1629" s="5" t="str">
        <f>VLOOKUP(F1629,'Set up'!$A$2:$C$48,2,FALSE)</f>
        <v>C00000020</v>
      </c>
      <c r="F1629" s="1" t="s">
        <v>410</v>
      </c>
      <c r="G1629" s="89" t="s">
        <v>1353</v>
      </c>
      <c r="H1629" s="5">
        <v>3</v>
      </c>
      <c r="I1629" s="5" t="str">
        <f>VLOOKUP(F1629,'Set up'!$A$2:$C$48,3,FALSE)</f>
        <v>Cash</v>
      </c>
      <c r="J1629" s="5">
        <f>VLOOKUP(F1629,'Set up'!$A$2:$D$48,4,FALSE)</f>
        <v>0</v>
      </c>
      <c r="K1629" s="4">
        <f t="shared" si="561"/>
        <v>45041</v>
      </c>
      <c r="L1629" s="5">
        <f t="shared" si="557"/>
        <v>4</v>
      </c>
      <c r="M1629" s="5">
        <f t="shared" si="558"/>
        <v>2023</v>
      </c>
      <c r="N1629" s="6">
        <v>684</v>
      </c>
      <c r="P1629" s="6">
        <f t="shared" si="559"/>
        <v>684</v>
      </c>
      <c r="Q1629" s="7">
        <f t="shared" si="560"/>
        <v>2979787.2500000009</v>
      </c>
      <c r="R1629" s="44" t="str">
        <f>VLOOKUP(F1629,'Set up'!$A$2:$E$48,5,FALSE)</f>
        <v>Trsf</v>
      </c>
    </row>
    <row r="1630" spans="1:19" hidden="1" x14ac:dyDescent="0.3">
      <c r="A1630" s="4" t="s">
        <v>1467</v>
      </c>
      <c r="B1630" s="5">
        <f t="shared" si="555"/>
        <v>4</v>
      </c>
      <c r="C1630" s="5">
        <f t="shared" si="556"/>
        <v>2023</v>
      </c>
      <c r="D1630" s="5" t="s">
        <v>1466</v>
      </c>
      <c r="E1630" s="5" t="str">
        <f>VLOOKUP(F1630,'Set up'!$A$2:$C$48,2,FALSE)</f>
        <v>C00000021</v>
      </c>
      <c r="F1630" s="1" t="s">
        <v>492</v>
      </c>
      <c r="G1630" s="89" t="s">
        <v>717</v>
      </c>
      <c r="H1630" s="5">
        <v>1</v>
      </c>
      <c r="I1630" s="5" t="str">
        <f>VLOOKUP(F1630,'Set up'!$A$2:$C$48,3,FALSE)</f>
        <v>Cash</v>
      </c>
      <c r="J1630" s="5">
        <f>VLOOKUP(F1630,'Set up'!$A$2:$D$48,4,FALSE)</f>
        <v>0</v>
      </c>
      <c r="K1630" s="4">
        <f t="shared" si="561"/>
        <v>45044</v>
      </c>
      <c r="L1630" s="5">
        <f t="shared" si="557"/>
        <v>4</v>
      </c>
      <c r="M1630" s="5">
        <f t="shared" si="558"/>
        <v>2023</v>
      </c>
      <c r="N1630" s="6">
        <v>1870</v>
      </c>
      <c r="O1630" s="6">
        <f t="shared" ref="O1630:O1631" si="564">-N1630</f>
        <v>-1870</v>
      </c>
      <c r="P1630" s="6">
        <f t="shared" si="559"/>
        <v>0</v>
      </c>
      <c r="Q1630" s="7">
        <f t="shared" si="560"/>
        <v>2981657.2500000009</v>
      </c>
      <c r="R1630" s="44" t="str">
        <f>VLOOKUP(F1630,'Set up'!$A$2:$E$48,5,FALSE)</f>
        <v>PD Chq</v>
      </c>
      <c r="S1630" s="1" t="s">
        <v>2327</v>
      </c>
    </row>
    <row r="1631" spans="1:19" hidden="1" x14ac:dyDescent="0.3">
      <c r="A1631" s="4" t="s">
        <v>1467</v>
      </c>
      <c r="B1631" s="5">
        <f t="shared" si="555"/>
        <v>4</v>
      </c>
      <c r="C1631" s="5">
        <f t="shared" si="556"/>
        <v>2023</v>
      </c>
      <c r="D1631" s="5" t="s">
        <v>1466</v>
      </c>
      <c r="E1631" s="5" t="str">
        <f>VLOOKUP(F1631,'Set up'!$A$2:$C$48,2,FALSE)</f>
        <v>C00000021</v>
      </c>
      <c r="F1631" s="1" t="s">
        <v>492</v>
      </c>
      <c r="G1631" s="89" t="s">
        <v>1062</v>
      </c>
      <c r="H1631" s="5">
        <v>1</v>
      </c>
      <c r="I1631" s="5" t="str">
        <f>VLOOKUP(F1631,'Set up'!$A$2:$C$48,3,FALSE)</f>
        <v>Cash</v>
      </c>
      <c r="J1631" s="5">
        <f>VLOOKUP(F1631,'Set up'!$A$2:$D$48,4,FALSE)</f>
        <v>0</v>
      </c>
      <c r="K1631" s="4">
        <f t="shared" si="561"/>
        <v>45044</v>
      </c>
      <c r="L1631" s="5">
        <f t="shared" si="557"/>
        <v>4</v>
      </c>
      <c r="M1631" s="5">
        <f t="shared" si="558"/>
        <v>2023</v>
      </c>
      <c r="N1631" s="6">
        <v>95</v>
      </c>
      <c r="O1631" s="6">
        <f t="shared" si="564"/>
        <v>-95</v>
      </c>
      <c r="P1631" s="6">
        <f t="shared" si="559"/>
        <v>0</v>
      </c>
      <c r="Q1631" s="7">
        <f t="shared" si="560"/>
        <v>2981752.2500000009</v>
      </c>
      <c r="R1631" s="44" t="str">
        <f>VLOOKUP(F1631,'Set up'!$A$2:$E$48,5,FALSE)</f>
        <v>PD Chq</v>
      </c>
      <c r="S1631" s="1" t="s">
        <v>2327</v>
      </c>
    </row>
    <row r="1632" spans="1:19" hidden="1" x14ac:dyDescent="0.3">
      <c r="A1632" s="4" t="s">
        <v>1463</v>
      </c>
      <c r="B1632" s="5">
        <f>MONTH(A1632)</f>
        <v>4</v>
      </c>
      <c r="C1632" s="5">
        <f>YEAR(A1632)</f>
        <v>2023</v>
      </c>
      <c r="D1632" s="5" t="s">
        <v>1468</v>
      </c>
      <c r="E1632" s="5" t="str">
        <f>VLOOKUP(F1632,'Set up'!$A$2:$C$48,2,FALSE)</f>
        <v>C00000019</v>
      </c>
      <c r="F1632" s="1" t="s">
        <v>401</v>
      </c>
      <c r="G1632" s="89" t="s">
        <v>1469</v>
      </c>
      <c r="H1632" s="5">
        <v>1</v>
      </c>
      <c r="I1632" s="5" t="str">
        <f>VLOOKUP(F1632,'Set up'!$A$2:$C$48,3,FALSE)</f>
        <v>Cash</v>
      </c>
      <c r="J1632" s="5">
        <f>VLOOKUP(F1632,'Set up'!$A$2:$D$48,4,FALSE)</f>
        <v>0</v>
      </c>
      <c r="K1632" s="4">
        <f t="shared" si="561"/>
        <v>45043</v>
      </c>
      <c r="L1632" s="5">
        <f t="shared" si="557"/>
        <v>4</v>
      </c>
      <c r="M1632" s="5">
        <f t="shared" si="558"/>
        <v>2023</v>
      </c>
      <c r="N1632" s="6">
        <v>322.5</v>
      </c>
      <c r="O1632" s="6">
        <f>-121-201.5</f>
        <v>-322.5</v>
      </c>
      <c r="P1632" s="6">
        <f t="shared" si="559"/>
        <v>0</v>
      </c>
      <c r="Q1632" s="7">
        <f t="shared" si="560"/>
        <v>2982074.7500000009</v>
      </c>
      <c r="R1632" s="44" t="str">
        <f>VLOOKUP(F1632,'Set up'!$A$2:$E$48,5,FALSE)</f>
        <v>Trsf</v>
      </c>
      <c r="S1632" s="1" t="s">
        <v>2068</v>
      </c>
    </row>
    <row r="1633" spans="1:19" hidden="1" x14ac:dyDescent="0.3">
      <c r="A1633" s="4" t="s">
        <v>1463</v>
      </c>
      <c r="B1633" s="5">
        <f t="shared" si="555"/>
        <v>4</v>
      </c>
      <c r="C1633" s="5">
        <f t="shared" si="556"/>
        <v>2023</v>
      </c>
      <c r="D1633" s="5" t="s">
        <v>1468</v>
      </c>
      <c r="E1633" s="5" t="str">
        <f>VLOOKUP(F1633,'Set up'!$A$2:$C$48,2,FALSE)</f>
        <v>C00000019</v>
      </c>
      <c r="F1633" s="1" t="s">
        <v>401</v>
      </c>
      <c r="G1633" s="89" t="s">
        <v>1470</v>
      </c>
      <c r="H1633" s="5">
        <v>1</v>
      </c>
      <c r="I1633" s="5" t="str">
        <f>VLOOKUP(F1633,'Set up'!$A$2:$C$48,3,FALSE)</f>
        <v>Cash</v>
      </c>
      <c r="J1633" s="5">
        <f>VLOOKUP(F1633,'Set up'!$A$2:$D$48,4,FALSE)</f>
        <v>0</v>
      </c>
      <c r="K1633" s="4">
        <f t="shared" si="561"/>
        <v>45043</v>
      </c>
      <c r="L1633" s="5">
        <f t="shared" si="557"/>
        <v>4</v>
      </c>
      <c r="M1633" s="5">
        <f t="shared" si="558"/>
        <v>2023</v>
      </c>
      <c r="N1633" s="6">
        <v>390</v>
      </c>
      <c r="O1633" s="6">
        <f t="shared" ref="O1633" si="565">-N1633</f>
        <v>-390</v>
      </c>
      <c r="P1633" s="6">
        <f t="shared" si="559"/>
        <v>0</v>
      </c>
      <c r="Q1633" s="7">
        <f t="shared" si="560"/>
        <v>2982464.7500000009</v>
      </c>
      <c r="R1633" s="44" t="str">
        <f>VLOOKUP(F1633,'Set up'!$A$2:$E$48,5,FALSE)</f>
        <v>Trsf</v>
      </c>
      <c r="S1633" s="1" t="s">
        <v>2069</v>
      </c>
    </row>
    <row r="1634" spans="1:19" hidden="1" x14ac:dyDescent="0.3">
      <c r="A1634" s="4">
        <v>45048</v>
      </c>
      <c r="B1634" s="5">
        <f t="shared" ref="B1634:B1697" si="566">MONTH(A1634)</f>
        <v>5</v>
      </c>
      <c r="C1634" s="5">
        <f t="shared" ref="C1634:C1697" si="567">YEAR(A1634)</f>
        <v>2023</v>
      </c>
      <c r="D1634" s="5" t="s">
        <v>1530</v>
      </c>
      <c r="E1634" s="5" t="str">
        <f>VLOOKUP(F1634,'Set up'!$A$2:$C$48,2,FALSE)</f>
        <v>C00000037</v>
      </c>
      <c r="F1634" s="1" t="s">
        <v>1310</v>
      </c>
      <c r="G1634" s="11" t="s">
        <v>720</v>
      </c>
      <c r="H1634" s="5">
        <v>1</v>
      </c>
      <c r="I1634" s="5">
        <f>VLOOKUP(F1634,'Set up'!$A$2:$C$48,3,FALSE)</f>
        <v>30</v>
      </c>
      <c r="J1634" s="5">
        <f>VLOOKUP(F1634,'Set up'!$A$2:$D$48,4,FALSE)</f>
        <v>30</v>
      </c>
      <c r="K1634" s="4">
        <f t="shared" si="561"/>
        <v>45078</v>
      </c>
      <c r="L1634" s="5">
        <f t="shared" ref="L1634:L1697" si="568">MONTH(K1634)</f>
        <v>6</v>
      </c>
      <c r="M1634" s="5">
        <f t="shared" ref="M1634:M1697" si="569">YEAR(K1634)</f>
        <v>2023</v>
      </c>
      <c r="N1634" s="6">
        <v>1870</v>
      </c>
      <c r="O1634" s="6">
        <f t="shared" ref="O1634:O1641" si="570">-N1634</f>
        <v>-1870</v>
      </c>
      <c r="P1634" s="6">
        <f t="shared" si="559"/>
        <v>0</v>
      </c>
      <c r="Q1634" s="7">
        <f t="shared" ref="Q1634:Q1697" si="571">SUM(Q1633+N1634)</f>
        <v>2984334.7500000009</v>
      </c>
      <c r="R1634" s="44" t="str">
        <f>VLOOKUP(F1634,'Set up'!$A$2:$E$48,5,FALSE)</f>
        <v>Chq</v>
      </c>
      <c r="S1634" s="1" t="s">
        <v>1568</v>
      </c>
    </row>
    <row r="1635" spans="1:19" hidden="1" x14ac:dyDescent="0.3">
      <c r="A1635" s="4">
        <v>45048</v>
      </c>
      <c r="B1635" s="5">
        <f t="shared" si="566"/>
        <v>5</v>
      </c>
      <c r="C1635" s="5">
        <f t="shared" si="567"/>
        <v>2023</v>
      </c>
      <c r="D1635" s="5" t="s">
        <v>1530</v>
      </c>
      <c r="E1635" s="5" t="str">
        <f>VLOOKUP(F1635,'Set up'!$A$2:$C$48,2,FALSE)</f>
        <v>C00000037</v>
      </c>
      <c r="F1635" s="1" t="s">
        <v>1310</v>
      </c>
      <c r="G1635" s="11" t="s">
        <v>708</v>
      </c>
      <c r="H1635" s="5">
        <v>2</v>
      </c>
      <c r="I1635" s="5">
        <f>VLOOKUP(F1635,'Set up'!$A$2:$C$48,3,FALSE)</f>
        <v>30</v>
      </c>
      <c r="J1635" s="5">
        <f>VLOOKUP(F1635,'Set up'!$A$2:$D$48,4,FALSE)</f>
        <v>30</v>
      </c>
      <c r="K1635" s="4">
        <f t="shared" si="561"/>
        <v>45078</v>
      </c>
      <c r="L1635" s="5">
        <f t="shared" si="568"/>
        <v>6</v>
      </c>
      <c r="M1635" s="5">
        <f t="shared" si="569"/>
        <v>2023</v>
      </c>
      <c r="N1635" s="6">
        <v>842.4</v>
      </c>
      <c r="O1635" s="6">
        <f t="shared" si="570"/>
        <v>-842.4</v>
      </c>
      <c r="P1635" s="6">
        <f t="shared" si="559"/>
        <v>0</v>
      </c>
      <c r="Q1635" s="7">
        <f t="shared" si="571"/>
        <v>2985177.1500000008</v>
      </c>
      <c r="R1635" s="44" t="str">
        <f>VLOOKUP(F1635,'Set up'!$A$2:$E$48,5,FALSE)</f>
        <v>Chq</v>
      </c>
      <c r="S1635" s="1" t="s">
        <v>1568</v>
      </c>
    </row>
    <row r="1636" spans="1:19" hidden="1" x14ac:dyDescent="0.3">
      <c r="A1636" s="4">
        <v>45048</v>
      </c>
      <c r="B1636" s="5">
        <f t="shared" si="566"/>
        <v>5</v>
      </c>
      <c r="C1636" s="5">
        <f t="shared" si="567"/>
        <v>2023</v>
      </c>
      <c r="D1636" s="5" t="s">
        <v>1530</v>
      </c>
      <c r="E1636" s="5" t="str">
        <f>VLOOKUP(F1636,'Set up'!$A$2:$C$48,2,FALSE)</f>
        <v>C00000037</v>
      </c>
      <c r="F1636" s="1" t="s">
        <v>1310</v>
      </c>
      <c r="G1636" s="90" t="s">
        <v>1406</v>
      </c>
      <c r="H1636" s="5">
        <v>3</v>
      </c>
      <c r="I1636" s="5">
        <f>VLOOKUP(F1636,'Set up'!$A$2:$C$48,3,FALSE)</f>
        <v>30</v>
      </c>
      <c r="J1636" s="5">
        <f>VLOOKUP(F1636,'Set up'!$A$2:$D$48,4,FALSE)</f>
        <v>30</v>
      </c>
      <c r="K1636" s="4">
        <f t="shared" si="561"/>
        <v>45078</v>
      </c>
      <c r="L1636" s="5">
        <f t="shared" si="568"/>
        <v>6</v>
      </c>
      <c r="M1636" s="5">
        <f t="shared" si="569"/>
        <v>2023</v>
      </c>
      <c r="N1636" s="6">
        <v>144</v>
      </c>
      <c r="O1636" s="6">
        <f t="shared" si="570"/>
        <v>-144</v>
      </c>
      <c r="P1636" s="6">
        <f t="shared" si="559"/>
        <v>0</v>
      </c>
      <c r="Q1636" s="7">
        <f t="shared" si="571"/>
        <v>2985321.1500000008</v>
      </c>
      <c r="R1636" s="44" t="str">
        <f>VLOOKUP(F1636,'Set up'!$A$2:$E$48,5,FALSE)</f>
        <v>Chq</v>
      </c>
      <c r="S1636" s="1" t="s">
        <v>1568</v>
      </c>
    </row>
    <row r="1637" spans="1:19" hidden="1" x14ac:dyDescent="0.3">
      <c r="A1637" s="4">
        <v>45048</v>
      </c>
      <c r="B1637" s="5">
        <f t="shared" si="566"/>
        <v>5</v>
      </c>
      <c r="C1637" s="5">
        <f t="shared" si="567"/>
        <v>2023</v>
      </c>
      <c r="D1637" s="5" t="s">
        <v>1531</v>
      </c>
      <c r="E1637" s="5" t="str">
        <f>VLOOKUP(F1637,'Set up'!$A$2:$C$48,2,FALSE)</f>
        <v>C00000034</v>
      </c>
      <c r="F1637" s="1" t="s">
        <v>1197</v>
      </c>
      <c r="G1637" s="11" t="s">
        <v>1357</v>
      </c>
      <c r="H1637" s="5">
        <v>3</v>
      </c>
      <c r="I1637" s="5" t="str">
        <f>VLOOKUP(F1637,'Set up'!$A$2:$C$48,3,FALSE)</f>
        <v>Cash</v>
      </c>
      <c r="J1637" s="5">
        <f>VLOOKUP(F1637,'Set up'!$A$2:$D$48,4,FALSE)</f>
        <v>0</v>
      </c>
      <c r="K1637" s="4">
        <f t="shared" si="561"/>
        <v>45048</v>
      </c>
      <c r="L1637" s="5">
        <f t="shared" si="568"/>
        <v>5</v>
      </c>
      <c r="M1637" s="5">
        <f t="shared" si="569"/>
        <v>2023</v>
      </c>
      <c r="N1637" s="6">
        <v>5610</v>
      </c>
      <c r="O1637" s="6">
        <f t="shared" si="570"/>
        <v>-5610</v>
      </c>
      <c r="P1637" s="6">
        <f t="shared" si="559"/>
        <v>0</v>
      </c>
      <c r="Q1637" s="7">
        <f t="shared" si="571"/>
        <v>2990931.1500000008</v>
      </c>
      <c r="R1637" s="44" t="str">
        <f>VLOOKUP(F1637,'Set up'!$A$2:$E$48,5,FALSE)</f>
        <v>Trsf</v>
      </c>
      <c r="S1637" s="1" t="s">
        <v>1583</v>
      </c>
    </row>
    <row r="1638" spans="1:19" hidden="1" x14ac:dyDescent="0.3">
      <c r="A1638" s="4">
        <v>45048</v>
      </c>
      <c r="B1638" s="5">
        <f t="shared" si="566"/>
        <v>5</v>
      </c>
      <c r="C1638" s="5">
        <f t="shared" si="567"/>
        <v>2023</v>
      </c>
      <c r="D1638" s="5" t="s">
        <v>1531</v>
      </c>
      <c r="E1638" s="5" t="str">
        <f>VLOOKUP(F1638,'Set up'!$A$2:$C$48,2,FALSE)</f>
        <v>C00000034</v>
      </c>
      <c r="F1638" s="1" t="s">
        <v>1197</v>
      </c>
      <c r="G1638" s="11" t="s">
        <v>1062</v>
      </c>
      <c r="H1638" s="5">
        <v>3</v>
      </c>
      <c r="I1638" s="5" t="str">
        <f>VLOOKUP(F1638,'Set up'!$A$2:$C$48,3,FALSE)</f>
        <v>Cash</v>
      </c>
      <c r="J1638" s="5">
        <f>VLOOKUP(F1638,'Set up'!$A$2:$D$48,4,FALSE)</f>
        <v>0</v>
      </c>
      <c r="K1638" s="4">
        <f t="shared" si="561"/>
        <v>45048</v>
      </c>
      <c r="L1638" s="5">
        <f t="shared" si="568"/>
        <v>5</v>
      </c>
      <c r="M1638" s="5">
        <f t="shared" si="569"/>
        <v>2023</v>
      </c>
      <c r="N1638" s="6">
        <v>300</v>
      </c>
      <c r="O1638" s="6">
        <f t="shared" si="570"/>
        <v>-300</v>
      </c>
      <c r="P1638" s="6">
        <f t="shared" si="559"/>
        <v>0</v>
      </c>
      <c r="Q1638" s="7">
        <f t="shared" si="571"/>
        <v>2991231.1500000008</v>
      </c>
      <c r="R1638" s="44" t="str">
        <f>VLOOKUP(F1638,'Set up'!$A$2:$E$48,5,FALSE)</f>
        <v>Trsf</v>
      </c>
      <c r="S1638" s="1" t="s">
        <v>1583</v>
      </c>
    </row>
    <row r="1639" spans="1:19" hidden="1" x14ac:dyDescent="0.3">
      <c r="A1639" s="4">
        <v>45048</v>
      </c>
      <c r="B1639" s="5">
        <f t="shared" si="566"/>
        <v>5</v>
      </c>
      <c r="C1639" s="5">
        <f t="shared" si="567"/>
        <v>2023</v>
      </c>
      <c r="D1639" s="5" t="s">
        <v>1531</v>
      </c>
      <c r="E1639" s="5" t="str">
        <f>VLOOKUP(F1639,'Set up'!$A$2:$C$48,2,FALSE)</f>
        <v>C00000034</v>
      </c>
      <c r="F1639" s="1" t="s">
        <v>1197</v>
      </c>
      <c r="G1639" s="89" t="s">
        <v>1111</v>
      </c>
      <c r="H1639" s="5">
        <v>3</v>
      </c>
      <c r="I1639" s="5" t="str">
        <f>VLOOKUP(F1639,'Set up'!$A$2:$C$48,3,FALSE)</f>
        <v>Cash</v>
      </c>
      <c r="J1639" s="5">
        <f>VLOOKUP(F1639,'Set up'!$A$2:$D$48,4,FALSE)</f>
        <v>0</v>
      </c>
      <c r="K1639" s="4">
        <f t="shared" si="561"/>
        <v>45048</v>
      </c>
      <c r="L1639" s="5">
        <f t="shared" si="568"/>
        <v>5</v>
      </c>
      <c r="M1639" s="5">
        <f t="shared" si="569"/>
        <v>2023</v>
      </c>
      <c r="N1639" s="6">
        <v>187.5</v>
      </c>
      <c r="O1639" s="6">
        <f t="shared" si="570"/>
        <v>-187.5</v>
      </c>
      <c r="P1639" s="6">
        <f t="shared" si="559"/>
        <v>0</v>
      </c>
      <c r="Q1639" s="7">
        <f t="shared" si="571"/>
        <v>2991418.6500000008</v>
      </c>
      <c r="R1639" s="44" t="str">
        <f>VLOOKUP(F1639,'Set up'!$A$2:$E$48,5,FALSE)</f>
        <v>Trsf</v>
      </c>
      <c r="S1639" s="1" t="s">
        <v>1583</v>
      </c>
    </row>
    <row r="1640" spans="1:19" hidden="1" x14ac:dyDescent="0.3">
      <c r="A1640" s="4">
        <v>45048</v>
      </c>
      <c r="B1640" s="5">
        <f t="shared" si="566"/>
        <v>5</v>
      </c>
      <c r="C1640" s="5">
        <f t="shared" si="567"/>
        <v>2023</v>
      </c>
      <c r="D1640" s="5" t="s">
        <v>1531</v>
      </c>
      <c r="E1640" s="5" t="str">
        <f>VLOOKUP(F1640,'Set up'!$A$2:$C$48,2,FALSE)</f>
        <v>C00000034</v>
      </c>
      <c r="F1640" s="1" t="s">
        <v>1197</v>
      </c>
      <c r="G1640" s="90" t="s">
        <v>1353</v>
      </c>
      <c r="H1640" s="5">
        <v>5</v>
      </c>
      <c r="I1640" s="5" t="str">
        <f>VLOOKUP(F1640,'Set up'!$A$2:$C$48,3,FALSE)</f>
        <v>Cash</v>
      </c>
      <c r="J1640" s="5">
        <f>VLOOKUP(F1640,'Set up'!$A$2:$D$48,4,FALSE)</f>
        <v>0</v>
      </c>
      <c r="K1640" s="4">
        <f t="shared" si="561"/>
        <v>45048</v>
      </c>
      <c r="L1640" s="5">
        <f t="shared" si="568"/>
        <v>5</v>
      </c>
      <c r="M1640" s="5">
        <f t="shared" si="569"/>
        <v>2023</v>
      </c>
      <c r="N1640" s="6">
        <v>1125</v>
      </c>
      <c r="O1640" s="6">
        <f t="shared" si="570"/>
        <v>-1125</v>
      </c>
      <c r="P1640" s="6">
        <f t="shared" si="559"/>
        <v>0</v>
      </c>
      <c r="Q1640" s="7">
        <f t="shared" si="571"/>
        <v>2992543.6500000008</v>
      </c>
      <c r="R1640" s="44" t="str">
        <f>VLOOKUP(F1640,'Set up'!$A$2:$E$48,5,FALSE)</f>
        <v>Trsf</v>
      </c>
      <c r="S1640" s="1" t="s">
        <v>1583</v>
      </c>
    </row>
    <row r="1641" spans="1:19" hidden="1" x14ac:dyDescent="0.3">
      <c r="A1641" s="4">
        <v>45048</v>
      </c>
      <c r="B1641" s="5">
        <f t="shared" si="566"/>
        <v>5</v>
      </c>
      <c r="C1641" s="5">
        <f t="shared" si="567"/>
        <v>2023</v>
      </c>
      <c r="D1641" s="5" t="s">
        <v>1531</v>
      </c>
      <c r="E1641" s="5" t="str">
        <f>VLOOKUP(F1641,'Set up'!$A$2:$C$48,2,FALSE)</f>
        <v>C00000034</v>
      </c>
      <c r="F1641" s="1" t="s">
        <v>1197</v>
      </c>
      <c r="G1641" s="90" t="s">
        <v>1432</v>
      </c>
      <c r="H1641" s="5">
        <v>2</v>
      </c>
      <c r="I1641" s="5" t="str">
        <f>VLOOKUP(F1641,'Set up'!$A$2:$C$48,3,FALSE)</f>
        <v>Cash</v>
      </c>
      <c r="J1641" s="5">
        <f>VLOOKUP(F1641,'Set up'!$A$2:$D$48,4,FALSE)</f>
        <v>0</v>
      </c>
      <c r="K1641" s="4">
        <f t="shared" si="561"/>
        <v>45048</v>
      </c>
      <c r="L1641" s="5">
        <f t="shared" si="568"/>
        <v>5</v>
      </c>
      <c r="M1641" s="5">
        <f t="shared" si="569"/>
        <v>2023</v>
      </c>
      <c r="N1641" s="6">
        <v>450</v>
      </c>
      <c r="O1641" s="6">
        <f t="shared" si="570"/>
        <v>-450</v>
      </c>
      <c r="P1641" s="6">
        <f t="shared" si="559"/>
        <v>0</v>
      </c>
      <c r="Q1641" s="7">
        <f t="shared" si="571"/>
        <v>2992993.6500000008</v>
      </c>
      <c r="R1641" s="44" t="str">
        <f>VLOOKUP(F1641,'Set up'!$A$2:$E$48,5,FALSE)</f>
        <v>Trsf</v>
      </c>
      <c r="S1641" s="1" t="s">
        <v>1583</v>
      </c>
    </row>
    <row r="1642" spans="1:19" hidden="1" x14ac:dyDescent="0.3">
      <c r="A1642" s="4">
        <v>45048</v>
      </c>
      <c r="B1642" s="5">
        <f t="shared" si="566"/>
        <v>5</v>
      </c>
      <c r="C1642" s="5">
        <f t="shared" si="567"/>
        <v>2023</v>
      </c>
      <c r="D1642" s="5" t="s">
        <v>1531</v>
      </c>
      <c r="E1642" s="5" t="str">
        <f>VLOOKUP(F1642,'Set up'!$A$2:$C$48,2,FALSE)</f>
        <v>C00000034</v>
      </c>
      <c r="F1642" s="1" t="s">
        <v>1197</v>
      </c>
      <c r="G1642" s="90" t="s">
        <v>656</v>
      </c>
      <c r="H1642" s="5">
        <v>1</v>
      </c>
      <c r="I1642" s="5" t="str">
        <f>VLOOKUP(F1642,'Set up'!$A$2:$C$48,3,FALSE)</f>
        <v>Cash</v>
      </c>
      <c r="J1642" s="5">
        <f>VLOOKUP(F1642,'Set up'!$A$2:$D$48,4,FALSE)</f>
        <v>0</v>
      </c>
      <c r="K1642" s="4">
        <f t="shared" si="561"/>
        <v>45048</v>
      </c>
      <c r="L1642" s="5">
        <f t="shared" si="568"/>
        <v>5</v>
      </c>
      <c r="M1642" s="5">
        <f t="shared" si="569"/>
        <v>2023</v>
      </c>
      <c r="N1642" s="6">
        <v>236</v>
      </c>
      <c r="O1642" s="6">
        <f>-235.5-0.5</f>
        <v>-236</v>
      </c>
      <c r="P1642" s="6">
        <f t="shared" si="559"/>
        <v>0</v>
      </c>
      <c r="Q1642" s="7">
        <f t="shared" si="571"/>
        <v>2993229.6500000008</v>
      </c>
      <c r="R1642" s="44" t="str">
        <f>VLOOKUP(F1642,'Set up'!$A$2:$E$48,5,FALSE)</f>
        <v>Trsf</v>
      </c>
      <c r="S1642" s="1" t="s">
        <v>1587</v>
      </c>
    </row>
    <row r="1643" spans="1:19" x14ac:dyDescent="0.3">
      <c r="A1643" s="4">
        <v>45048</v>
      </c>
      <c r="B1643" s="5">
        <f t="shared" si="566"/>
        <v>5</v>
      </c>
      <c r="C1643" s="5">
        <f t="shared" si="567"/>
        <v>2023</v>
      </c>
      <c r="D1643" s="5" t="s">
        <v>1532</v>
      </c>
      <c r="E1643" s="5" t="str">
        <f>VLOOKUP(F1643,'Set up'!$A$2:$C$48,2,FALSE)</f>
        <v>C00000020</v>
      </c>
      <c r="F1643" s="1" t="s">
        <v>410</v>
      </c>
      <c r="G1643" s="89" t="s">
        <v>1111</v>
      </c>
      <c r="H1643" s="5">
        <v>3</v>
      </c>
      <c r="I1643" s="5" t="str">
        <f>VLOOKUP(F1643,'Set up'!$A$2:$C$48,3,FALSE)</f>
        <v>Cash</v>
      </c>
      <c r="J1643" s="5">
        <f>VLOOKUP(F1643,'Set up'!$A$2:$D$48,4,FALSE)</f>
        <v>0</v>
      </c>
      <c r="K1643" s="4">
        <f t="shared" si="561"/>
        <v>45048</v>
      </c>
      <c r="L1643" s="5">
        <f t="shared" si="568"/>
        <v>5</v>
      </c>
      <c r="M1643" s="5">
        <f t="shared" si="569"/>
        <v>2023</v>
      </c>
      <c r="N1643" s="6">
        <v>187.5</v>
      </c>
      <c r="P1643" s="6">
        <f t="shared" si="559"/>
        <v>187.5</v>
      </c>
      <c r="Q1643" s="7">
        <f t="shared" si="571"/>
        <v>2993417.1500000008</v>
      </c>
      <c r="R1643" s="44" t="str">
        <f>VLOOKUP(F1643,'Set up'!$A$2:$E$48,5,FALSE)</f>
        <v>Trsf</v>
      </c>
    </row>
    <row r="1644" spans="1:19" x14ac:dyDescent="0.3">
      <c r="A1644" s="4">
        <v>45048</v>
      </c>
      <c r="B1644" s="5">
        <f t="shared" si="566"/>
        <v>5</v>
      </c>
      <c r="C1644" s="5">
        <f t="shared" si="567"/>
        <v>2023</v>
      </c>
      <c r="D1644" s="5" t="s">
        <v>1533</v>
      </c>
      <c r="E1644" s="5" t="str">
        <f>VLOOKUP(F1644,'Set up'!$A$2:$C$48,2,FALSE)</f>
        <v>C00000020</v>
      </c>
      <c r="F1644" s="1" t="s">
        <v>410</v>
      </c>
      <c r="G1644" s="103" t="s">
        <v>720</v>
      </c>
      <c r="H1644" s="88">
        <v>3</v>
      </c>
      <c r="I1644" s="5" t="str">
        <f>VLOOKUP(F1644,'Set up'!$A$2:$C$48,3,FALSE)</f>
        <v>Cash</v>
      </c>
      <c r="J1644" s="5">
        <f>VLOOKUP(F1644,'Set up'!$A$2:$D$48,4,FALSE)</f>
        <v>0</v>
      </c>
      <c r="K1644" s="4">
        <f t="shared" si="561"/>
        <v>45048</v>
      </c>
      <c r="L1644" s="5">
        <f t="shared" si="568"/>
        <v>5</v>
      </c>
      <c r="M1644" s="5">
        <f t="shared" si="569"/>
        <v>2023</v>
      </c>
      <c r="N1644" s="6">
        <v>5412</v>
      </c>
      <c r="P1644" s="6">
        <f t="shared" si="559"/>
        <v>5412</v>
      </c>
      <c r="Q1644" s="7">
        <f t="shared" si="571"/>
        <v>2998829.1500000008</v>
      </c>
      <c r="R1644" s="44" t="str">
        <f>VLOOKUP(F1644,'Set up'!$A$2:$E$48,5,FALSE)</f>
        <v>Trsf</v>
      </c>
    </row>
    <row r="1645" spans="1:19" x14ac:dyDescent="0.3">
      <c r="A1645" s="4">
        <v>45048</v>
      </c>
      <c r="B1645" s="5">
        <f t="shared" si="566"/>
        <v>5</v>
      </c>
      <c r="C1645" s="5">
        <f t="shared" si="567"/>
        <v>2023</v>
      </c>
      <c r="D1645" s="5" t="s">
        <v>1533</v>
      </c>
      <c r="E1645" s="5" t="str">
        <f>VLOOKUP(F1645,'Set up'!$A$2:$C$48,2,FALSE)</f>
        <v>C00000020</v>
      </c>
      <c r="F1645" s="1" t="s">
        <v>410</v>
      </c>
      <c r="G1645" s="90" t="s">
        <v>655</v>
      </c>
      <c r="H1645" s="88">
        <v>10</v>
      </c>
      <c r="I1645" s="5" t="str">
        <f>VLOOKUP(F1645,'Set up'!$A$2:$C$48,3,FALSE)</f>
        <v>Cash</v>
      </c>
      <c r="J1645" s="5">
        <f>VLOOKUP(F1645,'Set up'!$A$2:$D$48,4,FALSE)</f>
        <v>0</v>
      </c>
      <c r="K1645" s="4">
        <f t="shared" si="561"/>
        <v>45048</v>
      </c>
      <c r="L1645" s="5">
        <f t="shared" si="568"/>
        <v>5</v>
      </c>
      <c r="M1645" s="5">
        <f t="shared" si="569"/>
        <v>2023</v>
      </c>
      <c r="N1645" s="6">
        <v>2280</v>
      </c>
      <c r="P1645" s="6">
        <f t="shared" si="559"/>
        <v>2280</v>
      </c>
      <c r="Q1645" s="7">
        <f t="shared" si="571"/>
        <v>3001109.1500000008</v>
      </c>
      <c r="R1645" s="44" t="str">
        <f>VLOOKUP(F1645,'Set up'!$A$2:$E$48,5,FALSE)</f>
        <v>Trsf</v>
      </c>
    </row>
    <row r="1646" spans="1:19" x14ac:dyDescent="0.3">
      <c r="A1646" s="4">
        <v>45048</v>
      </c>
      <c r="B1646" s="5">
        <f t="shared" si="566"/>
        <v>5</v>
      </c>
      <c r="C1646" s="5">
        <f t="shared" si="567"/>
        <v>2023</v>
      </c>
      <c r="D1646" s="5" t="s">
        <v>1533</v>
      </c>
      <c r="E1646" s="5" t="str">
        <f>VLOOKUP(F1646,'Set up'!$A$2:$C$48,2,FALSE)</f>
        <v>C00000020</v>
      </c>
      <c r="F1646" s="1" t="s">
        <v>410</v>
      </c>
      <c r="G1646" s="90" t="s">
        <v>1438</v>
      </c>
      <c r="H1646" s="88">
        <v>6</v>
      </c>
      <c r="I1646" s="5" t="str">
        <f>VLOOKUP(F1646,'Set up'!$A$2:$C$48,3,FALSE)</f>
        <v>Cash</v>
      </c>
      <c r="J1646" s="5">
        <f>VLOOKUP(F1646,'Set up'!$A$2:$D$48,4,FALSE)</f>
        <v>0</v>
      </c>
      <c r="K1646" s="4">
        <f t="shared" si="561"/>
        <v>45048</v>
      </c>
      <c r="L1646" s="5">
        <f t="shared" si="568"/>
        <v>5</v>
      </c>
      <c r="M1646" s="5">
        <f t="shared" si="569"/>
        <v>2023</v>
      </c>
      <c r="N1646" s="6">
        <v>1587.6000000000001</v>
      </c>
      <c r="P1646" s="6">
        <f t="shared" si="559"/>
        <v>1587.6000000000001</v>
      </c>
      <c r="Q1646" s="7">
        <f t="shared" si="571"/>
        <v>3002696.7500000009</v>
      </c>
      <c r="R1646" s="44" t="str">
        <f>VLOOKUP(F1646,'Set up'!$A$2:$E$48,5,FALSE)</f>
        <v>Trsf</v>
      </c>
    </row>
    <row r="1647" spans="1:19" x14ac:dyDescent="0.3">
      <c r="A1647" s="4">
        <v>45048</v>
      </c>
      <c r="B1647" s="5">
        <f t="shared" si="566"/>
        <v>5</v>
      </c>
      <c r="C1647" s="5">
        <f t="shared" si="567"/>
        <v>2023</v>
      </c>
      <c r="D1647" s="5" t="s">
        <v>1533</v>
      </c>
      <c r="E1647" s="5" t="str">
        <f>VLOOKUP(F1647,'Set up'!$A$2:$C$48,2,FALSE)</f>
        <v>C00000020</v>
      </c>
      <c r="F1647" s="1" t="s">
        <v>410</v>
      </c>
      <c r="G1647" s="90" t="s">
        <v>667</v>
      </c>
      <c r="H1647" s="88">
        <v>4</v>
      </c>
      <c r="I1647" s="5" t="str">
        <f>VLOOKUP(F1647,'Set up'!$A$2:$C$48,3,FALSE)</f>
        <v>Cash</v>
      </c>
      <c r="J1647" s="5">
        <f>VLOOKUP(F1647,'Set up'!$A$2:$D$48,4,FALSE)</f>
        <v>0</v>
      </c>
      <c r="K1647" s="4">
        <f t="shared" si="561"/>
        <v>45048</v>
      </c>
      <c r="L1647" s="5">
        <f t="shared" si="568"/>
        <v>5</v>
      </c>
      <c r="M1647" s="5">
        <f t="shared" si="569"/>
        <v>2023</v>
      </c>
      <c r="N1647" s="6">
        <v>380</v>
      </c>
      <c r="P1647" s="6">
        <f t="shared" si="559"/>
        <v>380</v>
      </c>
      <c r="Q1647" s="7">
        <f t="shared" si="571"/>
        <v>3003076.7500000009</v>
      </c>
      <c r="R1647" s="44" t="str">
        <f>VLOOKUP(F1647,'Set up'!$A$2:$E$48,5,FALSE)</f>
        <v>Trsf</v>
      </c>
    </row>
    <row r="1648" spans="1:19" x14ac:dyDescent="0.3">
      <c r="A1648" s="4">
        <v>45048</v>
      </c>
      <c r="B1648" s="5">
        <f t="shared" si="566"/>
        <v>5</v>
      </c>
      <c r="C1648" s="5">
        <f t="shared" si="567"/>
        <v>2023</v>
      </c>
      <c r="D1648" s="5" t="s">
        <v>1533</v>
      </c>
      <c r="E1648" s="5" t="str">
        <f>VLOOKUP(F1648,'Set up'!$A$2:$C$48,2,FALSE)</f>
        <v>C00000020</v>
      </c>
      <c r="F1648" s="1" t="s">
        <v>410</v>
      </c>
      <c r="G1648" s="99" t="s">
        <v>1534</v>
      </c>
      <c r="H1648" s="105">
        <v>1</v>
      </c>
      <c r="I1648" s="5" t="str">
        <f>VLOOKUP(F1648,'Set up'!$A$2:$C$48,3,FALSE)</f>
        <v>Cash</v>
      </c>
      <c r="J1648" s="5">
        <f>VLOOKUP(F1648,'Set up'!$A$2:$D$48,4,FALSE)</f>
        <v>0</v>
      </c>
      <c r="K1648" s="4">
        <f t="shared" si="561"/>
        <v>45048</v>
      </c>
      <c r="L1648" s="5">
        <f t="shared" si="568"/>
        <v>5</v>
      </c>
      <c r="M1648" s="5">
        <f t="shared" si="569"/>
        <v>2023</v>
      </c>
      <c r="N1648" s="6">
        <v>420</v>
      </c>
      <c r="P1648" s="6">
        <f t="shared" si="559"/>
        <v>420</v>
      </c>
      <c r="Q1648" s="7">
        <f t="shared" si="571"/>
        <v>3003496.7500000009</v>
      </c>
      <c r="R1648" s="44" t="str">
        <f>VLOOKUP(F1648,'Set up'!$A$2:$E$48,5,FALSE)</f>
        <v>Trsf</v>
      </c>
    </row>
    <row r="1649" spans="1:19" hidden="1" x14ac:dyDescent="0.3">
      <c r="A1649" s="4">
        <v>45052</v>
      </c>
      <c r="B1649" s="5">
        <f t="shared" si="566"/>
        <v>5</v>
      </c>
      <c r="C1649" s="5">
        <f t="shared" si="567"/>
        <v>2023</v>
      </c>
      <c r="D1649" s="5" t="s">
        <v>1535</v>
      </c>
      <c r="E1649" s="5" t="str">
        <f>VLOOKUP(F1649,'Set up'!$A$2:$C$48,2,FALSE)</f>
        <v>C00000027</v>
      </c>
      <c r="F1649" s="1" t="s">
        <v>860</v>
      </c>
      <c r="G1649" s="89" t="s">
        <v>717</v>
      </c>
      <c r="H1649" s="5">
        <v>2</v>
      </c>
      <c r="I1649" s="5" t="str">
        <f>VLOOKUP(F1649,'Set up'!$A$2:$C$48,3,FALSE)</f>
        <v>Cash</v>
      </c>
      <c r="J1649" s="5">
        <f>VLOOKUP(F1649,'Set up'!$A$2:$D$48,4,FALSE)</f>
        <v>0</v>
      </c>
      <c r="K1649" s="4">
        <f t="shared" si="561"/>
        <v>45052</v>
      </c>
      <c r="L1649" s="5">
        <f t="shared" si="568"/>
        <v>5</v>
      </c>
      <c r="M1649" s="5">
        <f t="shared" si="569"/>
        <v>2023</v>
      </c>
      <c r="N1649" s="6">
        <v>3784</v>
      </c>
      <c r="P1649" s="6">
        <f t="shared" si="559"/>
        <v>3784</v>
      </c>
      <c r="Q1649" s="7">
        <f t="shared" si="571"/>
        <v>3007280.7500000009</v>
      </c>
      <c r="R1649" s="44" t="str">
        <f>VLOOKUP(F1649,'Set up'!$A$2:$E$48,5,FALSE)</f>
        <v>Trsf</v>
      </c>
    </row>
    <row r="1650" spans="1:19" hidden="1" x14ac:dyDescent="0.3">
      <c r="A1650" s="4">
        <v>45054</v>
      </c>
      <c r="B1650" s="5">
        <f t="shared" si="566"/>
        <v>5</v>
      </c>
      <c r="C1650" s="5">
        <f t="shared" si="567"/>
        <v>2023</v>
      </c>
      <c r="D1650" s="5" t="s">
        <v>1536</v>
      </c>
      <c r="E1650" s="5" t="str">
        <f>VLOOKUP(F1650,'Set up'!$A$2:$C$48,2,FALSE)</f>
        <v>C00000034</v>
      </c>
      <c r="F1650" s="1" t="s">
        <v>1197</v>
      </c>
      <c r="G1650" s="11" t="s">
        <v>302</v>
      </c>
      <c r="H1650" s="106">
        <v>1</v>
      </c>
      <c r="I1650" s="5" t="str">
        <f>VLOOKUP(F1650,'Set up'!$A$2:$C$48,3,FALSE)</f>
        <v>Cash</v>
      </c>
      <c r="J1650" s="5">
        <f>VLOOKUP(F1650,'Set up'!$A$2:$D$48,4,FALSE)</f>
        <v>0</v>
      </c>
      <c r="K1650" s="4">
        <f t="shared" si="561"/>
        <v>45054</v>
      </c>
      <c r="L1650" s="5">
        <f t="shared" si="568"/>
        <v>5</v>
      </c>
      <c r="M1650" s="5">
        <f t="shared" si="569"/>
        <v>2023</v>
      </c>
      <c r="N1650" s="6">
        <v>1912.5</v>
      </c>
      <c r="O1650" s="6">
        <f t="shared" ref="O1650:O1652" si="572">-N1650</f>
        <v>-1912.5</v>
      </c>
      <c r="P1650" s="6">
        <f t="shared" si="559"/>
        <v>0</v>
      </c>
      <c r="Q1650" s="7">
        <f t="shared" si="571"/>
        <v>3009193.2500000009</v>
      </c>
      <c r="R1650" s="44" t="str">
        <f>VLOOKUP(F1650,'Set up'!$A$2:$E$48,5,FALSE)</f>
        <v>Trsf</v>
      </c>
      <c r="S1650" s="1" t="s">
        <v>1588</v>
      </c>
    </row>
    <row r="1651" spans="1:19" hidden="1" x14ac:dyDescent="0.3">
      <c r="A1651" s="4">
        <v>45054</v>
      </c>
      <c r="B1651" s="5">
        <f t="shared" si="566"/>
        <v>5</v>
      </c>
      <c r="C1651" s="5">
        <f t="shared" si="567"/>
        <v>2023</v>
      </c>
      <c r="D1651" s="5" t="s">
        <v>1536</v>
      </c>
      <c r="E1651" s="5" t="str">
        <f>VLOOKUP(F1651,'Set up'!$A$2:$C$48,2,FALSE)</f>
        <v>C00000034</v>
      </c>
      <c r="F1651" s="1" t="s">
        <v>1197</v>
      </c>
      <c r="G1651" s="11" t="s">
        <v>1062</v>
      </c>
      <c r="H1651" s="106">
        <v>1</v>
      </c>
      <c r="I1651" s="5" t="str">
        <f>VLOOKUP(F1651,'Set up'!$A$2:$C$48,3,FALSE)</f>
        <v>Cash</v>
      </c>
      <c r="J1651" s="5">
        <f>VLOOKUP(F1651,'Set up'!$A$2:$D$48,4,FALSE)</f>
        <v>0</v>
      </c>
      <c r="K1651" s="4">
        <f t="shared" si="561"/>
        <v>45054</v>
      </c>
      <c r="L1651" s="5">
        <f t="shared" si="568"/>
        <v>5</v>
      </c>
      <c r="M1651" s="5">
        <f t="shared" si="569"/>
        <v>2023</v>
      </c>
      <c r="N1651" s="6">
        <v>100</v>
      </c>
      <c r="O1651" s="6">
        <f t="shared" si="572"/>
        <v>-100</v>
      </c>
      <c r="P1651" s="6">
        <f t="shared" si="559"/>
        <v>0</v>
      </c>
      <c r="Q1651" s="7">
        <f t="shared" si="571"/>
        <v>3009293.2500000009</v>
      </c>
      <c r="R1651" s="44" t="str">
        <f>VLOOKUP(F1651,'Set up'!$A$2:$E$48,5,FALSE)</f>
        <v>Trsf</v>
      </c>
      <c r="S1651" s="1" t="s">
        <v>1589</v>
      </c>
    </row>
    <row r="1652" spans="1:19" hidden="1" x14ac:dyDescent="0.3">
      <c r="A1652" s="4">
        <v>45054</v>
      </c>
      <c r="B1652" s="5">
        <f t="shared" si="566"/>
        <v>5</v>
      </c>
      <c r="C1652" s="5">
        <f t="shared" si="567"/>
        <v>2023</v>
      </c>
      <c r="D1652" s="5" t="s">
        <v>1536</v>
      </c>
      <c r="E1652" s="5" t="str">
        <f>VLOOKUP(F1652,'Set up'!$A$2:$C$48,2,FALSE)</f>
        <v>C00000034</v>
      </c>
      <c r="F1652" s="1" t="s">
        <v>1197</v>
      </c>
      <c r="G1652" s="89" t="s">
        <v>1111</v>
      </c>
      <c r="H1652" s="106">
        <v>4</v>
      </c>
      <c r="I1652" s="5" t="str">
        <f>VLOOKUP(F1652,'Set up'!$A$2:$C$48,3,FALSE)</f>
        <v>Cash</v>
      </c>
      <c r="J1652" s="5">
        <f>VLOOKUP(F1652,'Set up'!$A$2:$D$48,4,FALSE)</f>
        <v>0</v>
      </c>
      <c r="K1652" s="4">
        <f t="shared" si="561"/>
        <v>45054</v>
      </c>
      <c r="L1652" s="5">
        <f t="shared" si="568"/>
        <v>5</v>
      </c>
      <c r="M1652" s="5">
        <f t="shared" si="569"/>
        <v>2023</v>
      </c>
      <c r="N1652" s="6">
        <v>250</v>
      </c>
      <c r="O1652" s="6">
        <f t="shared" si="572"/>
        <v>-250</v>
      </c>
      <c r="P1652" s="6">
        <f t="shared" si="559"/>
        <v>0</v>
      </c>
      <c r="Q1652" s="7">
        <f t="shared" si="571"/>
        <v>3009543.2500000009</v>
      </c>
      <c r="R1652" s="44" t="str">
        <f>VLOOKUP(F1652,'Set up'!$A$2:$E$48,5,FALSE)</f>
        <v>Trsf</v>
      </c>
      <c r="S1652" s="1" t="s">
        <v>1590</v>
      </c>
    </row>
    <row r="1653" spans="1:19" hidden="1" x14ac:dyDescent="0.3">
      <c r="A1653" s="110">
        <v>45054</v>
      </c>
      <c r="B1653" s="111">
        <f t="shared" si="566"/>
        <v>5</v>
      </c>
      <c r="C1653" s="111">
        <f t="shared" si="567"/>
        <v>2023</v>
      </c>
      <c r="D1653" s="111" t="s">
        <v>1536</v>
      </c>
      <c r="E1653" s="5" t="str">
        <f>VLOOKUP(F1653,'Set up'!$A$2:$C$48,2,FALSE)</f>
        <v>C00000034</v>
      </c>
      <c r="F1653" s="112" t="s">
        <v>1197</v>
      </c>
      <c r="G1653" s="113" t="s">
        <v>1537</v>
      </c>
      <c r="H1653" s="114">
        <v>4</v>
      </c>
      <c r="I1653" s="5" t="str">
        <f>VLOOKUP(F1653,'Set up'!$A$2:$C$48,3,FALSE)</f>
        <v>Cash</v>
      </c>
      <c r="J1653" s="5">
        <f>VLOOKUP(F1653,'Set up'!$A$2:$D$48,4,FALSE)</f>
        <v>0</v>
      </c>
      <c r="K1653" s="110">
        <f t="shared" si="561"/>
        <v>45054</v>
      </c>
      <c r="L1653" s="111">
        <f t="shared" si="568"/>
        <v>5</v>
      </c>
      <c r="M1653" s="111">
        <f t="shared" si="569"/>
        <v>2023</v>
      </c>
      <c r="N1653" s="115">
        <v>640</v>
      </c>
      <c r="O1653" s="116">
        <f>-640</f>
        <v>-640</v>
      </c>
      <c r="P1653" s="91">
        <f>SUM(N1653+O1653)</f>
        <v>0</v>
      </c>
      <c r="Q1653" s="7">
        <f t="shared" si="571"/>
        <v>3010183.2500000009</v>
      </c>
      <c r="R1653" s="44" t="str">
        <f>VLOOKUP(F1653,'Set up'!$A$2:$E$48,5,FALSE)</f>
        <v>Trsf</v>
      </c>
      <c r="S1653" s="1" t="s">
        <v>1591</v>
      </c>
    </row>
    <row r="1654" spans="1:19" hidden="1" x14ac:dyDescent="0.3">
      <c r="A1654" s="4">
        <v>45054</v>
      </c>
      <c r="B1654" s="5">
        <f t="shared" si="566"/>
        <v>5</v>
      </c>
      <c r="C1654" s="5">
        <f t="shared" si="567"/>
        <v>2023</v>
      </c>
      <c r="D1654" s="5" t="s">
        <v>1538</v>
      </c>
      <c r="E1654" s="5" t="str">
        <f>VLOOKUP(F1654,'Set up'!$A$2:$C$48,2,FALSE)</f>
        <v>C00000009</v>
      </c>
      <c r="F1654" s="1" t="s">
        <v>58</v>
      </c>
      <c r="G1654" s="89" t="s">
        <v>46</v>
      </c>
      <c r="H1654" s="88">
        <v>2</v>
      </c>
      <c r="I1654" s="5">
        <f>VLOOKUP(F1654,'Set up'!$A$2:$C$48,3,FALSE)</f>
        <v>60</v>
      </c>
      <c r="J1654" s="5">
        <f>VLOOKUP(F1654,'Set up'!$A$2:$D$48,4,FALSE)</f>
        <v>60</v>
      </c>
      <c r="K1654" s="4">
        <f t="shared" si="561"/>
        <v>45114</v>
      </c>
      <c r="L1654" s="5">
        <f t="shared" si="568"/>
        <v>7</v>
      </c>
      <c r="M1654" s="5">
        <f t="shared" si="569"/>
        <v>2023</v>
      </c>
      <c r="N1654" s="6">
        <v>220</v>
      </c>
      <c r="O1654" s="6">
        <f t="shared" ref="O1654" si="573">-N1654</f>
        <v>-220</v>
      </c>
      <c r="P1654" s="6">
        <f t="shared" si="559"/>
        <v>0</v>
      </c>
      <c r="Q1654" s="7">
        <f t="shared" si="571"/>
        <v>3010403.2500000009</v>
      </c>
      <c r="R1654" s="44" t="str">
        <f>VLOOKUP(F1654,'Set up'!$A$2:$E$48,5,FALSE)</f>
        <v>Chq</v>
      </c>
      <c r="S1654" s="1" t="s">
        <v>2093</v>
      </c>
    </row>
    <row r="1655" spans="1:19" x14ac:dyDescent="0.3">
      <c r="A1655" s="4">
        <v>45054</v>
      </c>
      <c r="B1655" s="5">
        <f t="shared" si="566"/>
        <v>5</v>
      </c>
      <c r="C1655" s="5">
        <f t="shared" si="567"/>
        <v>2023</v>
      </c>
      <c r="D1655" s="5" t="s">
        <v>1539</v>
      </c>
      <c r="E1655" s="5" t="str">
        <f>VLOOKUP(F1655,'Set up'!$A$2:$C$48,2,FALSE)</f>
        <v>C00000020</v>
      </c>
      <c r="F1655" s="1" t="s">
        <v>410</v>
      </c>
      <c r="G1655" s="89" t="s">
        <v>1111</v>
      </c>
      <c r="H1655" s="5">
        <v>15</v>
      </c>
      <c r="I1655" s="5" t="str">
        <f>VLOOKUP(F1655,'Set up'!$A$2:$C$48,3,FALSE)</f>
        <v>Cash</v>
      </c>
      <c r="J1655" s="5">
        <f>VLOOKUP(F1655,'Set up'!$A$2:$D$48,4,FALSE)</f>
        <v>0</v>
      </c>
      <c r="K1655" s="4">
        <f t="shared" si="561"/>
        <v>45054</v>
      </c>
      <c r="L1655" s="5">
        <f t="shared" si="568"/>
        <v>5</v>
      </c>
      <c r="M1655" s="5">
        <f t="shared" si="569"/>
        <v>2023</v>
      </c>
      <c r="N1655" s="6">
        <v>937.5</v>
      </c>
      <c r="P1655" s="6">
        <f t="shared" si="559"/>
        <v>937.5</v>
      </c>
      <c r="Q1655" s="7">
        <f t="shared" si="571"/>
        <v>3011340.7500000009</v>
      </c>
      <c r="R1655" s="44" t="str">
        <f>VLOOKUP(F1655,'Set up'!$A$2:$E$48,5,FALSE)</f>
        <v>Trsf</v>
      </c>
    </row>
    <row r="1656" spans="1:19" x14ac:dyDescent="0.3">
      <c r="A1656" s="4">
        <v>45054</v>
      </c>
      <c r="B1656" s="5">
        <f t="shared" si="566"/>
        <v>5</v>
      </c>
      <c r="C1656" s="5">
        <f t="shared" si="567"/>
        <v>2023</v>
      </c>
      <c r="D1656" s="5" t="s">
        <v>1540</v>
      </c>
      <c r="E1656" s="5" t="str">
        <f>VLOOKUP(F1656,'Set up'!$A$2:$C$48,2,FALSE)</f>
        <v>C00000020</v>
      </c>
      <c r="F1656" s="1" t="s">
        <v>410</v>
      </c>
      <c r="G1656" s="89" t="s">
        <v>720</v>
      </c>
      <c r="H1656" s="5">
        <v>15</v>
      </c>
      <c r="I1656" s="5" t="str">
        <f>VLOOKUP(F1656,'Set up'!$A$2:$C$48,3,FALSE)</f>
        <v>Cash</v>
      </c>
      <c r="J1656" s="5">
        <f>VLOOKUP(F1656,'Set up'!$A$2:$D$48,4,FALSE)</f>
        <v>0</v>
      </c>
      <c r="K1656" s="4">
        <f t="shared" si="561"/>
        <v>45054</v>
      </c>
      <c r="L1656" s="5">
        <f t="shared" si="568"/>
        <v>5</v>
      </c>
      <c r="M1656" s="5">
        <f t="shared" si="569"/>
        <v>2023</v>
      </c>
      <c r="N1656" s="6">
        <v>27060</v>
      </c>
      <c r="P1656" s="6">
        <f t="shared" si="559"/>
        <v>27060</v>
      </c>
      <c r="Q1656" s="7">
        <f t="shared" si="571"/>
        <v>3038400.7500000009</v>
      </c>
      <c r="R1656" s="44" t="str">
        <f>VLOOKUP(F1656,'Set up'!$A$2:$E$48,5,FALSE)</f>
        <v>Trsf</v>
      </c>
    </row>
    <row r="1657" spans="1:19" x14ac:dyDescent="0.3">
      <c r="A1657" s="4">
        <v>45054</v>
      </c>
      <c r="B1657" s="5">
        <f t="shared" si="566"/>
        <v>5</v>
      </c>
      <c r="C1657" s="5">
        <f t="shared" si="567"/>
        <v>2023</v>
      </c>
      <c r="D1657" s="5" t="s">
        <v>1540</v>
      </c>
      <c r="E1657" s="5" t="str">
        <f>VLOOKUP(F1657,'Set up'!$A$2:$C$48,2,FALSE)</f>
        <v>C00000020</v>
      </c>
      <c r="F1657" s="1" t="s">
        <v>410</v>
      </c>
      <c r="G1657" s="89" t="s">
        <v>655</v>
      </c>
      <c r="H1657" s="5">
        <v>45</v>
      </c>
      <c r="I1657" s="5" t="str">
        <f>VLOOKUP(F1657,'Set up'!$A$2:$C$48,3,FALSE)</f>
        <v>Cash</v>
      </c>
      <c r="J1657" s="5">
        <f>VLOOKUP(F1657,'Set up'!$A$2:$D$48,4,FALSE)</f>
        <v>0</v>
      </c>
      <c r="K1657" s="4">
        <f t="shared" si="561"/>
        <v>45054</v>
      </c>
      <c r="L1657" s="5">
        <f t="shared" si="568"/>
        <v>5</v>
      </c>
      <c r="M1657" s="5">
        <f t="shared" si="569"/>
        <v>2023</v>
      </c>
      <c r="N1657" s="6">
        <v>10260</v>
      </c>
      <c r="P1657" s="6">
        <f t="shared" si="559"/>
        <v>10260</v>
      </c>
      <c r="Q1657" s="7">
        <f t="shared" si="571"/>
        <v>3048660.7500000009</v>
      </c>
      <c r="R1657" s="44" t="str">
        <f>VLOOKUP(F1657,'Set up'!$A$2:$E$48,5,FALSE)</f>
        <v>Trsf</v>
      </c>
    </row>
    <row r="1658" spans="1:19" x14ac:dyDescent="0.3">
      <c r="A1658" s="4">
        <v>45054</v>
      </c>
      <c r="B1658" s="5">
        <f t="shared" si="566"/>
        <v>5</v>
      </c>
      <c r="C1658" s="5">
        <f t="shared" si="567"/>
        <v>2023</v>
      </c>
      <c r="D1658" s="5" t="s">
        <v>1540</v>
      </c>
      <c r="E1658" s="5" t="str">
        <f>VLOOKUP(F1658,'Set up'!$A$2:$C$48,2,FALSE)</f>
        <v>C00000020</v>
      </c>
      <c r="F1658" s="1" t="s">
        <v>410</v>
      </c>
      <c r="G1658" s="89" t="s">
        <v>1438</v>
      </c>
      <c r="H1658" s="5">
        <v>22</v>
      </c>
      <c r="I1658" s="5" t="str">
        <f>VLOOKUP(F1658,'Set up'!$A$2:$C$48,3,FALSE)</f>
        <v>Cash</v>
      </c>
      <c r="J1658" s="5">
        <f>VLOOKUP(F1658,'Set up'!$A$2:$D$48,4,FALSE)</f>
        <v>0</v>
      </c>
      <c r="K1658" s="4">
        <f t="shared" si="561"/>
        <v>45054</v>
      </c>
      <c r="L1658" s="5">
        <f t="shared" si="568"/>
        <v>5</v>
      </c>
      <c r="M1658" s="5">
        <f t="shared" si="569"/>
        <v>2023</v>
      </c>
      <c r="N1658" s="6">
        <v>5821.2000000000007</v>
      </c>
      <c r="P1658" s="6">
        <f t="shared" si="559"/>
        <v>5821.2000000000007</v>
      </c>
      <c r="Q1658" s="7">
        <f t="shared" si="571"/>
        <v>3054481.9500000011</v>
      </c>
      <c r="R1658" s="44" t="str">
        <f>VLOOKUP(F1658,'Set up'!$A$2:$E$48,5,FALSE)</f>
        <v>Trsf</v>
      </c>
    </row>
    <row r="1659" spans="1:19" x14ac:dyDescent="0.3">
      <c r="A1659" s="4">
        <v>45054</v>
      </c>
      <c r="B1659" s="5">
        <f t="shared" si="566"/>
        <v>5</v>
      </c>
      <c r="C1659" s="5">
        <f t="shared" si="567"/>
        <v>2023</v>
      </c>
      <c r="D1659" s="5" t="s">
        <v>1540</v>
      </c>
      <c r="E1659" s="5" t="str">
        <f>VLOOKUP(F1659,'Set up'!$A$2:$C$48,2,FALSE)</f>
        <v>C00000020</v>
      </c>
      <c r="F1659" s="1" t="s">
        <v>410</v>
      </c>
      <c r="G1659" s="89" t="s">
        <v>1062</v>
      </c>
      <c r="H1659" s="5">
        <v>8</v>
      </c>
      <c r="I1659" s="5" t="str">
        <f>VLOOKUP(F1659,'Set up'!$A$2:$C$48,3,FALSE)</f>
        <v>Cash</v>
      </c>
      <c r="J1659" s="5">
        <f>VLOOKUP(F1659,'Set up'!$A$2:$D$48,4,FALSE)</f>
        <v>0</v>
      </c>
      <c r="K1659" s="4">
        <f t="shared" si="561"/>
        <v>45054</v>
      </c>
      <c r="L1659" s="5">
        <f t="shared" si="568"/>
        <v>5</v>
      </c>
      <c r="M1659" s="5">
        <f t="shared" si="569"/>
        <v>2023</v>
      </c>
      <c r="N1659" s="6">
        <v>760</v>
      </c>
      <c r="P1659" s="6">
        <f t="shared" si="559"/>
        <v>760</v>
      </c>
      <c r="Q1659" s="7">
        <f t="shared" si="571"/>
        <v>3055241.9500000011</v>
      </c>
      <c r="R1659" s="44" t="str">
        <f>VLOOKUP(F1659,'Set up'!$A$2:$E$48,5,FALSE)</f>
        <v>Trsf</v>
      </c>
    </row>
    <row r="1660" spans="1:19" x14ac:dyDescent="0.3">
      <c r="A1660" s="4">
        <v>45054</v>
      </c>
      <c r="B1660" s="5">
        <f t="shared" si="566"/>
        <v>5</v>
      </c>
      <c r="C1660" s="5">
        <f t="shared" si="567"/>
        <v>2023</v>
      </c>
      <c r="D1660" s="5" t="s">
        <v>1540</v>
      </c>
      <c r="E1660" s="5" t="str">
        <f>VLOOKUP(F1660,'Set up'!$A$2:$C$48,2,FALSE)</f>
        <v>C00000020</v>
      </c>
      <c r="F1660" s="1" t="s">
        <v>410</v>
      </c>
      <c r="G1660" s="89" t="s">
        <v>1074</v>
      </c>
      <c r="H1660" s="5">
        <v>2</v>
      </c>
      <c r="I1660" s="5" t="str">
        <f>VLOOKUP(F1660,'Set up'!$A$2:$C$48,3,FALSE)</f>
        <v>Cash</v>
      </c>
      <c r="J1660" s="5">
        <f>VLOOKUP(F1660,'Set up'!$A$2:$D$48,4,FALSE)</f>
        <v>0</v>
      </c>
      <c r="K1660" s="4">
        <f t="shared" si="561"/>
        <v>45054</v>
      </c>
      <c r="L1660" s="5">
        <f t="shared" si="568"/>
        <v>5</v>
      </c>
      <c r="M1660" s="5">
        <f t="shared" si="569"/>
        <v>2023</v>
      </c>
      <c r="N1660" s="6">
        <v>2000</v>
      </c>
      <c r="P1660" s="6">
        <f t="shared" si="559"/>
        <v>2000</v>
      </c>
      <c r="Q1660" s="7">
        <f t="shared" si="571"/>
        <v>3057241.9500000011</v>
      </c>
      <c r="R1660" s="44" t="str">
        <f>VLOOKUP(F1660,'Set up'!$A$2:$E$48,5,FALSE)</f>
        <v>Trsf</v>
      </c>
    </row>
    <row r="1661" spans="1:19" hidden="1" x14ac:dyDescent="0.3">
      <c r="A1661" s="4">
        <v>45054</v>
      </c>
      <c r="B1661" s="5">
        <f t="shared" si="566"/>
        <v>5</v>
      </c>
      <c r="C1661" s="5">
        <f t="shared" si="567"/>
        <v>2023</v>
      </c>
      <c r="D1661" s="5" t="s">
        <v>1541</v>
      </c>
      <c r="E1661" s="5" t="str">
        <f>VLOOKUP(F1661,'Set up'!$A$2:$C$48,2,FALSE)</f>
        <v>C00000014</v>
      </c>
      <c r="F1661" s="1" t="s">
        <v>263</v>
      </c>
      <c r="G1661" s="89" t="s">
        <v>304</v>
      </c>
      <c r="H1661" s="5">
        <v>3</v>
      </c>
      <c r="I1661" s="5" t="str">
        <f>VLOOKUP(F1661,'Set up'!$A$2:$C$48,3,FALSE)</f>
        <v>Cash</v>
      </c>
      <c r="J1661" s="5">
        <f>VLOOKUP(F1661,'Set up'!$A$2:$D$48,4,FALSE)</f>
        <v>0</v>
      </c>
      <c r="K1661" s="4">
        <f t="shared" si="561"/>
        <v>45054</v>
      </c>
      <c r="L1661" s="5">
        <f t="shared" si="568"/>
        <v>5</v>
      </c>
      <c r="M1661" s="5">
        <f t="shared" si="569"/>
        <v>2023</v>
      </c>
      <c r="N1661" s="6">
        <v>5412</v>
      </c>
      <c r="O1661" s="6">
        <f t="shared" ref="O1661:O1668" si="574">-N1661</f>
        <v>-5412</v>
      </c>
      <c r="P1661" s="6">
        <f t="shared" si="559"/>
        <v>0</v>
      </c>
      <c r="Q1661" s="7">
        <f t="shared" si="571"/>
        <v>3062653.9500000011</v>
      </c>
      <c r="R1661" s="44" t="str">
        <f>VLOOKUP(F1661,'Set up'!$A$2:$E$48,5,FALSE)</f>
        <v>Cash</v>
      </c>
      <c r="S1661" s="1" t="s">
        <v>1595</v>
      </c>
    </row>
    <row r="1662" spans="1:19" hidden="1" x14ac:dyDescent="0.3">
      <c r="A1662" s="4">
        <v>45054</v>
      </c>
      <c r="B1662" s="5">
        <f t="shared" si="566"/>
        <v>5</v>
      </c>
      <c r="C1662" s="5">
        <f t="shared" si="567"/>
        <v>2023</v>
      </c>
      <c r="D1662" s="5" t="s">
        <v>1541</v>
      </c>
      <c r="E1662" s="5" t="str">
        <f>VLOOKUP(F1662,'Set up'!$A$2:$C$48,2,FALSE)</f>
        <v>C00000014</v>
      </c>
      <c r="F1662" s="1" t="s">
        <v>263</v>
      </c>
      <c r="G1662" s="89" t="s">
        <v>989</v>
      </c>
      <c r="H1662" s="5">
        <v>5</v>
      </c>
      <c r="I1662" s="5" t="str">
        <f>VLOOKUP(F1662,'Set up'!$A$2:$C$48,3,FALSE)</f>
        <v>Cash</v>
      </c>
      <c r="J1662" s="5">
        <f>VLOOKUP(F1662,'Set up'!$A$2:$D$48,4,FALSE)</f>
        <v>0</v>
      </c>
      <c r="K1662" s="4">
        <f t="shared" si="561"/>
        <v>45054</v>
      </c>
      <c r="L1662" s="5">
        <f t="shared" si="568"/>
        <v>5</v>
      </c>
      <c r="M1662" s="5">
        <f t="shared" si="569"/>
        <v>2023</v>
      </c>
      <c r="N1662" s="6">
        <v>1185</v>
      </c>
      <c r="O1662" s="6">
        <f t="shared" si="574"/>
        <v>-1185</v>
      </c>
      <c r="P1662" s="6">
        <f t="shared" si="559"/>
        <v>0</v>
      </c>
      <c r="Q1662" s="7">
        <f t="shared" si="571"/>
        <v>3063838.9500000011</v>
      </c>
      <c r="R1662" s="44" t="str">
        <f>VLOOKUP(F1662,'Set up'!$A$2:$E$48,5,FALSE)</f>
        <v>Cash</v>
      </c>
      <c r="S1662" s="1" t="s">
        <v>1595</v>
      </c>
    </row>
    <row r="1663" spans="1:19" hidden="1" x14ac:dyDescent="0.3">
      <c r="A1663" s="4">
        <v>45054</v>
      </c>
      <c r="B1663" s="5">
        <f t="shared" si="566"/>
        <v>5</v>
      </c>
      <c r="C1663" s="5">
        <f t="shared" si="567"/>
        <v>2023</v>
      </c>
      <c r="D1663" s="5" t="s">
        <v>1541</v>
      </c>
      <c r="E1663" s="5" t="str">
        <f>VLOOKUP(F1663,'Set up'!$A$2:$C$48,2,FALSE)</f>
        <v>C00000014</v>
      </c>
      <c r="F1663" s="1" t="s">
        <v>263</v>
      </c>
      <c r="G1663" s="89" t="s">
        <v>895</v>
      </c>
      <c r="H1663" s="5">
        <v>4</v>
      </c>
      <c r="I1663" s="5" t="str">
        <f>VLOOKUP(F1663,'Set up'!$A$2:$C$48,3,FALSE)</f>
        <v>Cash</v>
      </c>
      <c r="J1663" s="5">
        <f>VLOOKUP(F1663,'Set up'!$A$2:$D$48,4,FALSE)</f>
        <v>0</v>
      </c>
      <c r="K1663" s="4">
        <f t="shared" si="561"/>
        <v>45054</v>
      </c>
      <c r="L1663" s="5">
        <f t="shared" si="568"/>
        <v>5</v>
      </c>
      <c r="M1663" s="5">
        <f t="shared" si="569"/>
        <v>2023</v>
      </c>
      <c r="N1663" s="6">
        <v>640</v>
      </c>
      <c r="O1663" s="6">
        <f t="shared" si="574"/>
        <v>-640</v>
      </c>
      <c r="P1663" s="6">
        <f t="shared" si="559"/>
        <v>0</v>
      </c>
      <c r="Q1663" s="7">
        <f t="shared" si="571"/>
        <v>3064478.9500000011</v>
      </c>
      <c r="R1663" s="44" t="str">
        <f>VLOOKUP(F1663,'Set up'!$A$2:$E$48,5,FALSE)</f>
        <v>Cash</v>
      </c>
      <c r="S1663" s="1" t="s">
        <v>1595</v>
      </c>
    </row>
    <row r="1664" spans="1:19" hidden="1" x14ac:dyDescent="0.3">
      <c r="A1664" s="4">
        <v>45054</v>
      </c>
      <c r="B1664" s="5">
        <f t="shared" si="566"/>
        <v>5</v>
      </c>
      <c r="C1664" s="5">
        <f t="shared" si="567"/>
        <v>2023</v>
      </c>
      <c r="D1664" s="5" t="s">
        <v>1541</v>
      </c>
      <c r="E1664" s="5" t="str">
        <f>VLOOKUP(F1664,'Set up'!$A$2:$C$48,2,FALSE)</f>
        <v>C00000014</v>
      </c>
      <c r="F1664" s="1" t="s">
        <v>263</v>
      </c>
      <c r="G1664" s="89" t="s">
        <v>1111</v>
      </c>
      <c r="H1664" s="5">
        <v>3</v>
      </c>
      <c r="I1664" s="5" t="str">
        <f>VLOOKUP(F1664,'Set up'!$A$2:$C$48,3,FALSE)</f>
        <v>Cash</v>
      </c>
      <c r="J1664" s="5">
        <f>VLOOKUP(F1664,'Set up'!$A$2:$D$48,4,FALSE)</f>
        <v>0</v>
      </c>
      <c r="K1664" s="4">
        <f t="shared" si="561"/>
        <v>45054</v>
      </c>
      <c r="L1664" s="5">
        <f t="shared" si="568"/>
        <v>5</v>
      </c>
      <c r="M1664" s="5">
        <f t="shared" si="569"/>
        <v>2023</v>
      </c>
      <c r="N1664" s="6">
        <v>187.5</v>
      </c>
      <c r="O1664" s="6">
        <f t="shared" si="574"/>
        <v>-187.5</v>
      </c>
      <c r="P1664" s="6">
        <f t="shared" si="559"/>
        <v>0</v>
      </c>
      <c r="Q1664" s="7">
        <f t="shared" si="571"/>
        <v>3064666.4500000011</v>
      </c>
      <c r="R1664" s="44" t="str">
        <f>VLOOKUP(F1664,'Set up'!$A$2:$E$48,5,FALSE)</f>
        <v>Cash</v>
      </c>
      <c r="S1664" s="1" t="s">
        <v>1595</v>
      </c>
    </row>
    <row r="1665" spans="1:19" hidden="1" x14ac:dyDescent="0.3">
      <c r="A1665" s="4">
        <v>45054</v>
      </c>
      <c r="B1665" s="5">
        <f t="shared" si="566"/>
        <v>5</v>
      </c>
      <c r="C1665" s="5">
        <f t="shared" si="567"/>
        <v>2023</v>
      </c>
      <c r="D1665" s="5" t="s">
        <v>1541</v>
      </c>
      <c r="E1665" s="5" t="str">
        <f>VLOOKUP(F1665,'Set up'!$A$2:$C$48,2,FALSE)</f>
        <v>C00000014</v>
      </c>
      <c r="F1665" s="1" t="s">
        <v>263</v>
      </c>
      <c r="G1665" s="89" t="s">
        <v>866</v>
      </c>
      <c r="H1665" s="5">
        <v>6</v>
      </c>
      <c r="I1665" s="5" t="str">
        <f>VLOOKUP(F1665,'Set up'!$A$2:$C$48,3,FALSE)</f>
        <v>Cash</v>
      </c>
      <c r="J1665" s="5">
        <f>VLOOKUP(F1665,'Set up'!$A$2:$D$48,4,FALSE)</f>
        <v>0</v>
      </c>
      <c r="K1665" s="4">
        <f t="shared" si="561"/>
        <v>45054</v>
      </c>
      <c r="L1665" s="5">
        <f t="shared" si="568"/>
        <v>5</v>
      </c>
      <c r="M1665" s="5">
        <f t="shared" si="569"/>
        <v>2023</v>
      </c>
      <c r="N1665" s="6">
        <v>1548</v>
      </c>
      <c r="O1665" s="6">
        <f t="shared" si="574"/>
        <v>-1548</v>
      </c>
      <c r="P1665" s="6">
        <f t="shared" si="559"/>
        <v>0</v>
      </c>
      <c r="Q1665" s="7">
        <f t="shared" si="571"/>
        <v>3066214.4500000011</v>
      </c>
      <c r="R1665" s="44" t="str">
        <f>VLOOKUP(F1665,'Set up'!$A$2:$E$48,5,FALSE)</f>
        <v>Cash</v>
      </c>
      <c r="S1665" s="1" t="s">
        <v>1595</v>
      </c>
    </row>
    <row r="1666" spans="1:19" hidden="1" x14ac:dyDescent="0.3">
      <c r="A1666" s="4">
        <v>45054</v>
      </c>
      <c r="B1666" s="5">
        <f t="shared" si="566"/>
        <v>5</v>
      </c>
      <c r="C1666" s="5">
        <f t="shared" si="567"/>
        <v>2023</v>
      </c>
      <c r="D1666" s="5" t="s">
        <v>1541</v>
      </c>
      <c r="E1666" s="5" t="str">
        <f>VLOOKUP(F1666,'Set up'!$A$2:$C$48,2,FALSE)</f>
        <v>C00000014</v>
      </c>
      <c r="F1666" s="1" t="s">
        <v>263</v>
      </c>
      <c r="G1666" s="89" t="s">
        <v>667</v>
      </c>
      <c r="H1666" s="5">
        <v>2</v>
      </c>
      <c r="I1666" s="5" t="str">
        <f>VLOOKUP(F1666,'Set up'!$A$2:$C$48,3,FALSE)</f>
        <v>Cash</v>
      </c>
      <c r="J1666" s="5">
        <f>VLOOKUP(F1666,'Set up'!$A$2:$D$48,4,FALSE)</f>
        <v>0</v>
      </c>
      <c r="K1666" s="4">
        <f t="shared" si="561"/>
        <v>45054</v>
      </c>
      <c r="L1666" s="5">
        <f t="shared" si="568"/>
        <v>5</v>
      </c>
      <c r="M1666" s="5">
        <f t="shared" si="569"/>
        <v>2023</v>
      </c>
      <c r="N1666" s="6">
        <v>190</v>
      </c>
      <c r="O1666" s="6">
        <f t="shared" si="574"/>
        <v>-190</v>
      </c>
      <c r="P1666" s="6">
        <f t="shared" si="559"/>
        <v>0</v>
      </c>
      <c r="Q1666" s="7">
        <f t="shared" si="571"/>
        <v>3066404.4500000011</v>
      </c>
      <c r="R1666" s="44" t="str">
        <f>VLOOKUP(F1666,'Set up'!$A$2:$E$48,5,FALSE)</f>
        <v>Cash</v>
      </c>
      <c r="S1666" s="1" t="s">
        <v>1595</v>
      </c>
    </row>
    <row r="1667" spans="1:19" hidden="1" x14ac:dyDescent="0.3">
      <c r="A1667" s="4">
        <v>45054</v>
      </c>
      <c r="B1667" s="5">
        <f t="shared" si="566"/>
        <v>5</v>
      </c>
      <c r="C1667" s="5">
        <f t="shared" si="567"/>
        <v>2023</v>
      </c>
      <c r="D1667" s="5" t="s">
        <v>1541</v>
      </c>
      <c r="E1667" s="5" t="str">
        <f>VLOOKUP(F1667,'Set up'!$A$2:$C$48,2,FALSE)</f>
        <v>C00000014</v>
      </c>
      <c r="F1667" s="1" t="s">
        <v>263</v>
      </c>
      <c r="G1667" s="89" t="s">
        <v>950</v>
      </c>
      <c r="H1667" s="5">
        <v>4</v>
      </c>
      <c r="I1667" s="5" t="str">
        <f>VLOOKUP(F1667,'Set up'!$A$2:$C$48,3,FALSE)</f>
        <v>Cash</v>
      </c>
      <c r="J1667" s="5">
        <f>VLOOKUP(F1667,'Set up'!$A$2:$D$48,4,FALSE)</f>
        <v>0</v>
      </c>
      <c r="K1667" s="4">
        <f t="shared" si="561"/>
        <v>45054</v>
      </c>
      <c r="L1667" s="5">
        <f t="shared" si="568"/>
        <v>5</v>
      </c>
      <c r="M1667" s="5">
        <f t="shared" si="569"/>
        <v>2023</v>
      </c>
      <c r="N1667" s="6">
        <v>200</v>
      </c>
      <c r="O1667" s="6">
        <f t="shared" si="574"/>
        <v>-200</v>
      </c>
      <c r="P1667" s="6">
        <f t="shared" si="559"/>
        <v>0</v>
      </c>
      <c r="Q1667" s="7">
        <f t="shared" si="571"/>
        <v>3066604.4500000011</v>
      </c>
      <c r="R1667" s="44" t="str">
        <f>VLOOKUP(F1667,'Set up'!$A$2:$E$48,5,FALSE)</f>
        <v>Cash</v>
      </c>
      <c r="S1667" s="1" t="s">
        <v>1595</v>
      </c>
    </row>
    <row r="1668" spans="1:19" hidden="1" x14ac:dyDescent="0.3">
      <c r="A1668" s="4">
        <v>45054</v>
      </c>
      <c r="B1668" s="5">
        <f t="shared" si="566"/>
        <v>5</v>
      </c>
      <c r="C1668" s="5">
        <f t="shared" si="567"/>
        <v>2023</v>
      </c>
      <c r="D1668" s="5" t="s">
        <v>1541</v>
      </c>
      <c r="E1668" s="5" t="str">
        <f>VLOOKUP(F1668,'Set up'!$A$2:$C$48,2,FALSE)</f>
        <v>C00000014</v>
      </c>
      <c r="F1668" s="1" t="s">
        <v>263</v>
      </c>
      <c r="G1668" s="89" t="s">
        <v>1343</v>
      </c>
      <c r="H1668" s="5">
        <v>2</v>
      </c>
      <c r="I1668" s="5" t="str">
        <f>VLOOKUP(F1668,'Set up'!$A$2:$C$48,3,FALSE)</f>
        <v>Cash</v>
      </c>
      <c r="J1668" s="5">
        <f>VLOOKUP(F1668,'Set up'!$A$2:$D$48,4,FALSE)</f>
        <v>0</v>
      </c>
      <c r="K1668" s="4">
        <f t="shared" si="561"/>
        <v>45054</v>
      </c>
      <c r="L1668" s="5">
        <f t="shared" si="568"/>
        <v>5</v>
      </c>
      <c r="M1668" s="5">
        <f t="shared" si="569"/>
        <v>2023</v>
      </c>
      <c r="N1668" s="6">
        <v>330</v>
      </c>
      <c r="O1668" s="6">
        <f t="shared" si="574"/>
        <v>-330</v>
      </c>
      <c r="P1668" s="6">
        <f t="shared" si="559"/>
        <v>0</v>
      </c>
      <c r="Q1668" s="7">
        <f t="shared" si="571"/>
        <v>3066934.4500000011</v>
      </c>
      <c r="R1668" s="44" t="str">
        <f>VLOOKUP(F1668,'Set up'!$A$2:$E$48,5,FALSE)</f>
        <v>Cash</v>
      </c>
      <c r="S1668" s="1" t="s">
        <v>1595</v>
      </c>
    </row>
    <row r="1669" spans="1:19" hidden="1" x14ac:dyDescent="0.3">
      <c r="A1669" s="4">
        <v>45058</v>
      </c>
      <c r="B1669" s="5">
        <f t="shared" si="566"/>
        <v>5</v>
      </c>
      <c r="C1669" s="5">
        <f t="shared" si="567"/>
        <v>2023</v>
      </c>
      <c r="D1669" s="5" t="s">
        <v>1542</v>
      </c>
      <c r="E1669" s="5" t="str">
        <f>VLOOKUP(F1669,'Set up'!$A$2:$C$48,2,FALSE)</f>
        <v>C00000019</v>
      </c>
      <c r="F1669" s="1" t="s">
        <v>401</v>
      </c>
      <c r="G1669" s="89" t="s">
        <v>720</v>
      </c>
      <c r="H1669" s="5">
        <v>2</v>
      </c>
      <c r="I1669" s="5" t="str">
        <f>VLOOKUP(F1669,'Set up'!$A$2:$C$48,3,FALSE)</f>
        <v>Cash</v>
      </c>
      <c r="J1669" s="5">
        <f>VLOOKUP(F1669,'Set up'!$A$2:$D$48,4,FALSE)</f>
        <v>0</v>
      </c>
      <c r="K1669" s="4">
        <f t="shared" si="561"/>
        <v>45058</v>
      </c>
      <c r="L1669" s="5">
        <f t="shared" si="568"/>
        <v>5</v>
      </c>
      <c r="M1669" s="5">
        <f t="shared" si="569"/>
        <v>2023</v>
      </c>
      <c r="N1669" s="6">
        <v>3652</v>
      </c>
      <c r="O1669" s="6">
        <f>-408.5-2000-1000-243.5</f>
        <v>-3652</v>
      </c>
      <c r="P1669" s="6">
        <f t="shared" si="559"/>
        <v>0</v>
      </c>
      <c r="Q1669" s="7">
        <f t="shared" si="571"/>
        <v>3070586.4500000011</v>
      </c>
      <c r="R1669" s="44" t="str">
        <f>VLOOKUP(F1669,'Set up'!$A$2:$E$48,5,FALSE)</f>
        <v>Trsf</v>
      </c>
      <c r="S1669" s="1" t="s">
        <v>2133</v>
      </c>
    </row>
    <row r="1670" spans="1:19" hidden="1" x14ac:dyDescent="0.3">
      <c r="A1670" s="4">
        <v>45058</v>
      </c>
      <c r="B1670" s="5">
        <f t="shared" si="566"/>
        <v>5</v>
      </c>
      <c r="C1670" s="5">
        <f t="shared" si="567"/>
        <v>2023</v>
      </c>
      <c r="D1670" s="5" t="s">
        <v>1542</v>
      </c>
      <c r="E1670" s="5" t="str">
        <f>VLOOKUP(F1670,'Set up'!$A$2:$C$48,2,FALSE)</f>
        <v>C00000019</v>
      </c>
      <c r="F1670" s="1" t="s">
        <v>401</v>
      </c>
      <c r="G1670" s="89" t="s">
        <v>1412</v>
      </c>
      <c r="H1670" s="5">
        <v>1</v>
      </c>
      <c r="I1670" s="5" t="str">
        <f>VLOOKUP(F1670,'Set up'!$A$2:$C$48,3,FALSE)</f>
        <v>Cash</v>
      </c>
      <c r="J1670" s="5">
        <f>VLOOKUP(F1670,'Set up'!$A$2:$D$48,4,FALSE)</f>
        <v>0</v>
      </c>
      <c r="K1670" s="4">
        <f t="shared" si="561"/>
        <v>45058</v>
      </c>
      <c r="L1670" s="5">
        <f t="shared" si="568"/>
        <v>5</v>
      </c>
      <c r="M1670" s="5">
        <f t="shared" si="569"/>
        <v>2023</v>
      </c>
      <c r="N1670" s="6">
        <v>421.2</v>
      </c>
      <c r="O1670" s="6">
        <f t="shared" ref="O1670:O1673" si="575">-N1670</f>
        <v>-421.2</v>
      </c>
      <c r="P1670" s="6">
        <f t="shared" si="559"/>
        <v>0</v>
      </c>
      <c r="Q1670" s="7">
        <f t="shared" si="571"/>
        <v>3071007.6500000013</v>
      </c>
      <c r="R1670" s="44" t="str">
        <f>VLOOKUP(F1670,'Set up'!$A$2:$E$48,5,FALSE)</f>
        <v>Trsf</v>
      </c>
      <c r="S1670" s="1" t="s">
        <v>2134</v>
      </c>
    </row>
    <row r="1671" spans="1:19" hidden="1" x14ac:dyDescent="0.3">
      <c r="A1671" s="4">
        <v>45058</v>
      </c>
      <c r="B1671" s="5">
        <f t="shared" si="566"/>
        <v>5</v>
      </c>
      <c r="C1671" s="5">
        <f t="shared" si="567"/>
        <v>2023</v>
      </c>
      <c r="D1671" s="5" t="s">
        <v>1542</v>
      </c>
      <c r="E1671" s="5" t="str">
        <f>VLOOKUP(F1671,'Set up'!$A$2:$C$48,2,FALSE)</f>
        <v>C00000019</v>
      </c>
      <c r="F1671" s="1" t="s">
        <v>401</v>
      </c>
      <c r="G1671" s="89" t="s">
        <v>792</v>
      </c>
      <c r="H1671" s="5">
        <v>3</v>
      </c>
      <c r="I1671" s="5" t="str">
        <f>VLOOKUP(F1671,'Set up'!$A$2:$C$48,3,FALSE)</f>
        <v>Cash</v>
      </c>
      <c r="J1671" s="5">
        <f>VLOOKUP(F1671,'Set up'!$A$2:$D$48,4,FALSE)</f>
        <v>0</v>
      </c>
      <c r="K1671" s="4">
        <f t="shared" si="561"/>
        <v>45058</v>
      </c>
      <c r="L1671" s="5">
        <f t="shared" si="568"/>
        <v>5</v>
      </c>
      <c r="M1671" s="5">
        <f t="shared" si="569"/>
        <v>2023</v>
      </c>
      <c r="N1671" s="6">
        <v>187.5</v>
      </c>
      <c r="O1671" s="6">
        <f t="shared" si="575"/>
        <v>-187.5</v>
      </c>
      <c r="P1671" s="6">
        <f t="shared" si="559"/>
        <v>0</v>
      </c>
      <c r="Q1671" s="7">
        <f t="shared" si="571"/>
        <v>3071195.1500000013</v>
      </c>
      <c r="R1671" s="44" t="str">
        <f>VLOOKUP(F1671,'Set up'!$A$2:$E$48,5,FALSE)</f>
        <v>Trsf</v>
      </c>
      <c r="S1671" s="1" t="s">
        <v>2135</v>
      </c>
    </row>
    <row r="1672" spans="1:19" hidden="1" x14ac:dyDescent="0.3">
      <c r="A1672" s="4">
        <v>45058</v>
      </c>
      <c r="B1672" s="5">
        <f t="shared" si="566"/>
        <v>5</v>
      </c>
      <c r="C1672" s="5">
        <f t="shared" si="567"/>
        <v>2023</v>
      </c>
      <c r="D1672" s="5" t="s">
        <v>1542</v>
      </c>
      <c r="E1672" s="5" t="str">
        <f>VLOOKUP(F1672,'Set up'!$A$2:$C$48,2,FALSE)</f>
        <v>C00000019</v>
      </c>
      <c r="F1672" s="1" t="s">
        <v>401</v>
      </c>
      <c r="G1672" s="89" t="s">
        <v>1133</v>
      </c>
      <c r="H1672" s="5">
        <v>1</v>
      </c>
      <c r="I1672" s="5" t="str">
        <f>VLOOKUP(F1672,'Set up'!$A$2:$C$48,3,FALSE)</f>
        <v>Cash</v>
      </c>
      <c r="J1672" s="5">
        <f>VLOOKUP(F1672,'Set up'!$A$2:$D$48,4,FALSE)</f>
        <v>0</v>
      </c>
      <c r="K1672" s="4">
        <f t="shared" si="561"/>
        <v>45058</v>
      </c>
      <c r="L1672" s="5">
        <f t="shared" si="568"/>
        <v>5</v>
      </c>
      <c r="M1672" s="5">
        <f t="shared" si="569"/>
        <v>2023</v>
      </c>
      <c r="N1672" s="6">
        <v>420</v>
      </c>
      <c r="O1672" s="6">
        <f t="shared" si="575"/>
        <v>-420</v>
      </c>
      <c r="P1672" s="6">
        <f t="shared" si="559"/>
        <v>0</v>
      </c>
      <c r="Q1672" s="7">
        <f t="shared" si="571"/>
        <v>3071615.1500000013</v>
      </c>
      <c r="R1672" s="44" t="str">
        <f>VLOOKUP(F1672,'Set up'!$A$2:$E$48,5,FALSE)</f>
        <v>Trsf</v>
      </c>
      <c r="S1672" s="1" t="s">
        <v>2136</v>
      </c>
    </row>
    <row r="1673" spans="1:19" hidden="1" x14ac:dyDescent="0.3">
      <c r="A1673" s="4">
        <v>45058</v>
      </c>
      <c r="B1673" s="5">
        <f t="shared" si="566"/>
        <v>5</v>
      </c>
      <c r="C1673" s="5">
        <f t="shared" si="567"/>
        <v>2023</v>
      </c>
      <c r="D1673" s="5" t="s">
        <v>1542</v>
      </c>
      <c r="E1673" s="5" t="str">
        <f>VLOOKUP(F1673,'Set up'!$A$2:$C$48,2,FALSE)</f>
        <v>C00000019</v>
      </c>
      <c r="F1673" s="1" t="s">
        <v>401</v>
      </c>
      <c r="G1673" s="89" t="s">
        <v>46</v>
      </c>
      <c r="H1673" s="5">
        <v>1</v>
      </c>
      <c r="I1673" s="5" t="str">
        <f>VLOOKUP(F1673,'Set up'!$A$2:$C$48,3,FALSE)</f>
        <v>Cash</v>
      </c>
      <c r="J1673" s="5">
        <f>VLOOKUP(F1673,'Set up'!$A$2:$D$48,4,FALSE)</f>
        <v>0</v>
      </c>
      <c r="K1673" s="4">
        <f t="shared" si="561"/>
        <v>45058</v>
      </c>
      <c r="L1673" s="5">
        <f t="shared" si="568"/>
        <v>5</v>
      </c>
      <c r="M1673" s="5">
        <f t="shared" si="569"/>
        <v>2023</v>
      </c>
      <c r="N1673" s="6">
        <v>105</v>
      </c>
      <c r="O1673" s="6">
        <f t="shared" si="575"/>
        <v>-105</v>
      </c>
      <c r="P1673" s="6">
        <f t="shared" si="559"/>
        <v>0</v>
      </c>
      <c r="Q1673" s="7">
        <f t="shared" si="571"/>
        <v>3071720.1500000013</v>
      </c>
      <c r="R1673" s="44" t="str">
        <f>VLOOKUP(F1673,'Set up'!$A$2:$E$48,5,FALSE)</f>
        <v>Trsf</v>
      </c>
      <c r="S1673" s="1" t="s">
        <v>2137</v>
      </c>
    </row>
    <row r="1674" spans="1:19" hidden="1" x14ac:dyDescent="0.3">
      <c r="A1674" s="4">
        <v>45056</v>
      </c>
      <c r="B1674" s="5">
        <f t="shared" si="566"/>
        <v>5</v>
      </c>
      <c r="C1674" s="5">
        <f t="shared" si="567"/>
        <v>2023</v>
      </c>
      <c r="D1674" s="5" t="s">
        <v>1543</v>
      </c>
      <c r="E1674" s="5" t="str">
        <f>VLOOKUP(F1674,'Set up'!$A$2:$C$48,2,FALSE)</f>
        <v>C00000010</v>
      </c>
      <c r="F1674" s="1" t="s">
        <v>62</v>
      </c>
      <c r="G1674" s="89" t="s">
        <v>1403</v>
      </c>
      <c r="H1674" s="5">
        <v>6</v>
      </c>
      <c r="I1674" s="5">
        <f>VLOOKUP(F1674,'Set up'!$A$2:$C$48,3,FALSE)</f>
        <v>120</v>
      </c>
      <c r="J1674" s="5">
        <f>VLOOKUP(F1674,'Set up'!$A$2:$D$48,4,FALSE)</f>
        <v>120</v>
      </c>
      <c r="K1674" s="4">
        <f t="shared" si="561"/>
        <v>45176</v>
      </c>
      <c r="L1674" s="5">
        <f t="shared" si="568"/>
        <v>9</v>
      </c>
      <c r="M1674" s="5">
        <f t="shared" si="569"/>
        <v>2023</v>
      </c>
      <c r="N1674" s="6">
        <v>10032</v>
      </c>
      <c r="O1674" s="6">
        <f>-N1674</f>
        <v>-10032</v>
      </c>
      <c r="P1674" s="6">
        <f>SUM(N1674+O1674)</f>
        <v>0</v>
      </c>
      <c r="Q1674" s="7">
        <f t="shared" si="571"/>
        <v>3081752.1500000013</v>
      </c>
      <c r="R1674" s="44" t="str">
        <f>VLOOKUP(F1674,'Set up'!$A$2:$E$48,5,FALSE)</f>
        <v>Trsf</v>
      </c>
      <c r="S1674" s="1" t="s">
        <v>1860</v>
      </c>
    </row>
    <row r="1675" spans="1:19" hidden="1" x14ac:dyDescent="0.3">
      <c r="A1675" s="4">
        <v>45056</v>
      </c>
      <c r="B1675" s="5">
        <f t="shared" si="566"/>
        <v>5</v>
      </c>
      <c r="C1675" s="5">
        <f t="shared" si="567"/>
        <v>2023</v>
      </c>
      <c r="D1675" s="5" t="s">
        <v>1543</v>
      </c>
      <c r="E1675" s="5" t="str">
        <f>VLOOKUP(F1675,'Set up'!$A$2:$C$48,2,FALSE)</f>
        <v>C00000010</v>
      </c>
      <c r="F1675" s="1" t="s">
        <v>62</v>
      </c>
      <c r="G1675" s="89" t="s">
        <v>1544</v>
      </c>
      <c r="H1675" s="5">
        <v>6</v>
      </c>
      <c r="I1675" s="5">
        <f>VLOOKUP(F1675,'Set up'!$A$2:$C$48,3,FALSE)</f>
        <v>120</v>
      </c>
      <c r="J1675" s="5">
        <f>VLOOKUP(F1675,'Set up'!$A$2:$D$48,4,FALSE)</f>
        <v>120</v>
      </c>
      <c r="K1675" s="4">
        <f t="shared" si="561"/>
        <v>45176</v>
      </c>
      <c r="L1675" s="5">
        <f t="shared" si="568"/>
        <v>9</v>
      </c>
      <c r="M1675" s="5">
        <f t="shared" si="569"/>
        <v>2023</v>
      </c>
      <c r="N1675" s="6">
        <v>1206</v>
      </c>
      <c r="O1675" s="6">
        <f>-N1675</f>
        <v>-1206</v>
      </c>
      <c r="P1675" s="6">
        <f t="shared" si="559"/>
        <v>0</v>
      </c>
      <c r="Q1675" s="7">
        <f t="shared" si="571"/>
        <v>3082958.1500000013</v>
      </c>
      <c r="R1675" s="44" t="str">
        <f>VLOOKUP(F1675,'Set up'!$A$2:$E$48,5,FALSE)</f>
        <v>Trsf</v>
      </c>
      <c r="S1675" s="1" t="s">
        <v>1860</v>
      </c>
    </row>
    <row r="1676" spans="1:19" hidden="1" x14ac:dyDescent="0.3">
      <c r="A1676" s="4">
        <v>45056</v>
      </c>
      <c r="B1676" s="5">
        <f t="shared" si="566"/>
        <v>5</v>
      </c>
      <c r="C1676" s="5">
        <f t="shared" si="567"/>
        <v>2023</v>
      </c>
      <c r="D1676" s="5" t="s">
        <v>1543</v>
      </c>
      <c r="E1676" s="5" t="str">
        <f>VLOOKUP(F1676,'Set up'!$A$2:$C$48,2,FALSE)</f>
        <v>C00000010</v>
      </c>
      <c r="F1676" s="1" t="s">
        <v>62</v>
      </c>
      <c r="G1676" s="89" t="s">
        <v>792</v>
      </c>
      <c r="H1676" s="5">
        <v>10</v>
      </c>
      <c r="I1676" s="5">
        <f>VLOOKUP(F1676,'Set up'!$A$2:$C$48,3,FALSE)</f>
        <v>120</v>
      </c>
      <c r="J1676" s="5">
        <f>VLOOKUP(F1676,'Set up'!$A$2:$D$48,4,FALSE)</f>
        <v>120</v>
      </c>
      <c r="K1676" s="4">
        <f t="shared" si="561"/>
        <v>45176</v>
      </c>
      <c r="L1676" s="5">
        <f t="shared" si="568"/>
        <v>9</v>
      </c>
      <c r="M1676" s="5">
        <f t="shared" si="569"/>
        <v>2023</v>
      </c>
      <c r="N1676" s="6">
        <v>575</v>
      </c>
      <c r="O1676" s="6">
        <f>-N1676</f>
        <v>-575</v>
      </c>
      <c r="P1676" s="6">
        <f t="shared" si="559"/>
        <v>0</v>
      </c>
      <c r="Q1676" s="7">
        <f t="shared" si="571"/>
        <v>3083533.1500000013</v>
      </c>
      <c r="R1676" s="44" t="str">
        <f>VLOOKUP(F1676,'Set up'!$A$2:$E$48,5,FALSE)</f>
        <v>Trsf</v>
      </c>
      <c r="S1676" s="1" t="s">
        <v>1860</v>
      </c>
    </row>
    <row r="1677" spans="1:19" hidden="1" x14ac:dyDescent="0.3">
      <c r="A1677" s="4">
        <v>45061</v>
      </c>
      <c r="B1677" s="5">
        <f t="shared" si="566"/>
        <v>5</v>
      </c>
      <c r="C1677" s="5">
        <f t="shared" si="567"/>
        <v>2023</v>
      </c>
      <c r="D1677" s="5" t="s">
        <v>1545</v>
      </c>
      <c r="E1677" s="5" t="str">
        <f>VLOOKUP(F1677,'Set up'!$A$2:$C$48,2,FALSE)</f>
        <v>C00000037</v>
      </c>
      <c r="F1677" s="1" t="s">
        <v>1310</v>
      </c>
      <c r="G1677" s="89" t="s">
        <v>720</v>
      </c>
      <c r="H1677" s="5">
        <v>4</v>
      </c>
      <c r="I1677" s="5">
        <f>VLOOKUP(F1677,'Set up'!$A$2:$C$48,3,FALSE)</f>
        <v>30</v>
      </c>
      <c r="J1677" s="5">
        <f>VLOOKUP(F1677,'Set up'!$A$2:$D$48,4,FALSE)</f>
        <v>30</v>
      </c>
      <c r="K1677" s="4">
        <f t="shared" si="561"/>
        <v>45091</v>
      </c>
      <c r="L1677" s="5">
        <f t="shared" si="568"/>
        <v>6</v>
      </c>
      <c r="M1677" s="5">
        <f t="shared" si="569"/>
        <v>2023</v>
      </c>
      <c r="N1677" s="6">
        <v>7480</v>
      </c>
      <c r="O1677" s="6">
        <f t="shared" ref="O1677:O1683" si="576">-N1677</f>
        <v>-7480</v>
      </c>
      <c r="P1677" s="6">
        <f t="shared" si="559"/>
        <v>0</v>
      </c>
      <c r="Q1677" s="7">
        <f t="shared" si="571"/>
        <v>3091013.1500000013</v>
      </c>
      <c r="R1677" s="44" t="str">
        <f>VLOOKUP(F1677,'Set up'!$A$2:$E$48,5,FALSE)</f>
        <v>Chq</v>
      </c>
      <c r="S1677" s="1" t="s">
        <v>1692</v>
      </c>
    </row>
    <row r="1678" spans="1:19" hidden="1" x14ac:dyDescent="0.3">
      <c r="A1678" s="4">
        <v>45061</v>
      </c>
      <c r="B1678" s="5">
        <f t="shared" si="566"/>
        <v>5</v>
      </c>
      <c r="C1678" s="5">
        <f t="shared" si="567"/>
        <v>2023</v>
      </c>
      <c r="D1678" s="5" t="s">
        <v>1545</v>
      </c>
      <c r="E1678" s="5" t="str">
        <f>VLOOKUP(F1678,'Set up'!$A$2:$C$48,2,FALSE)</f>
        <v>C00000037</v>
      </c>
      <c r="F1678" s="1" t="s">
        <v>1310</v>
      </c>
      <c r="G1678" s="89" t="s">
        <v>1546</v>
      </c>
      <c r="H1678" s="5">
        <v>5</v>
      </c>
      <c r="I1678" s="5">
        <f>VLOOKUP(F1678,'Set up'!$A$2:$C$48,3,FALSE)</f>
        <v>30</v>
      </c>
      <c r="J1678" s="5">
        <f>VLOOKUP(F1678,'Set up'!$A$2:$D$48,4,FALSE)</f>
        <v>30</v>
      </c>
      <c r="K1678" s="4">
        <f t="shared" si="561"/>
        <v>45091</v>
      </c>
      <c r="L1678" s="5">
        <f t="shared" si="568"/>
        <v>6</v>
      </c>
      <c r="M1678" s="5">
        <f t="shared" si="569"/>
        <v>2023</v>
      </c>
      <c r="N1678" s="6">
        <v>2613</v>
      </c>
      <c r="O1678" s="6">
        <f t="shared" si="576"/>
        <v>-2613</v>
      </c>
      <c r="P1678" s="6">
        <f t="shared" si="559"/>
        <v>0</v>
      </c>
      <c r="Q1678" s="7">
        <f t="shared" si="571"/>
        <v>3093626.1500000013</v>
      </c>
      <c r="R1678" s="44" t="str">
        <f>VLOOKUP(F1678,'Set up'!$A$2:$E$48,5,FALSE)</f>
        <v>Chq</v>
      </c>
      <c r="S1678" s="1" t="s">
        <v>1692</v>
      </c>
    </row>
    <row r="1679" spans="1:19" hidden="1" x14ac:dyDescent="0.3">
      <c r="A1679" s="4">
        <v>45061</v>
      </c>
      <c r="B1679" s="5">
        <f t="shared" si="566"/>
        <v>5</v>
      </c>
      <c r="C1679" s="5">
        <f t="shared" si="567"/>
        <v>2023</v>
      </c>
      <c r="D1679" s="5" t="s">
        <v>1545</v>
      </c>
      <c r="E1679" s="5" t="str">
        <f>VLOOKUP(F1679,'Set up'!$A$2:$C$48,2,FALSE)</f>
        <v>C00000037</v>
      </c>
      <c r="F1679" s="1" t="s">
        <v>1310</v>
      </c>
      <c r="G1679" s="89" t="s">
        <v>1406</v>
      </c>
      <c r="H1679" s="5">
        <v>3</v>
      </c>
      <c r="I1679" s="5">
        <f>VLOOKUP(F1679,'Set up'!$A$2:$C$48,3,FALSE)</f>
        <v>30</v>
      </c>
      <c r="J1679" s="5">
        <f>VLOOKUP(F1679,'Set up'!$A$2:$D$48,4,FALSE)</f>
        <v>30</v>
      </c>
      <c r="K1679" s="4">
        <f t="shared" si="561"/>
        <v>45091</v>
      </c>
      <c r="L1679" s="5">
        <f t="shared" si="568"/>
        <v>6</v>
      </c>
      <c r="M1679" s="5">
        <f t="shared" si="569"/>
        <v>2023</v>
      </c>
      <c r="N1679" s="6">
        <v>144</v>
      </c>
      <c r="O1679" s="6">
        <f t="shared" si="576"/>
        <v>-144</v>
      </c>
      <c r="P1679" s="6">
        <f t="shared" si="559"/>
        <v>0</v>
      </c>
      <c r="Q1679" s="7">
        <f t="shared" si="571"/>
        <v>3093770.1500000013</v>
      </c>
      <c r="R1679" s="44" t="str">
        <f>VLOOKUP(F1679,'Set up'!$A$2:$E$48,5,FALSE)</f>
        <v>Chq</v>
      </c>
      <c r="S1679" s="1" t="s">
        <v>1692</v>
      </c>
    </row>
    <row r="1680" spans="1:19" hidden="1" x14ac:dyDescent="0.3">
      <c r="A1680" s="4">
        <v>45061</v>
      </c>
      <c r="B1680" s="5">
        <f t="shared" si="566"/>
        <v>5</v>
      </c>
      <c r="C1680" s="5">
        <f t="shared" si="567"/>
        <v>2023</v>
      </c>
      <c r="D1680" s="5" t="s">
        <v>1545</v>
      </c>
      <c r="E1680" s="5" t="str">
        <f>VLOOKUP(F1680,'Set up'!$A$2:$C$48,2,FALSE)</f>
        <v>C00000037</v>
      </c>
      <c r="F1680" s="1" t="s">
        <v>1310</v>
      </c>
      <c r="G1680" s="89" t="s">
        <v>1062</v>
      </c>
      <c r="H1680" s="5">
        <v>3</v>
      </c>
      <c r="I1680" s="5">
        <f>VLOOKUP(F1680,'Set up'!$A$2:$C$48,3,FALSE)</f>
        <v>30</v>
      </c>
      <c r="J1680" s="5">
        <f>VLOOKUP(F1680,'Set up'!$A$2:$D$48,4,FALSE)</f>
        <v>30</v>
      </c>
      <c r="K1680" s="4">
        <f t="shared" si="561"/>
        <v>45091</v>
      </c>
      <c r="L1680" s="5">
        <f t="shared" si="568"/>
        <v>6</v>
      </c>
      <c r="M1680" s="5">
        <f t="shared" si="569"/>
        <v>2023</v>
      </c>
      <c r="N1680" s="6">
        <v>285</v>
      </c>
      <c r="O1680" s="6">
        <f t="shared" si="576"/>
        <v>-285</v>
      </c>
      <c r="P1680" s="6">
        <f t="shared" si="559"/>
        <v>0</v>
      </c>
      <c r="Q1680" s="7">
        <f t="shared" si="571"/>
        <v>3094055.1500000013</v>
      </c>
      <c r="R1680" s="44" t="str">
        <f>VLOOKUP(F1680,'Set up'!$A$2:$E$48,5,FALSE)</f>
        <v>Chq</v>
      </c>
      <c r="S1680" s="1" t="s">
        <v>1692</v>
      </c>
    </row>
    <row r="1681" spans="1:19" hidden="1" x14ac:dyDescent="0.3">
      <c r="A1681" s="4">
        <v>45061</v>
      </c>
      <c r="B1681" s="5">
        <f t="shared" si="566"/>
        <v>5</v>
      </c>
      <c r="C1681" s="5">
        <f t="shared" si="567"/>
        <v>2023</v>
      </c>
      <c r="D1681" s="5" t="s">
        <v>1545</v>
      </c>
      <c r="E1681" s="5" t="str">
        <f>VLOOKUP(F1681,'Set up'!$A$2:$C$48,2,FALSE)</f>
        <v>C00000037</v>
      </c>
      <c r="F1681" s="1" t="s">
        <v>1310</v>
      </c>
      <c r="G1681" s="89" t="s">
        <v>1111</v>
      </c>
      <c r="H1681" s="5">
        <v>5</v>
      </c>
      <c r="I1681" s="5">
        <f>VLOOKUP(F1681,'Set up'!$A$2:$C$48,3,FALSE)</f>
        <v>30</v>
      </c>
      <c r="J1681" s="5">
        <f>VLOOKUP(F1681,'Set up'!$A$2:$D$48,4,FALSE)</f>
        <v>30</v>
      </c>
      <c r="K1681" s="4">
        <f t="shared" si="561"/>
        <v>45091</v>
      </c>
      <c r="L1681" s="5">
        <f t="shared" si="568"/>
        <v>6</v>
      </c>
      <c r="M1681" s="5">
        <f t="shared" si="569"/>
        <v>2023</v>
      </c>
      <c r="N1681" s="6">
        <v>312.5</v>
      </c>
      <c r="O1681" s="6">
        <f t="shared" si="576"/>
        <v>-312.5</v>
      </c>
      <c r="P1681" s="6">
        <f t="shared" si="559"/>
        <v>0</v>
      </c>
      <c r="Q1681" s="7">
        <f t="shared" si="571"/>
        <v>3094367.6500000013</v>
      </c>
      <c r="R1681" s="44" t="str">
        <f>VLOOKUP(F1681,'Set up'!$A$2:$E$48,5,FALSE)</f>
        <v>Chq</v>
      </c>
      <c r="S1681" s="1" t="s">
        <v>1692</v>
      </c>
    </row>
    <row r="1682" spans="1:19" hidden="1" x14ac:dyDescent="0.3">
      <c r="A1682" s="4">
        <v>45061</v>
      </c>
      <c r="B1682" s="5">
        <f t="shared" si="566"/>
        <v>5</v>
      </c>
      <c r="C1682" s="5">
        <f t="shared" si="567"/>
        <v>2023</v>
      </c>
      <c r="D1682" s="5" t="s">
        <v>1545</v>
      </c>
      <c r="E1682" s="5" t="str">
        <f>VLOOKUP(F1682,'Set up'!$A$2:$C$48,2,FALSE)</f>
        <v>C00000037</v>
      </c>
      <c r="F1682" s="1" t="s">
        <v>1310</v>
      </c>
      <c r="G1682" s="89" t="s">
        <v>866</v>
      </c>
      <c r="H1682" s="5">
        <v>2</v>
      </c>
      <c r="I1682" s="5">
        <f>VLOOKUP(F1682,'Set up'!$A$2:$C$48,3,FALSE)</f>
        <v>30</v>
      </c>
      <c r="J1682" s="5">
        <f>VLOOKUP(F1682,'Set up'!$A$2:$D$48,4,FALSE)</f>
        <v>30</v>
      </c>
      <c r="K1682" s="4">
        <f t="shared" si="561"/>
        <v>45091</v>
      </c>
      <c r="L1682" s="5">
        <f t="shared" si="568"/>
        <v>6</v>
      </c>
      <c r="M1682" s="5">
        <f t="shared" si="569"/>
        <v>2023</v>
      </c>
      <c r="N1682" s="6">
        <v>520</v>
      </c>
      <c r="O1682" s="6">
        <f t="shared" si="576"/>
        <v>-520</v>
      </c>
      <c r="P1682" s="6">
        <f t="shared" si="559"/>
        <v>0</v>
      </c>
      <c r="Q1682" s="7">
        <f t="shared" si="571"/>
        <v>3094887.6500000013</v>
      </c>
      <c r="R1682" s="44" t="str">
        <f>VLOOKUP(F1682,'Set up'!$A$2:$E$48,5,FALSE)</f>
        <v>Chq</v>
      </c>
      <c r="S1682" s="1" t="s">
        <v>1692</v>
      </c>
    </row>
    <row r="1683" spans="1:19" hidden="1" x14ac:dyDescent="0.3">
      <c r="A1683" s="4">
        <v>45061</v>
      </c>
      <c r="B1683" s="5">
        <f t="shared" si="566"/>
        <v>5</v>
      </c>
      <c r="C1683" s="5">
        <f t="shared" si="567"/>
        <v>2023</v>
      </c>
      <c r="D1683" s="5" t="s">
        <v>1545</v>
      </c>
      <c r="E1683" s="5" t="str">
        <f>VLOOKUP(F1683,'Set up'!$A$2:$C$48,2,FALSE)</f>
        <v>C00000037</v>
      </c>
      <c r="F1683" s="1" t="s">
        <v>1310</v>
      </c>
      <c r="G1683" s="89" t="s">
        <v>1547</v>
      </c>
      <c r="H1683" s="5">
        <v>2</v>
      </c>
      <c r="I1683" s="5">
        <f>VLOOKUP(F1683,'Set up'!$A$2:$C$48,3,FALSE)</f>
        <v>30</v>
      </c>
      <c r="J1683" s="5">
        <f>VLOOKUP(F1683,'Set up'!$A$2:$D$48,4,FALSE)</f>
        <v>30</v>
      </c>
      <c r="K1683" s="4">
        <f t="shared" si="561"/>
        <v>45091</v>
      </c>
      <c r="L1683" s="5">
        <f t="shared" si="568"/>
        <v>6</v>
      </c>
      <c r="M1683" s="5">
        <f t="shared" si="569"/>
        <v>2023</v>
      </c>
      <c r="N1683" s="6">
        <v>1860</v>
      </c>
      <c r="O1683" s="6">
        <f t="shared" si="576"/>
        <v>-1860</v>
      </c>
      <c r="P1683" s="6">
        <f t="shared" si="559"/>
        <v>0</v>
      </c>
      <c r="Q1683" s="7">
        <f t="shared" si="571"/>
        <v>3096747.6500000013</v>
      </c>
      <c r="R1683" s="44" t="str">
        <f>VLOOKUP(F1683,'Set up'!$A$2:$E$48,5,FALSE)</f>
        <v>Chq</v>
      </c>
      <c r="S1683" s="1" t="s">
        <v>1692</v>
      </c>
    </row>
    <row r="1684" spans="1:19" hidden="1" x14ac:dyDescent="0.3">
      <c r="A1684" s="4">
        <v>45063</v>
      </c>
      <c r="B1684" s="5">
        <f t="shared" si="566"/>
        <v>5</v>
      </c>
      <c r="C1684" s="5">
        <f t="shared" si="567"/>
        <v>2023</v>
      </c>
      <c r="D1684" s="5" t="s">
        <v>1548</v>
      </c>
      <c r="E1684" s="5" t="str">
        <f>VLOOKUP(F1684,'Set up'!$A$2:$C$48,2,FALSE)</f>
        <v>C00000003</v>
      </c>
      <c r="F1684" s="1" t="s">
        <v>20</v>
      </c>
      <c r="G1684" s="89" t="s">
        <v>67</v>
      </c>
      <c r="H1684" s="5">
        <v>2</v>
      </c>
      <c r="I1684" s="5">
        <f>VLOOKUP(F1684,'Set up'!$A$2:$C$48,3,FALSE)</f>
        <v>45</v>
      </c>
      <c r="J1684" s="5">
        <f>VLOOKUP(F1684,'Set up'!$A$2:$D$48,4,FALSE)</f>
        <v>45</v>
      </c>
      <c r="K1684" s="4">
        <f t="shared" si="561"/>
        <v>45108</v>
      </c>
      <c r="L1684" s="5">
        <f t="shared" si="568"/>
        <v>7</v>
      </c>
      <c r="M1684" s="5">
        <f t="shared" si="569"/>
        <v>2023</v>
      </c>
      <c r="N1684" s="6">
        <v>3872</v>
      </c>
      <c r="O1684" s="6">
        <f>-1500-1500-872</f>
        <v>-3872</v>
      </c>
      <c r="P1684" s="6">
        <f t="shared" si="559"/>
        <v>0</v>
      </c>
      <c r="Q1684" s="7">
        <f t="shared" si="571"/>
        <v>3100619.6500000013</v>
      </c>
      <c r="R1684" s="44" t="str">
        <f>VLOOKUP(F1684,'Set up'!$A$2:$E$48,5,FALSE)</f>
        <v>PD Chq</v>
      </c>
      <c r="S1684" s="1" t="s">
        <v>1778</v>
      </c>
    </row>
    <row r="1685" spans="1:19" hidden="1" x14ac:dyDescent="0.3">
      <c r="A1685" s="4">
        <v>45063</v>
      </c>
      <c r="B1685" s="5">
        <f t="shared" si="566"/>
        <v>5</v>
      </c>
      <c r="C1685" s="5">
        <f t="shared" si="567"/>
        <v>2023</v>
      </c>
      <c r="D1685" s="5" t="s">
        <v>1548</v>
      </c>
      <c r="E1685" s="5" t="str">
        <f>VLOOKUP(F1685,'Set up'!$A$2:$C$48,2,FALSE)</f>
        <v>C00000003</v>
      </c>
      <c r="F1685" s="1" t="s">
        <v>20</v>
      </c>
      <c r="G1685" s="89" t="s">
        <v>17</v>
      </c>
      <c r="H1685" s="5">
        <v>4</v>
      </c>
      <c r="I1685" s="5">
        <f>VLOOKUP(F1685,'Set up'!$A$2:$C$48,3,FALSE)</f>
        <v>45</v>
      </c>
      <c r="J1685" s="5">
        <f>VLOOKUP(F1685,'Set up'!$A$2:$D$48,4,FALSE)</f>
        <v>45</v>
      </c>
      <c r="K1685" s="4">
        <f t="shared" si="561"/>
        <v>45108</v>
      </c>
      <c r="L1685" s="5">
        <f t="shared" si="568"/>
        <v>7</v>
      </c>
      <c r="M1685" s="5">
        <f t="shared" si="569"/>
        <v>2023</v>
      </c>
      <c r="N1685" s="6">
        <v>420</v>
      </c>
      <c r="O1685" s="6">
        <f>-N1685</f>
        <v>-420</v>
      </c>
      <c r="P1685" s="6">
        <f t="shared" ref="P1685:P1707" si="577">SUM(N1685+O1685)</f>
        <v>0</v>
      </c>
      <c r="Q1685" s="7">
        <f t="shared" si="571"/>
        <v>3101039.6500000013</v>
      </c>
      <c r="R1685" s="44" t="str">
        <f>VLOOKUP(F1685,'Set up'!$A$2:$E$48,5,FALSE)</f>
        <v>PD Chq</v>
      </c>
      <c r="S1685" s="1" t="s">
        <v>1779</v>
      </c>
    </row>
    <row r="1686" spans="1:19" hidden="1" x14ac:dyDescent="0.3">
      <c r="A1686" s="4">
        <v>45063</v>
      </c>
      <c r="B1686" s="5">
        <f t="shared" si="566"/>
        <v>5</v>
      </c>
      <c r="C1686" s="5">
        <f t="shared" si="567"/>
        <v>2023</v>
      </c>
      <c r="D1686" s="5" t="s">
        <v>1549</v>
      </c>
      <c r="E1686" s="5" t="str">
        <f>VLOOKUP(F1686,'Set up'!$A$2:$C$48,2,FALSE)</f>
        <v>C00000038</v>
      </c>
      <c r="F1686" s="1" t="s">
        <v>1421</v>
      </c>
      <c r="G1686" s="89" t="s">
        <v>1550</v>
      </c>
      <c r="H1686" s="5">
        <v>1</v>
      </c>
      <c r="I1686" s="5" t="str">
        <f>VLOOKUP(F1686,'Set up'!$A$2:$C$48,3,FALSE)</f>
        <v>Cash</v>
      </c>
      <c r="J1686" s="5">
        <f>VLOOKUP(F1686,'Set up'!$A$2:$D$48,4,FALSE)</f>
        <v>0</v>
      </c>
      <c r="K1686" s="4">
        <f t="shared" si="561"/>
        <v>45063</v>
      </c>
      <c r="L1686" s="5">
        <f t="shared" si="568"/>
        <v>5</v>
      </c>
      <c r="M1686" s="5">
        <f t="shared" si="569"/>
        <v>2023</v>
      </c>
      <c r="N1686" s="6">
        <v>280</v>
      </c>
      <c r="O1686" s="6">
        <f t="shared" ref="O1686:O1692" si="578">-N1686</f>
        <v>-280</v>
      </c>
      <c r="P1686" s="6">
        <f t="shared" si="577"/>
        <v>0</v>
      </c>
      <c r="Q1686" s="7">
        <f t="shared" si="571"/>
        <v>3101319.6500000013</v>
      </c>
      <c r="R1686" s="44" t="str">
        <f>VLOOKUP(F1686,'Set up'!$A$2:$E$48,5,FALSE)</f>
        <v>Trsf</v>
      </c>
      <c r="S1686" s="1" t="s">
        <v>1592</v>
      </c>
    </row>
    <row r="1687" spans="1:19" hidden="1" x14ac:dyDescent="0.3">
      <c r="A1687" s="4">
        <v>45063</v>
      </c>
      <c r="B1687" s="5">
        <f t="shared" si="566"/>
        <v>5</v>
      </c>
      <c r="C1687" s="5">
        <f t="shared" si="567"/>
        <v>2023</v>
      </c>
      <c r="D1687" s="5" t="s">
        <v>1549</v>
      </c>
      <c r="E1687" s="5" t="str">
        <f>VLOOKUP(F1687,'Set up'!$A$2:$C$48,2,FALSE)</f>
        <v>C00000038</v>
      </c>
      <c r="F1687" s="1" t="s">
        <v>1421</v>
      </c>
      <c r="G1687" s="89" t="s">
        <v>1061</v>
      </c>
      <c r="H1687" s="5">
        <v>1</v>
      </c>
      <c r="I1687" s="5" t="str">
        <f>VLOOKUP(F1687,'Set up'!$A$2:$C$48,3,FALSE)</f>
        <v>Cash</v>
      </c>
      <c r="J1687" s="5">
        <f>VLOOKUP(F1687,'Set up'!$A$2:$D$48,4,FALSE)</f>
        <v>0</v>
      </c>
      <c r="K1687" s="4">
        <f t="shared" si="561"/>
        <v>45063</v>
      </c>
      <c r="L1687" s="5">
        <f t="shared" si="568"/>
        <v>5</v>
      </c>
      <c r="M1687" s="5">
        <f t="shared" si="569"/>
        <v>2023</v>
      </c>
      <c r="N1687" s="6">
        <v>258</v>
      </c>
      <c r="O1687" s="6">
        <f t="shared" si="578"/>
        <v>-258</v>
      </c>
      <c r="P1687" s="6">
        <f t="shared" si="577"/>
        <v>0</v>
      </c>
      <c r="Q1687" s="7">
        <f t="shared" si="571"/>
        <v>3101577.6500000013</v>
      </c>
      <c r="R1687" s="44" t="str">
        <f>VLOOKUP(F1687,'Set up'!$A$2:$E$48,5,FALSE)</f>
        <v>Trsf</v>
      </c>
      <c r="S1687" s="1" t="s">
        <v>1592</v>
      </c>
    </row>
    <row r="1688" spans="1:19" hidden="1" x14ac:dyDescent="0.3">
      <c r="A1688" s="4">
        <v>45063</v>
      </c>
      <c r="B1688" s="5">
        <f t="shared" si="566"/>
        <v>5</v>
      </c>
      <c r="C1688" s="5">
        <f t="shared" si="567"/>
        <v>2023</v>
      </c>
      <c r="D1688" s="5" t="s">
        <v>1549</v>
      </c>
      <c r="E1688" s="5" t="str">
        <f>VLOOKUP(F1688,'Set up'!$A$2:$C$48,2,FALSE)</f>
        <v>C00000038</v>
      </c>
      <c r="F1688" s="1" t="s">
        <v>1421</v>
      </c>
      <c r="G1688" s="89" t="s">
        <v>1425</v>
      </c>
      <c r="H1688" s="5">
        <v>1</v>
      </c>
      <c r="I1688" s="5" t="str">
        <f>VLOOKUP(F1688,'Set up'!$A$2:$C$48,3,FALSE)</f>
        <v>Cash</v>
      </c>
      <c r="J1688" s="5">
        <f>VLOOKUP(F1688,'Set up'!$A$2:$D$48,4,FALSE)</f>
        <v>0</v>
      </c>
      <c r="K1688" s="4">
        <f t="shared" ref="K1688:K1751" si="579">A1688+J1688</f>
        <v>45063</v>
      </c>
      <c r="L1688" s="5">
        <f t="shared" si="568"/>
        <v>5</v>
      </c>
      <c r="M1688" s="5">
        <f t="shared" si="569"/>
        <v>2023</v>
      </c>
      <c r="N1688" s="6">
        <v>105</v>
      </c>
      <c r="O1688" s="6">
        <f t="shared" si="578"/>
        <v>-105</v>
      </c>
      <c r="P1688" s="6">
        <f t="shared" si="577"/>
        <v>0</v>
      </c>
      <c r="Q1688" s="7">
        <f t="shared" si="571"/>
        <v>3101682.6500000013</v>
      </c>
      <c r="R1688" s="44" t="str">
        <f>VLOOKUP(F1688,'Set up'!$A$2:$E$48,5,FALSE)</f>
        <v>Trsf</v>
      </c>
      <c r="S1688" s="1" t="s">
        <v>1592</v>
      </c>
    </row>
    <row r="1689" spans="1:19" hidden="1" x14ac:dyDescent="0.3">
      <c r="A1689" s="4">
        <v>45063</v>
      </c>
      <c r="B1689" s="5">
        <f t="shared" si="566"/>
        <v>5</v>
      </c>
      <c r="C1689" s="5">
        <f t="shared" si="567"/>
        <v>2023</v>
      </c>
      <c r="D1689" s="5" t="s">
        <v>1549</v>
      </c>
      <c r="E1689" s="5" t="str">
        <f>VLOOKUP(F1689,'Set up'!$A$2:$C$48,2,FALSE)</f>
        <v>C00000038</v>
      </c>
      <c r="F1689" s="1" t="s">
        <v>1421</v>
      </c>
      <c r="G1689" s="89" t="s">
        <v>1426</v>
      </c>
      <c r="H1689" s="5">
        <v>1</v>
      </c>
      <c r="I1689" s="5" t="str">
        <f>VLOOKUP(F1689,'Set up'!$A$2:$C$48,3,FALSE)</f>
        <v>Cash</v>
      </c>
      <c r="J1689" s="5">
        <f>VLOOKUP(F1689,'Set up'!$A$2:$D$48,4,FALSE)</f>
        <v>0</v>
      </c>
      <c r="K1689" s="4">
        <f t="shared" si="579"/>
        <v>45063</v>
      </c>
      <c r="L1689" s="5">
        <f t="shared" si="568"/>
        <v>5</v>
      </c>
      <c r="M1689" s="5">
        <f t="shared" si="569"/>
        <v>2023</v>
      </c>
      <c r="N1689" s="6">
        <v>55</v>
      </c>
      <c r="O1689" s="6">
        <f t="shared" si="578"/>
        <v>-55</v>
      </c>
      <c r="P1689" s="6">
        <f t="shared" si="577"/>
        <v>0</v>
      </c>
      <c r="Q1689" s="7">
        <f t="shared" si="571"/>
        <v>3101737.6500000013</v>
      </c>
      <c r="R1689" s="44" t="str">
        <f>VLOOKUP(F1689,'Set up'!$A$2:$E$48,5,FALSE)</f>
        <v>Trsf</v>
      </c>
      <c r="S1689" s="1" t="s">
        <v>1592</v>
      </c>
    </row>
    <row r="1690" spans="1:19" hidden="1" x14ac:dyDescent="0.3">
      <c r="A1690" s="4">
        <v>45063</v>
      </c>
      <c r="B1690" s="5">
        <f t="shared" si="566"/>
        <v>5</v>
      </c>
      <c r="C1690" s="5">
        <f t="shared" si="567"/>
        <v>2023</v>
      </c>
      <c r="D1690" s="5" t="s">
        <v>1551</v>
      </c>
      <c r="E1690" s="5" t="str">
        <f>VLOOKUP(F1690,'Set up'!$A$2:$C$48,2,FALSE)</f>
        <v>C00000021</v>
      </c>
      <c r="F1690" s="1" t="s">
        <v>492</v>
      </c>
      <c r="G1690" s="89" t="s">
        <v>717</v>
      </c>
      <c r="H1690" s="5">
        <v>1</v>
      </c>
      <c r="I1690" s="5" t="str">
        <f>VLOOKUP(F1690,'Set up'!$A$2:$C$48,3,FALSE)</f>
        <v>Cash</v>
      </c>
      <c r="J1690" s="5">
        <f>VLOOKUP(F1690,'Set up'!$A$2:$D$48,4,FALSE)</f>
        <v>0</v>
      </c>
      <c r="K1690" s="4">
        <f t="shared" si="579"/>
        <v>45063</v>
      </c>
      <c r="L1690" s="5">
        <f t="shared" si="568"/>
        <v>5</v>
      </c>
      <c r="M1690" s="5">
        <f t="shared" si="569"/>
        <v>2023</v>
      </c>
      <c r="N1690" s="6">
        <v>1870</v>
      </c>
      <c r="O1690" s="6">
        <f t="shared" si="578"/>
        <v>-1870</v>
      </c>
      <c r="P1690" s="6">
        <f t="shared" si="577"/>
        <v>0</v>
      </c>
      <c r="Q1690" s="7">
        <f t="shared" si="571"/>
        <v>3103607.6500000013</v>
      </c>
      <c r="R1690" s="44" t="str">
        <f>VLOOKUP(F1690,'Set up'!$A$2:$E$48,5,FALSE)</f>
        <v>PD Chq</v>
      </c>
      <c r="S1690" s="1" t="s">
        <v>2328</v>
      </c>
    </row>
    <row r="1691" spans="1:19" hidden="1" x14ac:dyDescent="0.3">
      <c r="A1691" s="4">
        <v>45063</v>
      </c>
      <c r="B1691" s="5">
        <f t="shared" si="566"/>
        <v>5</v>
      </c>
      <c r="C1691" s="5">
        <f t="shared" si="567"/>
        <v>2023</v>
      </c>
      <c r="D1691" s="5" t="s">
        <v>1551</v>
      </c>
      <c r="E1691" s="5" t="str">
        <f>VLOOKUP(F1691,'Set up'!$A$2:$C$48,2,FALSE)</f>
        <v>C00000021</v>
      </c>
      <c r="F1691" s="1" t="s">
        <v>492</v>
      </c>
      <c r="G1691" s="89" t="s">
        <v>655</v>
      </c>
      <c r="H1691" s="5">
        <v>2</v>
      </c>
      <c r="I1691" s="5" t="str">
        <f>VLOOKUP(F1691,'Set up'!$A$2:$C$48,3,FALSE)</f>
        <v>Cash</v>
      </c>
      <c r="J1691" s="5">
        <f>VLOOKUP(F1691,'Set up'!$A$2:$D$48,4,FALSE)</f>
        <v>0</v>
      </c>
      <c r="K1691" s="4">
        <f t="shared" si="579"/>
        <v>45063</v>
      </c>
      <c r="L1691" s="5">
        <f t="shared" si="568"/>
        <v>5</v>
      </c>
      <c r="M1691" s="5">
        <f t="shared" si="569"/>
        <v>2023</v>
      </c>
      <c r="N1691" s="6">
        <v>510</v>
      </c>
      <c r="O1691" s="6">
        <f t="shared" si="578"/>
        <v>-510</v>
      </c>
      <c r="P1691" s="6">
        <f t="shared" si="577"/>
        <v>0</v>
      </c>
      <c r="Q1691" s="7">
        <f t="shared" si="571"/>
        <v>3104117.6500000013</v>
      </c>
      <c r="R1691" s="44" t="str">
        <f>VLOOKUP(F1691,'Set up'!$A$2:$E$48,5,FALSE)</f>
        <v>PD Chq</v>
      </c>
      <c r="S1691" s="1" t="s">
        <v>2328</v>
      </c>
    </row>
    <row r="1692" spans="1:19" hidden="1" x14ac:dyDescent="0.3">
      <c r="A1692" s="4">
        <v>45063</v>
      </c>
      <c r="B1692" s="5">
        <f t="shared" si="566"/>
        <v>5</v>
      </c>
      <c r="C1692" s="5">
        <f t="shared" si="567"/>
        <v>2023</v>
      </c>
      <c r="D1692" s="5" t="s">
        <v>1551</v>
      </c>
      <c r="E1692" s="5" t="str">
        <f>VLOOKUP(F1692,'Set up'!$A$2:$C$48,2,FALSE)</f>
        <v>C00000021</v>
      </c>
      <c r="F1692" s="1" t="s">
        <v>492</v>
      </c>
      <c r="G1692" s="89" t="s">
        <v>1062</v>
      </c>
      <c r="H1692" s="5">
        <v>1</v>
      </c>
      <c r="I1692" s="5" t="str">
        <f>VLOOKUP(F1692,'Set up'!$A$2:$C$48,3,FALSE)</f>
        <v>Cash</v>
      </c>
      <c r="J1692" s="5">
        <f>VLOOKUP(F1692,'Set up'!$A$2:$D$48,4,FALSE)</f>
        <v>0</v>
      </c>
      <c r="K1692" s="4">
        <f t="shared" si="579"/>
        <v>45063</v>
      </c>
      <c r="L1692" s="5">
        <f t="shared" si="568"/>
        <v>5</v>
      </c>
      <c r="M1692" s="5">
        <f t="shared" si="569"/>
        <v>2023</v>
      </c>
      <c r="N1692" s="6">
        <v>95</v>
      </c>
      <c r="O1692" s="6">
        <f t="shared" si="578"/>
        <v>-95</v>
      </c>
      <c r="P1692" s="6">
        <f t="shared" si="577"/>
        <v>0</v>
      </c>
      <c r="Q1692" s="7">
        <f t="shared" si="571"/>
        <v>3104212.6500000013</v>
      </c>
      <c r="R1692" s="44" t="str">
        <f>VLOOKUP(F1692,'Set up'!$A$2:$E$48,5,FALSE)</f>
        <v>PD Chq</v>
      </c>
      <c r="S1692" s="1" t="s">
        <v>2328</v>
      </c>
    </row>
    <row r="1693" spans="1:19" hidden="1" x14ac:dyDescent="0.3">
      <c r="A1693" s="4">
        <v>45063</v>
      </c>
      <c r="B1693" s="5">
        <f t="shared" si="566"/>
        <v>5</v>
      </c>
      <c r="C1693" s="5">
        <f t="shared" si="567"/>
        <v>2023</v>
      </c>
      <c r="D1693" s="5" t="s">
        <v>1552</v>
      </c>
      <c r="E1693" s="5" t="str">
        <f>VLOOKUP(F1693,'Set up'!$A$2:$C$48,2,FALSE)</f>
        <v>C00000013</v>
      </c>
      <c r="F1693" s="1" t="s">
        <v>1454</v>
      </c>
      <c r="G1693" s="89" t="s">
        <v>1443</v>
      </c>
      <c r="H1693" s="5">
        <v>4</v>
      </c>
      <c r="I1693" s="5" t="str">
        <f>VLOOKUP(F1693,'Set up'!$A$2:$C$48,3,FALSE)</f>
        <v>Cash</v>
      </c>
      <c r="J1693" s="5">
        <f>VLOOKUP(F1693,'Set up'!$A$2:$D$48,4,FALSE)</f>
        <v>0</v>
      </c>
      <c r="K1693" s="4">
        <f t="shared" si="579"/>
        <v>45063</v>
      </c>
      <c r="L1693" s="5">
        <f t="shared" si="568"/>
        <v>5</v>
      </c>
      <c r="M1693" s="5">
        <f t="shared" si="569"/>
        <v>2023</v>
      </c>
      <c r="N1693" s="6">
        <v>7304</v>
      </c>
      <c r="O1693" s="6">
        <f t="shared" ref="O1693:O1700" si="580">-N1693</f>
        <v>-7304</v>
      </c>
      <c r="P1693" s="6">
        <f t="shared" si="577"/>
        <v>0</v>
      </c>
      <c r="Q1693" s="7">
        <f t="shared" si="571"/>
        <v>3111516.6500000013</v>
      </c>
      <c r="R1693" s="44" t="str">
        <f>VLOOKUP(F1693,'Set up'!$A$2:$E$48,5,FALSE)</f>
        <v>Chq</v>
      </c>
      <c r="S1693" s="1" t="s">
        <v>1599</v>
      </c>
    </row>
    <row r="1694" spans="1:19" hidden="1" x14ac:dyDescent="0.3">
      <c r="A1694" s="4" t="s">
        <v>1553</v>
      </c>
      <c r="B1694" s="5">
        <f t="shared" si="566"/>
        <v>5</v>
      </c>
      <c r="C1694" s="5">
        <f t="shared" si="567"/>
        <v>2023</v>
      </c>
      <c r="D1694" s="5" t="s">
        <v>1552</v>
      </c>
      <c r="E1694" s="5" t="str">
        <f>VLOOKUP(F1694,'Set up'!$A$2:$C$48,2,FALSE)</f>
        <v>C00000013</v>
      </c>
      <c r="F1694" s="1" t="s">
        <v>1454</v>
      </c>
      <c r="G1694" s="89" t="s">
        <v>1444</v>
      </c>
      <c r="H1694" s="5">
        <v>5</v>
      </c>
      <c r="I1694" s="5" t="str">
        <f>VLOOKUP(F1694,'Set up'!$A$2:$C$48,3,FALSE)</f>
        <v>Cash</v>
      </c>
      <c r="J1694" s="5">
        <f>VLOOKUP(F1694,'Set up'!$A$2:$D$48,4,FALSE)</f>
        <v>0</v>
      </c>
      <c r="K1694" s="4">
        <f t="shared" si="579"/>
        <v>45064</v>
      </c>
      <c r="L1694" s="5">
        <f t="shared" si="568"/>
        <v>5</v>
      </c>
      <c r="M1694" s="5">
        <f t="shared" si="569"/>
        <v>2023</v>
      </c>
      <c r="N1694" s="6">
        <v>2133</v>
      </c>
      <c r="O1694" s="6">
        <f t="shared" si="580"/>
        <v>-2133</v>
      </c>
      <c r="P1694" s="6">
        <f t="shared" si="577"/>
        <v>0</v>
      </c>
      <c r="Q1694" s="7">
        <f t="shared" si="571"/>
        <v>3113649.6500000013</v>
      </c>
      <c r="R1694" s="44" t="str">
        <f>VLOOKUP(F1694,'Set up'!$A$2:$E$48,5,FALSE)</f>
        <v>Chq</v>
      </c>
      <c r="S1694" s="1" t="s">
        <v>1600</v>
      </c>
    </row>
    <row r="1695" spans="1:19" hidden="1" x14ac:dyDescent="0.3">
      <c r="A1695" s="4" t="s">
        <v>1553</v>
      </c>
      <c r="B1695" s="5">
        <f t="shared" si="566"/>
        <v>5</v>
      </c>
      <c r="C1695" s="5">
        <f t="shared" si="567"/>
        <v>2023</v>
      </c>
      <c r="D1695" s="5" t="s">
        <v>1552</v>
      </c>
      <c r="E1695" s="5" t="str">
        <f>VLOOKUP(F1695,'Set up'!$A$2:$C$48,2,FALSE)</f>
        <v>C00000013</v>
      </c>
      <c r="F1695" s="1" t="s">
        <v>1454</v>
      </c>
      <c r="G1695" s="89" t="s">
        <v>1445</v>
      </c>
      <c r="H1695" s="5">
        <v>3</v>
      </c>
      <c r="I1695" s="5" t="str">
        <f>VLOOKUP(F1695,'Set up'!$A$2:$C$48,3,FALSE)</f>
        <v>Cash</v>
      </c>
      <c r="J1695" s="5">
        <f>VLOOKUP(F1695,'Set up'!$A$2:$D$48,4,FALSE)</f>
        <v>0</v>
      </c>
      <c r="K1695" s="4">
        <f t="shared" si="579"/>
        <v>45064</v>
      </c>
      <c r="L1695" s="5">
        <f t="shared" si="568"/>
        <v>5</v>
      </c>
      <c r="M1695" s="5">
        <f t="shared" si="569"/>
        <v>2023</v>
      </c>
      <c r="N1695" s="6">
        <v>1279.8000000000002</v>
      </c>
      <c r="O1695" s="6">
        <f t="shared" si="580"/>
        <v>-1279.8000000000002</v>
      </c>
      <c r="P1695" s="6">
        <f t="shared" si="577"/>
        <v>0</v>
      </c>
      <c r="Q1695" s="7">
        <f t="shared" si="571"/>
        <v>3114929.4500000011</v>
      </c>
      <c r="R1695" s="44" t="str">
        <f>VLOOKUP(F1695,'Set up'!$A$2:$E$48,5,FALSE)</f>
        <v>Chq</v>
      </c>
      <c r="S1695" s="1" t="s">
        <v>1601</v>
      </c>
    </row>
    <row r="1696" spans="1:19" hidden="1" x14ac:dyDescent="0.3">
      <c r="A1696" s="4" t="s">
        <v>1553</v>
      </c>
      <c r="B1696" s="5">
        <f t="shared" si="566"/>
        <v>5</v>
      </c>
      <c r="C1696" s="5">
        <f t="shared" si="567"/>
        <v>2023</v>
      </c>
      <c r="D1696" s="5" t="s">
        <v>1552</v>
      </c>
      <c r="E1696" s="5" t="str">
        <f>VLOOKUP(F1696,'Set up'!$A$2:$C$48,2,FALSE)</f>
        <v>C00000013</v>
      </c>
      <c r="F1696" s="1" t="s">
        <v>1454</v>
      </c>
      <c r="G1696" s="89" t="s">
        <v>1446</v>
      </c>
      <c r="H1696" s="5">
        <v>5</v>
      </c>
      <c r="I1696" s="5" t="str">
        <f>VLOOKUP(F1696,'Set up'!$A$2:$C$48,3,FALSE)</f>
        <v>Cash</v>
      </c>
      <c r="J1696" s="5">
        <f>VLOOKUP(F1696,'Set up'!$A$2:$D$48,4,FALSE)</f>
        <v>0</v>
      </c>
      <c r="K1696" s="4">
        <f t="shared" si="579"/>
        <v>45064</v>
      </c>
      <c r="L1696" s="5">
        <f t="shared" si="568"/>
        <v>5</v>
      </c>
      <c r="M1696" s="5">
        <f t="shared" si="569"/>
        <v>2023</v>
      </c>
      <c r="N1696" s="6">
        <v>1290</v>
      </c>
      <c r="O1696" s="6">
        <f t="shared" si="580"/>
        <v>-1290</v>
      </c>
      <c r="P1696" s="6">
        <f t="shared" si="577"/>
        <v>0</v>
      </c>
      <c r="Q1696" s="7">
        <f t="shared" si="571"/>
        <v>3116219.4500000011</v>
      </c>
      <c r="R1696" s="44" t="str">
        <f>VLOOKUP(F1696,'Set up'!$A$2:$E$48,5,FALSE)</f>
        <v>Chq</v>
      </c>
      <c r="S1696" s="1" t="s">
        <v>1602</v>
      </c>
    </row>
    <row r="1697" spans="1:19" hidden="1" x14ac:dyDescent="0.3">
      <c r="A1697" s="4" t="s">
        <v>1553</v>
      </c>
      <c r="B1697" s="5">
        <f t="shared" si="566"/>
        <v>5</v>
      </c>
      <c r="C1697" s="5">
        <f t="shared" si="567"/>
        <v>2023</v>
      </c>
      <c r="D1697" s="5" t="s">
        <v>1552</v>
      </c>
      <c r="E1697" s="5" t="str">
        <f>VLOOKUP(F1697,'Set up'!$A$2:$C$48,2,FALSE)</f>
        <v>C00000013</v>
      </c>
      <c r="F1697" s="1" t="s">
        <v>1454</v>
      </c>
      <c r="G1697" s="89" t="s">
        <v>1447</v>
      </c>
      <c r="H1697" s="5">
        <v>3</v>
      </c>
      <c r="I1697" s="5" t="str">
        <f>VLOOKUP(F1697,'Set up'!$A$2:$C$48,3,FALSE)</f>
        <v>Cash</v>
      </c>
      <c r="J1697" s="5">
        <f>VLOOKUP(F1697,'Set up'!$A$2:$D$48,4,FALSE)</f>
        <v>0</v>
      </c>
      <c r="K1697" s="4">
        <f t="shared" si="579"/>
        <v>45064</v>
      </c>
      <c r="L1697" s="5">
        <f t="shared" si="568"/>
        <v>5</v>
      </c>
      <c r="M1697" s="5">
        <f t="shared" si="569"/>
        <v>2023</v>
      </c>
      <c r="N1697" s="6">
        <v>150</v>
      </c>
      <c r="O1697" s="6">
        <f t="shared" si="580"/>
        <v>-150</v>
      </c>
      <c r="P1697" s="6">
        <f t="shared" si="577"/>
        <v>0</v>
      </c>
      <c r="Q1697" s="7">
        <f t="shared" si="571"/>
        <v>3116369.4500000011</v>
      </c>
      <c r="R1697" s="44" t="str">
        <f>VLOOKUP(F1697,'Set up'!$A$2:$E$48,5,FALSE)</f>
        <v>Chq</v>
      </c>
      <c r="S1697" s="1" t="s">
        <v>1603</v>
      </c>
    </row>
    <row r="1698" spans="1:19" hidden="1" x14ac:dyDescent="0.3">
      <c r="A1698" s="4" t="s">
        <v>1553</v>
      </c>
      <c r="B1698" s="5">
        <f t="shared" ref="B1698:B1706" si="581">MONTH(A1698)</f>
        <v>5</v>
      </c>
      <c r="C1698" s="5">
        <f t="shared" ref="C1698:C1706" si="582">YEAR(A1698)</f>
        <v>2023</v>
      </c>
      <c r="D1698" s="5" t="s">
        <v>1552</v>
      </c>
      <c r="E1698" s="5" t="str">
        <f>VLOOKUP(F1698,'Set up'!$A$2:$C$48,2,FALSE)</f>
        <v>C00000013</v>
      </c>
      <c r="F1698" s="1" t="s">
        <v>1454</v>
      </c>
      <c r="G1698" s="89" t="s">
        <v>1448</v>
      </c>
      <c r="H1698" s="5">
        <v>2</v>
      </c>
      <c r="I1698" s="5" t="str">
        <f>VLOOKUP(F1698,'Set up'!$A$2:$C$48,3,FALSE)</f>
        <v>Cash</v>
      </c>
      <c r="J1698" s="5">
        <f>VLOOKUP(F1698,'Set up'!$A$2:$D$48,4,FALSE)</f>
        <v>0</v>
      </c>
      <c r="K1698" s="4">
        <f t="shared" si="579"/>
        <v>45064</v>
      </c>
      <c r="L1698" s="5">
        <f t="shared" ref="L1698:L1707" si="583">MONTH(K1698)</f>
        <v>5</v>
      </c>
      <c r="M1698" s="5">
        <f t="shared" ref="M1698:M1707" si="584">YEAR(K1698)</f>
        <v>2023</v>
      </c>
      <c r="N1698" s="6">
        <v>1600</v>
      </c>
      <c r="O1698" s="6">
        <f t="shared" si="580"/>
        <v>-1600</v>
      </c>
      <c r="P1698" s="6">
        <f t="shared" si="577"/>
        <v>0</v>
      </c>
      <c r="Q1698" s="7">
        <f t="shared" ref="Q1698:Q1707" si="585">SUM(Q1697+N1698)</f>
        <v>3117969.4500000011</v>
      </c>
      <c r="R1698" s="44" t="str">
        <f>VLOOKUP(F1698,'Set up'!$A$2:$E$48,5,FALSE)</f>
        <v>Chq</v>
      </c>
      <c r="S1698" s="1" t="s">
        <v>1604</v>
      </c>
    </row>
    <row r="1699" spans="1:19" hidden="1" x14ac:dyDescent="0.3">
      <c r="A1699" s="4" t="s">
        <v>1553</v>
      </c>
      <c r="B1699" s="5">
        <f>MONTH(A1699)</f>
        <v>5</v>
      </c>
      <c r="C1699" s="5">
        <f>YEAR(A1699)</f>
        <v>2023</v>
      </c>
      <c r="D1699" s="5" t="s">
        <v>1552</v>
      </c>
      <c r="E1699" s="5" t="str">
        <f>VLOOKUP(F1699,'Set up'!$A$2:$C$48,2,FALSE)</f>
        <v>C00000013</v>
      </c>
      <c r="F1699" s="1" t="s">
        <v>1454</v>
      </c>
      <c r="G1699" s="89" t="s">
        <v>1449</v>
      </c>
      <c r="H1699" s="5">
        <v>3</v>
      </c>
      <c r="I1699" s="5" t="str">
        <f>VLOOKUP(F1699,'Set up'!$A$2:$C$48,3,FALSE)</f>
        <v>Cash</v>
      </c>
      <c r="J1699" s="5">
        <f>VLOOKUP(F1699,'Set up'!$A$2:$D$48,4,FALSE)</f>
        <v>0</v>
      </c>
      <c r="K1699" s="4">
        <f t="shared" si="579"/>
        <v>45064</v>
      </c>
      <c r="L1699" s="5">
        <f t="shared" si="583"/>
        <v>5</v>
      </c>
      <c r="M1699" s="5">
        <f t="shared" si="584"/>
        <v>2023</v>
      </c>
      <c r="N1699" s="6">
        <v>1290</v>
      </c>
      <c r="O1699" s="6">
        <f>-963.6-326.4</f>
        <v>-1290</v>
      </c>
      <c r="P1699" s="6">
        <f t="shared" si="577"/>
        <v>0</v>
      </c>
      <c r="Q1699" s="7">
        <f t="shared" si="585"/>
        <v>3119259.4500000011</v>
      </c>
      <c r="R1699" s="44" t="str">
        <f>VLOOKUP(F1699,'Set up'!$A$2:$E$48,5,FALSE)</f>
        <v>Chq</v>
      </c>
      <c r="S1699" s="1" t="s">
        <v>1605</v>
      </c>
    </row>
    <row r="1700" spans="1:19" hidden="1" x14ac:dyDescent="0.3">
      <c r="A1700" s="4" t="s">
        <v>1553</v>
      </c>
      <c r="B1700" s="5">
        <f>MONTH(A1700)</f>
        <v>5</v>
      </c>
      <c r="C1700" s="5">
        <f>YEAR(A1700)</f>
        <v>2023</v>
      </c>
      <c r="D1700" s="5" t="s">
        <v>1552</v>
      </c>
      <c r="E1700" s="5" t="str">
        <f>VLOOKUP(F1700,'Set up'!$A$2:$C$48,2,FALSE)</f>
        <v>C00000013</v>
      </c>
      <c r="F1700" s="1" t="s">
        <v>1454</v>
      </c>
      <c r="G1700" s="89" t="s">
        <v>1450</v>
      </c>
      <c r="H1700" s="5">
        <v>6</v>
      </c>
      <c r="I1700" s="5" t="str">
        <f>VLOOKUP(F1700,'Set up'!$A$2:$C$48,3,FALSE)</f>
        <v>Cash</v>
      </c>
      <c r="J1700" s="5">
        <f>VLOOKUP(F1700,'Set up'!$A$2:$D$48,4,FALSE)</f>
        <v>0</v>
      </c>
      <c r="K1700" s="4">
        <f t="shared" si="579"/>
        <v>45064</v>
      </c>
      <c r="L1700" s="5">
        <f t="shared" si="583"/>
        <v>5</v>
      </c>
      <c r="M1700" s="5">
        <f t="shared" si="584"/>
        <v>2023</v>
      </c>
      <c r="N1700" s="6">
        <v>660</v>
      </c>
      <c r="O1700" s="6">
        <f t="shared" si="580"/>
        <v>-660</v>
      </c>
      <c r="P1700" s="6">
        <f t="shared" si="577"/>
        <v>0</v>
      </c>
      <c r="Q1700" s="7">
        <f t="shared" si="585"/>
        <v>3119919.4500000011</v>
      </c>
      <c r="R1700" s="44" t="str">
        <f>VLOOKUP(F1700,'Set up'!$A$2:$E$48,5,FALSE)</f>
        <v>Chq</v>
      </c>
      <c r="S1700" s="1" t="s">
        <v>1606</v>
      </c>
    </row>
    <row r="1701" spans="1:19" hidden="1" x14ac:dyDescent="0.3">
      <c r="A1701" s="4" t="s">
        <v>1553</v>
      </c>
      <c r="B1701" s="5">
        <f>MONTH(A1701)</f>
        <v>5</v>
      </c>
      <c r="C1701" s="5">
        <f>YEAR(A1701)</f>
        <v>2023</v>
      </c>
      <c r="D1701" s="5" t="s">
        <v>1554</v>
      </c>
      <c r="E1701" s="5" t="str">
        <f>VLOOKUP(F1701,'Set up'!$A$2:$C$48,2,FALSE)</f>
        <v>C00000034</v>
      </c>
      <c r="F1701" s="1" t="s">
        <v>1197</v>
      </c>
      <c r="G1701" s="89" t="s">
        <v>1352</v>
      </c>
      <c r="H1701" s="5">
        <v>8</v>
      </c>
      <c r="I1701" s="5" t="str">
        <f>VLOOKUP(F1701,'Set up'!$A$2:$C$48,3,FALSE)</f>
        <v>Cash</v>
      </c>
      <c r="J1701" s="5">
        <f>VLOOKUP(F1701,'Set up'!$A$2:$D$48,4,FALSE)</f>
        <v>0</v>
      </c>
      <c r="K1701" s="4">
        <f t="shared" si="579"/>
        <v>45064</v>
      </c>
      <c r="L1701" s="5">
        <f t="shared" si="583"/>
        <v>5</v>
      </c>
      <c r="M1701" s="5">
        <f t="shared" si="584"/>
        <v>2023</v>
      </c>
      <c r="N1701" s="6">
        <v>1112</v>
      </c>
      <c r="O1701" s="6">
        <f t="shared" ref="O1701:O1703" si="586">-N1701</f>
        <v>-1112</v>
      </c>
      <c r="P1701" s="6">
        <f t="shared" si="577"/>
        <v>0</v>
      </c>
      <c r="Q1701" s="7">
        <f t="shared" si="585"/>
        <v>3121031.4500000011</v>
      </c>
      <c r="R1701" s="44" t="str">
        <f>VLOOKUP(F1701,'Set up'!$A$2:$E$48,5,FALSE)</f>
        <v>Trsf</v>
      </c>
      <c r="S1701" s="1" t="s">
        <v>1584</v>
      </c>
    </row>
    <row r="1702" spans="1:19" hidden="1" x14ac:dyDescent="0.3">
      <c r="A1702" s="4" t="s">
        <v>1553</v>
      </c>
      <c r="B1702" s="5">
        <f>MONTH(A1702)</f>
        <v>5</v>
      </c>
      <c r="C1702" s="5">
        <f>YEAR(A1702)</f>
        <v>2023</v>
      </c>
      <c r="D1702" s="5" t="s">
        <v>1554</v>
      </c>
      <c r="E1702" s="5" t="str">
        <f>VLOOKUP(F1702,'Set up'!$A$2:$C$48,2,FALSE)</f>
        <v>C00000034</v>
      </c>
      <c r="F1702" s="1" t="s">
        <v>1197</v>
      </c>
      <c r="G1702" s="89" t="s">
        <v>1111</v>
      </c>
      <c r="H1702" s="5">
        <v>1</v>
      </c>
      <c r="I1702" s="5" t="str">
        <f>VLOOKUP(F1702,'Set up'!$A$2:$C$48,3,FALSE)</f>
        <v>Cash</v>
      </c>
      <c r="J1702" s="5">
        <f>VLOOKUP(F1702,'Set up'!$A$2:$D$48,4,FALSE)</f>
        <v>0</v>
      </c>
      <c r="K1702" s="4">
        <f t="shared" si="579"/>
        <v>45064</v>
      </c>
      <c r="L1702" s="5">
        <f t="shared" si="583"/>
        <v>5</v>
      </c>
      <c r="M1702" s="5">
        <f t="shared" si="584"/>
        <v>2023</v>
      </c>
      <c r="N1702" s="6">
        <v>62.5</v>
      </c>
      <c r="O1702" s="6">
        <f t="shared" si="586"/>
        <v>-62.5</v>
      </c>
      <c r="P1702" s="6">
        <f t="shared" si="577"/>
        <v>0</v>
      </c>
      <c r="Q1702" s="7">
        <f t="shared" si="585"/>
        <v>3121093.9500000011</v>
      </c>
      <c r="R1702" s="44" t="str">
        <f>VLOOKUP(F1702,'Set up'!$A$2:$E$48,5,FALSE)</f>
        <v>Trsf</v>
      </c>
      <c r="S1702" s="1" t="s">
        <v>1584</v>
      </c>
    </row>
    <row r="1703" spans="1:19" hidden="1" x14ac:dyDescent="0.3">
      <c r="A1703" s="4">
        <v>45066</v>
      </c>
      <c r="B1703" s="5">
        <f t="shared" si="581"/>
        <v>5</v>
      </c>
      <c r="C1703" s="5">
        <f t="shared" si="582"/>
        <v>2023</v>
      </c>
      <c r="D1703" s="5" t="s">
        <v>1555</v>
      </c>
      <c r="E1703" s="5" t="str">
        <f>VLOOKUP(F1703,'Set up'!$A$2:$C$48,2,FALSE)</f>
        <v>C00000034</v>
      </c>
      <c r="F1703" s="1" t="s">
        <v>1197</v>
      </c>
      <c r="G1703" s="89" t="s">
        <v>302</v>
      </c>
      <c r="H1703" s="5">
        <v>1</v>
      </c>
      <c r="I1703" s="5" t="str">
        <f>VLOOKUP(F1703,'Set up'!$A$2:$C$48,3,FALSE)</f>
        <v>Cash</v>
      </c>
      <c r="J1703" s="5">
        <f>VLOOKUP(F1703,'Set up'!$A$2:$D$48,4,FALSE)</f>
        <v>0</v>
      </c>
      <c r="K1703" s="4">
        <f t="shared" si="579"/>
        <v>45066</v>
      </c>
      <c r="L1703" s="5">
        <f t="shared" si="583"/>
        <v>5</v>
      </c>
      <c r="M1703" s="5">
        <f t="shared" si="584"/>
        <v>2023</v>
      </c>
      <c r="N1703" s="6">
        <v>1912.5</v>
      </c>
      <c r="O1703" s="6">
        <f t="shared" si="586"/>
        <v>-1912.5</v>
      </c>
      <c r="P1703" s="6">
        <f t="shared" si="577"/>
        <v>0</v>
      </c>
      <c r="Q1703" s="7">
        <f t="shared" si="585"/>
        <v>3123006.4500000011</v>
      </c>
      <c r="R1703" s="44" t="str">
        <f>VLOOKUP(F1703,'Set up'!$A$2:$E$48,5,FALSE)</f>
        <v>Trsf</v>
      </c>
      <c r="S1703" s="1" t="s">
        <v>1585</v>
      </c>
    </row>
    <row r="1704" spans="1:19" x14ac:dyDescent="0.3">
      <c r="A1704" s="4">
        <v>45066</v>
      </c>
      <c r="B1704" s="5">
        <f t="shared" si="581"/>
        <v>5</v>
      </c>
      <c r="C1704" s="5">
        <f t="shared" si="582"/>
        <v>2023</v>
      </c>
      <c r="D1704" s="5" t="s">
        <v>1556</v>
      </c>
      <c r="E1704" s="5" t="str">
        <f>VLOOKUP(F1704,'Set up'!$A$2:$C$48,2,FALSE)</f>
        <v>C00000020</v>
      </c>
      <c r="F1704" s="1" t="s">
        <v>410</v>
      </c>
      <c r="G1704" s="89" t="s">
        <v>1111</v>
      </c>
      <c r="H1704" s="5">
        <v>3</v>
      </c>
      <c r="I1704" s="5" t="str">
        <f>VLOOKUP(F1704,'Set up'!$A$2:$C$48,3,FALSE)</f>
        <v>Cash</v>
      </c>
      <c r="J1704" s="5">
        <f>VLOOKUP(F1704,'Set up'!$A$2:$D$48,4,FALSE)</f>
        <v>0</v>
      </c>
      <c r="K1704" s="4">
        <f t="shared" si="579"/>
        <v>45066</v>
      </c>
      <c r="L1704" s="5">
        <f t="shared" si="583"/>
        <v>5</v>
      </c>
      <c r="M1704" s="5">
        <f t="shared" si="584"/>
        <v>2023</v>
      </c>
      <c r="N1704" s="6">
        <v>187.5</v>
      </c>
      <c r="P1704" s="6">
        <f t="shared" si="577"/>
        <v>187.5</v>
      </c>
      <c r="Q1704" s="7">
        <f t="shared" si="585"/>
        <v>3123193.9500000011</v>
      </c>
      <c r="R1704" s="44" t="str">
        <f>VLOOKUP(F1704,'Set up'!$A$2:$E$48,5,FALSE)</f>
        <v>Trsf</v>
      </c>
    </row>
    <row r="1705" spans="1:19" x14ac:dyDescent="0.3">
      <c r="A1705" s="4">
        <v>45066</v>
      </c>
      <c r="B1705" s="5">
        <f t="shared" si="581"/>
        <v>5</v>
      </c>
      <c r="C1705" s="5">
        <f t="shared" si="582"/>
        <v>2023</v>
      </c>
      <c r="D1705" s="5" t="s">
        <v>1557</v>
      </c>
      <c r="E1705" s="5" t="str">
        <f>VLOOKUP(F1705,'Set up'!$A$2:$C$48,2,FALSE)</f>
        <v>C00000020</v>
      </c>
      <c r="F1705" s="1" t="s">
        <v>410</v>
      </c>
      <c r="G1705" s="89" t="s">
        <v>720</v>
      </c>
      <c r="H1705" s="5">
        <v>3</v>
      </c>
      <c r="I1705" s="5" t="str">
        <f>VLOOKUP(F1705,'Set up'!$A$2:$C$48,3,FALSE)</f>
        <v>Cash</v>
      </c>
      <c r="J1705" s="5">
        <f>VLOOKUP(F1705,'Set up'!$A$2:$D$48,4,FALSE)</f>
        <v>0</v>
      </c>
      <c r="K1705" s="4">
        <f t="shared" si="579"/>
        <v>45066</v>
      </c>
      <c r="L1705" s="5">
        <f t="shared" si="583"/>
        <v>5</v>
      </c>
      <c r="M1705" s="5">
        <f t="shared" si="584"/>
        <v>2023</v>
      </c>
      <c r="N1705" s="6">
        <v>5412</v>
      </c>
      <c r="P1705" s="6">
        <f t="shared" si="577"/>
        <v>5412</v>
      </c>
      <c r="Q1705" s="7">
        <f t="shared" si="585"/>
        <v>3128605.9500000011</v>
      </c>
      <c r="R1705" s="44" t="str">
        <f>VLOOKUP(F1705,'Set up'!$A$2:$E$48,5,FALSE)</f>
        <v>Trsf</v>
      </c>
    </row>
    <row r="1706" spans="1:19" x14ac:dyDescent="0.3">
      <c r="A1706" s="4">
        <v>45066</v>
      </c>
      <c r="B1706" s="5">
        <f t="shared" si="581"/>
        <v>5</v>
      </c>
      <c r="C1706" s="5">
        <f t="shared" si="582"/>
        <v>2023</v>
      </c>
      <c r="D1706" s="5" t="s">
        <v>1557</v>
      </c>
      <c r="E1706" s="5" t="str">
        <f>VLOOKUP(F1706,'Set up'!$A$2:$C$48,2,FALSE)</f>
        <v>C00000020</v>
      </c>
      <c r="F1706" s="1" t="s">
        <v>410</v>
      </c>
      <c r="G1706" s="89" t="s">
        <v>655</v>
      </c>
      <c r="H1706" s="5">
        <v>11</v>
      </c>
      <c r="I1706" s="5" t="str">
        <f>VLOOKUP(F1706,'Set up'!$A$2:$C$48,3,FALSE)</f>
        <v>Cash</v>
      </c>
      <c r="J1706" s="5">
        <f>VLOOKUP(F1706,'Set up'!$A$2:$D$48,4,FALSE)</f>
        <v>0</v>
      </c>
      <c r="K1706" s="4">
        <f t="shared" si="579"/>
        <v>45066</v>
      </c>
      <c r="L1706" s="5">
        <f t="shared" si="583"/>
        <v>5</v>
      </c>
      <c r="M1706" s="5">
        <f t="shared" si="584"/>
        <v>2023</v>
      </c>
      <c r="N1706" s="6">
        <v>2508</v>
      </c>
      <c r="P1706" s="6">
        <f t="shared" si="577"/>
        <v>2508</v>
      </c>
      <c r="Q1706" s="7">
        <f t="shared" si="585"/>
        <v>3131113.9500000011</v>
      </c>
      <c r="R1706" s="44" t="str">
        <f>VLOOKUP(F1706,'Set up'!$A$2:$E$48,5,FALSE)</f>
        <v>Trsf</v>
      </c>
    </row>
    <row r="1707" spans="1:19" ht="15" customHeight="1" x14ac:dyDescent="0.3">
      <c r="A1707" s="4">
        <v>45066</v>
      </c>
      <c r="B1707" s="5">
        <f t="shared" ref="B1707:B1750" si="587">MONTH(A1707)</f>
        <v>5</v>
      </c>
      <c r="C1707" s="5">
        <f t="shared" ref="C1707:C1750" si="588">YEAR(A1707)</f>
        <v>2023</v>
      </c>
      <c r="D1707" s="5" t="s">
        <v>1557</v>
      </c>
      <c r="E1707" s="5" t="str">
        <f>VLOOKUP(F1707,'Set up'!$A$2:$C$48,2,FALSE)</f>
        <v>C00000020</v>
      </c>
      <c r="F1707" s="1" t="s">
        <v>410</v>
      </c>
      <c r="G1707" s="89" t="s">
        <v>1438</v>
      </c>
      <c r="H1707" s="5">
        <v>3</v>
      </c>
      <c r="I1707" s="5" t="str">
        <f>VLOOKUP(F1707,'Set up'!$A$2:$C$48,3,FALSE)</f>
        <v>Cash</v>
      </c>
      <c r="J1707" s="5">
        <f>VLOOKUP(F1707,'Set up'!$A$2:$D$48,4,FALSE)</f>
        <v>0</v>
      </c>
      <c r="K1707" s="4">
        <f t="shared" si="579"/>
        <v>45066</v>
      </c>
      <c r="L1707" s="5">
        <f t="shared" si="583"/>
        <v>5</v>
      </c>
      <c r="M1707" s="5">
        <f t="shared" si="584"/>
        <v>2023</v>
      </c>
      <c r="N1707" s="6">
        <v>793.80000000000007</v>
      </c>
      <c r="P1707" s="6">
        <f t="shared" si="577"/>
        <v>793.80000000000007</v>
      </c>
      <c r="Q1707" s="7">
        <f t="shared" si="585"/>
        <v>3131907.7500000009</v>
      </c>
      <c r="R1707" s="44" t="str">
        <f>VLOOKUP(F1707,'Set up'!$A$2:$E$48,5,FALSE)</f>
        <v>Trsf</v>
      </c>
    </row>
    <row r="1708" spans="1:19" ht="15" customHeight="1" x14ac:dyDescent="0.3">
      <c r="A1708" s="4">
        <v>45066</v>
      </c>
      <c r="B1708" s="5">
        <f t="shared" si="587"/>
        <v>5</v>
      </c>
      <c r="C1708" s="5">
        <f t="shared" si="588"/>
        <v>2023</v>
      </c>
      <c r="D1708" s="5" t="s">
        <v>1557</v>
      </c>
      <c r="E1708" s="5" t="str">
        <f>VLOOKUP(F1708,'Set up'!$A$2:$C$48,2,FALSE)</f>
        <v>C00000020</v>
      </c>
      <c r="F1708" s="1" t="s">
        <v>410</v>
      </c>
      <c r="G1708" s="89" t="s">
        <v>1074</v>
      </c>
      <c r="H1708" s="5">
        <v>2</v>
      </c>
      <c r="I1708" s="5" t="str">
        <f>VLOOKUP(F1708,'Set up'!$A$2:$C$48,3,FALSE)</f>
        <v>Cash</v>
      </c>
      <c r="J1708" s="5">
        <f>VLOOKUP(F1708,'Set up'!$A$2:$D$48,4,FALSE)</f>
        <v>0</v>
      </c>
      <c r="K1708" s="4">
        <f t="shared" si="579"/>
        <v>45066</v>
      </c>
      <c r="L1708" s="5">
        <f t="shared" ref="L1708:L1728" si="589">MONTH(K1708)</f>
        <v>5</v>
      </c>
      <c r="M1708" s="5">
        <f t="shared" ref="M1708:M1728" si="590">YEAR(K1708)</f>
        <v>2023</v>
      </c>
      <c r="N1708" s="6">
        <v>2000</v>
      </c>
      <c r="P1708" s="6">
        <f t="shared" ref="P1708:P1731" si="591">SUM(N1708+O1708)</f>
        <v>2000</v>
      </c>
      <c r="Q1708" s="7">
        <f t="shared" ref="Q1708:Q1728" si="592">SUM(Q1707+N1708)</f>
        <v>3133907.7500000009</v>
      </c>
      <c r="R1708" s="44" t="str">
        <f>VLOOKUP(F1708,'Set up'!$A$2:$E$48,5,FALSE)</f>
        <v>Trsf</v>
      </c>
    </row>
    <row r="1709" spans="1:19" ht="15" hidden="1" customHeight="1" x14ac:dyDescent="0.3">
      <c r="A1709" s="4">
        <v>45066</v>
      </c>
      <c r="B1709" s="5">
        <f t="shared" si="587"/>
        <v>5</v>
      </c>
      <c r="C1709" s="5">
        <f t="shared" si="588"/>
        <v>2023</v>
      </c>
      <c r="D1709" s="5" t="s">
        <v>1558</v>
      </c>
      <c r="E1709" s="5" t="str">
        <f>VLOOKUP(F1709,'Set up'!$A$2:$C$48,2,FALSE)</f>
        <v>C00000014</v>
      </c>
      <c r="F1709" s="1" t="s">
        <v>263</v>
      </c>
      <c r="G1709" s="89" t="s">
        <v>723</v>
      </c>
      <c r="H1709" s="5">
        <v>1</v>
      </c>
      <c r="I1709" s="5" t="str">
        <f>VLOOKUP(F1709,'Set up'!$A$2:$C$48,3,FALSE)</f>
        <v>Cash</v>
      </c>
      <c r="J1709" s="5">
        <f>VLOOKUP(F1709,'Set up'!$A$2:$D$48,4,FALSE)</f>
        <v>0</v>
      </c>
      <c r="K1709" s="4">
        <f t="shared" si="579"/>
        <v>45066</v>
      </c>
      <c r="L1709" s="5">
        <f t="shared" si="589"/>
        <v>5</v>
      </c>
      <c r="M1709" s="5">
        <f t="shared" si="590"/>
        <v>2023</v>
      </c>
      <c r="N1709" s="6">
        <v>1804</v>
      </c>
      <c r="O1709" s="6">
        <f t="shared" ref="O1709:O1711" si="593">-N1709</f>
        <v>-1804</v>
      </c>
      <c r="P1709" s="6">
        <f t="shared" si="591"/>
        <v>0</v>
      </c>
      <c r="Q1709" s="7">
        <f t="shared" si="592"/>
        <v>3135711.7500000009</v>
      </c>
      <c r="R1709" s="44" t="str">
        <f>VLOOKUP(F1709,'Set up'!$A$2:$E$48,5,FALSE)</f>
        <v>Cash</v>
      </c>
      <c r="S1709" s="1" t="s">
        <v>1596</v>
      </c>
    </row>
    <row r="1710" spans="1:19" ht="15" hidden="1" customHeight="1" x14ac:dyDescent="0.3">
      <c r="A1710" s="4">
        <v>45071</v>
      </c>
      <c r="B1710" s="5">
        <f t="shared" si="587"/>
        <v>5</v>
      </c>
      <c r="C1710" s="5">
        <f t="shared" si="588"/>
        <v>2023</v>
      </c>
      <c r="D1710" s="5" t="s">
        <v>1558</v>
      </c>
      <c r="E1710" s="5" t="str">
        <f>VLOOKUP(F1710,'Set up'!$A$2:$C$48,2,FALSE)</f>
        <v>C00000014</v>
      </c>
      <c r="F1710" s="1" t="s">
        <v>263</v>
      </c>
      <c r="G1710" s="89" t="s">
        <v>989</v>
      </c>
      <c r="H1710" s="5">
        <v>4</v>
      </c>
      <c r="I1710" s="5" t="str">
        <f>VLOOKUP(F1710,'Set up'!$A$2:$C$48,3,FALSE)</f>
        <v>Cash</v>
      </c>
      <c r="J1710" s="5">
        <f>VLOOKUP(F1710,'Set up'!$A$2:$D$48,4,FALSE)</f>
        <v>0</v>
      </c>
      <c r="K1710" s="4">
        <f t="shared" si="579"/>
        <v>45071</v>
      </c>
      <c r="L1710" s="5">
        <f t="shared" si="589"/>
        <v>5</v>
      </c>
      <c r="M1710" s="5">
        <f t="shared" si="590"/>
        <v>2023</v>
      </c>
      <c r="N1710" s="6">
        <v>948</v>
      </c>
      <c r="O1710" s="6">
        <f t="shared" si="593"/>
        <v>-948</v>
      </c>
      <c r="P1710" s="6">
        <f t="shared" si="591"/>
        <v>0</v>
      </c>
      <c r="Q1710" s="7">
        <f t="shared" si="592"/>
        <v>3136659.7500000009</v>
      </c>
      <c r="R1710" s="44" t="str">
        <f>VLOOKUP(F1710,'Set up'!$A$2:$E$48,5,FALSE)</f>
        <v>Cash</v>
      </c>
      <c r="S1710" s="1" t="s">
        <v>1596</v>
      </c>
    </row>
    <row r="1711" spans="1:19" ht="15" hidden="1" customHeight="1" x14ac:dyDescent="0.3">
      <c r="A1711" s="4">
        <v>45071</v>
      </c>
      <c r="B1711" s="5">
        <f t="shared" si="587"/>
        <v>5</v>
      </c>
      <c r="C1711" s="5">
        <f t="shared" si="588"/>
        <v>2023</v>
      </c>
      <c r="D1711" s="5" t="s">
        <v>1558</v>
      </c>
      <c r="E1711" s="5" t="str">
        <f>VLOOKUP(F1711,'Set up'!$A$2:$C$48,2,FALSE)</f>
        <v>C00000014</v>
      </c>
      <c r="F1711" s="1" t="s">
        <v>263</v>
      </c>
      <c r="G1711" s="89" t="s">
        <v>866</v>
      </c>
      <c r="H1711" s="5">
        <v>2</v>
      </c>
      <c r="I1711" s="5" t="str">
        <f>VLOOKUP(F1711,'Set up'!$A$2:$C$48,3,FALSE)</f>
        <v>Cash</v>
      </c>
      <c r="J1711" s="5">
        <f>VLOOKUP(F1711,'Set up'!$A$2:$D$48,4,FALSE)</f>
        <v>0</v>
      </c>
      <c r="K1711" s="4">
        <f t="shared" si="579"/>
        <v>45071</v>
      </c>
      <c r="L1711" s="5">
        <f t="shared" si="589"/>
        <v>5</v>
      </c>
      <c r="M1711" s="5">
        <f t="shared" si="590"/>
        <v>2023</v>
      </c>
      <c r="N1711" s="6">
        <v>516</v>
      </c>
      <c r="O1711" s="6">
        <f t="shared" si="593"/>
        <v>-516</v>
      </c>
      <c r="P1711" s="6">
        <f t="shared" si="591"/>
        <v>0</v>
      </c>
      <c r="Q1711" s="7">
        <f t="shared" si="592"/>
        <v>3137175.7500000009</v>
      </c>
      <c r="R1711" s="44" t="str">
        <f>VLOOKUP(F1711,'Set up'!$A$2:$E$48,5,FALSE)</f>
        <v>Cash</v>
      </c>
      <c r="S1711" s="1" t="s">
        <v>1596</v>
      </c>
    </row>
    <row r="1712" spans="1:19" ht="15" hidden="1" customHeight="1" x14ac:dyDescent="0.3">
      <c r="A1712" s="4">
        <v>45071</v>
      </c>
      <c r="B1712" s="5">
        <f t="shared" si="587"/>
        <v>5</v>
      </c>
      <c r="C1712" s="5">
        <f t="shared" si="588"/>
        <v>2023</v>
      </c>
      <c r="D1712" s="5" t="s">
        <v>1558</v>
      </c>
      <c r="E1712" s="5" t="str">
        <f>VLOOKUP(F1712,'Set up'!$A$2:$C$48,2,FALSE)</f>
        <v>C00000014</v>
      </c>
      <c r="F1712" s="1" t="s">
        <v>263</v>
      </c>
      <c r="G1712" s="89" t="s">
        <v>895</v>
      </c>
      <c r="H1712" s="5">
        <v>2</v>
      </c>
      <c r="I1712" s="5" t="str">
        <f>VLOOKUP(F1712,'Set up'!$A$2:$C$48,3,FALSE)</f>
        <v>Cash</v>
      </c>
      <c r="J1712" s="5">
        <f>VLOOKUP(F1712,'Set up'!$A$2:$D$48,4,FALSE)</f>
        <v>0</v>
      </c>
      <c r="K1712" s="4">
        <f t="shared" si="579"/>
        <v>45071</v>
      </c>
      <c r="L1712" s="5">
        <f t="shared" si="589"/>
        <v>5</v>
      </c>
      <c r="M1712" s="5">
        <f t="shared" si="590"/>
        <v>2023</v>
      </c>
      <c r="N1712" s="6">
        <v>320</v>
      </c>
      <c r="O1712" s="6">
        <f>-N1712</f>
        <v>-320</v>
      </c>
      <c r="P1712" s="6">
        <f>SUM(N1712+O1712)</f>
        <v>0</v>
      </c>
      <c r="Q1712" s="7">
        <f t="shared" si="592"/>
        <v>3137495.7500000009</v>
      </c>
      <c r="R1712" s="44" t="str">
        <f>VLOOKUP(F1712,'Set up'!$A$2:$E$48,5,FALSE)</f>
        <v>Cash</v>
      </c>
      <c r="S1712" s="1" t="s">
        <v>1596</v>
      </c>
    </row>
    <row r="1713" spans="1:19" ht="15" hidden="1" customHeight="1" x14ac:dyDescent="0.3">
      <c r="A1713" s="4">
        <v>45071</v>
      </c>
      <c r="B1713" s="5">
        <f t="shared" si="587"/>
        <v>5</v>
      </c>
      <c r="C1713" s="5">
        <f t="shared" si="588"/>
        <v>2023</v>
      </c>
      <c r="D1713" s="5" t="s">
        <v>1559</v>
      </c>
      <c r="E1713" s="5" t="str">
        <f>VLOOKUP(F1713,'Set up'!$A$2:$C$48,2,FALSE)</f>
        <v>C00000038</v>
      </c>
      <c r="F1713" s="1" t="s">
        <v>1421</v>
      </c>
      <c r="G1713" s="103" t="s">
        <v>1609</v>
      </c>
      <c r="H1713" s="5">
        <v>1</v>
      </c>
      <c r="I1713" s="5" t="str">
        <f>VLOOKUP(F1713,'Set up'!$A$2:$C$48,3,FALSE)</f>
        <v>Cash</v>
      </c>
      <c r="J1713" s="5">
        <f>VLOOKUP(F1713,'Set up'!$A$2:$D$48,4,FALSE)</f>
        <v>0</v>
      </c>
      <c r="K1713" s="4">
        <f t="shared" si="579"/>
        <v>45071</v>
      </c>
      <c r="L1713" s="5">
        <f t="shared" si="589"/>
        <v>5</v>
      </c>
      <c r="M1713" s="5">
        <f t="shared" si="590"/>
        <v>2023</v>
      </c>
      <c r="N1713" s="6">
        <v>350</v>
      </c>
      <c r="O1713" s="6">
        <f t="shared" ref="O1713" si="594">-N1713</f>
        <v>-350</v>
      </c>
      <c r="P1713" s="6">
        <f t="shared" si="591"/>
        <v>0</v>
      </c>
      <c r="Q1713" s="7">
        <f t="shared" si="592"/>
        <v>3137845.7500000009</v>
      </c>
      <c r="R1713" s="44" t="str">
        <f>VLOOKUP(F1713,'Set up'!$A$2:$E$48,5,FALSE)</f>
        <v>Trsf</v>
      </c>
      <c r="S1713" s="1" t="s">
        <v>1593</v>
      </c>
    </row>
    <row r="1714" spans="1:19" ht="15" customHeight="1" x14ac:dyDescent="0.3">
      <c r="A1714" s="4">
        <v>45072</v>
      </c>
      <c r="B1714" s="5">
        <f t="shared" si="587"/>
        <v>5</v>
      </c>
      <c r="C1714" s="5">
        <f t="shared" si="588"/>
        <v>2023</v>
      </c>
      <c r="D1714" s="5" t="s">
        <v>1560</v>
      </c>
      <c r="E1714" s="5" t="str">
        <f>VLOOKUP(F1714,'Set up'!$A$2:$C$48,2,FALSE)</f>
        <v>C00000020</v>
      </c>
      <c r="F1714" s="1" t="s">
        <v>410</v>
      </c>
      <c r="G1714" s="89" t="s">
        <v>720</v>
      </c>
      <c r="H1714" s="5">
        <v>1</v>
      </c>
      <c r="I1714" s="5" t="str">
        <f>VLOOKUP(F1714,'Set up'!$A$2:$C$48,3,FALSE)</f>
        <v>Cash</v>
      </c>
      <c r="J1714" s="5">
        <f>VLOOKUP(F1714,'Set up'!$A$2:$D$48,4,FALSE)</f>
        <v>0</v>
      </c>
      <c r="K1714" s="4">
        <f t="shared" si="579"/>
        <v>45072</v>
      </c>
      <c r="L1714" s="5">
        <f t="shared" si="589"/>
        <v>5</v>
      </c>
      <c r="M1714" s="5">
        <f t="shared" si="590"/>
        <v>2023</v>
      </c>
      <c r="N1714" s="6">
        <v>1804</v>
      </c>
      <c r="O1714" s="6">
        <f>-N1714</f>
        <v>-1804</v>
      </c>
      <c r="P1714" s="6">
        <f t="shared" si="591"/>
        <v>0</v>
      </c>
      <c r="Q1714" s="7">
        <f t="shared" si="592"/>
        <v>3139649.7500000009</v>
      </c>
      <c r="R1714" s="44" t="str">
        <f>VLOOKUP(F1714,'Set up'!$A$2:$E$48,5,FALSE)</f>
        <v>Trsf</v>
      </c>
      <c r="S1714" s="1" t="s">
        <v>1573</v>
      </c>
    </row>
    <row r="1715" spans="1:19" ht="15" customHeight="1" x14ac:dyDescent="0.3">
      <c r="A1715" s="4">
        <v>45072</v>
      </c>
      <c r="B1715" s="5">
        <f t="shared" si="587"/>
        <v>5</v>
      </c>
      <c r="C1715" s="5">
        <f t="shared" si="588"/>
        <v>2023</v>
      </c>
      <c r="D1715" s="5" t="s">
        <v>1560</v>
      </c>
      <c r="E1715" s="5" t="str">
        <f>VLOOKUP(F1715,'Set up'!$A$2:$C$48,2,FALSE)</f>
        <v>C00000020</v>
      </c>
      <c r="F1715" s="1" t="s">
        <v>410</v>
      </c>
      <c r="G1715" s="89" t="s">
        <v>914</v>
      </c>
      <c r="H1715" s="5">
        <v>3</v>
      </c>
      <c r="I1715" s="5" t="str">
        <f>VLOOKUP(F1715,'Set up'!$A$2:$C$48,3,FALSE)</f>
        <v>Cash</v>
      </c>
      <c r="J1715" s="5">
        <f>VLOOKUP(F1715,'Set up'!$A$2:$D$48,4,FALSE)</f>
        <v>0</v>
      </c>
      <c r="K1715" s="4">
        <f t="shared" si="579"/>
        <v>45072</v>
      </c>
      <c r="L1715" s="5">
        <f t="shared" si="589"/>
        <v>5</v>
      </c>
      <c r="M1715" s="5">
        <f t="shared" si="590"/>
        <v>2023</v>
      </c>
      <c r="N1715" s="6">
        <v>684</v>
      </c>
      <c r="O1715" s="6">
        <f>-N1715</f>
        <v>-684</v>
      </c>
      <c r="P1715" s="6">
        <f t="shared" si="591"/>
        <v>0</v>
      </c>
      <c r="Q1715" s="7">
        <f t="shared" si="592"/>
        <v>3140333.7500000009</v>
      </c>
      <c r="R1715" s="44" t="str">
        <f>VLOOKUP(F1715,'Set up'!$A$2:$E$48,5,FALSE)</f>
        <v>Trsf</v>
      </c>
      <c r="S1715" s="1" t="s">
        <v>1573</v>
      </c>
    </row>
    <row r="1716" spans="1:19" ht="15" customHeight="1" x14ac:dyDescent="0.3">
      <c r="A1716" s="4">
        <v>45072</v>
      </c>
      <c r="B1716" s="5">
        <f t="shared" si="587"/>
        <v>5</v>
      </c>
      <c r="C1716" s="5">
        <f t="shared" si="588"/>
        <v>2023</v>
      </c>
      <c r="D1716" s="5" t="s">
        <v>1560</v>
      </c>
      <c r="E1716" s="5" t="str">
        <f>VLOOKUP(F1716,'Set up'!$A$2:$C$48,2,FALSE)</f>
        <v>C00000020</v>
      </c>
      <c r="F1716" s="1" t="s">
        <v>410</v>
      </c>
      <c r="G1716" s="89" t="s">
        <v>1169</v>
      </c>
      <c r="H1716" s="5">
        <v>1</v>
      </c>
      <c r="I1716" s="5" t="str">
        <f>VLOOKUP(F1716,'Set up'!$A$2:$C$48,3,FALSE)</f>
        <v>Cash</v>
      </c>
      <c r="J1716" s="5">
        <f>VLOOKUP(F1716,'Set up'!$A$2:$D$48,4,FALSE)</f>
        <v>0</v>
      </c>
      <c r="K1716" s="4">
        <f t="shared" si="579"/>
        <v>45072</v>
      </c>
      <c r="L1716" s="5">
        <f t="shared" si="589"/>
        <v>5</v>
      </c>
      <c r="M1716" s="5">
        <f t="shared" si="590"/>
        <v>2023</v>
      </c>
      <c r="N1716" s="6">
        <v>264.60000000000002</v>
      </c>
      <c r="O1716" s="6">
        <f>-N1716</f>
        <v>-264.60000000000002</v>
      </c>
      <c r="P1716" s="6">
        <f t="shared" si="591"/>
        <v>0</v>
      </c>
      <c r="Q1716" s="7">
        <f t="shared" si="592"/>
        <v>3140598.350000001</v>
      </c>
      <c r="R1716" s="44" t="str">
        <f>VLOOKUP(F1716,'Set up'!$A$2:$E$48,5,FALSE)</f>
        <v>Trsf</v>
      </c>
      <c r="S1716" s="1" t="s">
        <v>1573</v>
      </c>
    </row>
    <row r="1717" spans="1:19" ht="15" customHeight="1" x14ac:dyDescent="0.3">
      <c r="A1717" s="4">
        <v>45072</v>
      </c>
      <c r="B1717" s="5">
        <f t="shared" si="587"/>
        <v>5</v>
      </c>
      <c r="C1717" s="5">
        <f t="shared" si="588"/>
        <v>2023</v>
      </c>
      <c r="D1717" s="5" t="s">
        <v>1560</v>
      </c>
      <c r="E1717" s="5" t="str">
        <f>VLOOKUP(F1717,'Set up'!$A$2:$C$48,2,FALSE)</f>
        <v>C00000020</v>
      </c>
      <c r="F1717" s="1" t="s">
        <v>410</v>
      </c>
      <c r="G1717" s="89" t="s">
        <v>1111</v>
      </c>
      <c r="H1717" s="5">
        <v>1</v>
      </c>
      <c r="I1717" s="5" t="str">
        <f>VLOOKUP(F1717,'Set up'!$A$2:$C$48,3,FALSE)</f>
        <v>Cash</v>
      </c>
      <c r="J1717" s="5">
        <f>VLOOKUP(F1717,'Set up'!$A$2:$D$48,4,FALSE)</f>
        <v>0</v>
      </c>
      <c r="K1717" s="4">
        <f t="shared" si="579"/>
        <v>45072</v>
      </c>
      <c r="L1717" s="5">
        <f t="shared" si="589"/>
        <v>5</v>
      </c>
      <c r="M1717" s="5">
        <f t="shared" si="590"/>
        <v>2023</v>
      </c>
      <c r="N1717" s="6">
        <v>62.5</v>
      </c>
      <c r="O1717" s="6">
        <f>-N1717</f>
        <v>-62.5</v>
      </c>
      <c r="P1717" s="6">
        <f t="shared" si="591"/>
        <v>0</v>
      </c>
      <c r="Q1717" s="7">
        <f t="shared" si="592"/>
        <v>3140660.850000001</v>
      </c>
      <c r="R1717" s="44" t="str">
        <f>VLOOKUP(F1717,'Set up'!$A$2:$E$48,5,FALSE)</f>
        <v>Trsf</v>
      </c>
      <c r="S1717" s="1" t="s">
        <v>1573</v>
      </c>
    </row>
    <row r="1718" spans="1:19" ht="15" hidden="1" customHeight="1" x14ac:dyDescent="0.3">
      <c r="A1718" s="4">
        <v>45072</v>
      </c>
      <c r="B1718" s="5">
        <f t="shared" si="587"/>
        <v>5</v>
      </c>
      <c r="C1718" s="5">
        <f t="shared" si="588"/>
        <v>2023</v>
      </c>
      <c r="D1718" s="5" t="s">
        <v>1561</v>
      </c>
      <c r="E1718" s="5" t="str">
        <f>VLOOKUP(F1718,'Set up'!$A$2:$C$48,2,FALSE)</f>
        <v>C00000009</v>
      </c>
      <c r="F1718" s="1" t="s">
        <v>58</v>
      </c>
      <c r="G1718" s="89" t="s">
        <v>95</v>
      </c>
      <c r="H1718" s="5">
        <v>2</v>
      </c>
      <c r="I1718" s="5">
        <f>VLOOKUP(F1718,'Set up'!$A$2:$C$48,3,FALSE)</f>
        <v>60</v>
      </c>
      <c r="J1718" s="5">
        <f>VLOOKUP(F1718,'Set up'!$A$2:$D$48,4,FALSE)</f>
        <v>60</v>
      </c>
      <c r="K1718" s="4">
        <f t="shared" si="579"/>
        <v>45132</v>
      </c>
      <c r="L1718" s="5">
        <f t="shared" si="589"/>
        <v>7</v>
      </c>
      <c r="M1718" s="5">
        <f t="shared" si="590"/>
        <v>2023</v>
      </c>
      <c r="N1718" s="6">
        <v>3388</v>
      </c>
      <c r="O1718" s="6">
        <f t="shared" ref="O1718:O1720" si="595">-N1718</f>
        <v>-3388</v>
      </c>
      <c r="P1718" s="6">
        <f t="shared" si="591"/>
        <v>0</v>
      </c>
      <c r="Q1718" s="7">
        <f t="shared" si="592"/>
        <v>3144048.850000001</v>
      </c>
      <c r="R1718" s="44" t="str">
        <f>VLOOKUP(F1718,'Set up'!$A$2:$E$48,5,FALSE)</f>
        <v>Chq</v>
      </c>
      <c r="S1718" s="1" t="s">
        <v>2093</v>
      </c>
    </row>
    <row r="1719" spans="1:19" ht="15" hidden="1" customHeight="1" x14ac:dyDescent="0.3">
      <c r="A1719" s="4">
        <v>45072</v>
      </c>
      <c r="B1719" s="5">
        <f t="shared" si="587"/>
        <v>5</v>
      </c>
      <c r="C1719" s="5">
        <f t="shared" si="588"/>
        <v>2023</v>
      </c>
      <c r="D1719" s="5" t="s">
        <v>1561</v>
      </c>
      <c r="E1719" s="5" t="str">
        <f>VLOOKUP(F1719,'Set up'!$A$2:$C$48,2,FALSE)</f>
        <v>C00000009</v>
      </c>
      <c r="F1719" s="1" t="s">
        <v>58</v>
      </c>
      <c r="G1719" s="89" t="s">
        <v>708</v>
      </c>
      <c r="H1719" s="5">
        <v>2</v>
      </c>
      <c r="I1719" s="5">
        <f>VLOOKUP(F1719,'Set up'!$A$2:$C$48,3,FALSE)</f>
        <v>60</v>
      </c>
      <c r="J1719" s="5">
        <f>VLOOKUP(F1719,'Set up'!$A$2:$D$48,4,FALSE)</f>
        <v>60</v>
      </c>
      <c r="K1719" s="4">
        <f t="shared" si="579"/>
        <v>45132</v>
      </c>
      <c r="L1719" s="5">
        <f t="shared" si="589"/>
        <v>7</v>
      </c>
      <c r="M1719" s="5">
        <f t="shared" si="590"/>
        <v>2023</v>
      </c>
      <c r="N1719" s="6">
        <v>745.2</v>
      </c>
      <c r="O1719" s="6">
        <f t="shared" si="595"/>
        <v>-745.2</v>
      </c>
      <c r="P1719" s="6">
        <f t="shared" si="591"/>
        <v>0</v>
      </c>
      <c r="Q1719" s="7">
        <f t="shared" si="592"/>
        <v>3144794.0500000012</v>
      </c>
      <c r="R1719" s="44" t="str">
        <f>VLOOKUP(F1719,'Set up'!$A$2:$E$48,5,FALSE)</f>
        <v>Chq</v>
      </c>
      <c r="S1719" s="1" t="s">
        <v>2093</v>
      </c>
    </row>
    <row r="1720" spans="1:19" ht="15" hidden="1" customHeight="1" x14ac:dyDescent="0.3">
      <c r="A1720" s="4">
        <v>45072</v>
      </c>
      <c r="B1720" s="5">
        <f t="shared" si="587"/>
        <v>5</v>
      </c>
      <c r="C1720" s="5">
        <f t="shared" si="588"/>
        <v>2023</v>
      </c>
      <c r="D1720" s="5" t="s">
        <v>1561</v>
      </c>
      <c r="E1720" s="5" t="str">
        <f>VLOOKUP(F1720,'Set up'!$A$2:$C$48,2,FALSE)</f>
        <v>C00000009</v>
      </c>
      <c r="F1720" s="1" t="s">
        <v>58</v>
      </c>
      <c r="G1720" s="89" t="s">
        <v>866</v>
      </c>
      <c r="H1720" s="5">
        <v>2</v>
      </c>
      <c r="I1720" s="5">
        <f>VLOOKUP(F1720,'Set up'!$A$2:$C$48,3,FALSE)</f>
        <v>60</v>
      </c>
      <c r="J1720" s="5">
        <f>VLOOKUP(F1720,'Set up'!$A$2:$D$48,4,FALSE)</f>
        <v>60</v>
      </c>
      <c r="K1720" s="4">
        <f t="shared" si="579"/>
        <v>45132</v>
      </c>
      <c r="L1720" s="5">
        <f t="shared" si="589"/>
        <v>7</v>
      </c>
      <c r="M1720" s="5">
        <f t="shared" si="590"/>
        <v>2023</v>
      </c>
      <c r="N1720" s="6">
        <v>488</v>
      </c>
      <c r="O1720" s="6">
        <f t="shared" si="595"/>
        <v>-488</v>
      </c>
      <c r="P1720" s="6">
        <f t="shared" si="591"/>
        <v>0</v>
      </c>
      <c r="Q1720" s="7">
        <f t="shared" si="592"/>
        <v>3145282.0500000012</v>
      </c>
      <c r="R1720" s="44" t="str">
        <f>VLOOKUP(F1720,'Set up'!$A$2:$E$48,5,FALSE)</f>
        <v>Chq</v>
      </c>
      <c r="S1720" s="1" t="s">
        <v>2093</v>
      </c>
    </row>
    <row r="1721" spans="1:19" ht="15" hidden="1" customHeight="1" x14ac:dyDescent="0.3">
      <c r="A1721" s="4">
        <v>45072</v>
      </c>
      <c r="B1721" s="5">
        <f t="shared" si="587"/>
        <v>5</v>
      </c>
      <c r="C1721" s="5">
        <f t="shared" si="588"/>
        <v>2023</v>
      </c>
      <c r="D1721" s="5" t="s">
        <v>1562</v>
      </c>
      <c r="E1721" s="5" t="str">
        <f>VLOOKUP(F1721,'Set up'!$A$2:$C$48,2,FALSE)</f>
        <v>C00000014</v>
      </c>
      <c r="F1721" s="1" t="s">
        <v>263</v>
      </c>
      <c r="G1721" s="89" t="s">
        <v>304</v>
      </c>
      <c r="H1721" s="5">
        <v>1</v>
      </c>
      <c r="I1721" s="5" t="str">
        <f>VLOOKUP(F1721,'Set up'!$A$2:$C$48,3,FALSE)</f>
        <v>Cash</v>
      </c>
      <c r="J1721" s="5">
        <f>VLOOKUP(F1721,'Set up'!$A$2:$D$48,4,FALSE)</f>
        <v>0</v>
      </c>
      <c r="K1721" s="4">
        <f t="shared" si="579"/>
        <v>45072</v>
      </c>
      <c r="L1721" s="5">
        <f t="shared" si="589"/>
        <v>5</v>
      </c>
      <c r="M1721" s="5">
        <f t="shared" si="590"/>
        <v>2023</v>
      </c>
      <c r="N1721" s="6">
        <v>1804</v>
      </c>
      <c r="O1721" s="6">
        <f>-N1721</f>
        <v>-1804</v>
      </c>
      <c r="P1721" s="6">
        <f>SUM(N1721+O1721)</f>
        <v>0</v>
      </c>
      <c r="Q1721" s="7">
        <f t="shared" si="592"/>
        <v>3147086.0500000012</v>
      </c>
      <c r="R1721" s="44" t="str">
        <f>VLOOKUP(F1721,'Set up'!$A$2:$E$48,5,FALSE)</f>
        <v>Cash</v>
      </c>
      <c r="S1721" s="1" t="s">
        <v>1597</v>
      </c>
    </row>
    <row r="1722" spans="1:19" ht="15" hidden="1" customHeight="1" x14ac:dyDescent="0.3">
      <c r="A1722" s="4">
        <v>45076</v>
      </c>
      <c r="B1722" s="5">
        <f t="shared" si="587"/>
        <v>5</v>
      </c>
      <c r="C1722" s="5">
        <f t="shared" si="588"/>
        <v>2023</v>
      </c>
      <c r="D1722" s="5" t="s">
        <v>1562</v>
      </c>
      <c r="E1722" s="5" t="str">
        <f>VLOOKUP(F1722,'Set up'!$A$2:$C$48,2,FALSE)</f>
        <v>C00000014</v>
      </c>
      <c r="F1722" s="1" t="s">
        <v>263</v>
      </c>
      <c r="G1722" s="89" t="s">
        <v>989</v>
      </c>
      <c r="H1722" s="5">
        <v>4</v>
      </c>
      <c r="I1722" s="5" t="str">
        <f>VLOOKUP(F1722,'Set up'!$A$2:$C$48,3,FALSE)</f>
        <v>Cash</v>
      </c>
      <c r="J1722" s="5">
        <f>VLOOKUP(F1722,'Set up'!$A$2:$D$48,4,FALSE)</f>
        <v>0</v>
      </c>
      <c r="K1722" s="4">
        <f t="shared" si="579"/>
        <v>45076</v>
      </c>
      <c r="L1722" s="5">
        <f t="shared" si="589"/>
        <v>5</v>
      </c>
      <c r="M1722" s="5">
        <f t="shared" si="590"/>
        <v>2023</v>
      </c>
      <c r="N1722" s="6">
        <v>948</v>
      </c>
      <c r="O1722" s="6">
        <f>-N1722</f>
        <v>-948</v>
      </c>
      <c r="P1722" s="6">
        <f t="shared" si="591"/>
        <v>0</v>
      </c>
      <c r="Q1722" s="7">
        <f t="shared" si="592"/>
        <v>3148034.0500000012</v>
      </c>
      <c r="R1722" s="44" t="str">
        <f>VLOOKUP(F1722,'Set up'!$A$2:$E$48,5,FALSE)</f>
        <v>Cash</v>
      </c>
      <c r="S1722" s="1" t="s">
        <v>1597</v>
      </c>
    </row>
    <row r="1723" spans="1:19" ht="15" hidden="1" customHeight="1" x14ac:dyDescent="0.3">
      <c r="A1723" s="4">
        <v>45076</v>
      </c>
      <c r="B1723" s="5">
        <f t="shared" si="587"/>
        <v>5</v>
      </c>
      <c r="C1723" s="5">
        <f t="shared" si="588"/>
        <v>2023</v>
      </c>
      <c r="D1723" s="5" t="s">
        <v>1562</v>
      </c>
      <c r="E1723" s="5" t="str">
        <f>VLOOKUP(F1723,'Set up'!$A$2:$C$48,2,FALSE)</f>
        <v>C00000014</v>
      </c>
      <c r="F1723" s="1" t="s">
        <v>263</v>
      </c>
      <c r="G1723" s="89" t="s">
        <v>895</v>
      </c>
      <c r="H1723" s="5">
        <v>1</v>
      </c>
      <c r="I1723" s="5" t="str">
        <f>VLOOKUP(F1723,'Set up'!$A$2:$C$48,3,FALSE)</f>
        <v>Cash</v>
      </c>
      <c r="J1723" s="5">
        <f>VLOOKUP(F1723,'Set up'!$A$2:$D$48,4,FALSE)</f>
        <v>0</v>
      </c>
      <c r="K1723" s="4">
        <f t="shared" si="579"/>
        <v>45076</v>
      </c>
      <c r="L1723" s="5">
        <f t="shared" si="589"/>
        <v>5</v>
      </c>
      <c r="M1723" s="5">
        <f t="shared" si="590"/>
        <v>2023</v>
      </c>
      <c r="N1723" s="6">
        <v>160</v>
      </c>
      <c r="O1723" s="6">
        <f>-N1723</f>
        <v>-160</v>
      </c>
      <c r="P1723" s="6">
        <f t="shared" si="591"/>
        <v>0</v>
      </c>
      <c r="Q1723" s="7">
        <f t="shared" si="592"/>
        <v>3148194.0500000012</v>
      </c>
      <c r="R1723" s="44" t="str">
        <f>VLOOKUP(F1723,'Set up'!$A$2:$E$48,5,FALSE)</f>
        <v>Cash</v>
      </c>
      <c r="S1723" s="1" t="s">
        <v>1597</v>
      </c>
    </row>
    <row r="1724" spans="1:19" ht="15" hidden="1" customHeight="1" x14ac:dyDescent="0.3">
      <c r="A1724" s="4">
        <v>45076</v>
      </c>
      <c r="B1724" s="5">
        <f t="shared" si="587"/>
        <v>5</v>
      </c>
      <c r="C1724" s="5">
        <f t="shared" si="588"/>
        <v>2023</v>
      </c>
      <c r="D1724" s="5" t="s">
        <v>1563</v>
      </c>
      <c r="E1724" s="5" t="str">
        <f>VLOOKUP(F1724,'Set up'!$A$2:$C$48,2,FALSE)</f>
        <v>C00000034</v>
      </c>
      <c r="F1724" s="1" t="s">
        <v>1197</v>
      </c>
      <c r="G1724" s="89" t="s">
        <v>1564</v>
      </c>
      <c r="H1724" s="5">
        <v>1</v>
      </c>
      <c r="I1724" s="5" t="str">
        <f>VLOOKUP(F1724,'Set up'!$A$2:$C$48,3,FALSE)</f>
        <v>Cash</v>
      </c>
      <c r="J1724" s="5">
        <f>VLOOKUP(F1724,'Set up'!$A$2:$D$48,4,FALSE)</f>
        <v>0</v>
      </c>
      <c r="K1724" s="4">
        <f t="shared" si="579"/>
        <v>45076</v>
      </c>
      <c r="L1724" s="5">
        <f t="shared" si="589"/>
        <v>5</v>
      </c>
      <c r="M1724" s="5">
        <f t="shared" si="590"/>
        <v>2023</v>
      </c>
      <c r="N1724" s="6">
        <v>1870</v>
      </c>
      <c r="O1724" s="6">
        <f t="shared" ref="O1724:O1728" si="596">-N1724</f>
        <v>-1870</v>
      </c>
      <c r="P1724" s="6">
        <f t="shared" si="591"/>
        <v>0</v>
      </c>
      <c r="Q1724" s="7">
        <f t="shared" si="592"/>
        <v>3150064.0500000012</v>
      </c>
      <c r="R1724" s="44" t="str">
        <f>VLOOKUP(F1724,'Set up'!$A$2:$E$48,5,FALSE)</f>
        <v>Trsf</v>
      </c>
      <c r="S1724" s="1" t="s">
        <v>1586</v>
      </c>
    </row>
    <row r="1725" spans="1:19" ht="15" hidden="1" customHeight="1" x14ac:dyDescent="0.3">
      <c r="A1725" s="4">
        <v>45076</v>
      </c>
      <c r="B1725" s="5">
        <f t="shared" si="587"/>
        <v>5</v>
      </c>
      <c r="C1725" s="5">
        <f t="shared" si="588"/>
        <v>2023</v>
      </c>
      <c r="D1725" s="5" t="s">
        <v>1563</v>
      </c>
      <c r="E1725" s="5" t="str">
        <f>VLOOKUP(F1725,'Set up'!$A$2:$C$48,2,FALSE)</f>
        <v>C00000034</v>
      </c>
      <c r="F1725" s="1" t="s">
        <v>1197</v>
      </c>
      <c r="G1725" s="89" t="s">
        <v>1565</v>
      </c>
      <c r="H1725" s="5">
        <v>1</v>
      </c>
      <c r="I1725" s="5" t="str">
        <f>VLOOKUP(F1725,'Set up'!$A$2:$C$48,3,FALSE)</f>
        <v>Cash</v>
      </c>
      <c r="J1725" s="5">
        <f>VLOOKUP(F1725,'Set up'!$A$2:$D$48,4,FALSE)</f>
        <v>0</v>
      </c>
      <c r="K1725" s="4">
        <f t="shared" si="579"/>
        <v>45076</v>
      </c>
      <c r="L1725" s="5">
        <f t="shared" si="589"/>
        <v>5</v>
      </c>
      <c r="M1725" s="5">
        <f t="shared" si="590"/>
        <v>2023</v>
      </c>
      <c r="N1725" s="6">
        <v>325</v>
      </c>
      <c r="O1725" s="6">
        <f t="shared" si="596"/>
        <v>-325</v>
      </c>
      <c r="P1725" s="6">
        <f t="shared" si="591"/>
        <v>0</v>
      </c>
      <c r="Q1725" s="7">
        <f t="shared" si="592"/>
        <v>3150389.0500000012</v>
      </c>
      <c r="R1725" s="44" t="str">
        <f>VLOOKUP(F1725,'Set up'!$A$2:$E$48,5,FALSE)</f>
        <v>Trsf</v>
      </c>
      <c r="S1725" s="1" t="s">
        <v>1586</v>
      </c>
    </row>
    <row r="1726" spans="1:19" ht="15" hidden="1" customHeight="1" x14ac:dyDescent="0.3">
      <c r="A1726" s="4">
        <v>45077</v>
      </c>
      <c r="B1726" s="5">
        <f t="shared" si="587"/>
        <v>5</v>
      </c>
      <c r="C1726" s="5">
        <f t="shared" si="588"/>
        <v>2023</v>
      </c>
      <c r="D1726" s="5" t="s">
        <v>1566</v>
      </c>
      <c r="E1726" s="5" t="str">
        <f>VLOOKUP(F1726,'Set up'!$A$2:$C$48,2,FALSE)</f>
        <v>C00000001</v>
      </c>
      <c r="F1726" s="1" t="s">
        <v>7</v>
      </c>
      <c r="G1726" s="89" t="s">
        <v>717</v>
      </c>
      <c r="H1726" s="5">
        <v>2</v>
      </c>
      <c r="I1726" s="5" t="str">
        <f>VLOOKUP(F1726,'Set up'!$A$2:$C$48,3,FALSE)</f>
        <v>Cash</v>
      </c>
      <c r="J1726" s="5">
        <f>VLOOKUP(F1726,'Set up'!$A$2:$D$48,4,FALSE)</f>
        <v>0</v>
      </c>
      <c r="K1726" s="4">
        <f t="shared" si="579"/>
        <v>45077</v>
      </c>
      <c r="L1726" s="5">
        <f t="shared" si="589"/>
        <v>5</v>
      </c>
      <c r="M1726" s="5">
        <f t="shared" si="590"/>
        <v>2023</v>
      </c>
      <c r="N1726" s="6">
        <v>3608</v>
      </c>
      <c r="O1726" s="6">
        <f t="shared" si="596"/>
        <v>-3608</v>
      </c>
      <c r="P1726" s="6">
        <f t="shared" si="591"/>
        <v>0</v>
      </c>
      <c r="Q1726" s="7">
        <f t="shared" si="592"/>
        <v>3153997.0500000012</v>
      </c>
      <c r="R1726" s="44" t="str">
        <f>VLOOKUP(F1726,'Set up'!$A$2:$E$48,5,FALSE)</f>
        <v>Trsf</v>
      </c>
      <c r="S1726" s="1" t="s">
        <v>1682</v>
      </c>
    </row>
    <row r="1727" spans="1:19" ht="15" hidden="1" customHeight="1" x14ac:dyDescent="0.3">
      <c r="A1727" s="4">
        <v>45077</v>
      </c>
      <c r="B1727" s="5">
        <f t="shared" si="587"/>
        <v>5</v>
      </c>
      <c r="C1727" s="5">
        <f t="shared" si="588"/>
        <v>2023</v>
      </c>
      <c r="D1727" s="5" t="s">
        <v>1566</v>
      </c>
      <c r="E1727" s="5" t="str">
        <f>VLOOKUP(F1727,'Set up'!$A$2:$C$48,2,FALSE)</f>
        <v>C00000001</v>
      </c>
      <c r="F1727" s="1" t="s">
        <v>7</v>
      </c>
      <c r="G1727" s="89" t="s">
        <v>655</v>
      </c>
      <c r="H1727" s="5">
        <v>2</v>
      </c>
      <c r="I1727" s="5" t="str">
        <f>VLOOKUP(F1727,'Set up'!$A$2:$C$48,3,FALSE)</f>
        <v>Cash</v>
      </c>
      <c r="J1727" s="5">
        <f>VLOOKUP(F1727,'Set up'!$A$2:$D$48,4,FALSE)</f>
        <v>0</v>
      </c>
      <c r="K1727" s="4">
        <f t="shared" si="579"/>
        <v>45077</v>
      </c>
      <c r="L1727" s="5">
        <f t="shared" si="589"/>
        <v>5</v>
      </c>
      <c r="M1727" s="5">
        <f t="shared" si="590"/>
        <v>2023</v>
      </c>
      <c r="N1727" s="6">
        <v>456</v>
      </c>
      <c r="O1727" s="6">
        <f t="shared" si="596"/>
        <v>-456</v>
      </c>
      <c r="P1727" s="6">
        <f t="shared" si="591"/>
        <v>0</v>
      </c>
      <c r="Q1727" s="7">
        <f t="shared" si="592"/>
        <v>3154453.0500000012</v>
      </c>
      <c r="R1727" s="44" t="str">
        <f>VLOOKUP(F1727,'Set up'!$A$2:$E$48,5,FALSE)</f>
        <v>Trsf</v>
      </c>
      <c r="S1727" s="1" t="s">
        <v>1682</v>
      </c>
    </row>
    <row r="1728" spans="1:19" ht="15" hidden="1" customHeight="1" x14ac:dyDescent="0.3">
      <c r="A1728" s="4">
        <v>45077</v>
      </c>
      <c r="B1728" s="5">
        <f t="shared" si="587"/>
        <v>5</v>
      </c>
      <c r="C1728" s="5">
        <f t="shared" si="588"/>
        <v>2023</v>
      </c>
      <c r="D1728" s="5" t="s">
        <v>1566</v>
      </c>
      <c r="E1728" s="5" t="str">
        <f>VLOOKUP(F1728,'Set up'!$A$2:$C$48,2,FALSE)</f>
        <v>C00000001</v>
      </c>
      <c r="F1728" s="1" t="s">
        <v>7</v>
      </c>
      <c r="G1728" s="89" t="s">
        <v>831</v>
      </c>
      <c r="H1728" s="5">
        <v>2</v>
      </c>
      <c r="I1728" s="5" t="str">
        <f>VLOOKUP(F1728,'Set up'!$A$2:$C$48,3,FALSE)</f>
        <v>Cash</v>
      </c>
      <c r="J1728" s="5">
        <f>VLOOKUP(F1728,'Set up'!$A$2:$D$48,4,FALSE)</f>
        <v>0</v>
      </c>
      <c r="K1728" s="4">
        <f t="shared" si="579"/>
        <v>45077</v>
      </c>
      <c r="L1728" s="5">
        <f t="shared" si="589"/>
        <v>5</v>
      </c>
      <c r="M1728" s="5">
        <f t="shared" si="590"/>
        <v>2023</v>
      </c>
      <c r="N1728" s="6">
        <v>504</v>
      </c>
      <c r="O1728" s="6">
        <f t="shared" si="596"/>
        <v>-504</v>
      </c>
      <c r="P1728" s="6">
        <f t="shared" si="591"/>
        <v>0</v>
      </c>
      <c r="Q1728" s="7">
        <f t="shared" si="592"/>
        <v>3154957.0500000012</v>
      </c>
      <c r="R1728" s="44" t="str">
        <f>VLOOKUP(F1728,'Set up'!$A$2:$E$48,5,FALSE)</f>
        <v>Trsf</v>
      </c>
      <c r="S1728" s="1" t="s">
        <v>1682</v>
      </c>
    </row>
    <row r="1729" spans="1:19" ht="15" hidden="1" customHeight="1" x14ac:dyDescent="0.3">
      <c r="A1729" s="4" t="s">
        <v>1608</v>
      </c>
      <c r="B1729" s="5">
        <f t="shared" si="587"/>
        <v>6</v>
      </c>
      <c r="C1729" s="5">
        <f t="shared" si="588"/>
        <v>2023</v>
      </c>
      <c r="D1729" s="5" t="s">
        <v>1607</v>
      </c>
      <c r="E1729" s="5" t="str">
        <f>VLOOKUP(F1729,'Set up'!$A$2:$C$48,2,FALSE)</f>
        <v>C00000038</v>
      </c>
      <c r="F1729" s="1" t="s">
        <v>1421</v>
      </c>
      <c r="G1729" s="103" t="s">
        <v>1609</v>
      </c>
      <c r="H1729" s="5">
        <v>1</v>
      </c>
      <c r="I1729" s="5" t="str">
        <f>VLOOKUP(F1729,'Set up'!$A$2:$C$48,3,FALSE)</f>
        <v>Cash</v>
      </c>
      <c r="J1729" s="5">
        <f>VLOOKUP(F1729,'Set up'!$A$2:$D$48,4,FALSE)</f>
        <v>0</v>
      </c>
      <c r="K1729" s="4">
        <f t="shared" si="579"/>
        <v>45078</v>
      </c>
      <c r="L1729" s="5">
        <f t="shared" ref="L1729:L1751" si="597">MONTH(K1729)</f>
        <v>6</v>
      </c>
      <c r="M1729" s="5">
        <f t="shared" ref="M1729:M1739" si="598">YEAR(K1729)</f>
        <v>2023</v>
      </c>
      <c r="N1729" s="96">
        <v>350</v>
      </c>
      <c r="O1729" s="6">
        <f t="shared" ref="O1729" si="599">-N1729</f>
        <v>-350</v>
      </c>
      <c r="P1729" s="6">
        <f t="shared" si="591"/>
        <v>0</v>
      </c>
      <c r="Q1729" s="7">
        <f t="shared" ref="Q1729:Q1731" si="600">SUM(Q1728+N1729)</f>
        <v>3155307.0500000012</v>
      </c>
      <c r="R1729" s="44" t="str">
        <f>VLOOKUP(F1729,'Set up'!$A$2:$E$48,5,FALSE)</f>
        <v>Trsf</v>
      </c>
      <c r="S1729" s="1" t="s">
        <v>1677</v>
      </c>
    </row>
    <row r="1730" spans="1:19" ht="15" hidden="1" customHeight="1" x14ac:dyDescent="0.3">
      <c r="A1730" s="4" t="s">
        <v>1612</v>
      </c>
      <c r="B1730" s="5">
        <f t="shared" si="587"/>
        <v>6</v>
      </c>
      <c r="C1730" s="5">
        <f t="shared" si="588"/>
        <v>2023</v>
      </c>
      <c r="D1730" s="5" t="s">
        <v>1610</v>
      </c>
      <c r="E1730" s="5" t="str">
        <f>VLOOKUP(F1730,'Set up'!$A$2:$C$48,2,FALSE)</f>
        <v>C00000034</v>
      </c>
      <c r="F1730" s="1" t="s">
        <v>1197</v>
      </c>
      <c r="G1730" s="89" t="s">
        <v>1564</v>
      </c>
      <c r="H1730" s="5">
        <v>2</v>
      </c>
      <c r="I1730" s="5" t="str">
        <f>VLOOKUP(F1730,'Set up'!$A$2:$C$48,3,FALSE)</f>
        <v>Cash</v>
      </c>
      <c r="J1730" s="5">
        <f>VLOOKUP(F1730,'Set up'!$A$2:$D$48,4,FALSE)</f>
        <v>0</v>
      </c>
      <c r="K1730" s="4">
        <f t="shared" si="579"/>
        <v>45080</v>
      </c>
      <c r="L1730" s="5">
        <f t="shared" si="597"/>
        <v>6</v>
      </c>
      <c r="M1730" s="5">
        <f t="shared" si="598"/>
        <v>2023</v>
      </c>
      <c r="N1730" s="6">
        <v>3740</v>
      </c>
      <c r="O1730" s="6">
        <f t="shared" ref="O1730:O1731" si="601">-N1730</f>
        <v>-3740</v>
      </c>
      <c r="P1730" s="6">
        <f t="shared" si="591"/>
        <v>0</v>
      </c>
      <c r="Q1730" s="7">
        <f t="shared" si="600"/>
        <v>3159047.0500000012</v>
      </c>
      <c r="R1730" s="44" t="str">
        <f>VLOOKUP(F1730,'Set up'!$A$2:$E$48,5,FALSE)</f>
        <v>Trsf</v>
      </c>
      <c r="S1730" s="1" t="s">
        <v>1671</v>
      </c>
    </row>
    <row r="1731" spans="1:19" ht="15" hidden="1" customHeight="1" x14ac:dyDescent="0.3">
      <c r="A1731" s="4" t="s">
        <v>1612</v>
      </c>
      <c r="B1731" s="5">
        <f t="shared" si="587"/>
        <v>6</v>
      </c>
      <c r="C1731" s="5">
        <f t="shared" si="588"/>
        <v>2023</v>
      </c>
      <c r="D1731" s="5" t="s">
        <v>1610</v>
      </c>
      <c r="E1731" s="5" t="str">
        <f>VLOOKUP(F1731,'Set up'!$A$2:$C$48,2,FALSE)</f>
        <v>C00000034</v>
      </c>
      <c r="F1731" s="1" t="s">
        <v>1197</v>
      </c>
      <c r="G1731" s="89" t="s">
        <v>1546</v>
      </c>
      <c r="H1731" s="5">
        <v>2</v>
      </c>
      <c r="I1731" s="5" t="str">
        <f>VLOOKUP(F1731,'Set up'!$A$2:$C$48,3,FALSE)</f>
        <v>Cash</v>
      </c>
      <c r="J1731" s="5">
        <f>VLOOKUP(F1731,'Set up'!$A$2:$D$48,4,FALSE)</f>
        <v>0</v>
      </c>
      <c r="K1731" s="4">
        <f t="shared" si="579"/>
        <v>45080</v>
      </c>
      <c r="L1731" s="5">
        <f t="shared" si="597"/>
        <v>6</v>
      </c>
      <c r="M1731" s="5">
        <f t="shared" si="598"/>
        <v>2023</v>
      </c>
      <c r="N1731" s="6">
        <v>1005</v>
      </c>
      <c r="O1731" s="6">
        <f t="shared" si="601"/>
        <v>-1005</v>
      </c>
      <c r="P1731" s="6">
        <f t="shared" si="591"/>
        <v>0</v>
      </c>
      <c r="Q1731" s="7">
        <f t="shared" si="600"/>
        <v>3160052.0500000012</v>
      </c>
      <c r="R1731" s="44" t="str">
        <f>VLOOKUP(F1731,'Set up'!$A$2:$E$48,5,FALSE)</f>
        <v>Trsf</v>
      </c>
      <c r="S1731" s="1" t="s">
        <v>1671</v>
      </c>
    </row>
    <row r="1732" spans="1:19" ht="15" hidden="1" customHeight="1" x14ac:dyDescent="0.3">
      <c r="A1732" s="4" t="s">
        <v>1612</v>
      </c>
      <c r="B1732" s="5">
        <f t="shared" si="587"/>
        <v>6</v>
      </c>
      <c r="C1732" s="5">
        <f t="shared" si="588"/>
        <v>2023</v>
      </c>
      <c r="D1732" s="5" t="s">
        <v>1611</v>
      </c>
      <c r="E1732" s="5" t="str">
        <f>VLOOKUP(F1732,'Set up'!$A$2:$C$48,2,FALSE)</f>
        <v>C00000019</v>
      </c>
      <c r="F1732" s="1" t="s">
        <v>401</v>
      </c>
      <c r="G1732" s="90" t="s">
        <v>720</v>
      </c>
      <c r="H1732" s="5">
        <v>2</v>
      </c>
      <c r="I1732" s="5" t="str">
        <f>VLOOKUP(F1732,'Set up'!$A$2:$C$48,3,FALSE)</f>
        <v>Cash</v>
      </c>
      <c r="J1732" s="5">
        <f>VLOOKUP(F1732,'Set up'!$A$2:$D$48,4,FALSE)</f>
        <v>0</v>
      </c>
      <c r="K1732" s="4">
        <f t="shared" si="579"/>
        <v>45080</v>
      </c>
      <c r="L1732" s="5">
        <f t="shared" si="597"/>
        <v>6</v>
      </c>
      <c r="M1732" s="5">
        <f t="shared" si="598"/>
        <v>2023</v>
      </c>
      <c r="N1732" s="6">
        <v>3652</v>
      </c>
      <c r="O1732" s="6">
        <f>-922.8-500-1350-879.2</f>
        <v>-3652</v>
      </c>
      <c r="P1732" s="6">
        <f t="shared" ref="P1732:P1751" si="602">SUM(N1732+O1732)</f>
        <v>0</v>
      </c>
      <c r="Q1732" s="7">
        <f t="shared" ref="Q1732:Q1751" si="603">SUM(Q1731+N1732)</f>
        <v>3163704.0500000012</v>
      </c>
      <c r="R1732" s="44" t="str">
        <f>VLOOKUP(F1732,'Set up'!$A$2:$E$48,5,FALSE)</f>
        <v>Trsf</v>
      </c>
      <c r="S1732" s="1" t="s">
        <v>2293</v>
      </c>
    </row>
    <row r="1733" spans="1:19" ht="15" hidden="1" customHeight="1" x14ac:dyDescent="0.3">
      <c r="A1733" s="4" t="s">
        <v>1612</v>
      </c>
      <c r="B1733" s="5">
        <f t="shared" si="587"/>
        <v>6</v>
      </c>
      <c r="C1733" s="5">
        <f t="shared" si="588"/>
        <v>2023</v>
      </c>
      <c r="D1733" s="5" t="s">
        <v>1611</v>
      </c>
      <c r="E1733" s="5" t="str">
        <f>VLOOKUP(F1733,'Set up'!$A$2:$C$48,2,FALSE)</f>
        <v>C00000019</v>
      </c>
      <c r="F1733" s="1" t="s">
        <v>401</v>
      </c>
      <c r="G1733" s="90" t="s">
        <v>1613</v>
      </c>
      <c r="H1733" s="5">
        <v>2</v>
      </c>
      <c r="I1733" s="5" t="str">
        <f>VLOOKUP(F1733,'Set up'!$A$2:$C$48,3,FALSE)</f>
        <v>Cash</v>
      </c>
      <c r="J1733" s="5">
        <f>VLOOKUP(F1733,'Set up'!$A$2:$D$48,4,FALSE)</f>
        <v>0</v>
      </c>
      <c r="K1733" s="4">
        <f t="shared" si="579"/>
        <v>45080</v>
      </c>
      <c r="L1733" s="5">
        <f t="shared" si="597"/>
        <v>6</v>
      </c>
      <c r="M1733" s="5">
        <f t="shared" si="598"/>
        <v>2023</v>
      </c>
      <c r="N1733" s="6">
        <v>1045.2</v>
      </c>
      <c r="O1733" s="6">
        <f t="shared" ref="O1733" si="604">-N1733</f>
        <v>-1045.2</v>
      </c>
      <c r="P1733" s="6">
        <f t="shared" si="602"/>
        <v>0</v>
      </c>
      <c r="Q1733" s="7">
        <f t="shared" si="603"/>
        <v>3164749.2500000014</v>
      </c>
      <c r="R1733" s="44" t="str">
        <f>VLOOKUP(F1733,'Set up'!$A$2:$E$48,5,FALSE)</f>
        <v>Trsf</v>
      </c>
      <c r="S1733" s="1" t="s">
        <v>2294</v>
      </c>
    </row>
    <row r="1734" spans="1:19" ht="15" hidden="1" customHeight="1" x14ac:dyDescent="0.3">
      <c r="A1734" s="4" t="s">
        <v>1612</v>
      </c>
      <c r="B1734" s="5">
        <f t="shared" si="587"/>
        <v>6</v>
      </c>
      <c r="C1734" s="5">
        <f t="shared" si="588"/>
        <v>2023</v>
      </c>
      <c r="D1734" s="5" t="s">
        <v>1611</v>
      </c>
      <c r="E1734" s="5" t="str">
        <f>VLOOKUP(F1734,'Set up'!$A$2:$C$48,2,FALSE)</f>
        <v>C00000019</v>
      </c>
      <c r="F1734" s="1" t="s">
        <v>401</v>
      </c>
      <c r="G1734" s="90" t="s">
        <v>792</v>
      </c>
      <c r="H1734" s="5">
        <v>3</v>
      </c>
      <c r="I1734" s="5" t="str">
        <f>VLOOKUP(F1734,'Set up'!$A$2:$C$48,3,FALSE)</f>
        <v>Cash</v>
      </c>
      <c r="J1734" s="5">
        <f>VLOOKUP(F1734,'Set up'!$A$2:$D$48,4,FALSE)</f>
        <v>0</v>
      </c>
      <c r="K1734" s="4">
        <f t="shared" si="579"/>
        <v>45080</v>
      </c>
      <c r="L1734" s="5">
        <f t="shared" si="597"/>
        <v>6</v>
      </c>
      <c r="M1734" s="5">
        <f t="shared" si="598"/>
        <v>2023</v>
      </c>
      <c r="N1734" s="6">
        <v>187.5</v>
      </c>
      <c r="O1734" s="6">
        <f>-75.6-111.9</f>
        <v>-187.5</v>
      </c>
      <c r="P1734" s="6">
        <f t="shared" si="602"/>
        <v>0</v>
      </c>
      <c r="Q1734" s="7">
        <f t="shared" si="603"/>
        <v>3164936.7500000014</v>
      </c>
      <c r="R1734" s="44" t="str">
        <f>VLOOKUP(F1734,'Set up'!$A$2:$E$48,5,FALSE)</f>
        <v>Trsf</v>
      </c>
      <c r="S1734" s="1" t="s">
        <v>2295</v>
      </c>
    </row>
    <row r="1735" spans="1:19" ht="15" hidden="1" customHeight="1" x14ac:dyDescent="0.3">
      <c r="A1735" s="4" t="s">
        <v>1612</v>
      </c>
      <c r="B1735" s="5">
        <f t="shared" si="587"/>
        <v>6</v>
      </c>
      <c r="C1735" s="5">
        <f t="shared" si="588"/>
        <v>2023</v>
      </c>
      <c r="D1735" s="5" t="s">
        <v>1611</v>
      </c>
      <c r="E1735" s="5" t="str">
        <f>VLOOKUP(F1735,'Set up'!$A$2:$C$48,2,FALSE)</f>
        <v>C00000019</v>
      </c>
      <c r="F1735" s="1" t="s">
        <v>401</v>
      </c>
      <c r="G1735" s="90" t="s">
        <v>1470</v>
      </c>
      <c r="H1735" s="5">
        <v>2</v>
      </c>
      <c r="I1735" s="5" t="str">
        <f>VLOOKUP(F1735,'Set up'!$A$2:$C$48,3,FALSE)</f>
        <v>Cash</v>
      </c>
      <c r="J1735" s="5">
        <f>VLOOKUP(F1735,'Set up'!$A$2:$D$48,4,FALSE)</f>
        <v>0</v>
      </c>
      <c r="K1735" s="4">
        <f t="shared" si="579"/>
        <v>45080</v>
      </c>
      <c r="L1735" s="5">
        <f t="shared" si="597"/>
        <v>6</v>
      </c>
      <c r="M1735" s="5">
        <f t="shared" si="598"/>
        <v>2023</v>
      </c>
      <c r="N1735" s="6">
        <v>780</v>
      </c>
      <c r="O1735" s="6">
        <f t="shared" ref="O1735:O1736" si="605">-N1735</f>
        <v>-780</v>
      </c>
      <c r="P1735" s="6">
        <f t="shared" si="602"/>
        <v>0</v>
      </c>
      <c r="Q1735" s="7">
        <f t="shared" si="603"/>
        <v>3165716.7500000014</v>
      </c>
      <c r="R1735" s="44" t="str">
        <f>VLOOKUP(F1735,'Set up'!$A$2:$E$48,5,FALSE)</f>
        <v>Trsf</v>
      </c>
      <c r="S1735" s="1" t="s">
        <v>2296</v>
      </c>
    </row>
    <row r="1736" spans="1:19" ht="15" hidden="1" customHeight="1" x14ac:dyDescent="0.3">
      <c r="A1736" s="4" t="s">
        <v>1612</v>
      </c>
      <c r="B1736" s="5">
        <f t="shared" si="587"/>
        <v>6</v>
      </c>
      <c r="C1736" s="5">
        <f t="shared" si="588"/>
        <v>2023</v>
      </c>
      <c r="D1736" s="5" t="s">
        <v>1611</v>
      </c>
      <c r="E1736" s="5" t="str">
        <f>VLOOKUP(F1736,'Set up'!$A$2:$C$48,2,FALSE)</f>
        <v>C00000019</v>
      </c>
      <c r="F1736" s="1" t="s">
        <v>401</v>
      </c>
      <c r="G1736" s="90" t="s">
        <v>46</v>
      </c>
      <c r="H1736" s="5">
        <v>2</v>
      </c>
      <c r="I1736" s="5" t="str">
        <f>VLOOKUP(F1736,'Set up'!$A$2:$C$48,3,FALSE)</f>
        <v>Cash</v>
      </c>
      <c r="J1736" s="5">
        <f>VLOOKUP(F1736,'Set up'!$A$2:$D$48,4,FALSE)</f>
        <v>0</v>
      </c>
      <c r="K1736" s="4">
        <f t="shared" si="579"/>
        <v>45080</v>
      </c>
      <c r="L1736" s="5">
        <f t="shared" si="597"/>
        <v>6</v>
      </c>
      <c r="M1736" s="5">
        <f t="shared" si="598"/>
        <v>2023</v>
      </c>
      <c r="N1736" s="6">
        <v>210</v>
      </c>
      <c r="O1736" s="6">
        <f t="shared" si="605"/>
        <v>-210</v>
      </c>
      <c r="P1736" s="6">
        <f t="shared" si="602"/>
        <v>0</v>
      </c>
      <c r="Q1736" s="7">
        <f t="shared" si="603"/>
        <v>3165926.7500000014</v>
      </c>
      <c r="R1736" s="44" t="str">
        <f>VLOOKUP(F1736,'Set up'!$A$2:$E$48,5,FALSE)</f>
        <v>Trsf</v>
      </c>
      <c r="S1736" s="1" t="s">
        <v>2297</v>
      </c>
    </row>
    <row r="1737" spans="1:19" ht="15" hidden="1" customHeight="1" x14ac:dyDescent="0.3">
      <c r="A1737" s="4">
        <v>45084</v>
      </c>
      <c r="B1737" s="5">
        <f t="shared" si="587"/>
        <v>6</v>
      </c>
      <c r="C1737" s="5">
        <f t="shared" si="588"/>
        <v>2023</v>
      </c>
      <c r="D1737" s="5" t="s">
        <v>1614</v>
      </c>
      <c r="E1737" s="5" t="str">
        <f>VLOOKUP(F1737,'Set up'!$A$2:$C$48,2,FALSE)</f>
        <v>C00000023</v>
      </c>
      <c r="F1737" s="1" t="s">
        <v>666</v>
      </c>
      <c r="G1737" s="89" t="s">
        <v>720</v>
      </c>
      <c r="H1737" s="88">
        <v>1</v>
      </c>
      <c r="I1737" s="5" t="str">
        <f>VLOOKUP(F1737,'Set up'!$A$2:$C$48,3,FALSE)</f>
        <v>Cash</v>
      </c>
      <c r="J1737" s="5">
        <f>VLOOKUP(F1737,'Set up'!$A$2:$D$48,4,FALSE)</f>
        <v>0</v>
      </c>
      <c r="K1737" s="4">
        <f t="shared" si="579"/>
        <v>45084</v>
      </c>
      <c r="L1737" s="5">
        <f t="shared" si="597"/>
        <v>6</v>
      </c>
      <c r="M1737" s="5">
        <f t="shared" si="598"/>
        <v>2023</v>
      </c>
      <c r="N1737" s="6">
        <v>1804</v>
      </c>
      <c r="O1737" s="6">
        <f t="shared" ref="O1737:O1742" si="606">-N1737</f>
        <v>-1804</v>
      </c>
      <c r="P1737" s="6">
        <f t="shared" si="602"/>
        <v>0</v>
      </c>
      <c r="Q1737" s="7">
        <f t="shared" si="603"/>
        <v>3167730.7500000014</v>
      </c>
      <c r="R1737" s="44" t="str">
        <f>VLOOKUP(F1737,'Set up'!$A$2:$E$48,5,FALSE)</f>
        <v>Trsf</v>
      </c>
      <c r="S1737" s="1" t="s">
        <v>1666</v>
      </c>
    </row>
    <row r="1738" spans="1:19" ht="15" hidden="1" customHeight="1" x14ac:dyDescent="0.3">
      <c r="A1738" s="4">
        <v>45084</v>
      </c>
      <c r="B1738" s="5">
        <f t="shared" si="587"/>
        <v>6</v>
      </c>
      <c r="C1738" s="5">
        <f t="shared" si="588"/>
        <v>2023</v>
      </c>
      <c r="D1738" s="5" t="s">
        <v>1614</v>
      </c>
      <c r="E1738" s="5" t="str">
        <f>VLOOKUP(F1738,'Set up'!$A$2:$C$48,2,FALSE)</f>
        <v>C00000023</v>
      </c>
      <c r="F1738" s="1" t="s">
        <v>666</v>
      </c>
      <c r="G1738" s="89" t="s">
        <v>1615</v>
      </c>
      <c r="H1738" s="88">
        <v>1</v>
      </c>
      <c r="I1738" s="5" t="str">
        <f>VLOOKUP(F1738,'Set up'!$A$2:$C$48,3,FALSE)</f>
        <v>Cash</v>
      </c>
      <c r="J1738" s="5">
        <f>VLOOKUP(F1738,'Set up'!$A$2:$D$48,4,FALSE)</f>
        <v>0</v>
      </c>
      <c r="K1738" s="4">
        <f t="shared" si="579"/>
        <v>45084</v>
      </c>
      <c r="L1738" s="5">
        <f t="shared" si="597"/>
        <v>6</v>
      </c>
      <c r="M1738" s="5">
        <f t="shared" si="598"/>
        <v>2023</v>
      </c>
      <c r="N1738" s="6">
        <v>360</v>
      </c>
      <c r="O1738" s="6">
        <f t="shared" si="606"/>
        <v>-360</v>
      </c>
      <c r="P1738" s="6">
        <f t="shared" si="602"/>
        <v>0</v>
      </c>
      <c r="Q1738" s="7">
        <f t="shared" si="603"/>
        <v>3168090.7500000014</v>
      </c>
      <c r="R1738" s="44" t="str">
        <f>VLOOKUP(F1738,'Set up'!$A$2:$E$48,5,FALSE)</f>
        <v>Trsf</v>
      </c>
      <c r="S1738" s="1" t="s">
        <v>1666</v>
      </c>
    </row>
    <row r="1739" spans="1:19" ht="15" hidden="1" customHeight="1" x14ac:dyDescent="0.3">
      <c r="A1739" s="4">
        <v>45084</v>
      </c>
      <c r="B1739" s="5">
        <f t="shared" si="587"/>
        <v>6</v>
      </c>
      <c r="C1739" s="5">
        <f t="shared" si="588"/>
        <v>2023</v>
      </c>
      <c r="D1739" s="5" t="s">
        <v>1614</v>
      </c>
      <c r="E1739" s="5" t="str">
        <f>VLOOKUP(F1739,'Set up'!$A$2:$C$48,2,FALSE)</f>
        <v>C00000023</v>
      </c>
      <c r="F1739" s="1" t="s">
        <v>666</v>
      </c>
      <c r="G1739" s="90" t="s">
        <v>914</v>
      </c>
      <c r="H1739" s="88">
        <v>5</v>
      </c>
      <c r="I1739" s="5" t="str">
        <f>VLOOKUP(F1739,'Set up'!$A$2:$C$48,3,FALSE)</f>
        <v>Cash</v>
      </c>
      <c r="J1739" s="5">
        <f>VLOOKUP(F1739,'Set up'!$A$2:$D$48,4,FALSE)</f>
        <v>0</v>
      </c>
      <c r="K1739" s="4">
        <f t="shared" si="579"/>
        <v>45084</v>
      </c>
      <c r="L1739" s="5">
        <f t="shared" si="597"/>
        <v>6</v>
      </c>
      <c r="M1739" s="5">
        <f t="shared" si="598"/>
        <v>2023</v>
      </c>
      <c r="N1739" s="6">
        <v>1140</v>
      </c>
      <c r="O1739" s="6">
        <f t="shared" si="606"/>
        <v>-1140</v>
      </c>
      <c r="P1739" s="6">
        <f t="shared" si="602"/>
        <v>0</v>
      </c>
      <c r="Q1739" s="7">
        <f t="shared" si="603"/>
        <v>3169230.7500000014</v>
      </c>
      <c r="R1739" s="44" t="str">
        <f>VLOOKUP(F1739,'Set up'!$A$2:$E$48,5,FALSE)</f>
        <v>Trsf</v>
      </c>
      <c r="S1739" s="1" t="s">
        <v>1666</v>
      </c>
    </row>
    <row r="1740" spans="1:19" ht="15" hidden="1" customHeight="1" x14ac:dyDescent="0.3">
      <c r="A1740" s="4">
        <v>45084</v>
      </c>
      <c r="B1740" s="5">
        <f t="shared" si="587"/>
        <v>6</v>
      </c>
      <c r="C1740" s="5">
        <f t="shared" si="588"/>
        <v>2023</v>
      </c>
      <c r="D1740" s="5" t="s">
        <v>1614</v>
      </c>
      <c r="E1740" s="5" t="str">
        <f>VLOOKUP(F1740,'Set up'!$A$2:$C$48,2,FALSE)</f>
        <v>C00000023</v>
      </c>
      <c r="F1740" s="1" t="s">
        <v>666</v>
      </c>
      <c r="G1740" s="90" t="s">
        <v>1111</v>
      </c>
      <c r="H1740" s="88">
        <v>1</v>
      </c>
      <c r="I1740" s="5" t="str">
        <f>VLOOKUP(F1740,'Set up'!$A$2:$C$48,3,FALSE)</f>
        <v>Cash</v>
      </c>
      <c r="J1740" s="5">
        <f>VLOOKUP(F1740,'Set up'!$A$2:$D$48,4,FALSE)</f>
        <v>0</v>
      </c>
      <c r="K1740" s="4">
        <f t="shared" si="579"/>
        <v>45084</v>
      </c>
      <c r="L1740" s="5">
        <f t="shared" si="597"/>
        <v>6</v>
      </c>
      <c r="M1740" s="5">
        <f t="shared" ref="M1740:M1751" si="607">YEAR(K1740)</f>
        <v>2023</v>
      </c>
      <c r="N1740" s="6">
        <v>62.5</v>
      </c>
      <c r="O1740" s="6">
        <f t="shared" si="606"/>
        <v>-62.5</v>
      </c>
      <c r="P1740" s="6">
        <f t="shared" si="602"/>
        <v>0</v>
      </c>
      <c r="Q1740" s="7">
        <f t="shared" si="603"/>
        <v>3169293.2500000014</v>
      </c>
      <c r="R1740" s="44" t="str">
        <f>VLOOKUP(F1740,'Set up'!$A$2:$E$48,5,FALSE)</f>
        <v>Trsf</v>
      </c>
      <c r="S1740" s="1" t="s">
        <v>1666</v>
      </c>
    </row>
    <row r="1741" spans="1:19" ht="15" hidden="1" customHeight="1" x14ac:dyDescent="0.3">
      <c r="A1741" s="4">
        <v>45084</v>
      </c>
      <c r="B1741" s="5">
        <f t="shared" si="587"/>
        <v>6</v>
      </c>
      <c r="C1741" s="5">
        <f t="shared" si="588"/>
        <v>2023</v>
      </c>
      <c r="D1741" s="5" t="s">
        <v>1614</v>
      </c>
      <c r="E1741" s="5" t="str">
        <f>VLOOKUP(F1741,'Set up'!$A$2:$C$48,2,FALSE)</f>
        <v>C00000023</v>
      </c>
      <c r="F1741" s="1" t="s">
        <v>666</v>
      </c>
      <c r="G1741" s="90" t="s">
        <v>1616</v>
      </c>
      <c r="H1741" s="88">
        <v>1</v>
      </c>
      <c r="I1741" s="5" t="str">
        <f>VLOOKUP(F1741,'Set up'!$A$2:$C$48,3,FALSE)</f>
        <v>Cash</v>
      </c>
      <c r="J1741" s="5">
        <f>VLOOKUP(F1741,'Set up'!$A$2:$D$48,4,FALSE)</f>
        <v>0</v>
      </c>
      <c r="K1741" s="4">
        <f t="shared" si="579"/>
        <v>45084</v>
      </c>
      <c r="L1741" s="5">
        <f t="shared" si="597"/>
        <v>6</v>
      </c>
      <c r="M1741" s="5">
        <f t="shared" si="607"/>
        <v>2023</v>
      </c>
      <c r="N1741" s="6">
        <v>80</v>
      </c>
      <c r="O1741" s="6">
        <f t="shared" si="606"/>
        <v>-80</v>
      </c>
      <c r="P1741" s="6">
        <f t="shared" si="602"/>
        <v>0</v>
      </c>
      <c r="Q1741" s="7">
        <f t="shared" si="603"/>
        <v>3169373.2500000014</v>
      </c>
      <c r="R1741" s="44" t="str">
        <f>VLOOKUP(F1741,'Set up'!$A$2:$E$48,5,FALSE)</f>
        <v>Trsf</v>
      </c>
      <c r="S1741" s="1" t="s">
        <v>1666</v>
      </c>
    </row>
    <row r="1742" spans="1:19" ht="15" hidden="1" customHeight="1" x14ac:dyDescent="0.3">
      <c r="A1742" s="4">
        <v>45084</v>
      </c>
      <c r="B1742" s="5">
        <f t="shared" si="587"/>
        <v>6</v>
      </c>
      <c r="C1742" s="5">
        <f t="shared" si="588"/>
        <v>2023</v>
      </c>
      <c r="D1742" s="5" t="s">
        <v>1614</v>
      </c>
      <c r="E1742" s="5" t="str">
        <f>VLOOKUP(F1742,'Set up'!$A$2:$C$48,2,FALSE)</f>
        <v>C00000023</v>
      </c>
      <c r="F1742" s="1" t="s">
        <v>666</v>
      </c>
      <c r="G1742" s="99" t="s">
        <v>1062</v>
      </c>
      <c r="H1742" s="105">
        <v>4</v>
      </c>
      <c r="I1742" s="5" t="str">
        <f>VLOOKUP(F1742,'Set up'!$A$2:$C$48,3,FALSE)</f>
        <v>Cash</v>
      </c>
      <c r="J1742" s="5">
        <f>VLOOKUP(F1742,'Set up'!$A$2:$D$48,4,FALSE)</f>
        <v>0</v>
      </c>
      <c r="K1742" s="4">
        <f t="shared" si="579"/>
        <v>45084</v>
      </c>
      <c r="L1742" s="5">
        <f t="shared" si="597"/>
        <v>6</v>
      </c>
      <c r="M1742" s="5">
        <f t="shared" si="607"/>
        <v>2023</v>
      </c>
      <c r="N1742" s="6">
        <v>380</v>
      </c>
      <c r="O1742" s="6">
        <f t="shared" si="606"/>
        <v>-380</v>
      </c>
      <c r="P1742" s="6">
        <f t="shared" si="602"/>
        <v>0</v>
      </c>
      <c r="Q1742" s="7">
        <f t="shared" si="603"/>
        <v>3169753.2500000014</v>
      </c>
      <c r="R1742" s="44" t="str">
        <f>VLOOKUP(F1742,'Set up'!$A$2:$E$48,5,FALSE)</f>
        <v>Trsf</v>
      </c>
      <c r="S1742" s="1" t="s">
        <v>1666</v>
      </c>
    </row>
    <row r="1743" spans="1:19" ht="15" hidden="1" customHeight="1" x14ac:dyDescent="0.3">
      <c r="A1743" s="4">
        <v>45083</v>
      </c>
      <c r="B1743" s="5">
        <f t="shared" si="587"/>
        <v>6</v>
      </c>
      <c r="C1743" s="5">
        <f t="shared" si="588"/>
        <v>2023</v>
      </c>
      <c r="D1743" s="88" t="s">
        <v>1617</v>
      </c>
      <c r="E1743" s="5" t="str">
        <f>VLOOKUP(F1743,'Set up'!$A$2:$C$48,2,FALSE)</f>
        <v>C00000010</v>
      </c>
      <c r="F1743" s="1" t="s">
        <v>62</v>
      </c>
      <c r="G1743" s="89" t="s">
        <v>1403</v>
      </c>
      <c r="H1743" s="106">
        <v>6</v>
      </c>
      <c r="I1743" s="5">
        <f>VLOOKUP(F1743,'Set up'!$A$2:$C$48,3,FALSE)</f>
        <v>120</v>
      </c>
      <c r="J1743" s="5">
        <f>VLOOKUP(F1743,'Set up'!$A$2:$D$48,4,FALSE)</f>
        <v>120</v>
      </c>
      <c r="K1743" s="4">
        <f t="shared" si="579"/>
        <v>45203</v>
      </c>
      <c r="L1743" s="5">
        <f t="shared" si="597"/>
        <v>10</v>
      </c>
      <c r="M1743" s="5">
        <f t="shared" si="607"/>
        <v>2023</v>
      </c>
      <c r="N1743" s="6">
        <v>10032</v>
      </c>
      <c r="O1743" s="6">
        <f>-N1743</f>
        <v>-10032</v>
      </c>
      <c r="P1743" s="6">
        <f t="shared" si="602"/>
        <v>0</v>
      </c>
      <c r="Q1743" s="7">
        <f t="shared" si="603"/>
        <v>3179785.2500000014</v>
      </c>
      <c r="R1743" s="44" t="str">
        <f>VLOOKUP(F1743,'Set up'!$A$2:$E$48,5,FALSE)</f>
        <v>Trsf</v>
      </c>
      <c r="S1743" s="1" t="s">
        <v>1976</v>
      </c>
    </row>
    <row r="1744" spans="1:19" ht="15" hidden="1" customHeight="1" x14ac:dyDescent="0.3">
      <c r="A1744" s="4">
        <v>45083</v>
      </c>
      <c r="B1744" s="5">
        <f t="shared" si="587"/>
        <v>6</v>
      </c>
      <c r="C1744" s="5">
        <f t="shared" si="588"/>
        <v>2023</v>
      </c>
      <c r="D1744" s="88" t="s">
        <v>1617</v>
      </c>
      <c r="E1744" s="5" t="str">
        <f>VLOOKUP(F1744,'Set up'!$A$2:$C$48,2,FALSE)</f>
        <v>C00000010</v>
      </c>
      <c r="F1744" s="1" t="s">
        <v>62</v>
      </c>
      <c r="G1744" s="90" t="s">
        <v>1393</v>
      </c>
      <c r="H1744" s="88">
        <v>10</v>
      </c>
      <c r="I1744" s="5">
        <f>VLOOKUP(F1744,'Set up'!$A$2:$C$48,3,FALSE)</f>
        <v>120</v>
      </c>
      <c r="J1744" s="5">
        <f>VLOOKUP(F1744,'Set up'!$A$2:$D$48,4,FALSE)</f>
        <v>120</v>
      </c>
      <c r="K1744" s="4">
        <f t="shared" si="579"/>
        <v>45203</v>
      </c>
      <c r="L1744" s="5">
        <f t="shared" si="597"/>
        <v>10</v>
      </c>
      <c r="M1744" s="5">
        <f t="shared" si="607"/>
        <v>2023</v>
      </c>
      <c r="N1744" s="6">
        <v>2010</v>
      </c>
      <c r="O1744" s="6">
        <f>-N1744</f>
        <v>-2010</v>
      </c>
      <c r="P1744" s="6">
        <f t="shared" si="602"/>
        <v>0</v>
      </c>
      <c r="Q1744" s="7">
        <f t="shared" si="603"/>
        <v>3181795.2500000014</v>
      </c>
      <c r="R1744" s="44" t="str">
        <f>VLOOKUP(F1744,'Set up'!$A$2:$E$48,5,FALSE)</f>
        <v>Trsf</v>
      </c>
      <c r="S1744" s="1" t="s">
        <v>1976</v>
      </c>
    </row>
    <row r="1745" spans="1:19" ht="15" hidden="1" customHeight="1" x14ac:dyDescent="0.3">
      <c r="A1745" s="4">
        <v>45083</v>
      </c>
      <c r="B1745" s="5">
        <f t="shared" si="587"/>
        <v>6</v>
      </c>
      <c r="C1745" s="5">
        <f t="shared" si="588"/>
        <v>2023</v>
      </c>
      <c r="D1745" s="88" t="s">
        <v>1617</v>
      </c>
      <c r="E1745" s="5" t="str">
        <f>VLOOKUP(F1745,'Set up'!$A$2:$C$48,2,FALSE)</f>
        <v>C00000010</v>
      </c>
      <c r="F1745" s="1" t="s">
        <v>62</v>
      </c>
      <c r="G1745" s="90" t="s">
        <v>792</v>
      </c>
      <c r="H1745" s="88">
        <v>10</v>
      </c>
      <c r="I1745" s="5">
        <f>VLOOKUP(F1745,'Set up'!$A$2:$C$48,3,FALSE)</f>
        <v>120</v>
      </c>
      <c r="J1745" s="5">
        <f>VLOOKUP(F1745,'Set up'!$A$2:$D$48,4,FALSE)</f>
        <v>120</v>
      </c>
      <c r="K1745" s="4">
        <f t="shared" si="579"/>
        <v>45203</v>
      </c>
      <c r="L1745" s="5">
        <f t="shared" si="597"/>
        <v>10</v>
      </c>
      <c r="M1745" s="5">
        <f t="shared" si="607"/>
        <v>2023</v>
      </c>
      <c r="N1745" s="6">
        <v>575</v>
      </c>
      <c r="O1745" s="6">
        <f>-N1745</f>
        <v>-575</v>
      </c>
      <c r="P1745" s="6">
        <f t="shared" si="602"/>
        <v>0</v>
      </c>
      <c r="Q1745" s="7">
        <f t="shared" si="603"/>
        <v>3182370.2500000014</v>
      </c>
      <c r="R1745" s="44" t="str">
        <f>VLOOKUP(F1745,'Set up'!$A$2:$E$48,5,FALSE)</f>
        <v>Trsf</v>
      </c>
      <c r="S1745" s="1" t="s">
        <v>1976</v>
      </c>
    </row>
    <row r="1746" spans="1:19" ht="15" hidden="1" customHeight="1" x14ac:dyDescent="0.3">
      <c r="A1746" s="4">
        <v>45083</v>
      </c>
      <c r="B1746" s="5">
        <f t="shared" si="587"/>
        <v>6</v>
      </c>
      <c r="C1746" s="5">
        <f t="shared" si="588"/>
        <v>2023</v>
      </c>
      <c r="D1746" s="88" t="s">
        <v>1617</v>
      </c>
      <c r="E1746" s="5" t="str">
        <f>VLOOKUP(F1746,'Set up'!$A$2:$C$48,2,FALSE)</f>
        <v>C00000010</v>
      </c>
      <c r="F1746" s="1" t="s">
        <v>62</v>
      </c>
      <c r="G1746" s="11" t="s">
        <v>46</v>
      </c>
      <c r="H1746" s="88">
        <v>4</v>
      </c>
      <c r="I1746" s="5">
        <f>VLOOKUP(F1746,'Set up'!$A$2:$C$48,3,FALSE)</f>
        <v>120</v>
      </c>
      <c r="J1746" s="5">
        <f>VLOOKUP(F1746,'Set up'!$A$2:$D$48,4,FALSE)</f>
        <v>120</v>
      </c>
      <c r="K1746" s="4">
        <f t="shared" si="579"/>
        <v>45203</v>
      </c>
      <c r="L1746" s="5">
        <f t="shared" si="597"/>
        <v>10</v>
      </c>
      <c r="M1746" s="5">
        <f t="shared" si="607"/>
        <v>2023</v>
      </c>
      <c r="N1746" s="6">
        <v>420</v>
      </c>
      <c r="O1746" s="6">
        <f>-N1746</f>
        <v>-420</v>
      </c>
      <c r="P1746" s="6">
        <f t="shared" si="602"/>
        <v>0</v>
      </c>
      <c r="Q1746" s="7">
        <f t="shared" si="603"/>
        <v>3182790.2500000014</v>
      </c>
      <c r="R1746" s="44" t="str">
        <f>VLOOKUP(F1746,'Set up'!$A$2:$E$48,5,FALSE)</f>
        <v>Trsf</v>
      </c>
      <c r="S1746" s="1" t="s">
        <v>1976</v>
      </c>
    </row>
    <row r="1747" spans="1:19" ht="15" hidden="1" customHeight="1" x14ac:dyDescent="0.3">
      <c r="A1747" s="4">
        <v>45083</v>
      </c>
      <c r="B1747" s="5">
        <f t="shared" si="587"/>
        <v>6</v>
      </c>
      <c r="C1747" s="5">
        <f t="shared" si="588"/>
        <v>2023</v>
      </c>
      <c r="D1747" s="88" t="s">
        <v>1617</v>
      </c>
      <c r="E1747" s="5" t="str">
        <f>VLOOKUP(F1747,'Set up'!$A$2:$C$48,2,FALSE)</f>
        <v>C00000010</v>
      </c>
      <c r="F1747" s="1" t="s">
        <v>62</v>
      </c>
      <c r="G1747" s="90" t="s">
        <v>945</v>
      </c>
      <c r="H1747" s="88">
        <v>1</v>
      </c>
      <c r="I1747" s="5">
        <f>VLOOKUP(F1747,'Set up'!$A$2:$C$48,3,FALSE)</f>
        <v>120</v>
      </c>
      <c r="J1747" s="5">
        <f>VLOOKUP(F1747,'Set up'!$A$2:$D$48,4,FALSE)</f>
        <v>120</v>
      </c>
      <c r="K1747" s="4">
        <f t="shared" si="579"/>
        <v>45203</v>
      </c>
      <c r="L1747" s="5">
        <f t="shared" si="597"/>
        <v>10</v>
      </c>
      <c r="M1747" s="5">
        <f t="shared" si="607"/>
        <v>2023</v>
      </c>
      <c r="N1747" s="6">
        <v>420</v>
      </c>
      <c r="O1747" s="6">
        <f>-N1747</f>
        <v>-420</v>
      </c>
      <c r="P1747" s="6">
        <f t="shared" si="602"/>
        <v>0</v>
      </c>
      <c r="Q1747" s="7">
        <f t="shared" si="603"/>
        <v>3183210.2500000014</v>
      </c>
      <c r="R1747" s="44" t="str">
        <f>VLOOKUP(F1747,'Set up'!$A$2:$E$48,5,FALSE)</f>
        <v>Trsf</v>
      </c>
      <c r="S1747" s="1" t="s">
        <v>1976</v>
      </c>
    </row>
    <row r="1748" spans="1:19" ht="15" hidden="1" customHeight="1" x14ac:dyDescent="0.3">
      <c r="A1748" s="4">
        <v>45084</v>
      </c>
      <c r="B1748" s="5">
        <f t="shared" si="587"/>
        <v>6</v>
      </c>
      <c r="C1748" s="5">
        <f t="shared" si="588"/>
        <v>2023</v>
      </c>
      <c r="D1748" s="105" t="s">
        <v>1618</v>
      </c>
      <c r="E1748" s="5" t="str">
        <f>VLOOKUP(F1748,'Set up'!$A$2:$C$48,2,FALSE)</f>
        <v>C00000014</v>
      </c>
      <c r="F1748" s="1" t="s">
        <v>263</v>
      </c>
      <c r="G1748" s="89" t="s">
        <v>723</v>
      </c>
      <c r="H1748" s="5">
        <v>2</v>
      </c>
      <c r="I1748" s="5" t="str">
        <f>VLOOKUP(F1748,'Set up'!$A$2:$C$48,3,FALSE)</f>
        <v>Cash</v>
      </c>
      <c r="J1748" s="5">
        <f>VLOOKUP(F1748,'Set up'!$A$2:$D$48,4,FALSE)</f>
        <v>0</v>
      </c>
      <c r="K1748" s="4">
        <f t="shared" si="579"/>
        <v>45084</v>
      </c>
      <c r="L1748" s="5">
        <f t="shared" si="597"/>
        <v>6</v>
      </c>
      <c r="M1748" s="5">
        <f t="shared" si="607"/>
        <v>2023</v>
      </c>
      <c r="N1748" s="6">
        <v>3608</v>
      </c>
      <c r="O1748" s="6">
        <f t="shared" ref="O1748:O1755" si="608">-N1748</f>
        <v>-3608</v>
      </c>
      <c r="P1748" s="6">
        <f t="shared" si="602"/>
        <v>0</v>
      </c>
      <c r="Q1748" s="7">
        <f t="shared" si="603"/>
        <v>3186818.2500000014</v>
      </c>
      <c r="R1748" s="44" t="str">
        <f>VLOOKUP(F1748,'Set up'!$A$2:$E$48,5,FALSE)</f>
        <v>Cash</v>
      </c>
      <c r="S1748" s="1" t="s">
        <v>1679</v>
      </c>
    </row>
    <row r="1749" spans="1:19" ht="15" hidden="1" customHeight="1" x14ac:dyDescent="0.3">
      <c r="A1749" s="4">
        <v>45084</v>
      </c>
      <c r="B1749" s="5">
        <f t="shared" si="587"/>
        <v>6</v>
      </c>
      <c r="C1749" s="5">
        <f t="shared" si="588"/>
        <v>2023</v>
      </c>
      <c r="D1749" s="105" t="s">
        <v>1618</v>
      </c>
      <c r="E1749" s="5" t="str">
        <f>VLOOKUP(F1749,'Set up'!$A$2:$C$48,2,FALSE)</f>
        <v>C00000014</v>
      </c>
      <c r="F1749" s="1" t="s">
        <v>263</v>
      </c>
      <c r="G1749" s="90" t="s">
        <v>989</v>
      </c>
      <c r="H1749" s="5">
        <v>4</v>
      </c>
      <c r="I1749" s="5" t="str">
        <f>VLOOKUP(F1749,'Set up'!$A$2:$C$48,3,FALSE)</f>
        <v>Cash</v>
      </c>
      <c r="J1749" s="5">
        <f>VLOOKUP(F1749,'Set up'!$A$2:$D$48,4,FALSE)</f>
        <v>0</v>
      </c>
      <c r="K1749" s="4">
        <f t="shared" si="579"/>
        <v>45084</v>
      </c>
      <c r="L1749" s="5">
        <f t="shared" si="597"/>
        <v>6</v>
      </c>
      <c r="M1749" s="5">
        <f t="shared" si="607"/>
        <v>2023</v>
      </c>
      <c r="N1749" s="6">
        <v>948</v>
      </c>
      <c r="O1749" s="6">
        <f t="shared" si="608"/>
        <v>-948</v>
      </c>
      <c r="P1749" s="6">
        <f t="shared" si="602"/>
        <v>0</v>
      </c>
      <c r="Q1749" s="7">
        <f t="shared" si="603"/>
        <v>3187766.2500000014</v>
      </c>
      <c r="R1749" s="44" t="str">
        <f>VLOOKUP(F1749,'Set up'!$A$2:$E$48,5,FALSE)</f>
        <v>Cash</v>
      </c>
      <c r="S1749" s="1" t="s">
        <v>1679</v>
      </c>
    </row>
    <row r="1750" spans="1:19" ht="15" hidden="1" customHeight="1" x14ac:dyDescent="0.3">
      <c r="A1750" s="4">
        <v>45084</v>
      </c>
      <c r="B1750" s="5">
        <f t="shared" si="587"/>
        <v>6</v>
      </c>
      <c r="C1750" s="5">
        <f t="shared" si="588"/>
        <v>2023</v>
      </c>
      <c r="D1750" s="105" t="s">
        <v>1618</v>
      </c>
      <c r="E1750" s="5" t="str">
        <f>VLOOKUP(F1750,'Set up'!$A$2:$C$48,2,FALSE)</f>
        <v>C00000014</v>
      </c>
      <c r="F1750" s="1" t="s">
        <v>263</v>
      </c>
      <c r="G1750" s="99" t="s">
        <v>866</v>
      </c>
      <c r="H1750" s="5">
        <v>2</v>
      </c>
      <c r="I1750" s="5" t="str">
        <f>VLOOKUP(F1750,'Set up'!$A$2:$C$48,3,FALSE)</f>
        <v>Cash</v>
      </c>
      <c r="J1750" s="5">
        <f>VLOOKUP(F1750,'Set up'!$A$2:$D$48,4,FALSE)</f>
        <v>0</v>
      </c>
      <c r="K1750" s="4">
        <f t="shared" si="579"/>
        <v>45084</v>
      </c>
      <c r="L1750" s="5">
        <f t="shared" si="597"/>
        <v>6</v>
      </c>
      <c r="M1750" s="5">
        <f t="shared" si="607"/>
        <v>2023</v>
      </c>
      <c r="N1750" s="6">
        <v>516</v>
      </c>
      <c r="O1750" s="6">
        <f t="shared" si="608"/>
        <v>-516</v>
      </c>
      <c r="P1750" s="6">
        <f t="shared" si="602"/>
        <v>0</v>
      </c>
      <c r="Q1750" s="7">
        <f t="shared" si="603"/>
        <v>3188282.2500000014</v>
      </c>
      <c r="R1750" s="44" t="str">
        <f>VLOOKUP(F1750,'Set up'!$A$2:$E$48,5,FALSE)</f>
        <v>Cash</v>
      </c>
      <c r="S1750" s="1" t="s">
        <v>1679</v>
      </c>
    </row>
    <row r="1751" spans="1:19" ht="15" hidden="1" customHeight="1" x14ac:dyDescent="0.3">
      <c r="A1751" s="4">
        <v>45084</v>
      </c>
      <c r="B1751" s="5">
        <f t="shared" ref="B1751" si="609">MONTH(A1751)</f>
        <v>6</v>
      </c>
      <c r="C1751" s="5">
        <f t="shared" ref="C1751" si="610">YEAR(A1751)</f>
        <v>2023</v>
      </c>
      <c r="D1751" s="105" t="s">
        <v>1618</v>
      </c>
      <c r="E1751" s="5" t="str">
        <f>VLOOKUP(F1751,'Set up'!$A$2:$C$48,2,FALSE)</f>
        <v>C00000014</v>
      </c>
      <c r="F1751" s="1" t="s">
        <v>263</v>
      </c>
      <c r="G1751" s="99" t="s">
        <v>895</v>
      </c>
      <c r="H1751" s="5">
        <v>2</v>
      </c>
      <c r="I1751" s="5" t="str">
        <f>VLOOKUP(F1751,'Set up'!$A$2:$C$48,3,FALSE)</f>
        <v>Cash</v>
      </c>
      <c r="J1751" s="5">
        <f>VLOOKUP(F1751,'Set up'!$A$2:$D$48,4,FALSE)</f>
        <v>0</v>
      </c>
      <c r="K1751" s="4">
        <f t="shared" si="579"/>
        <v>45084</v>
      </c>
      <c r="L1751" s="5">
        <f t="shared" si="597"/>
        <v>6</v>
      </c>
      <c r="M1751" s="5">
        <f t="shared" si="607"/>
        <v>2023</v>
      </c>
      <c r="N1751" s="6">
        <v>320</v>
      </c>
      <c r="O1751" s="6">
        <f t="shared" si="608"/>
        <v>-320</v>
      </c>
      <c r="P1751" s="6">
        <f t="shared" si="602"/>
        <v>0</v>
      </c>
      <c r="Q1751" s="7">
        <f t="shared" si="603"/>
        <v>3188602.2500000014</v>
      </c>
      <c r="R1751" s="44" t="str">
        <f>VLOOKUP(F1751,'Set up'!$A$2:$E$48,5,FALSE)</f>
        <v>Cash</v>
      </c>
      <c r="S1751" s="1" t="s">
        <v>1679</v>
      </c>
    </row>
    <row r="1752" spans="1:19" ht="15" hidden="1" customHeight="1" x14ac:dyDescent="0.3">
      <c r="A1752" s="4">
        <v>45085</v>
      </c>
      <c r="B1752" s="5">
        <f t="shared" ref="B1752:B1782" si="611">MONTH(A1752)</f>
        <v>6</v>
      </c>
      <c r="C1752" s="5">
        <f t="shared" ref="C1752:C1782" si="612">YEAR(A1752)</f>
        <v>2023</v>
      </c>
      <c r="D1752" s="105" t="s">
        <v>1619</v>
      </c>
      <c r="E1752" s="5" t="str">
        <f>VLOOKUP(F1752,'Set up'!$A$2:$C$48,2,FALSE)</f>
        <v>C00000039</v>
      </c>
      <c r="F1752" s="1" t="s">
        <v>1621</v>
      </c>
      <c r="G1752" s="89" t="s">
        <v>720</v>
      </c>
      <c r="H1752" s="88">
        <v>1</v>
      </c>
      <c r="I1752" s="5" t="str">
        <f>VLOOKUP(F1752,'Set up'!$A$2:$C$48,3,FALSE)</f>
        <v>Cash</v>
      </c>
      <c r="J1752" s="5">
        <f>VLOOKUP(F1752,'Set up'!$A$2:$D$48,4,FALSE)</f>
        <v>0</v>
      </c>
      <c r="K1752" s="4">
        <f t="shared" ref="K1752:K1815" si="613">A1752+J1752</f>
        <v>45085</v>
      </c>
      <c r="L1752" s="5">
        <f t="shared" ref="L1752:L1803" si="614">MONTH(K1752)</f>
        <v>6</v>
      </c>
      <c r="M1752" s="5">
        <f t="shared" ref="M1752:M1803" si="615">YEAR(K1752)</f>
        <v>2023</v>
      </c>
      <c r="N1752" s="6">
        <v>1804</v>
      </c>
      <c r="O1752" s="6">
        <f t="shared" si="608"/>
        <v>-1804</v>
      </c>
      <c r="P1752" s="6">
        <f t="shared" ref="P1752:P1782" si="616">SUM(N1752+O1752)</f>
        <v>0</v>
      </c>
      <c r="Q1752" s="7">
        <f t="shared" ref="Q1752:Q1782" si="617">SUM(Q1751+N1752)</f>
        <v>3190406.2500000014</v>
      </c>
      <c r="R1752" s="44" t="str">
        <f>VLOOKUP(F1752,'Set up'!$A$2:$E$48,5,FALSE)</f>
        <v>Trsf</v>
      </c>
      <c r="S1752" s="1" t="s">
        <v>1667</v>
      </c>
    </row>
    <row r="1753" spans="1:19" ht="15" hidden="1" customHeight="1" x14ac:dyDescent="0.3">
      <c r="A1753" s="4">
        <v>45085</v>
      </c>
      <c r="B1753" s="5">
        <f t="shared" si="611"/>
        <v>6</v>
      </c>
      <c r="C1753" s="5">
        <f t="shared" si="612"/>
        <v>2023</v>
      </c>
      <c r="D1753" s="105" t="s">
        <v>1619</v>
      </c>
      <c r="E1753" s="5" t="str">
        <f>VLOOKUP(F1753,'Set up'!$A$2:$C$48,2,FALSE)</f>
        <v>C00000039</v>
      </c>
      <c r="F1753" s="1" t="s">
        <v>1621</v>
      </c>
      <c r="G1753" s="89" t="s">
        <v>914</v>
      </c>
      <c r="H1753" s="88">
        <v>4</v>
      </c>
      <c r="I1753" s="5" t="str">
        <f>VLOOKUP(F1753,'Set up'!$A$2:$C$48,3,FALSE)</f>
        <v>Cash</v>
      </c>
      <c r="J1753" s="5">
        <f>VLOOKUP(F1753,'Set up'!$A$2:$D$48,4,FALSE)</f>
        <v>0</v>
      </c>
      <c r="K1753" s="4">
        <f t="shared" si="613"/>
        <v>45085</v>
      </c>
      <c r="L1753" s="5">
        <f t="shared" si="614"/>
        <v>6</v>
      </c>
      <c r="M1753" s="5">
        <f t="shared" si="615"/>
        <v>2023</v>
      </c>
      <c r="N1753" s="6">
        <v>912</v>
      </c>
      <c r="O1753" s="6">
        <f t="shared" si="608"/>
        <v>-912</v>
      </c>
      <c r="P1753" s="6">
        <f t="shared" si="616"/>
        <v>0</v>
      </c>
      <c r="Q1753" s="7">
        <f t="shared" si="617"/>
        <v>3191318.2500000014</v>
      </c>
      <c r="R1753" s="44" t="str">
        <f>VLOOKUP(F1753,'Set up'!$A$2:$E$48,5,FALSE)</f>
        <v>Trsf</v>
      </c>
      <c r="S1753" s="1" t="s">
        <v>1667</v>
      </c>
    </row>
    <row r="1754" spans="1:19" ht="15" hidden="1" customHeight="1" x14ac:dyDescent="0.3">
      <c r="A1754" s="4">
        <v>45085</v>
      </c>
      <c r="B1754" s="5">
        <f t="shared" si="611"/>
        <v>6</v>
      </c>
      <c r="C1754" s="5">
        <f t="shared" si="612"/>
        <v>2023</v>
      </c>
      <c r="D1754" s="105" t="s">
        <v>1619</v>
      </c>
      <c r="E1754" s="5" t="str">
        <f>VLOOKUP(F1754,'Set up'!$A$2:$C$48,2,FALSE)</f>
        <v>C00000039</v>
      </c>
      <c r="F1754" s="1" t="s">
        <v>1621</v>
      </c>
      <c r="G1754" s="90" t="s">
        <v>1111</v>
      </c>
      <c r="H1754" s="88">
        <v>1</v>
      </c>
      <c r="I1754" s="5" t="str">
        <f>VLOOKUP(F1754,'Set up'!$A$2:$C$48,3,FALSE)</f>
        <v>Cash</v>
      </c>
      <c r="J1754" s="5">
        <f>VLOOKUP(F1754,'Set up'!$A$2:$D$48,4,FALSE)</f>
        <v>0</v>
      </c>
      <c r="K1754" s="4">
        <f t="shared" si="613"/>
        <v>45085</v>
      </c>
      <c r="L1754" s="5">
        <f t="shared" si="614"/>
        <v>6</v>
      </c>
      <c r="M1754" s="5">
        <f t="shared" si="615"/>
        <v>2023</v>
      </c>
      <c r="N1754" s="6">
        <v>62.5</v>
      </c>
      <c r="O1754" s="6">
        <f t="shared" si="608"/>
        <v>-62.5</v>
      </c>
      <c r="P1754" s="6">
        <f t="shared" si="616"/>
        <v>0</v>
      </c>
      <c r="Q1754" s="7">
        <f t="shared" si="617"/>
        <v>3191380.7500000014</v>
      </c>
      <c r="R1754" s="44" t="str">
        <f>VLOOKUP(F1754,'Set up'!$A$2:$E$48,5,FALSE)</f>
        <v>Trsf</v>
      </c>
      <c r="S1754" s="1" t="s">
        <v>1667</v>
      </c>
    </row>
    <row r="1755" spans="1:19" ht="15" hidden="1" customHeight="1" x14ac:dyDescent="0.3">
      <c r="A1755" s="4">
        <v>45085</v>
      </c>
      <c r="B1755" s="5">
        <f t="shared" si="611"/>
        <v>6</v>
      </c>
      <c r="C1755" s="5">
        <f t="shared" si="612"/>
        <v>2023</v>
      </c>
      <c r="D1755" s="105" t="s">
        <v>1619</v>
      </c>
      <c r="E1755" s="5" t="str">
        <f>VLOOKUP(F1755,'Set up'!$A$2:$C$48,2,FALSE)</f>
        <v>C00000039</v>
      </c>
      <c r="F1755" s="1" t="s">
        <v>1621</v>
      </c>
      <c r="G1755" s="90" t="s">
        <v>1062</v>
      </c>
      <c r="H1755" s="88">
        <v>2</v>
      </c>
      <c r="I1755" s="5" t="str">
        <f>VLOOKUP(F1755,'Set up'!$A$2:$C$48,3,FALSE)</f>
        <v>Cash</v>
      </c>
      <c r="J1755" s="5">
        <f>VLOOKUP(F1755,'Set up'!$A$2:$D$48,4,FALSE)</f>
        <v>0</v>
      </c>
      <c r="K1755" s="4">
        <f t="shared" si="613"/>
        <v>45085</v>
      </c>
      <c r="L1755" s="5">
        <f t="shared" si="614"/>
        <v>6</v>
      </c>
      <c r="M1755" s="5">
        <f t="shared" si="615"/>
        <v>2023</v>
      </c>
      <c r="N1755" s="6">
        <v>190</v>
      </c>
      <c r="O1755" s="6">
        <f t="shared" si="608"/>
        <v>-190</v>
      </c>
      <c r="P1755" s="6">
        <f t="shared" si="616"/>
        <v>0</v>
      </c>
      <c r="Q1755" s="7">
        <f t="shared" si="617"/>
        <v>3191570.7500000014</v>
      </c>
      <c r="R1755" s="44" t="str">
        <f>VLOOKUP(F1755,'Set up'!$A$2:$E$48,5,FALSE)</f>
        <v>Trsf</v>
      </c>
      <c r="S1755" s="1" t="s">
        <v>1667</v>
      </c>
    </row>
    <row r="1756" spans="1:19" ht="15" hidden="1" customHeight="1" x14ac:dyDescent="0.3">
      <c r="A1756" s="4">
        <v>45086</v>
      </c>
      <c r="B1756" s="5">
        <f t="shared" si="611"/>
        <v>6</v>
      </c>
      <c r="C1756" s="5">
        <f t="shared" si="612"/>
        <v>2023</v>
      </c>
      <c r="D1756" s="88" t="s">
        <v>1623</v>
      </c>
      <c r="E1756" s="5" t="str">
        <f>VLOOKUP(F1756,'Set up'!$A$2:$C$48,2,FALSE)</f>
        <v>C00000034</v>
      </c>
      <c r="F1756" s="1" t="s">
        <v>1197</v>
      </c>
      <c r="G1756" s="11" t="s">
        <v>1357</v>
      </c>
      <c r="H1756" s="5">
        <v>1</v>
      </c>
      <c r="I1756" s="5" t="str">
        <f>VLOOKUP(F1756,'Set up'!$A$2:$C$48,3,FALSE)</f>
        <v>Cash</v>
      </c>
      <c r="J1756" s="5">
        <f>VLOOKUP(F1756,'Set up'!$A$2:$D$48,4,FALSE)</f>
        <v>0</v>
      </c>
      <c r="K1756" s="4">
        <f t="shared" si="613"/>
        <v>45086</v>
      </c>
      <c r="L1756" s="5">
        <f t="shared" si="614"/>
        <v>6</v>
      </c>
      <c r="M1756" s="5">
        <f t="shared" si="615"/>
        <v>2023</v>
      </c>
      <c r="N1756" s="6">
        <v>1870</v>
      </c>
      <c r="O1756" s="6">
        <f t="shared" ref="O1756:O1768" si="618">-N1756</f>
        <v>-1870</v>
      </c>
      <c r="P1756" s="6">
        <f t="shared" si="616"/>
        <v>0</v>
      </c>
      <c r="Q1756" s="7">
        <f t="shared" si="617"/>
        <v>3193440.7500000014</v>
      </c>
      <c r="R1756" s="44" t="str">
        <f>VLOOKUP(F1756,'Set up'!$A$2:$E$48,5,FALSE)</f>
        <v>Trsf</v>
      </c>
      <c r="S1756" s="117" t="s">
        <v>1696</v>
      </c>
    </row>
    <row r="1757" spans="1:19" ht="15" hidden="1" customHeight="1" x14ac:dyDescent="0.3">
      <c r="A1757" s="4">
        <v>45086</v>
      </c>
      <c r="B1757" s="5">
        <f t="shared" si="611"/>
        <v>6</v>
      </c>
      <c r="C1757" s="5">
        <f t="shared" si="612"/>
        <v>2023</v>
      </c>
      <c r="D1757" s="88" t="s">
        <v>1623</v>
      </c>
      <c r="E1757" s="5" t="str">
        <f>VLOOKUP(F1757,'Set up'!$A$2:$C$48,2,FALSE)</f>
        <v>C00000034</v>
      </c>
      <c r="F1757" s="1" t="s">
        <v>1197</v>
      </c>
      <c r="G1757" s="11" t="s">
        <v>1353</v>
      </c>
      <c r="H1757" s="5">
        <v>2</v>
      </c>
      <c r="I1757" s="5" t="str">
        <f>VLOOKUP(F1757,'Set up'!$A$2:$C$48,3,FALSE)</f>
        <v>Cash</v>
      </c>
      <c r="J1757" s="5">
        <f>VLOOKUP(F1757,'Set up'!$A$2:$D$48,4,FALSE)</f>
        <v>0</v>
      </c>
      <c r="K1757" s="4">
        <f t="shared" si="613"/>
        <v>45086</v>
      </c>
      <c r="L1757" s="5">
        <f t="shared" si="614"/>
        <v>6</v>
      </c>
      <c r="M1757" s="5">
        <f t="shared" si="615"/>
        <v>2023</v>
      </c>
      <c r="N1757" s="6">
        <v>450</v>
      </c>
      <c r="O1757" s="6">
        <f t="shared" si="618"/>
        <v>-450</v>
      </c>
      <c r="P1757" s="6">
        <f t="shared" si="616"/>
        <v>0</v>
      </c>
      <c r="Q1757" s="7">
        <f t="shared" si="617"/>
        <v>3193890.7500000014</v>
      </c>
      <c r="R1757" s="44" t="str">
        <f>VLOOKUP(F1757,'Set up'!$A$2:$E$48,5,FALSE)</f>
        <v>Trsf</v>
      </c>
      <c r="S1757" s="117" t="s">
        <v>1696</v>
      </c>
    </row>
    <row r="1758" spans="1:19" ht="15" hidden="1" customHeight="1" x14ac:dyDescent="0.3">
      <c r="A1758" s="4">
        <v>45086</v>
      </c>
      <c r="B1758" s="5">
        <f t="shared" si="611"/>
        <v>6</v>
      </c>
      <c r="C1758" s="5">
        <f t="shared" si="612"/>
        <v>2023</v>
      </c>
      <c r="D1758" s="88" t="s">
        <v>1623</v>
      </c>
      <c r="E1758" s="5" t="str">
        <f>VLOOKUP(F1758,'Set up'!$A$2:$C$48,2,FALSE)</f>
        <v>C00000034</v>
      </c>
      <c r="F1758" s="1" t="s">
        <v>1197</v>
      </c>
      <c r="G1758" s="89" t="s">
        <v>1432</v>
      </c>
      <c r="H1758" s="5">
        <v>1</v>
      </c>
      <c r="I1758" s="5" t="str">
        <f>VLOOKUP(F1758,'Set up'!$A$2:$C$48,3,FALSE)</f>
        <v>Cash</v>
      </c>
      <c r="J1758" s="5">
        <f>VLOOKUP(F1758,'Set up'!$A$2:$D$48,4,FALSE)</f>
        <v>0</v>
      </c>
      <c r="K1758" s="4">
        <f t="shared" si="613"/>
        <v>45086</v>
      </c>
      <c r="L1758" s="5">
        <f t="shared" si="614"/>
        <v>6</v>
      </c>
      <c r="M1758" s="5">
        <f t="shared" si="615"/>
        <v>2023</v>
      </c>
      <c r="N1758" s="6">
        <v>225</v>
      </c>
      <c r="O1758" s="6">
        <f t="shared" si="618"/>
        <v>-225</v>
      </c>
      <c r="P1758" s="6">
        <f t="shared" si="616"/>
        <v>0</v>
      </c>
      <c r="Q1758" s="7">
        <f t="shared" si="617"/>
        <v>3194115.7500000014</v>
      </c>
      <c r="R1758" s="44" t="str">
        <f>VLOOKUP(F1758,'Set up'!$A$2:$E$48,5,FALSE)</f>
        <v>Trsf</v>
      </c>
      <c r="S1758" s="117" t="s">
        <v>1696</v>
      </c>
    </row>
    <row r="1759" spans="1:19" ht="15" hidden="1" customHeight="1" x14ac:dyDescent="0.3">
      <c r="A1759" s="4">
        <v>45086</v>
      </c>
      <c r="B1759" s="5">
        <f t="shared" si="611"/>
        <v>6</v>
      </c>
      <c r="C1759" s="5">
        <f t="shared" si="612"/>
        <v>2023</v>
      </c>
      <c r="D1759" s="88" t="s">
        <v>1623</v>
      </c>
      <c r="E1759" s="5" t="str">
        <f>VLOOKUP(F1759,'Set up'!$A$2:$C$48,2,FALSE)</f>
        <v>C00000034</v>
      </c>
      <c r="F1759" s="1" t="s">
        <v>1197</v>
      </c>
      <c r="G1759" s="90" t="s">
        <v>1622</v>
      </c>
      <c r="H1759" s="5">
        <v>1</v>
      </c>
      <c r="I1759" s="5" t="str">
        <f>VLOOKUP(F1759,'Set up'!$A$2:$C$48,3,FALSE)</f>
        <v>Cash</v>
      </c>
      <c r="J1759" s="5">
        <f>VLOOKUP(F1759,'Set up'!$A$2:$D$48,4,FALSE)</f>
        <v>0</v>
      </c>
      <c r="K1759" s="4">
        <f t="shared" si="613"/>
        <v>45086</v>
      </c>
      <c r="L1759" s="5">
        <f t="shared" si="614"/>
        <v>6</v>
      </c>
      <c r="M1759" s="5">
        <f t="shared" si="615"/>
        <v>2023</v>
      </c>
      <c r="N1759" s="6">
        <v>247.8</v>
      </c>
      <c r="O1759" s="91">
        <f>-247.8</f>
        <v>-247.8</v>
      </c>
      <c r="P1759" s="91">
        <f t="shared" si="616"/>
        <v>0</v>
      </c>
      <c r="Q1759" s="7">
        <f t="shared" si="617"/>
        <v>3194363.5500000012</v>
      </c>
      <c r="R1759" s="44" t="str">
        <f>VLOOKUP(F1759,'Set up'!$A$2:$E$48,5,FALSE)</f>
        <v>Trsf</v>
      </c>
      <c r="S1759" s="117" t="s">
        <v>1696</v>
      </c>
    </row>
    <row r="1760" spans="1:19" ht="15" hidden="1" customHeight="1" x14ac:dyDescent="0.3">
      <c r="A1760" s="4" t="s">
        <v>1626</v>
      </c>
      <c r="B1760" s="5">
        <f t="shared" si="611"/>
        <v>6</v>
      </c>
      <c r="C1760" s="5">
        <f t="shared" si="612"/>
        <v>2023</v>
      </c>
      <c r="D1760" s="88" t="s">
        <v>1624</v>
      </c>
      <c r="E1760" s="5" t="str">
        <f>VLOOKUP(F1760,'Set up'!$A$2:$C$48,2,FALSE)</f>
        <v>C00000034</v>
      </c>
      <c r="F1760" s="1" t="s">
        <v>1197</v>
      </c>
      <c r="G1760" s="89" t="s">
        <v>1357</v>
      </c>
      <c r="H1760" s="5">
        <v>1</v>
      </c>
      <c r="I1760" s="5" t="str">
        <f>VLOOKUP(F1760,'Set up'!$A$2:$C$48,3,FALSE)</f>
        <v>Cash</v>
      </c>
      <c r="J1760" s="5">
        <f>VLOOKUP(F1760,'Set up'!$A$2:$D$48,4,FALSE)</f>
        <v>0</v>
      </c>
      <c r="K1760" s="4">
        <f t="shared" si="613"/>
        <v>45089</v>
      </c>
      <c r="L1760" s="5">
        <f t="shared" si="614"/>
        <v>6</v>
      </c>
      <c r="M1760" s="5">
        <f t="shared" si="615"/>
        <v>2023</v>
      </c>
      <c r="N1760" s="6">
        <v>1870</v>
      </c>
      <c r="O1760" s="6">
        <f t="shared" si="618"/>
        <v>-1870</v>
      </c>
      <c r="P1760" s="6">
        <f t="shared" si="616"/>
        <v>0</v>
      </c>
      <c r="Q1760" s="7">
        <f t="shared" si="617"/>
        <v>3196233.5500000012</v>
      </c>
      <c r="R1760" s="44" t="str">
        <f>VLOOKUP(F1760,'Set up'!$A$2:$E$48,5,FALSE)</f>
        <v>Trsf</v>
      </c>
      <c r="S1760" s="1" t="s">
        <v>1672</v>
      </c>
    </row>
    <row r="1761" spans="1:19" ht="15" hidden="1" customHeight="1" x14ac:dyDescent="0.3">
      <c r="A1761" s="4" t="s">
        <v>1626</v>
      </c>
      <c r="B1761" s="5">
        <f t="shared" si="611"/>
        <v>6</v>
      </c>
      <c r="C1761" s="5">
        <f t="shared" si="612"/>
        <v>2023</v>
      </c>
      <c r="D1761" s="88" t="s">
        <v>1624</v>
      </c>
      <c r="E1761" s="5" t="str">
        <f>VLOOKUP(F1761,'Set up'!$A$2:$C$48,2,FALSE)</f>
        <v>C00000034</v>
      </c>
      <c r="F1761" s="1" t="s">
        <v>1197</v>
      </c>
      <c r="G1761" s="89" t="s">
        <v>1353</v>
      </c>
      <c r="H1761" s="5">
        <v>2</v>
      </c>
      <c r="I1761" s="5" t="str">
        <f>VLOOKUP(F1761,'Set up'!$A$2:$C$48,3,FALSE)</f>
        <v>Cash</v>
      </c>
      <c r="J1761" s="5">
        <f>VLOOKUP(F1761,'Set up'!$A$2:$D$48,4,FALSE)</f>
        <v>0</v>
      </c>
      <c r="K1761" s="4">
        <f t="shared" si="613"/>
        <v>45089</v>
      </c>
      <c r="L1761" s="5">
        <f t="shared" si="614"/>
        <v>6</v>
      </c>
      <c r="M1761" s="5">
        <f t="shared" si="615"/>
        <v>2023</v>
      </c>
      <c r="N1761" s="6">
        <v>450</v>
      </c>
      <c r="O1761" s="6">
        <f t="shared" si="618"/>
        <v>-450</v>
      </c>
      <c r="P1761" s="6">
        <f t="shared" si="616"/>
        <v>0</v>
      </c>
      <c r="Q1761" s="7">
        <f t="shared" si="617"/>
        <v>3196683.5500000012</v>
      </c>
      <c r="R1761" s="44" t="str">
        <f>VLOOKUP(F1761,'Set up'!$A$2:$E$48,5,FALSE)</f>
        <v>Trsf</v>
      </c>
      <c r="S1761" s="1" t="s">
        <v>1672</v>
      </c>
    </row>
    <row r="1762" spans="1:19" ht="15" hidden="1" customHeight="1" x14ac:dyDescent="0.3">
      <c r="A1762" s="4" t="s">
        <v>1626</v>
      </c>
      <c r="B1762" s="5">
        <f t="shared" si="611"/>
        <v>6</v>
      </c>
      <c r="C1762" s="5">
        <f t="shared" si="612"/>
        <v>2023</v>
      </c>
      <c r="D1762" s="88" t="s">
        <v>1624</v>
      </c>
      <c r="E1762" s="5" t="str">
        <f>VLOOKUP(F1762,'Set up'!$A$2:$C$48,2,FALSE)</f>
        <v>C00000034</v>
      </c>
      <c r="F1762" s="1" t="s">
        <v>1197</v>
      </c>
      <c r="G1762" s="89" t="s">
        <v>1432</v>
      </c>
      <c r="H1762" s="5">
        <v>1</v>
      </c>
      <c r="I1762" s="5" t="str">
        <f>VLOOKUP(F1762,'Set up'!$A$2:$C$48,3,FALSE)</f>
        <v>Cash</v>
      </c>
      <c r="J1762" s="5">
        <f>VLOOKUP(F1762,'Set up'!$A$2:$D$48,4,FALSE)</f>
        <v>0</v>
      </c>
      <c r="K1762" s="4">
        <f t="shared" si="613"/>
        <v>45089</v>
      </c>
      <c r="L1762" s="5">
        <f t="shared" si="614"/>
        <v>6</v>
      </c>
      <c r="M1762" s="5">
        <f t="shared" si="615"/>
        <v>2023</v>
      </c>
      <c r="N1762" s="6">
        <v>225</v>
      </c>
      <c r="O1762" s="6">
        <f t="shared" si="618"/>
        <v>-225</v>
      </c>
      <c r="P1762" s="6">
        <f t="shared" si="616"/>
        <v>0</v>
      </c>
      <c r="Q1762" s="7">
        <f t="shared" si="617"/>
        <v>3196908.5500000012</v>
      </c>
      <c r="R1762" s="44" t="str">
        <f>VLOOKUP(F1762,'Set up'!$A$2:$E$48,5,FALSE)</f>
        <v>Trsf</v>
      </c>
      <c r="S1762" s="1" t="s">
        <v>1672</v>
      </c>
    </row>
    <row r="1763" spans="1:19" ht="15" hidden="1" customHeight="1" x14ac:dyDescent="0.3">
      <c r="A1763" s="4" t="s">
        <v>1626</v>
      </c>
      <c r="B1763" s="5">
        <f t="shared" si="611"/>
        <v>6</v>
      </c>
      <c r="C1763" s="5">
        <f t="shared" si="612"/>
        <v>2023</v>
      </c>
      <c r="D1763" s="88" t="s">
        <v>1624</v>
      </c>
      <c r="E1763" s="5" t="str">
        <f>VLOOKUP(F1763,'Set up'!$A$2:$C$48,2,FALSE)</f>
        <v>C00000034</v>
      </c>
      <c r="F1763" s="1" t="s">
        <v>1197</v>
      </c>
      <c r="G1763" s="89" t="s">
        <v>1625</v>
      </c>
      <c r="H1763" s="5">
        <v>1</v>
      </c>
      <c r="I1763" s="5" t="str">
        <f>VLOOKUP(F1763,'Set up'!$A$2:$C$48,3,FALSE)</f>
        <v>Cash</v>
      </c>
      <c r="J1763" s="5">
        <f>VLOOKUP(F1763,'Set up'!$A$2:$D$48,4,FALSE)</f>
        <v>0</v>
      </c>
      <c r="K1763" s="4">
        <f t="shared" si="613"/>
        <v>45089</v>
      </c>
      <c r="L1763" s="5">
        <f t="shared" si="614"/>
        <v>6</v>
      </c>
      <c r="M1763" s="5">
        <f t="shared" si="615"/>
        <v>2023</v>
      </c>
      <c r="N1763" s="6">
        <v>236</v>
      </c>
      <c r="O1763" s="6">
        <f t="shared" si="618"/>
        <v>-236</v>
      </c>
      <c r="P1763" s="6">
        <f t="shared" si="616"/>
        <v>0</v>
      </c>
      <c r="Q1763" s="7">
        <f t="shared" si="617"/>
        <v>3197144.5500000012</v>
      </c>
      <c r="R1763" s="44" t="str">
        <f>VLOOKUP(F1763,'Set up'!$A$2:$E$48,5,FALSE)</f>
        <v>Trsf</v>
      </c>
      <c r="S1763" s="1" t="s">
        <v>1672</v>
      </c>
    </row>
    <row r="1764" spans="1:19" ht="15" hidden="1" customHeight="1" x14ac:dyDescent="0.3">
      <c r="A1764" s="4" t="s">
        <v>1626</v>
      </c>
      <c r="B1764" s="5">
        <f t="shared" si="611"/>
        <v>6</v>
      </c>
      <c r="C1764" s="5">
        <f t="shared" si="612"/>
        <v>2023</v>
      </c>
      <c r="D1764" s="88" t="s">
        <v>1624</v>
      </c>
      <c r="E1764" s="5" t="str">
        <f>VLOOKUP(F1764,'Set up'!$A$2:$C$48,2,FALSE)</f>
        <v>C00000034</v>
      </c>
      <c r="F1764" s="1" t="s">
        <v>1197</v>
      </c>
      <c r="G1764" s="89" t="s">
        <v>1352</v>
      </c>
      <c r="H1764" s="5">
        <v>10</v>
      </c>
      <c r="I1764" s="5" t="str">
        <f>VLOOKUP(F1764,'Set up'!$A$2:$C$48,3,FALSE)</f>
        <v>Cash</v>
      </c>
      <c r="J1764" s="5">
        <f>VLOOKUP(F1764,'Set up'!$A$2:$D$48,4,FALSE)</f>
        <v>0</v>
      </c>
      <c r="K1764" s="4">
        <f t="shared" si="613"/>
        <v>45089</v>
      </c>
      <c r="L1764" s="5">
        <f t="shared" si="614"/>
        <v>6</v>
      </c>
      <c r="M1764" s="5">
        <f t="shared" si="615"/>
        <v>2023</v>
      </c>
      <c r="N1764" s="6">
        <v>1390</v>
      </c>
      <c r="O1764" s="6">
        <f t="shared" si="618"/>
        <v>-1390</v>
      </c>
      <c r="P1764" s="6">
        <f t="shared" si="616"/>
        <v>0</v>
      </c>
      <c r="Q1764" s="7">
        <f t="shared" si="617"/>
        <v>3198534.5500000012</v>
      </c>
      <c r="R1764" s="44" t="str">
        <f>VLOOKUP(F1764,'Set up'!$A$2:$E$48,5,FALSE)</f>
        <v>Trsf</v>
      </c>
      <c r="S1764" s="1" t="s">
        <v>1672</v>
      </c>
    </row>
    <row r="1765" spans="1:19" ht="15" hidden="1" customHeight="1" x14ac:dyDescent="0.3">
      <c r="A1765" s="4" t="s">
        <v>1626</v>
      </c>
      <c r="B1765" s="5">
        <f t="shared" si="611"/>
        <v>6</v>
      </c>
      <c r="C1765" s="5">
        <f t="shared" si="612"/>
        <v>2023</v>
      </c>
      <c r="D1765" s="88" t="s">
        <v>1624</v>
      </c>
      <c r="E1765" s="5" t="str">
        <f>VLOOKUP(F1765,'Set up'!$A$2:$C$48,2,FALSE)</f>
        <v>C00000034</v>
      </c>
      <c r="F1765" s="1" t="s">
        <v>1197</v>
      </c>
      <c r="G1765" s="89" t="s">
        <v>1111</v>
      </c>
      <c r="H1765" s="5">
        <v>3</v>
      </c>
      <c r="I1765" s="5" t="str">
        <f>VLOOKUP(F1765,'Set up'!$A$2:$C$48,3,FALSE)</f>
        <v>Cash</v>
      </c>
      <c r="J1765" s="5">
        <f>VLOOKUP(F1765,'Set up'!$A$2:$D$48,4,FALSE)</f>
        <v>0</v>
      </c>
      <c r="K1765" s="4">
        <f t="shared" si="613"/>
        <v>45089</v>
      </c>
      <c r="L1765" s="5">
        <f t="shared" si="614"/>
        <v>6</v>
      </c>
      <c r="M1765" s="5">
        <f t="shared" si="615"/>
        <v>2023</v>
      </c>
      <c r="N1765" s="6">
        <v>187.5</v>
      </c>
      <c r="O1765" s="6">
        <f t="shared" si="618"/>
        <v>-187.5</v>
      </c>
      <c r="P1765" s="6">
        <f t="shared" si="616"/>
        <v>0</v>
      </c>
      <c r="Q1765" s="7">
        <f t="shared" si="617"/>
        <v>3198722.0500000012</v>
      </c>
      <c r="R1765" s="44" t="str">
        <f>VLOOKUP(F1765,'Set up'!$A$2:$E$48,5,FALSE)</f>
        <v>Trsf</v>
      </c>
      <c r="S1765" s="1" t="s">
        <v>1672</v>
      </c>
    </row>
    <row r="1766" spans="1:19" ht="15" hidden="1" customHeight="1" x14ac:dyDescent="0.3">
      <c r="A1766" s="4" t="s">
        <v>1626</v>
      </c>
      <c r="B1766" s="5">
        <f t="shared" si="611"/>
        <v>6</v>
      </c>
      <c r="C1766" s="5">
        <f t="shared" si="612"/>
        <v>2023</v>
      </c>
      <c r="D1766" s="88" t="s">
        <v>1624</v>
      </c>
      <c r="E1766" s="5" t="str">
        <f>VLOOKUP(F1766,'Set up'!$A$2:$C$48,2,FALSE)</f>
        <v>C00000034</v>
      </c>
      <c r="F1766" s="1" t="s">
        <v>1197</v>
      </c>
      <c r="G1766" s="89" t="s">
        <v>1062</v>
      </c>
      <c r="H1766" s="5">
        <v>1</v>
      </c>
      <c r="I1766" s="5" t="str">
        <f>VLOOKUP(F1766,'Set up'!$A$2:$C$48,3,FALSE)</f>
        <v>Cash</v>
      </c>
      <c r="J1766" s="5">
        <f>VLOOKUP(F1766,'Set up'!$A$2:$D$48,4,FALSE)</f>
        <v>0</v>
      </c>
      <c r="K1766" s="4">
        <f t="shared" si="613"/>
        <v>45089</v>
      </c>
      <c r="L1766" s="5">
        <f t="shared" si="614"/>
        <v>6</v>
      </c>
      <c r="M1766" s="5">
        <f t="shared" si="615"/>
        <v>2023</v>
      </c>
      <c r="N1766" s="6">
        <v>95</v>
      </c>
      <c r="O1766" s="6">
        <f t="shared" si="618"/>
        <v>-95</v>
      </c>
      <c r="P1766" s="6">
        <f t="shared" si="616"/>
        <v>0</v>
      </c>
      <c r="Q1766" s="7">
        <f t="shared" si="617"/>
        <v>3198817.0500000012</v>
      </c>
      <c r="R1766" s="44" t="str">
        <f>VLOOKUP(F1766,'Set up'!$A$2:$E$48,5,FALSE)</f>
        <v>Trsf</v>
      </c>
      <c r="S1766" s="1" t="s">
        <v>1672</v>
      </c>
    </row>
    <row r="1767" spans="1:19" ht="15" hidden="1" customHeight="1" x14ac:dyDescent="0.3">
      <c r="A1767" s="4">
        <v>45091</v>
      </c>
      <c r="B1767" s="5">
        <f t="shared" si="611"/>
        <v>6</v>
      </c>
      <c r="C1767" s="5">
        <f t="shared" si="612"/>
        <v>2023</v>
      </c>
      <c r="D1767" s="5" t="s">
        <v>1627</v>
      </c>
      <c r="E1767" s="5" t="str">
        <f>VLOOKUP(F1767,'Set up'!$A$2:$C$48,2,FALSE)</f>
        <v>C00000019</v>
      </c>
      <c r="F1767" s="1" t="s">
        <v>401</v>
      </c>
      <c r="G1767" s="89" t="s">
        <v>895</v>
      </c>
      <c r="H1767" s="5">
        <v>1</v>
      </c>
      <c r="I1767" s="5" t="str">
        <f>VLOOKUP(F1767,'Set up'!$A$2:$C$48,3,FALSE)</f>
        <v>Cash</v>
      </c>
      <c r="J1767" s="5">
        <f>VLOOKUP(F1767,'Set up'!$A$2:$D$48,4,FALSE)</f>
        <v>0</v>
      </c>
      <c r="K1767" s="4">
        <f t="shared" si="613"/>
        <v>45091</v>
      </c>
      <c r="L1767" s="5">
        <f t="shared" si="614"/>
        <v>6</v>
      </c>
      <c r="M1767" s="5">
        <f t="shared" si="615"/>
        <v>2023</v>
      </c>
      <c r="N1767" s="6">
        <v>150</v>
      </c>
      <c r="O1767" s="6">
        <f t="shared" si="618"/>
        <v>-150</v>
      </c>
      <c r="P1767" s="6">
        <f t="shared" si="616"/>
        <v>0</v>
      </c>
      <c r="Q1767" s="7">
        <f t="shared" si="617"/>
        <v>3198967.0500000012</v>
      </c>
      <c r="R1767" s="44" t="str">
        <f>VLOOKUP(F1767,'Set up'!$A$2:$E$48,5,FALSE)</f>
        <v>Trsf</v>
      </c>
      <c r="S1767" s="1" t="s">
        <v>2298</v>
      </c>
    </row>
    <row r="1768" spans="1:19" ht="15" hidden="1" customHeight="1" x14ac:dyDescent="0.3">
      <c r="A1768" s="4">
        <v>45091</v>
      </c>
      <c r="B1768" s="5">
        <f t="shared" si="611"/>
        <v>6</v>
      </c>
      <c r="C1768" s="5">
        <f t="shared" si="612"/>
        <v>2023</v>
      </c>
      <c r="D1768" s="5" t="s">
        <v>1627</v>
      </c>
      <c r="E1768" s="5" t="str">
        <f>VLOOKUP(F1768,'Set up'!$A$2:$C$48,2,FALSE)</f>
        <v>C00000019</v>
      </c>
      <c r="F1768" s="1" t="s">
        <v>401</v>
      </c>
      <c r="G1768" s="89" t="s">
        <v>1628</v>
      </c>
      <c r="H1768" s="5">
        <v>1</v>
      </c>
      <c r="I1768" s="5" t="str">
        <f>VLOOKUP(F1768,'Set up'!$A$2:$C$48,3,FALSE)</f>
        <v>Cash</v>
      </c>
      <c r="J1768" s="5">
        <f>VLOOKUP(F1768,'Set up'!$A$2:$D$48,4,FALSE)</f>
        <v>0</v>
      </c>
      <c r="K1768" s="4">
        <f t="shared" si="613"/>
        <v>45091</v>
      </c>
      <c r="L1768" s="5">
        <f t="shared" si="614"/>
        <v>6</v>
      </c>
      <c r="M1768" s="5">
        <f t="shared" si="615"/>
        <v>2023</v>
      </c>
      <c r="N1768" s="6">
        <v>260</v>
      </c>
      <c r="O1768" s="6">
        <f t="shared" si="618"/>
        <v>-260</v>
      </c>
      <c r="P1768" s="6">
        <f t="shared" si="616"/>
        <v>0</v>
      </c>
      <c r="Q1768" s="7">
        <f t="shared" si="617"/>
        <v>3199227.0500000012</v>
      </c>
      <c r="R1768" s="44" t="str">
        <f>VLOOKUP(F1768,'Set up'!$A$2:$E$48,5,FALSE)</f>
        <v>Trsf</v>
      </c>
      <c r="S1768" s="1" t="s">
        <v>2299</v>
      </c>
    </row>
    <row r="1769" spans="1:19" ht="15" hidden="1" customHeight="1" x14ac:dyDescent="0.3">
      <c r="A1769" s="4">
        <v>45092</v>
      </c>
      <c r="B1769" s="5">
        <f t="shared" si="611"/>
        <v>6</v>
      </c>
      <c r="C1769" s="5">
        <f t="shared" si="612"/>
        <v>2023</v>
      </c>
      <c r="D1769" s="5" t="s">
        <v>1629</v>
      </c>
      <c r="E1769" s="5" t="str">
        <f>VLOOKUP(F1769,'Set up'!$A$2:$C$48,2,FALSE)</f>
        <v>C00000014</v>
      </c>
      <c r="F1769" s="1" t="s">
        <v>263</v>
      </c>
      <c r="G1769" s="89" t="s">
        <v>723</v>
      </c>
      <c r="H1769" s="5">
        <v>2</v>
      </c>
      <c r="I1769" s="5" t="str">
        <f>VLOOKUP(F1769,'Set up'!$A$2:$C$48,3,FALSE)</f>
        <v>Cash</v>
      </c>
      <c r="J1769" s="5">
        <f>VLOOKUP(F1769,'Set up'!$A$2:$D$48,4,FALSE)</f>
        <v>0</v>
      </c>
      <c r="K1769" s="4">
        <f t="shared" si="613"/>
        <v>45092</v>
      </c>
      <c r="L1769" s="5">
        <f t="shared" si="614"/>
        <v>6</v>
      </c>
      <c r="M1769" s="5">
        <f t="shared" si="615"/>
        <v>2023</v>
      </c>
      <c r="N1769" s="6">
        <v>3608</v>
      </c>
      <c r="O1769" s="6">
        <f>-N1769</f>
        <v>-3608</v>
      </c>
      <c r="P1769" s="6">
        <f t="shared" si="616"/>
        <v>0</v>
      </c>
      <c r="Q1769" s="7">
        <f t="shared" si="617"/>
        <v>3202835.0500000012</v>
      </c>
      <c r="R1769" s="44" t="str">
        <f>VLOOKUP(F1769,'Set up'!$A$2:$E$48,5,FALSE)</f>
        <v>Cash</v>
      </c>
      <c r="S1769" s="1" t="s">
        <v>1680</v>
      </c>
    </row>
    <row r="1770" spans="1:19" ht="15" hidden="1" customHeight="1" x14ac:dyDescent="0.3">
      <c r="A1770" s="4">
        <v>45092</v>
      </c>
      <c r="B1770" s="5">
        <f t="shared" si="611"/>
        <v>6</v>
      </c>
      <c r="C1770" s="5">
        <f t="shared" si="612"/>
        <v>2023</v>
      </c>
      <c r="D1770" s="5" t="s">
        <v>1629</v>
      </c>
      <c r="E1770" s="5" t="str">
        <f>VLOOKUP(F1770,'Set up'!$A$2:$C$48,2,FALSE)</f>
        <v>C00000014</v>
      </c>
      <c r="F1770" s="1" t="s">
        <v>263</v>
      </c>
      <c r="G1770" s="89" t="s">
        <v>989</v>
      </c>
      <c r="H1770" s="5">
        <v>2</v>
      </c>
      <c r="I1770" s="5" t="str">
        <f>VLOOKUP(F1770,'Set up'!$A$2:$C$48,3,FALSE)</f>
        <v>Cash</v>
      </c>
      <c r="J1770" s="5">
        <f>VLOOKUP(F1770,'Set up'!$A$2:$D$48,4,FALSE)</f>
        <v>0</v>
      </c>
      <c r="K1770" s="4">
        <f t="shared" si="613"/>
        <v>45092</v>
      </c>
      <c r="L1770" s="5">
        <f t="shared" si="614"/>
        <v>6</v>
      </c>
      <c r="M1770" s="5">
        <f t="shared" si="615"/>
        <v>2023</v>
      </c>
      <c r="N1770" s="6">
        <v>474</v>
      </c>
      <c r="O1770" s="6">
        <f>-N1770</f>
        <v>-474</v>
      </c>
      <c r="P1770" s="6">
        <f t="shared" si="616"/>
        <v>0</v>
      </c>
      <c r="Q1770" s="7">
        <f t="shared" si="617"/>
        <v>3203309.0500000012</v>
      </c>
      <c r="R1770" s="44" t="str">
        <f>VLOOKUP(F1770,'Set up'!$A$2:$E$48,5,FALSE)</f>
        <v>Cash</v>
      </c>
      <c r="S1770" s="1" t="s">
        <v>1680</v>
      </c>
    </row>
    <row r="1771" spans="1:19" ht="15" hidden="1" customHeight="1" x14ac:dyDescent="0.3">
      <c r="A1771" s="4">
        <v>45092</v>
      </c>
      <c r="B1771" s="5">
        <f t="shared" si="611"/>
        <v>6</v>
      </c>
      <c r="C1771" s="5">
        <f t="shared" si="612"/>
        <v>2023</v>
      </c>
      <c r="D1771" s="5" t="s">
        <v>1629</v>
      </c>
      <c r="E1771" s="5" t="str">
        <f>VLOOKUP(F1771,'Set up'!$A$2:$C$48,2,FALSE)</f>
        <v>C00000014</v>
      </c>
      <c r="F1771" s="1" t="s">
        <v>263</v>
      </c>
      <c r="G1771" s="89" t="s">
        <v>866</v>
      </c>
      <c r="H1771" s="5">
        <v>2</v>
      </c>
      <c r="I1771" s="5" t="str">
        <f>VLOOKUP(F1771,'Set up'!$A$2:$C$48,3,FALSE)</f>
        <v>Cash</v>
      </c>
      <c r="J1771" s="5">
        <f>VLOOKUP(F1771,'Set up'!$A$2:$D$48,4,FALSE)</f>
        <v>0</v>
      </c>
      <c r="K1771" s="4">
        <f t="shared" si="613"/>
        <v>45092</v>
      </c>
      <c r="L1771" s="5">
        <f t="shared" si="614"/>
        <v>6</v>
      </c>
      <c r="M1771" s="5">
        <f t="shared" si="615"/>
        <v>2023</v>
      </c>
      <c r="N1771" s="6">
        <v>516</v>
      </c>
      <c r="O1771" s="6">
        <f>-N1771</f>
        <v>-516</v>
      </c>
      <c r="P1771" s="6">
        <f t="shared" si="616"/>
        <v>0</v>
      </c>
      <c r="Q1771" s="7">
        <f t="shared" si="617"/>
        <v>3203825.0500000012</v>
      </c>
      <c r="R1771" s="44" t="str">
        <f>VLOOKUP(F1771,'Set up'!$A$2:$E$48,5,FALSE)</f>
        <v>Cash</v>
      </c>
      <c r="S1771" s="1" t="s">
        <v>1680</v>
      </c>
    </row>
    <row r="1772" spans="1:19" ht="15" hidden="1" customHeight="1" x14ac:dyDescent="0.3">
      <c r="A1772" s="4">
        <v>45092</v>
      </c>
      <c r="B1772" s="5">
        <f t="shared" si="611"/>
        <v>6</v>
      </c>
      <c r="C1772" s="5">
        <f t="shared" si="612"/>
        <v>2023</v>
      </c>
      <c r="D1772" s="5" t="s">
        <v>1629</v>
      </c>
      <c r="E1772" s="5" t="str">
        <f>VLOOKUP(F1772,'Set up'!$A$2:$C$48,2,FALSE)</f>
        <v>C00000014</v>
      </c>
      <c r="F1772" s="1" t="s">
        <v>263</v>
      </c>
      <c r="G1772" s="89" t="s">
        <v>895</v>
      </c>
      <c r="H1772" s="5">
        <v>2</v>
      </c>
      <c r="I1772" s="5" t="str">
        <f>VLOOKUP(F1772,'Set up'!$A$2:$C$48,3,FALSE)</f>
        <v>Cash</v>
      </c>
      <c r="J1772" s="5">
        <f>VLOOKUP(F1772,'Set up'!$A$2:$D$48,4,FALSE)</f>
        <v>0</v>
      </c>
      <c r="K1772" s="4">
        <f t="shared" si="613"/>
        <v>45092</v>
      </c>
      <c r="L1772" s="5">
        <f t="shared" si="614"/>
        <v>6</v>
      </c>
      <c r="M1772" s="5">
        <f t="shared" si="615"/>
        <v>2023</v>
      </c>
      <c r="N1772" s="6">
        <v>320</v>
      </c>
      <c r="O1772" s="6">
        <f>-N1772</f>
        <v>-320</v>
      </c>
      <c r="P1772" s="6">
        <f t="shared" si="616"/>
        <v>0</v>
      </c>
      <c r="Q1772" s="7">
        <f t="shared" si="617"/>
        <v>3204145.0500000012</v>
      </c>
      <c r="R1772" s="44" t="str">
        <f>VLOOKUP(F1772,'Set up'!$A$2:$E$48,5,FALSE)</f>
        <v>Cash</v>
      </c>
      <c r="S1772" s="1" t="s">
        <v>1680</v>
      </c>
    </row>
    <row r="1773" spans="1:19" ht="15" hidden="1" customHeight="1" x14ac:dyDescent="0.3">
      <c r="A1773" s="4">
        <v>45092</v>
      </c>
      <c r="B1773" s="5">
        <f t="shared" si="611"/>
        <v>6</v>
      </c>
      <c r="C1773" s="5">
        <f t="shared" si="612"/>
        <v>2023</v>
      </c>
      <c r="D1773" s="5" t="s">
        <v>1630</v>
      </c>
      <c r="E1773" s="5" t="str">
        <f>VLOOKUP(F1773,'Set up'!$A$2:$C$48,2,FALSE)</f>
        <v>C00000038</v>
      </c>
      <c r="F1773" s="1" t="s">
        <v>1421</v>
      </c>
      <c r="G1773" s="89" t="s">
        <v>1631</v>
      </c>
      <c r="H1773" s="5">
        <v>1</v>
      </c>
      <c r="I1773" s="5" t="str">
        <f>VLOOKUP(F1773,'Set up'!$A$2:$C$48,3,FALSE)</f>
        <v>Cash</v>
      </c>
      <c r="J1773" s="5">
        <f>VLOOKUP(F1773,'Set up'!$A$2:$D$48,4,FALSE)</f>
        <v>0</v>
      </c>
      <c r="K1773" s="4">
        <f t="shared" si="613"/>
        <v>45092</v>
      </c>
      <c r="L1773" s="5">
        <f t="shared" si="614"/>
        <v>6</v>
      </c>
      <c r="M1773" s="5">
        <f t="shared" si="615"/>
        <v>2023</v>
      </c>
      <c r="N1773" s="6">
        <v>350</v>
      </c>
      <c r="O1773" s="6">
        <f t="shared" ref="O1773:O1776" si="619">-N1773</f>
        <v>-350</v>
      </c>
      <c r="P1773" s="6">
        <f t="shared" si="616"/>
        <v>0</v>
      </c>
      <c r="Q1773" s="7">
        <f t="shared" si="617"/>
        <v>3204495.0500000012</v>
      </c>
      <c r="R1773" s="44" t="str">
        <f>VLOOKUP(F1773,'Set up'!$A$2:$E$48,5,FALSE)</f>
        <v>Trsf</v>
      </c>
      <c r="S1773" s="1" t="s">
        <v>1678</v>
      </c>
    </row>
    <row r="1774" spans="1:19" ht="15" hidden="1" customHeight="1" x14ac:dyDescent="0.3">
      <c r="A1774" s="4">
        <v>45092</v>
      </c>
      <c r="B1774" s="5">
        <f t="shared" si="611"/>
        <v>6</v>
      </c>
      <c r="C1774" s="5">
        <f t="shared" si="612"/>
        <v>2023</v>
      </c>
      <c r="D1774" s="5" t="s">
        <v>1630</v>
      </c>
      <c r="E1774" s="5" t="str">
        <f>VLOOKUP(F1774,'Set up'!$A$2:$C$48,2,FALSE)</f>
        <v>C00000038</v>
      </c>
      <c r="F1774" s="1" t="s">
        <v>1421</v>
      </c>
      <c r="G1774" s="89" t="s">
        <v>1425</v>
      </c>
      <c r="H1774" s="5">
        <v>1</v>
      </c>
      <c r="I1774" s="5" t="str">
        <f>VLOOKUP(F1774,'Set up'!$A$2:$C$48,3,FALSE)</f>
        <v>Cash</v>
      </c>
      <c r="J1774" s="5">
        <f>VLOOKUP(F1774,'Set up'!$A$2:$D$48,4,FALSE)</f>
        <v>0</v>
      </c>
      <c r="K1774" s="4">
        <f t="shared" si="613"/>
        <v>45092</v>
      </c>
      <c r="L1774" s="5">
        <f t="shared" si="614"/>
        <v>6</v>
      </c>
      <c r="M1774" s="5">
        <f t="shared" si="615"/>
        <v>2023</v>
      </c>
      <c r="N1774" s="6">
        <v>105</v>
      </c>
      <c r="O1774" s="6">
        <f t="shared" si="619"/>
        <v>-105</v>
      </c>
      <c r="P1774" s="6">
        <f t="shared" si="616"/>
        <v>0</v>
      </c>
      <c r="Q1774" s="7">
        <f t="shared" si="617"/>
        <v>3204600.0500000012</v>
      </c>
      <c r="R1774" s="44" t="str">
        <f>VLOOKUP(F1774,'Set up'!$A$2:$E$48,5,FALSE)</f>
        <v>Trsf</v>
      </c>
      <c r="S1774" s="1" t="s">
        <v>1678</v>
      </c>
    </row>
    <row r="1775" spans="1:19" ht="15" hidden="1" customHeight="1" x14ac:dyDescent="0.3">
      <c r="A1775" s="4">
        <v>45092</v>
      </c>
      <c r="B1775" s="5">
        <f t="shared" si="611"/>
        <v>6</v>
      </c>
      <c r="C1775" s="5">
        <f t="shared" si="612"/>
        <v>2023</v>
      </c>
      <c r="D1775" s="5" t="s">
        <v>1630</v>
      </c>
      <c r="E1775" s="5" t="str">
        <f>VLOOKUP(F1775,'Set up'!$A$2:$C$48,2,FALSE)</f>
        <v>C00000038</v>
      </c>
      <c r="F1775" s="1" t="s">
        <v>1421</v>
      </c>
      <c r="G1775" s="89" t="s">
        <v>1426</v>
      </c>
      <c r="H1775" s="5">
        <v>1</v>
      </c>
      <c r="I1775" s="5" t="str">
        <f>VLOOKUP(F1775,'Set up'!$A$2:$C$48,3,FALSE)</f>
        <v>Cash</v>
      </c>
      <c r="J1775" s="5">
        <f>VLOOKUP(F1775,'Set up'!$A$2:$D$48,4,FALSE)</f>
        <v>0</v>
      </c>
      <c r="K1775" s="4">
        <f t="shared" si="613"/>
        <v>45092</v>
      </c>
      <c r="L1775" s="5">
        <f t="shared" si="614"/>
        <v>6</v>
      </c>
      <c r="M1775" s="5">
        <f t="shared" si="615"/>
        <v>2023</v>
      </c>
      <c r="N1775" s="6">
        <v>55</v>
      </c>
      <c r="O1775" s="6">
        <f t="shared" si="619"/>
        <v>-55</v>
      </c>
      <c r="P1775" s="6">
        <f t="shared" si="616"/>
        <v>0</v>
      </c>
      <c r="Q1775" s="7">
        <f t="shared" si="617"/>
        <v>3204655.0500000012</v>
      </c>
      <c r="R1775" s="44" t="str">
        <f>VLOOKUP(F1775,'Set up'!$A$2:$E$48,5,FALSE)</f>
        <v>Trsf</v>
      </c>
      <c r="S1775" s="1" t="s">
        <v>1678</v>
      </c>
    </row>
    <row r="1776" spans="1:19" ht="15" hidden="1" customHeight="1" x14ac:dyDescent="0.3">
      <c r="A1776" s="4">
        <v>45092</v>
      </c>
      <c r="B1776" s="5">
        <f t="shared" si="611"/>
        <v>6</v>
      </c>
      <c r="C1776" s="5">
        <f t="shared" si="612"/>
        <v>2023</v>
      </c>
      <c r="D1776" s="5" t="s">
        <v>1630</v>
      </c>
      <c r="E1776" s="5" t="str">
        <f>VLOOKUP(F1776,'Set up'!$A$2:$C$48,2,FALSE)</f>
        <v>C00000038</v>
      </c>
      <c r="F1776" s="1" t="s">
        <v>1421</v>
      </c>
      <c r="G1776" s="89" t="s">
        <v>1632</v>
      </c>
      <c r="H1776" s="5">
        <v>1</v>
      </c>
      <c r="I1776" s="5" t="str">
        <f>VLOOKUP(F1776,'Set up'!$A$2:$C$48,3,FALSE)</f>
        <v>Cash</v>
      </c>
      <c r="J1776" s="5">
        <f>VLOOKUP(F1776,'Set up'!$A$2:$D$48,4,FALSE)</f>
        <v>0</v>
      </c>
      <c r="K1776" s="4">
        <f t="shared" si="613"/>
        <v>45092</v>
      </c>
      <c r="L1776" s="5">
        <f t="shared" si="614"/>
        <v>6</v>
      </c>
      <c r="M1776" s="5">
        <f t="shared" si="615"/>
        <v>2023</v>
      </c>
      <c r="N1776" s="6">
        <v>80</v>
      </c>
      <c r="O1776" s="6">
        <f t="shared" si="619"/>
        <v>-80</v>
      </c>
      <c r="P1776" s="6">
        <f t="shared" si="616"/>
        <v>0</v>
      </c>
      <c r="Q1776" s="7">
        <f t="shared" si="617"/>
        <v>3204735.0500000012</v>
      </c>
      <c r="R1776" s="44" t="str">
        <f>VLOOKUP(F1776,'Set up'!$A$2:$E$48,5,FALSE)</f>
        <v>Trsf</v>
      </c>
      <c r="S1776" s="1" t="s">
        <v>1678</v>
      </c>
    </row>
    <row r="1777" spans="1:19" ht="15" hidden="1" customHeight="1" x14ac:dyDescent="0.3">
      <c r="A1777" s="4">
        <v>45092</v>
      </c>
      <c r="B1777" s="5">
        <f t="shared" si="611"/>
        <v>6</v>
      </c>
      <c r="C1777" s="5">
        <f t="shared" si="612"/>
        <v>2023</v>
      </c>
      <c r="D1777" s="5" t="s">
        <v>1633</v>
      </c>
      <c r="E1777" s="5" t="str">
        <f>VLOOKUP(F1777,'Set up'!$A$2:$C$48,2,FALSE)</f>
        <v>C00000034</v>
      </c>
      <c r="F1777" s="1" t="s">
        <v>1197</v>
      </c>
      <c r="G1777" s="11" t="s">
        <v>1357</v>
      </c>
      <c r="H1777" s="5">
        <v>1</v>
      </c>
      <c r="I1777" s="5" t="str">
        <f>VLOOKUP(F1777,'Set up'!$A$2:$C$48,3,FALSE)</f>
        <v>Cash</v>
      </c>
      <c r="J1777" s="5">
        <f>VLOOKUP(F1777,'Set up'!$A$2:$D$48,4,FALSE)</f>
        <v>0</v>
      </c>
      <c r="K1777" s="4">
        <f t="shared" si="613"/>
        <v>45092</v>
      </c>
      <c r="L1777" s="5">
        <f t="shared" si="614"/>
        <v>6</v>
      </c>
      <c r="M1777" s="5">
        <f t="shared" si="615"/>
        <v>2023</v>
      </c>
      <c r="N1777" s="6">
        <v>1870</v>
      </c>
      <c r="O1777" s="6">
        <f t="shared" ref="O1777:O1781" si="620">-N1777</f>
        <v>-1870</v>
      </c>
      <c r="P1777" s="6">
        <f t="shared" si="616"/>
        <v>0</v>
      </c>
      <c r="Q1777" s="7">
        <f t="shared" si="617"/>
        <v>3206605.0500000012</v>
      </c>
      <c r="R1777" s="44" t="str">
        <f>VLOOKUP(F1777,'Set up'!$A$2:$E$48,5,FALSE)</f>
        <v>Trsf</v>
      </c>
      <c r="S1777" s="1" t="s">
        <v>1673</v>
      </c>
    </row>
    <row r="1778" spans="1:19" ht="15" hidden="1" customHeight="1" x14ac:dyDescent="0.3">
      <c r="A1778" s="4">
        <v>45092</v>
      </c>
      <c r="B1778" s="5">
        <f t="shared" si="611"/>
        <v>6</v>
      </c>
      <c r="C1778" s="5">
        <f t="shared" si="612"/>
        <v>2023</v>
      </c>
      <c r="D1778" s="5" t="s">
        <v>1633</v>
      </c>
      <c r="E1778" s="5" t="str">
        <f>VLOOKUP(F1778,'Set up'!$A$2:$C$48,2,FALSE)</f>
        <v>C00000034</v>
      </c>
      <c r="F1778" s="1" t="s">
        <v>1197</v>
      </c>
      <c r="G1778" s="11" t="s">
        <v>1432</v>
      </c>
      <c r="H1778" s="5">
        <v>2</v>
      </c>
      <c r="I1778" s="5" t="str">
        <f>VLOOKUP(F1778,'Set up'!$A$2:$C$48,3,FALSE)</f>
        <v>Cash</v>
      </c>
      <c r="J1778" s="5">
        <f>VLOOKUP(F1778,'Set up'!$A$2:$D$48,4,FALSE)</f>
        <v>0</v>
      </c>
      <c r="K1778" s="4">
        <f t="shared" si="613"/>
        <v>45092</v>
      </c>
      <c r="L1778" s="5">
        <f t="shared" si="614"/>
        <v>6</v>
      </c>
      <c r="M1778" s="5">
        <f t="shared" si="615"/>
        <v>2023</v>
      </c>
      <c r="N1778" s="6">
        <v>450</v>
      </c>
      <c r="O1778" s="6">
        <f t="shared" si="620"/>
        <v>-450</v>
      </c>
      <c r="P1778" s="6">
        <f t="shared" si="616"/>
        <v>0</v>
      </c>
      <c r="Q1778" s="7">
        <f t="shared" si="617"/>
        <v>3207055.0500000012</v>
      </c>
      <c r="R1778" s="44" t="str">
        <f>VLOOKUP(F1778,'Set up'!$A$2:$E$48,5,FALSE)</f>
        <v>Trsf</v>
      </c>
      <c r="S1778" s="1" t="s">
        <v>1673</v>
      </c>
    </row>
    <row r="1779" spans="1:19" ht="15" hidden="1" customHeight="1" x14ac:dyDescent="0.3">
      <c r="A1779" s="4">
        <v>45092</v>
      </c>
      <c r="B1779" s="5">
        <f t="shared" si="611"/>
        <v>6</v>
      </c>
      <c r="C1779" s="5">
        <f t="shared" si="612"/>
        <v>2023</v>
      </c>
      <c r="D1779" s="5" t="s">
        <v>1633</v>
      </c>
      <c r="E1779" s="5" t="str">
        <f>VLOOKUP(F1779,'Set up'!$A$2:$C$48,2,FALSE)</f>
        <v>C00000034</v>
      </c>
      <c r="F1779" s="1" t="s">
        <v>1197</v>
      </c>
      <c r="G1779" s="89" t="s">
        <v>1625</v>
      </c>
      <c r="H1779" s="5">
        <v>1</v>
      </c>
      <c r="I1779" s="5" t="str">
        <f>VLOOKUP(F1779,'Set up'!$A$2:$C$48,3,FALSE)</f>
        <v>Cash</v>
      </c>
      <c r="J1779" s="5">
        <f>VLOOKUP(F1779,'Set up'!$A$2:$D$48,4,FALSE)</f>
        <v>0</v>
      </c>
      <c r="K1779" s="4">
        <f t="shared" si="613"/>
        <v>45092</v>
      </c>
      <c r="L1779" s="5">
        <f t="shared" si="614"/>
        <v>6</v>
      </c>
      <c r="M1779" s="5">
        <f t="shared" si="615"/>
        <v>2023</v>
      </c>
      <c r="N1779" s="6">
        <v>236</v>
      </c>
      <c r="O1779" s="6">
        <f t="shared" si="620"/>
        <v>-236</v>
      </c>
      <c r="P1779" s="6">
        <f t="shared" si="616"/>
        <v>0</v>
      </c>
      <c r="Q1779" s="7">
        <f t="shared" si="617"/>
        <v>3207291.0500000012</v>
      </c>
      <c r="R1779" s="44" t="str">
        <f>VLOOKUP(F1779,'Set up'!$A$2:$E$48,5,FALSE)</f>
        <v>Trsf</v>
      </c>
      <c r="S1779" s="1" t="s">
        <v>1673</v>
      </c>
    </row>
    <row r="1780" spans="1:19" ht="15" hidden="1" customHeight="1" x14ac:dyDescent="0.3">
      <c r="A1780" s="4">
        <v>45092</v>
      </c>
      <c r="B1780" s="5">
        <f t="shared" si="611"/>
        <v>6</v>
      </c>
      <c r="C1780" s="5">
        <f t="shared" si="612"/>
        <v>2023</v>
      </c>
      <c r="D1780" s="5" t="s">
        <v>1633</v>
      </c>
      <c r="E1780" s="5" t="str">
        <f>VLOOKUP(F1780,'Set up'!$A$2:$C$48,2,FALSE)</f>
        <v>C00000034</v>
      </c>
      <c r="F1780" s="1" t="s">
        <v>1197</v>
      </c>
      <c r="G1780" s="90" t="s">
        <v>1352</v>
      </c>
      <c r="H1780" s="5">
        <v>10</v>
      </c>
      <c r="I1780" s="5" t="str">
        <f>VLOOKUP(F1780,'Set up'!$A$2:$C$48,3,FALSE)</f>
        <v>Cash</v>
      </c>
      <c r="J1780" s="5">
        <f>VLOOKUP(F1780,'Set up'!$A$2:$D$48,4,FALSE)</f>
        <v>0</v>
      </c>
      <c r="K1780" s="4">
        <f t="shared" si="613"/>
        <v>45092</v>
      </c>
      <c r="L1780" s="5">
        <f t="shared" si="614"/>
        <v>6</v>
      </c>
      <c r="M1780" s="5">
        <f t="shared" si="615"/>
        <v>2023</v>
      </c>
      <c r="N1780" s="6">
        <v>1390</v>
      </c>
      <c r="O1780" s="6">
        <f t="shared" si="620"/>
        <v>-1390</v>
      </c>
      <c r="P1780" s="6">
        <f t="shared" si="616"/>
        <v>0</v>
      </c>
      <c r="Q1780" s="7">
        <f t="shared" si="617"/>
        <v>3208681.0500000012</v>
      </c>
      <c r="R1780" s="44" t="str">
        <f>VLOOKUP(F1780,'Set up'!$A$2:$E$48,5,FALSE)</f>
        <v>Trsf</v>
      </c>
      <c r="S1780" s="1" t="s">
        <v>1673</v>
      </c>
    </row>
    <row r="1781" spans="1:19" ht="15" hidden="1" customHeight="1" x14ac:dyDescent="0.3">
      <c r="A1781" s="4">
        <v>45092</v>
      </c>
      <c r="B1781" s="5">
        <f t="shared" si="611"/>
        <v>6</v>
      </c>
      <c r="C1781" s="5">
        <f t="shared" si="612"/>
        <v>2023</v>
      </c>
      <c r="D1781" s="5" t="s">
        <v>1633</v>
      </c>
      <c r="E1781" s="5" t="str">
        <f>VLOOKUP(F1781,'Set up'!$A$2:$C$48,2,FALSE)</f>
        <v>C00000034</v>
      </c>
      <c r="F1781" s="1" t="s">
        <v>1197</v>
      </c>
      <c r="G1781" s="90" t="s">
        <v>1111</v>
      </c>
      <c r="H1781" s="5">
        <v>3</v>
      </c>
      <c r="I1781" s="5" t="str">
        <f>VLOOKUP(F1781,'Set up'!$A$2:$C$48,3,FALSE)</f>
        <v>Cash</v>
      </c>
      <c r="J1781" s="5">
        <f>VLOOKUP(F1781,'Set up'!$A$2:$D$48,4,FALSE)</f>
        <v>0</v>
      </c>
      <c r="K1781" s="4">
        <f t="shared" si="613"/>
        <v>45092</v>
      </c>
      <c r="L1781" s="5">
        <f t="shared" si="614"/>
        <v>6</v>
      </c>
      <c r="M1781" s="5">
        <f t="shared" si="615"/>
        <v>2023</v>
      </c>
      <c r="N1781" s="6">
        <v>187.5</v>
      </c>
      <c r="O1781" s="6">
        <f t="shared" si="620"/>
        <v>-187.5</v>
      </c>
      <c r="P1781" s="6">
        <f t="shared" si="616"/>
        <v>0</v>
      </c>
      <c r="Q1781" s="7">
        <f t="shared" si="617"/>
        <v>3208868.5500000012</v>
      </c>
      <c r="R1781" s="44" t="str">
        <f>VLOOKUP(F1781,'Set up'!$A$2:$E$48,5,FALSE)</f>
        <v>Trsf</v>
      </c>
      <c r="S1781" s="1" t="s">
        <v>1673</v>
      </c>
    </row>
    <row r="1782" spans="1:19" ht="15" customHeight="1" x14ac:dyDescent="0.3">
      <c r="A1782" s="4" t="s">
        <v>1637</v>
      </c>
      <c r="B1782" s="5">
        <f t="shared" si="611"/>
        <v>6</v>
      </c>
      <c r="C1782" s="5">
        <f t="shared" si="612"/>
        <v>2023</v>
      </c>
      <c r="D1782" s="5" t="s">
        <v>1634</v>
      </c>
      <c r="E1782" s="5" t="str">
        <f>VLOOKUP(F1782,'Set up'!$A$2:$C$48,2,FALSE)</f>
        <v>C00000020</v>
      </c>
      <c r="F1782" s="1" t="s">
        <v>410</v>
      </c>
      <c r="G1782" s="103" t="s">
        <v>1111</v>
      </c>
      <c r="H1782" s="5">
        <v>6</v>
      </c>
      <c r="I1782" s="5" t="str">
        <f>VLOOKUP(F1782,'Set up'!$A$2:$C$48,3,FALSE)</f>
        <v>Cash</v>
      </c>
      <c r="J1782" s="5">
        <f>VLOOKUP(F1782,'Set up'!$A$2:$D$48,4,FALSE)</f>
        <v>0</v>
      </c>
      <c r="K1782" s="4">
        <f t="shared" si="613"/>
        <v>45093</v>
      </c>
      <c r="L1782" s="5">
        <f t="shared" si="614"/>
        <v>6</v>
      </c>
      <c r="M1782" s="5">
        <f t="shared" si="615"/>
        <v>2023</v>
      </c>
      <c r="N1782" s="96">
        <v>375</v>
      </c>
      <c r="P1782" s="6">
        <f t="shared" si="616"/>
        <v>375</v>
      </c>
      <c r="Q1782" s="7">
        <f t="shared" si="617"/>
        <v>3209243.5500000012</v>
      </c>
      <c r="R1782" s="44" t="str">
        <f>VLOOKUP(F1782,'Set up'!$A$2:$E$48,5,FALSE)</f>
        <v>Trsf</v>
      </c>
    </row>
    <row r="1783" spans="1:19" ht="15" customHeight="1" x14ac:dyDescent="0.3">
      <c r="A1783" s="4" t="s">
        <v>1637</v>
      </c>
      <c r="B1783" s="5">
        <f t="shared" ref="B1783:B1803" si="621">MONTH(A1783)</f>
        <v>6</v>
      </c>
      <c r="C1783" s="5">
        <f t="shared" ref="C1783:C1803" si="622">YEAR(A1783)</f>
        <v>2023</v>
      </c>
      <c r="D1783" s="5" t="s">
        <v>1635</v>
      </c>
      <c r="E1783" s="5" t="str">
        <f>VLOOKUP(F1783,'Set up'!$A$2:$C$48,2,FALSE)</f>
        <v>C00000020</v>
      </c>
      <c r="F1783" s="1" t="s">
        <v>410</v>
      </c>
      <c r="G1783" s="103" t="s">
        <v>720</v>
      </c>
      <c r="H1783" s="88">
        <v>6</v>
      </c>
      <c r="I1783" s="5" t="str">
        <f>VLOOKUP(F1783,'Set up'!$A$2:$C$48,3,FALSE)</f>
        <v>Cash</v>
      </c>
      <c r="J1783" s="5">
        <f>VLOOKUP(F1783,'Set up'!$A$2:$D$48,4,FALSE)</f>
        <v>0</v>
      </c>
      <c r="K1783" s="4">
        <f t="shared" si="613"/>
        <v>45093</v>
      </c>
      <c r="L1783" s="5">
        <f t="shared" si="614"/>
        <v>6</v>
      </c>
      <c r="M1783" s="5">
        <f t="shared" si="615"/>
        <v>2023</v>
      </c>
      <c r="N1783" s="6">
        <v>10692</v>
      </c>
      <c r="P1783" s="6">
        <f t="shared" ref="P1783:P1825" si="623">SUM(N1783+O1783)</f>
        <v>10692</v>
      </c>
      <c r="Q1783" s="7">
        <f t="shared" ref="Q1783:Q1825" si="624">SUM(Q1782+N1783)</f>
        <v>3219935.5500000012</v>
      </c>
      <c r="R1783" s="44" t="str">
        <f>VLOOKUP(F1783,'Set up'!$A$2:$E$48,5,FALSE)</f>
        <v>Trsf</v>
      </c>
    </row>
    <row r="1784" spans="1:19" ht="15" customHeight="1" x14ac:dyDescent="0.3">
      <c r="A1784" s="4" t="s">
        <v>1637</v>
      </c>
      <c r="B1784" s="5">
        <f t="shared" si="621"/>
        <v>6</v>
      </c>
      <c r="C1784" s="5">
        <f t="shared" si="622"/>
        <v>2023</v>
      </c>
      <c r="D1784" s="5" t="s">
        <v>1635</v>
      </c>
      <c r="E1784" s="5" t="str">
        <f>VLOOKUP(F1784,'Set up'!$A$2:$C$48,2,FALSE)</f>
        <v>C00000020</v>
      </c>
      <c r="F1784" s="1" t="s">
        <v>410</v>
      </c>
      <c r="G1784" s="90" t="s">
        <v>655</v>
      </c>
      <c r="H1784" s="88">
        <v>7</v>
      </c>
      <c r="I1784" s="5" t="str">
        <f>VLOOKUP(F1784,'Set up'!$A$2:$C$48,3,FALSE)</f>
        <v>Cash</v>
      </c>
      <c r="J1784" s="5">
        <f>VLOOKUP(F1784,'Set up'!$A$2:$D$48,4,FALSE)</f>
        <v>0</v>
      </c>
      <c r="K1784" s="4">
        <f t="shared" si="613"/>
        <v>45093</v>
      </c>
      <c r="L1784" s="5">
        <f t="shared" si="614"/>
        <v>6</v>
      </c>
      <c r="M1784" s="5">
        <f t="shared" si="615"/>
        <v>2023</v>
      </c>
      <c r="N1784" s="6">
        <v>1575</v>
      </c>
      <c r="P1784" s="6">
        <f t="shared" si="623"/>
        <v>1575</v>
      </c>
      <c r="Q1784" s="7">
        <f t="shared" si="624"/>
        <v>3221510.5500000012</v>
      </c>
      <c r="R1784" s="44" t="str">
        <f>VLOOKUP(F1784,'Set up'!$A$2:$E$48,5,FALSE)</f>
        <v>Trsf</v>
      </c>
    </row>
    <row r="1785" spans="1:19" ht="15" customHeight="1" x14ac:dyDescent="0.3">
      <c r="A1785" s="4" t="s">
        <v>1637</v>
      </c>
      <c r="B1785" s="5">
        <f t="shared" si="621"/>
        <v>6</v>
      </c>
      <c r="C1785" s="5">
        <f t="shared" si="622"/>
        <v>2023</v>
      </c>
      <c r="D1785" s="5" t="s">
        <v>1635</v>
      </c>
      <c r="E1785" s="5" t="str">
        <f>VLOOKUP(F1785,'Set up'!$A$2:$C$48,2,FALSE)</f>
        <v>C00000020</v>
      </c>
      <c r="F1785" s="1" t="s">
        <v>410</v>
      </c>
      <c r="G1785" s="90" t="s">
        <v>708</v>
      </c>
      <c r="H1785" s="88">
        <v>4</v>
      </c>
      <c r="I1785" s="5" t="str">
        <f>VLOOKUP(F1785,'Set up'!$A$2:$C$48,3,FALSE)</f>
        <v>Cash</v>
      </c>
      <c r="J1785" s="5">
        <f>VLOOKUP(F1785,'Set up'!$A$2:$D$48,4,FALSE)</f>
        <v>0</v>
      </c>
      <c r="K1785" s="4">
        <f t="shared" si="613"/>
        <v>45093</v>
      </c>
      <c r="L1785" s="5">
        <f t="shared" si="614"/>
        <v>6</v>
      </c>
      <c r="M1785" s="5">
        <f t="shared" si="615"/>
        <v>2023</v>
      </c>
      <c r="N1785" s="6">
        <v>1620</v>
      </c>
      <c r="P1785" s="6">
        <f t="shared" si="623"/>
        <v>1620</v>
      </c>
      <c r="Q1785" s="7">
        <f t="shared" si="624"/>
        <v>3223130.5500000012</v>
      </c>
      <c r="R1785" s="44" t="str">
        <f>VLOOKUP(F1785,'Set up'!$A$2:$E$48,5,FALSE)</f>
        <v>Trsf</v>
      </c>
    </row>
    <row r="1786" spans="1:19" ht="15" customHeight="1" x14ac:dyDescent="0.3">
      <c r="A1786" s="4" t="s">
        <v>1637</v>
      </c>
      <c r="B1786" s="5">
        <f t="shared" si="621"/>
        <v>6</v>
      </c>
      <c r="C1786" s="5">
        <f t="shared" si="622"/>
        <v>2023</v>
      </c>
      <c r="D1786" s="5" t="s">
        <v>1635</v>
      </c>
      <c r="E1786" s="5" t="str">
        <f>VLOOKUP(F1786,'Set up'!$A$2:$C$48,2,FALSE)</f>
        <v>C00000020</v>
      </c>
      <c r="F1786" s="1" t="s">
        <v>410</v>
      </c>
      <c r="G1786" s="90" t="s">
        <v>656</v>
      </c>
      <c r="H1786" s="88">
        <v>10</v>
      </c>
      <c r="I1786" s="5" t="str">
        <f>VLOOKUP(F1786,'Set up'!$A$2:$C$48,3,FALSE)</f>
        <v>Cash</v>
      </c>
      <c r="J1786" s="5">
        <f>VLOOKUP(F1786,'Set up'!$A$2:$D$48,4,FALSE)</f>
        <v>0</v>
      </c>
      <c r="K1786" s="4">
        <f t="shared" si="613"/>
        <v>45093</v>
      </c>
      <c r="L1786" s="5">
        <f t="shared" si="614"/>
        <v>6</v>
      </c>
      <c r="M1786" s="5">
        <f t="shared" si="615"/>
        <v>2023</v>
      </c>
      <c r="N1786" s="6">
        <v>2480</v>
      </c>
      <c r="P1786" s="6">
        <f t="shared" si="623"/>
        <v>2480</v>
      </c>
      <c r="Q1786" s="7">
        <f t="shared" si="624"/>
        <v>3225610.5500000012</v>
      </c>
      <c r="R1786" s="44" t="str">
        <f>VLOOKUP(F1786,'Set up'!$A$2:$E$48,5,FALSE)</f>
        <v>Trsf</v>
      </c>
    </row>
    <row r="1787" spans="1:19" ht="15" hidden="1" customHeight="1" x14ac:dyDescent="0.3">
      <c r="A1787" s="4" t="s">
        <v>1637</v>
      </c>
      <c r="B1787" s="5">
        <f t="shared" si="621"/>
        <v>6</v>
      </c>
      <c r="C1787" s="5">
        <f t="shared" si="622"/>
        <v>2023</v>
      </c>
      <c r="D1787" s="5" t="s">
        <v>1636</v>
      </c>
      <c r="E1787" s="5" t="str">
        <f>VLOOKUP(F1787,'Set up'!$A$2:$C$48,2,FALSE)</f>
        <v>C00000013</v>
      </c>
      <c r="F1787" s="1" t="s">
        <v>1454</v>
      </c>
      <c r="G1787" s="89" t="s">
        <v>1443</v>
      </c>
      <c r="H1787" s="5">
        <v>9</v>
      </c>
      <c r="I1787" s="5" t="str">
        <f>VLOOKUP(F1787,'Set up'!$A$2:$C$48,3,FALSE)</f>
        <v>Cash</v>
      </c>
      <c r="J1787" s="5">
        <f>VLOOKUP(F1787,'Set up'!$A$2:$D$48,4,FALSE)</f>
        <v>0</v>
      </c>
      <c r="K1787" s="4">
        <f t="shared" si="613"/>
        <v>45093</v>
      </c>
      <c r="L1787" s="5">
        <f t="shared" si="614"/>
        <v>6</v>
      </c>
      <c r="M1787" s="5">
        <f t="shared" si="615"/>
        <v>2023</v>
      </c>
      <c r="N1787" s="6">
        <v>16434</v>
      </c>
      <c r="O1787" s="6">
        <f t="shared" ref="O1787:O1807" si="625">-N1787</f>
        <v>-16434</v>
      </c>
      <c r="P1787" s="6">
        <f t="shared" si="623"/>
        <v>0</v>
      </c>
      <c r="Q1787" s="7">
        <f t="shared" si="624"/>
        <v>3242044.5500000012</v>
      </c>
      <c r="R1787" s="44" t="str">
        <f>VLOOKUP(F1787,'Set up'!$A$2:$E$48,5,FALSE)</f>
        <v>Chq</v>
      </c>
      <c r="S1787" s="1" t="s">
        <v>1689</v>
      </c>
    </row>
    <row r="1788" spans="1:19" ht="15" hidden="1" customHeight="1" x14ac:dyDescent="0.3">
      <c r="A1788" s="4" t="s">
        <v>1641</v>
      </c>
      <c r="B1788" s="5">
        <f t="shared" si="621"/>
        <v>6</v>
      </c>
      <c r="C1788" s="5">
        <f t="shared" si="622"/>
        <v>2023</v>
      </c>
      <c r="D1788" s="105" t="s">
        <v>1636</v>
      </c>
      <c r="E1788" s="5" t="str">
        <f>VLOOKUP(F1788,'Set up'!$A$2:$C$48,2,FALSE)</f>
        <v>C00000013</v>
      </c>
      <c r="F1788" s="1" t="s">
        <v>1454</v>
      </c>
      <c r="G1788" s="89" t="s">
        <v>1444</v>
      </c>
      <c r="H1788" s="5">
        <v>10</v>
      </c>
      <c r="I1788" s="5" t="str">
        <f>VLOOKUP(F1788,'Set up'!$A$2:$C$48,3,FALSE)</f>
        <v>Cash</v>
      </c>
      <c r="J1788" s="5">
        <f>VLOOKUP(F1788,'Set up'!$A$2:$D$48,4,FALSE)</f>
        <v>0</v>
      </c>
      <c r="K1788" s="4">
        <f t="shared" si="613"/>
        <v>45096</v>
      </c>
      <c r="L1788" s="5">
        <f t="shared" si="614"/>
        <v>6</v>
      </c>
      <c r="M1788" s="5">
        <f t="shared" si="615"/>
        <v>2023</v>
      </c>
      <c r="N1788" s="6">
        <v>4266</v>
      </c>
      <c r="O1788" s="6">
        <f t="shared" si="625"/>
        <v>-4266</v>
      </c>
      <c r="P1788" s="6">
        <f t="shared" si="623"/>
        <v>0</v>
      </c>
      <c r="Q1788" s="7">
        <f t="shared" si="624"/>
        <v>3246310.5500000012</v>
      </c>
      <c r="R1788" s="44" t="str">
        <f>VLOOKUP(F1788,'Set up'!$A$2:$E$48,5,FALSE)</f>
        <v>Chq</v>
      </c>
      <c r="S1788" s="1" t="s">
        <v>1689</v>
      </c>
    </row>
    <row r="1789" spans="1:19" ht="15" hidden="1" customHeight="1" x14ac:dyDescent="0.3">
      <c r="A1789" s="4" t="s">
        <v>1641</v>
      </c>
      <c r="B1789" s="5">
        <f t="shared" si="621"/>
        <v>6</v>
      </c>
      <c r="C1789" s="5">
        <f t="shared" si="622"/>
        <v>2023</v>
      </c>
      <c r="D1789" s="105" t="s">
        <v>1636</v>
      </c>
      <c r="E1789" s="5" t="str">
        <f>VLOOKUP(F1789,'Set up'!$A$2:$C$48,2,FALSE)</f>
        <v>C00000013</v>
      </c>
      <c r="F1789" s="1" t="s">
        <v>1454</v>
      </c>
      <c r="G1789" s="89" t="s">
        <v>1445</v>
      </c>
      <c r="H1789" s="5">
        <v>6</v>
      </c>
      <c r="I1789" s="5" t="str">
        <f>VLOOKUP(F1789,'Set up'!$A$2:$C$48,3,FALSE)</f>
        <v>Cash</v>
      </c>
      <c r="J1789" s="5">
        <f>VLOOKUP(F1789,'Set up'!$A$2:$D$48,4,FALSE)</f>
        <v>0</v>
      </c>
      <c r="K1789" s="4">
        <f t="shared" si="613"/>
        <v>45096</v>
      </c>
      <c r="L1789" s="5">
        <f t="shared" si="614"/>
        <v>6</v>
      </c>
      <c r="M1789" s="5">
        <f t="shared" si="615"/>
        <v>2023</v>
      </c>
      <c r="N1789" s="6">
        <v>2559.6000000000004</v>
      </c>
      <c r="O1789" s="6">
        <f t="shared" si="625"/>
        <v>-2559.6000000000004</v>
      </c>
      <c r="P1789" s="6">
        <f t="shared" si="623"/>
        <v>0</v>
      </c>
      <c r="Q1789" s="7">
        <f t="shared" si="624"/>
        <v>3248870.1500000013</v>
      </c>
      <c r="R1789" s="44" t="str">
        <f>VLOOKUP(F1789,'Set up'!$A$2:$E$48,5,FALSE)</f>
        <v>Chq</v>
      </c>
      <c r="S1789" s="1" t="s">
        <v>1689</v>
      </c>
    </row>
    <row r="1790" spans="1:19" ht="15" hidden="1" customHeight="1" x14ac:dyDescent="0.3">
      <c r="A1790" s="4" t="s">
        <v>1641</v>
      </c>
      <c r="B1790" s="5">
        <f t="shared" si="621"/>
        <v>6</v>
      </c>
      <c r="C1790" s="5">
        <f t="shared" si="622"/>
        <v>2023</v>
      </c>
      <c r="D1790" s="105" t="s">
        <v>1636</v>
      </c>
      <c r="E1790" s="5" t="str">
        <f>VLOOKUP(F1790,'Set up'!$A$2:$C$48,2,FALSE)</f>
        <v>C00000013</v>
      </c>
      <c r="F1790" s="1" t="s">
        <v>1454</v>
      </c>
      <c r="G1790" s="89" t="s">
        <v>1446</v>
      </c>
      <c r="H1790" s="5">
        <v>16</v>
      </c>
      <c r="I1790" s="5" t="str">
        <f>VLOOKUP(F1790,'Set up'!$A$2:$C$48,3,FALSE)</f>
        <v>Cash</v>
      </c>
      <c r="J1790" s="5">
        <f>VLOOKUP(F1790,'Set up'!$A$2:$D$48,4,FALSE)</f>
        <v>0</v>
      </c>
      <c r="K1790" s="4">
        <f t="shared" si="613"/>
        <v>45096</v>
      </c>
      <c r="L1790" s="5">
        <f t="shared" si="614"/>
        <v>6</v>
      </c>
      <c r="M1790" s="5">
        <f t="shared" si="615"/>
        <v>2023</v>
      </c>
      <c r="N1790" s="6">
        <v>4128</v>
      </c>
      <c r="O1790" s="6">
        <f t="shared" si="625"/>
        <v>-4128</v>
      </c>
      <c r="P1790" s="6">
        <f t="shared" si="623"/>
        <v>0</v>
      </c>
      <c r="Q1790" s="7">
        <f t="shared" si="624"/>
        <v>3252998.1500000013</v>
      </c>
      <c r="R1790" s="44" t="str">
        <f>VLOOKUP(F1790,'Set up'!$A$2:$E$48,5,FALSE)</f>
        <v>Chq</v>
      </c>
      <c r="S1790" s="1" t="s">
        <v>1689</v>
      </c>
    </row>
    <row r="1791" spans="1:19" ht="15" hidden="1" customHeight="1" x14ac:dyDescent="0.3">
      <c r="A1791" s="4" t="s">
        <v>1641</v>
      </c>
      <c r="B1791" s="5">
        <f t="shared" si="621"/>
        <v>6</v>
      </c>
      <c r="C1791" s="5">
        <f t="shared" si="622"/>
        <v>2023</v>
      </c>
      <c r="D1791" s="105" t="s">
        <v>1636</v>
      </c>
      <c r="E1791" s="5" t="str">
        <f>VLOOKUP(F1791,'Set up'!$A$2:$C$48,2,FALSE)</f>
        <v>C00000013</v>
      </c>
      <c r="F1791" s="1" t="s">
        <v>1454</v>
      </c>
      <c r="G1791" s="89" t="s">
        <v>1447</v>
      </c>
      <c r="H1791" s="5">
        <v>15</v>
      </c>
      <c r="I1791" s="5" t="str">
        <f>VLOOKUP(F1791,'Set up'!$A$2:$C$48,3,FALSE)</f>
        <v>Cash</v>
      </c>
      <c r="J1791" s="5">
        <f>VLOOKUP(F1791,'Set up'!$A$2:$D$48,4,FALSE)</f>
        <v>0</v>
      </c>
      <c r="K1791" s="4">
        <f t="shared" si="613"/>
        <v>45096</v>
      </c>
      <c r="L1791" s="5">
        <f t="shared" si="614"/>
        <v>6</v>
      </c>
      <c r="M1791" s="5">
        <f t="shared" si="615"/>
        <v>2023</v>
      </c>
      <c r="N1791" s="6">
        <v>750</v>
      </c>
      <c r="O1791" s="6">
        <f t="shared" si="625"/>
        <v>-750</v>
      </c>
      <c r="P1791" s="6">
        <f t="shared" si="623"/>
        <v>0</v>
      </c>
      <c r="Q1791" s="7">
        <f t="shared" si="624"/>
        <v>3253748.1500000013</v>
      </c>
      <c r="R1791" s="44" t="str">
        <f>VLOOKUP(F1791,'Set up'!$A$2:$E$48,5,FALSE)</f>
        <v>Chq</v>
      </c>
      <c r="S1791" s="1" t="s">
        <v>1689</v>
      </c>
    </row>
    <row r="1792" spans="1:19" ht="15" hidden="1" customHeight="1" x14ac:dyDescent="0.3">
      <c r="A1792" s="4" t="s">
        <v>1641</v>
      </c>
      <c r="B1792" s="5">
        <f t="shared" si="621"/>
        <v>6</v>
      </c>
      <c r="C1792" s="5">
        <f t="shared" si="622"/>
        <v>2023</v>
      </c>
      <c r="D1792" s="105" t="s">
        <v>1636</v>
      </c>
      <c r="E1792" s="5" t="str">
        <f>VLOOKUP(F1792,'Set up'!$A$2:$C$48,2,FALSE)</f>
        <v>C00000013</v>
      </c>
      <c r="F1792" s="1" t="s">
        <v>1454</v>
      </c>
      <c r="G1792" s="89" t="s">
        <v>1448</v>
      </c>
      <c r="H1792" s="5">
        <v>3</v>
      </c>
      <c r="I1792" s="5" t="str">
        <f>VLOOKUP(F1792,'Set up'!$A$2:$C$48,3,FALSE)</f>
        <v>Cash</v>
      </c>
      <c r="J1792" s="5">
        <f>VLOOKUP(F1792,'Set up'!$A$2:$D$48,4,FALSE)</f>
        <v>0</v>
      </c>
      <c r="K1792" s="4">
        <f t="shared" si="613"/>
        <v>45096</v>
      </c>
      <c r="L1792" s="5">
        <f t="shared" si="614"/>
        <v>6</v>
      </c>
      <c r="M1792" s="5">
        <f t="shared" si="615"/>
        <v>2023</v>
      </c>
      <c r="N1792" s="6">
        <v>2400</v>
      </c>
      <c r="O1792" s="6">
        <f t="shared" si="625"/>
        <v>-2400</v>
      </c>
      <c r="P1792" s="6">
        <f t="shared" si="623"/>
        <v>0</v>
      </c>
      <c r="Q1792" s="7">
        <f t="shared" si="624"/>
        <v>3256148.1500000013</v>
      </c>
      <c r="R1792" s="44" t="str">
        <f>VLOOKUP(F1792,'Set up'!$A$2:$E$48,5,FALSE)</f>
        <v>Chq</v>
      </c>
      <c r="S1792" s="1" t="s">
        <v>1689</v>
      </c>
    </row>
    <row r="1793" spans="1:19" ht="15" hidden="1" customHeight="1" x14ac:dyDescent="0.3">
      <c r="A1793" s="4" t="s">
        <v>1641</v>
      </c>
      <c r="B1793" s="5">
        <f t="shared" si="621"/>
        <v>6</v>
      </c>
      <c r="C1793" s="5">
        <f t="shared" si="622"/>
        <v>2023</v>
      </c>
      <c r="D1793" s="105" t="s">
        <v>1636</v>
      </c>
      <c r="E1793" s="5" t="str">
        <f>VLOOKUP(F1793,'Set up'!$A$2:$C$48,2,FALSE)</f>
        <v>C00000013</v>
      </c>
      <c r="F1793" s="1" t="s">
        <v>1454</v>
      </c>
      <c r="G1793" s="89" t="s">
        <v>1638</v>
      </c>
      <c r="H1793" s="5">
        <v>5</v>
      </c>
      <c r="I1793" s="5" t="str">
        <f>VLOOKUP(F1793,'Set up'!$A$2:$C$48,3,FALSE)</f>
        <v>Cash</v>
      </c>
      <c r="J1793" s="5">
        <f>VLOOKUP(F1793,'Set up'!$A$2:$D$48,4,FALSE)</f>
        <v>0</v>
      </c>
      <c r="K1793" s="4">
        <f t="shared" si="613"/>
        <v>45096</v>
      </c>
      <c r="L1793" s="5">
        <f t="shared" si="614"/>
        <v>6</v>
      </c>
      <c r="M1793" s="5">
        <f t="shared" si="615"/>
        <v>2023</v>
      </c>
      <c r="N1793" s="6">
        <v>2150</v>
      </c>
      <c r="O1793" s="6">
        <f t="shared" si="625"/>
        <v>-2150</v>
      </c>
      <c r="P1793" s="6">
        <f t="shared" si="623"/>
        <v>0</v>
      </c>
      <c r="Q1793" s="7">
        <f t="shared" si="624"/>
        <v>3258298.1500000013</v>
      </c>
      <c r="R1793" s="44" t="str">
        <f>VLOOKUP(F1793,'Set up'!$A$2:$E$48,5,FALSE)</f>
        <v>Chq</v>
      </c>
      <c r="S1793" s="1" t="s">
        <v>1689</v>
      </c>
    </row>
    <row r="1794" spans="1:19" ht="15" hidden="1" customHeight="1" x14ac:dyDescent="0.3">
      <c r="A1794" s="4" t="s">
        <v>1641</v>
      </c>
      <c r="B1794" s="5">
        <f t="shared" si="621"/>
        <v>6</v>
      </c>
      <c r="C1794" s="5">
        <f t="shared" si="622"/>
        <v>2023</v>
      </c>
      <c r="D1794" s="105" t="s">
        <v>1636</v>
      </c>
      <c r="E1794" s="5" t="str">
        <f>VLOOKUP(F1794,'Set up'!$A$2:$C$48,2,FALSE)</f>
        <v>C00000013</v>
      </c>
      <c r="F1794" s="1" t="s">
        <v>1454</v>
      </c>
      <c r="G1794" s="89" t="s">
        <v>1450</v>
      </c>
      <c r="H1794" s="5">
        <v>10</v>
      </c>
      <c r="I1794" s="5" t="str">
        <f>VLOOKUP(F1794,'Set up'!$A$2:$C$48,3,FALSE)</f>
        <v>Cash</v>
      </c>
      <c r="J1794" s="5">
        <f>VLOOKUP(F1794,'Set up'!$A$2:$D$48,4,FALSE)</f>
        <v>0</v>
      </c>
      <c r="K1794" s="4">
        <f t="shared" si="613"/>
        <v>45096</v>
      </c>
      <c r="L1794" s="5">
        <f t="shared" si="614"/>
        <v>6</v>
      </c>
      <c r="M1794" s="5">
        <f t="shared" si="615"/>
        <v>2023</v>
      </c>
      <c r="N1794" s="6">
        <v>1100</v>
      </c>
      <c r="O1794" s="6">
        <f t="shared" si="625"/>
        <v>-1100</v>
      </c>
      <c r="P1794" s="6">
        <f t="shared" si="623"/>
        <v>0</v>
      </c>
      <c r="Q1794" s="7">
        <f t="shared" si="624"/>
        <v>3259398.1500000013</v>
      </c>
      <c r="R1794" s="44" t="str">
        <f>VLOOKUP(F1794,'Set up'!$A$2:$E$48,5,FALSE)</f>
        <v>Chq</v>
      </c>
      <c r="S1794" s="1" t="s">
        <v>1689</v>
      </c>
    </row>
    <row r="1795" spans="1:19" ht="15" hidden="1" customHeight="1" x14ac:dyDescent="0.3">
      <c r="A1795" s="4" t="s">
        <v>1641</v>
      </c>
      <c r="B1795" s="5">
        <f t="shared" si="621"/>
        <v>6</v>
      </c>
      <c r="C1795" s="5">
        <f t="shared" si="622"/>
        <v>2023</v>
      </c>
      <c r="D1795" s="105" t="s">
        <v>1636</v>
      </c>
      <c r="E1795" s="5" t="str">
        <f>VLOOKUP(F1795,'Set up'!$A$2:$C$48,2,FALSE)</f>
        <v>C00000013</v>
      </c>
      <c r="F1795" s="1" t="s">
        <v>1454</v>
      </c>
      <c r="G1795" s="89" t="s">
        <v>1451</v>
      </c>
      <c r="H1795" s="5">
        <v>3</v>
      </c>
      <c r="I1795" s="5" t="str">
        <f>VLOOKUP(F1795,'Set up'!$A$2:$C$48,3,FALSE)</f>
        <v>Cash</v>
      </c>
      <c r="J1795" s="5">
        <f>VLOOKUP(F1795,'Set up'!$A$2:$D$48,4,FALSE)</f>
        <v>0</v>
      </c>
      <c r="K1795" s="4">
        <f t="shared" si="613"/>
        <v>45096</v>
      </c>
      <c r="L1795" s="5">
        <f t="shared" si="614"/>
        <v>6</v>
      </c>
      <c r="M1795" s="5">
        <f t="shared" si="615"/>
        <v>2023</v>
      </c>
      <c r="N1795" s="6">
        <v>180</v>
      </c>
      <c r="O1795" s="6">
        <f t="shared" si="625"/>
        <v>-180</v>
      </c>
      <c r="P1795" s="6">
        <f t="shared" si="623"/>
        <v>0</v>
      </c>
      <c r="Q1795" s="7">
        <f t="shared" si="624"/>
        <v>3259578.1500000013</v>
      </c>
      <c r="R1795" s="44" t="str">
        <f>VLOOKUP(F1795,'Set up'!$A$2:$E$48,5,FALSE)</f>
        <v>Chq</v>
      </c>
      <c r="S1795" s="1" t="s">
        <v>1689</v>
      </c>
    </row>
    <row r="1796" spans="1:19" ht="15" hidden="1" customHeight="1" x14ac:dyDescent="0.3">
      <c r="A1796" s="4" t="s">
        <v>1641</v>
      </c>
      <c r="B1796" s="5">
        <f t="shared" si="621"/>
        <v>6</v>
      </c>
      <c r="C1796" s="5">
        <f t="shared" si="622"/>
        <v>2023</v>
      </c>
      <c r="D1796" s="105" t="s">
        <v>1636</v>
      </c>
      <c r="E1796" s="5" t="str">
        <f>VLOOKUP(F1796,'Set up'!$A$2:$C$48,2,FALSE)</f>
        <v>C00000013</v>
      </c>
      <c r="F1796" s="1" t="s">
        <v>1454</v>
      </c>
      <c r="G1796" s="89" t="s">
        <v>1452</v>
      </c>
      <c r="H1796" s="5">
        <v>2</v>
      </c>
      <c r="I1796" s="5" t="str">
        <f>VLOOKUP(F1796,'Set up'!$A$2:$C$48,3,FALSE)</f>
        <v>Cash</v>
      </c>
      <c r="J1796" s="5">
        <f>VLOOKUP(F1796,'Set up'!$A$2:$D$48,4,FALSE)</f>
        <v>0</v>
      </c>
      <c r="K1796" s="4">
        <f t="shared" si="613"/>
        <v>45096</v>
      </c>
      <c r="L1796" s="5">
        <f t="shared" si="614"/>
        <v>6</v>
      </c>
      <c r="M1796" s="5">
        <f t="shared" si="615"/>
        <v>2023</v>
      </c>
      <c r="N1796" s="6">
        <v>110.4</v>
      </c>
      <c r="O1796" s="6">
        <f t="shared" si="625"/>
        <v>-110.4</v>
      </c>
      <c r="P1796" s="6">
        <f t="shared" si="623"/>
        <v>0</v>
      </c>
      <c r="Q1796" s="7">
        <f t="shared" si="624"/>
        <v>3259688.5500000012</v>
      </c>
      <c r="R1796" s="44" t="str">
        <f>VLOOKUP(F1796,'Set up'!$A$2:$E$48,5,FALSE)</f>
        <v>Chq</v>
      </c>
      <c r="S1796" s="1" t="s">
        <v>1689</v>
      </c>
    </row>
    <row r="1797" spans="1:19" ht="15" hidden="1" customHeight="1" x14ac:dyDescent="0.3">
      <c r="A1797" s="4" t="s">
        <v>1641</v>
      </c>
      <c r="B1797" s="5">
        <f t="shared" si="621"/>
        <v>6</v>
      </c>
      <c r="C1797" s="5">
        <f t="shared" si="622"/>
        <v>2023</v>
      </c>
      <c r="D1797" s="105" t="s">
        <v>1636</v>
      </c>
      <c r="E1797" s="5" t="str">
        <f>VLOOKUP(F1797,'Set up'!$A$2:$C$48,2,FALSE)</f>
        <v>C00000013</v>
      </c>
      <c r="F1797" s="1" t="s">
        <v>1454</v>
      </c>
      <c r="G1797" s="89" t="s">
        <v>1453</v>
      </c>
      <c r="H1797" s="5">
        <v>1</v>
      </c>
      <c r="I1797" s="5" t="str">
        <f>VLOOKUP(F1797,'Set up'!$A$2:$C$48,3,FALSE)</f>
        <v>Cash</v>
      </c>
      <c r="J1797" s="5">
        <f>VLOOKUP(F1797,'Set up'!$A$2:$D$48,4,FALSE)</f>
        <v>0</v>
      </c>
      <c r="K1797" s="4">
        <f t="shared" si="613"/>
        <v>45096</v>
      </c>
      <c r="L1797" s="5">
        <f t="shared" si="614"/>
        <v>6</v>
      </c>
      <c r="M1797" s="5">
        <f t="shared" si="615"/>
        <v>2023</v>
      </c>
      <c r="N1797" s="6">
        <v>1108.4000000000001</v>
      </c>
      <c r="O1797" s="6">
        <f t="shared" si="625"/>
        <v>-1108.4000000000001</v>
      </c>
      <c r="P1797" s="6">
        <f t="shared" si="623"/>
        <v>0</v>
      </c>
      <c r="Q1797" s="7">
        <f t="shared" si="624"/>
        <v>3260796.9500000011</v>
      </c>
      <c r="R1797" s="44" t="str">
        <f>VLOOKUP(F1797,'Set up'!$A$2:$E$48,5,FALSE)</f>
        <v>Chq</v>
      </c>
      <c r="S1797" s="1" t="s">
        <v>1689</v>
      </c>
    </row>
    <row r="1798" spans="1:19" ht="15" hidden="1" customHeight="1" x14ac:dyDescent="0.3">
      <c r="A1798" s="4" t="s">
        <v>1641</v>
      </c>
      <c r="B1798" s="5">
        <f t="shared" si="621"/>
        <v>6</v>
      </c>
      <c r="C1798" s="5">
        <f t="shared" si="622"/>
        <v>2023</v>
      </c>
      <c r="D1798" s="105" t="s">
        <v>1636</v>
      </c>
      <c r="E1798" s="5" t="str">
        <f>VLOOKUP(F1798,'Set up'!$A$2:$C$48,2,FALSE)</f>
        <v>C00000013</v>
      </c>
      <c r="F1798" s="1" t="s">
        <v>1454</v>
      </c>
      <c r="G1798" s="89" t="s">
        <v>1639</v>
      </c>
      <c r="H1798" s="5">
        <v>3</v>
      </c>
      <c r="I1798" s="5" t="str">
        <f>VLOOKUP(F1798,'Set up'!$A$2:$C$48,3,FALSE)</f>
        <v>Cash</v>
      </c>
      <c r="J1798" s="5">
        <f>VLOOKUP(F1798,'Set up'!$A$2:$D$48,4,FALSE)</f>
        <v>0</v>
      </c>
      <c r="K1798" s="4">
        <f t="shared" si="613"/>
        <v>45096</v>
      </c>
      <c r="L1798" s="5">
        <f t="shared" si="614"/>
        <v>6</v>
      </c>
      <c r="M1798" s="5">
        <f t="shared" si="615"/>
        <v>2023</v>
      </c>
      <c r="N1798" s="6">
        <v>525</v>
      </c>
      <c r="O1798" s="6">
        <f t="shared" si="625"/>
        <v>-525</v>
      </c>
      <c r="P1798" s="6">
        <f t="shared" si="623"/>
        <v>0</v>
      </c>
      <c r="Q1798" s="7">
        <f t="shared" si="624"/>
        <v>3261321.9500000011</v>
      </c>
      <c r="R1798" s="44" t="str">
        <f>VLOOKUP(F1798,'Set up'!$A$2:$E$48,5,FALSE)</f>
        <v>Chq</v>
      </c>
      <c r="S1798" s="1" t="s">
        <v>1689</v>
      </c>
    </row>
    <row r="1799" spans="1:19" ht="15" hidden="1" customHeight="1" x14ac:dyDescent="0.3">
      <c r="A1799" s="4" t="s">
        <v>1641</v>
      </c>
      <c r="B1799" s="5">
        <f t="shared" si="621"/>
        <v>6</v>
      </c>
      <c r="C1799" s="5">
        <f t="shared" si="622"/>
        <v>2023</v>
      </c>
      <c r="D1799" s="105" t="s">
        <v>1636</v>
      </c>
      <c r="E1799" s="5" t="str">
        <f>VLOOKUP(F1799,'Set up'!$A$2:$C$48,2,FALSE)</f>
        <v>C00000013</v>
      </c>
      <c r="F1799" s="1" t="s">
        <v>1454</v>
      </c>
      <c r="G1799" s="89" t="s">
        <v>1640</v>
      </c>
      <c r="H1799" s="5">
        <v>1</v>
      </c>
      <c r="I1799" s="5" t="str">
        <f>VLOOKUP(F1799,'Set up'!$A$2:$C$48,3,FALSE)</f>
        <v>Cash</v>
      </c>
      <c r="J1799" s="5">
        <f>VLOOKUP(F1799,'Set up'!$A$2:$D$48,4,FALSE)</f>
        <v>0</v>
      </c>
      <c r="K1799" s="4">
        <f t="shared" si="613"/>
        <v>45096</v>
      </c>
      <c r="L1799" s="5">
        <f t="shared" si="614"/>
        <v>6</v>
      </c>
      <c r="M1799" s="5">
        <f t="shared" si="615"/>
        <v>2023</v>
      </c>
      <c r="N1799" s="6">
        <v>280</v>
      </c>
      <c r="O1799" s="6">
        <f t="shared" si="625"/>
        <v>-280</v>
      </c>
      <c r="P1799" s="6">
        <f t="shared" si="623"/>
        <v>0</v>
      </c>
      <c r="Q1799" s="7">
        <f t="shared" si="624"/>
        <v>3261601.9500000011</v>
      </c>
      <c r="R1799" s="44" t="str">
        <f>VLOOKUP(F1799,'Set up'!$A$2:$E$48,5,FALSE)</f>
        <v>Chq</v>
      </c>
      <c r="S1799" s="1" t="s">
        <v>1689</v>
      </c>
    </row>
    <row r="1800" spans="1:19" ht="15" hidden="1" customHeight="1" x14ac:dyDescent="0.3">
      <c r="A1800" s="4" t="s">
        <v>1641</v>
      </c>
      <c r="B1800" s="5">
        <f t="shared" si="621"/>
        <v>6</v>
      </c>
      <c r="C1800" s="5">
        <f t="shared" si="622"/>
        <v>2023</v>
      </c>
      <c r="D1800" s="105" t="s">
        <v>1642</v>
      </c>
      <c r="E1800" s="5" t="str">
        <f>VLOOKUP(F1800,'Set up'!$A$2:$C$48,2,FALSE)</f>
        <v>C00000037</v>
      </c>
      <c r="F1800" s="1" t="s">
        <v>1310</v>
      </c>
      <c r="G1800" s="89" t="s">
        <v>720</v>
      </c>
      <c r="H1800" s="5">
        <v>4</v>
      </c>
      <c r="I1800" s="5">
        <f>VLOOKUP(F1800,'Set up'!$A$2:$C$48,3,FALSE)</f>
        <v>30</v>
      </c>
      <c r="J1800" s="5">
        <f>VLOOKUP(F1800,'Set up'!$A$2:$D$48,4,FALSE)</f>
        <v>30</v>
      </c>
      <c r="K1800" s="4">
        <f t="shared" si="613"/>
        <v>45126</v>
      </c>
      <c r="L1800" s="5">
        <f t="shared" si="614"/>
        <v>7</v>
      </c>
      <c r="M1800" s="5">
        <f t="shared" si="615"/>
        <v>2023</v>
      </c>
      <c r="N1800" s="6">
        <v>7480</v>
      </c>
      <c r="O1800" s="6">
        <f t="shared" si="625"/>
        <v>-7480</v>
      </c>
      <c r="P1800" s="6">
        <f t="shared" si="623"/>
        <v>0</v>
      </c>
      <c r="Q1800" s="7">
        <f t="shared" si="624"/>
        <v>3269081.9500000011</v>
      </c>
      <c r="R1800" s="44" t="str">
        <f>VLOOKUP(F1800,'Set up'!$A$2:$E$48,5,FALSE)</f>
        <v>Chq</v>
      </c>
      <c r="S1800" s="1" t="s">
        <v>1782</v>
      </c>
    </row>
    <row r="1801" spans="1:19" ht="15" hidden="1" customHeight="1" x14ac:dyDescent="0.3">
      <c r="A1801" s="4" t="s">
        <v>1641</v>
      </c>
      <c r="B1801" s="5">
        <f t="shared" si="621"/>
        <v>6</v>
      </c>
      <c r="C1801" s="5">
        <f t="shared" si="622"/>
        <v>2023</v>
      </c>
      <c r="D1801" s="105" t="s">
        <v>1642</v>
      </c>
      <c r="E1801" s="5" t="str">
        <f>VLOOKUP(F1801,'Set up'!$A$2:$C$48,2,FALSE)</f>
        <v>C00000037</v>
      </c>
      <c r="F1801" s="1" t="s">
        <v>1310</v>
      </c>
      <c r="G1801" s="89" t="s">
        <v>708</v>
      </c>
      <c r="H1801" s="5">
        <v>3</v>
      </c>
      <c r="I1801" s="5">
        <f>VLOOKUP(F1801,'Set up'!$A$2:$C$48,3,FALSE)</f>
        <v>30</v>
      </c>
      <c r="J1801" s="5">
        <f>VLOOKUP(F1801,'Set up'!$A$2:$D$48,4,FALSE)</f>
        <v>30</v>
      </c>
      <c r="K1801" s="4">
        <f t="shared" si="613"/>
        <v>45126</v>
      </c>
      <c r="L1801" s="5">
        <f t="shared" si="614"/>
        <v>7</v>
      </c>
      <c r="M1801" s="5">
        <f t="shared" si="615"/>
        <v>2023</v>
      </c>
      <c r="N1801" s="6">
        <v>1263.5999999999999</v>
      </c>
      <c r="O1801" s="6">
        <f t="shared" si="625"/>
        <v>-1263.5999999999999</v>
      </c>
      <c r="P1801" s="6">
        <f t="shared" si="623"/>
        <v>0</v>
      </c>
      <c r="Q1801" s="7">
        <f t="shared" si="624"/>
        <v>3270345.5500000012</v>
      </c>
      <c r="R1801" s="44" t="str">
        <f>VLOOKUP(F1801,'Set up'!$A$2:$E$48,5,FALSE)</f>
        <v>Chq</v>
      </c>
      <c r="S1801" s="1" t="s">
        <v>1782</v>
      </c>
    </row>
    <row r="1802" spans="1:19" ht="15" hidden="1" customHeight="1" x14ac:dyDescent="0.3">
      <c r="A1802" s="4" t="s">
        <v>1641</v>
      </c>
      <c r="B1802" s="5">
        <f t="shared" si="621"/>
        <v>6</v>
      </c>
      <c r="C1802" s="5">
        <f t="shared" si="622"/>
        <v>2023</v>
      </c>
      <c r="D1802" s="105" t="s">
        <v>1642</v>
      </c>
      <c r="E1802" s="5" t="str">
        <f>VLOOKUP(F1802,'Set up'!$A$2:$C$48,2,FALSE)</f>
        <v>C00000037</v>
      </c>
      <c r="F1802" s="1" t="s">
        <v>1310</v>
      </c>
      <c r="G1802" s="89" t="s">
        <v>1546</v>
      </c>
      <c r="H1802" s="5">
        <v>2</v>
      </c>
      <c r="I1802" s="5">
        <f>VLOOKUP(F1802,'Set up'!$A$2:$C$48,3,FALSE)</f>
        <v>30</v>
      </c>
      <c r="J1802" s="5">
        <f>VLOOKUP(F1802,'Set up'!$A$2:$D$48,4,FALSE)</f>
        <v>30</v>
      </c>
      <c r="K1802" s="4">
        <f t="shared" si="613"/>
        <v>45126</v>
      </c>
      <c r="L1802" s="5">
        <f t="shared" si="614"/>
        <v>7</v>
      </c>
      <c r="M1802" s="5">
        <f t="shared" si="615"/>
        <v>2023</v>
      </c>
      <c r="N1802" s="6">
        <v>1045.2</v>
      </c>
      <c r="O1802" s="6">
        <f t="shared" si="625"/>
        <v>-1045.2</v>
      </c>
      <c r="P1802" s="6">
        <f t="shared" si="623"/>
        <v>0</v>
      </c>
      <c r="Q1802" s="7">
        <f t="shared" si="624"/>
        <v>3271390.7500000014</v>
      </c>
      <c r="R1802" s="44" t="str">
        <f>VLOOKUP(F1802,'Set up'!$A$2:$E$48,5,FALSE)</f>
        <v>Chq</v>
      </c>
      <c r="S1802" s="1" t="s">
        <v>1782</v>
      </c>
    </row>
    <row r="1803" spans="1:19" ht="15" hidden="1" customHeight="1" x14ac:dyDescent="0.3">
      <c r="A1803" s="4" t="s">
        <v>1641</v>
      </c>
      <c r="B1803" s="5">
        <f t="shared" si="621"/>
        <v>6</v>
      </c>
      <c r="C1803" s="5">
        <f t="shared" si="622"/>
        <v>2023</v>
      </c>
      <c r="D1803" s="105" t="s">
        <v>1642</v>
      </c>
      <c r="E1803" s="5" t="str">
        <f>VLOOKUP(F1803,'Set up'!$A$2:$C$48,2,FALSE)</f>
        <v>C00000037</v>
      </c>
      <c r="F1803" s="1" t="s">
        <v>1310</v>
      </c>
      <c r="G1803" s="89" t="s">
        <v>1406</v>
      </c>
      <c r="H1803" s="5">
        <v>3</v>
      </c>
      <c r="I1803" s="5">
        <f>VLOOKUP(F1803,'Set up'!$A$2:$C$48,3,FALSE)</f>
        <v>30</v>
      </c>
      <c r="J1803" s="5">
        <f>VLOOKUP(F1803,'Set up'!$A$2:$D$48,4,FALSE)</f>
        <v>30</v>
      </c>
      <c r="K1803" s="4">
        <f t="shared" si="613"/>
        <v>45126</v>
      </c>
      <c r="L1803" s="5">
        <f t="shared" si="614"/>
        <v>7</v>
      </c>
      <c r="M1803" s="5">
        <f t="shared" si="615"/>
        <v>2023</v>
      </c>
      <c r="N1803" s="6">
        <v>144</v>
      </c>
      <c r="O1803" s="6">
        <f t="shared" si="625"/>
        <v>-144</v>
      </c>
      <c r="P1803" s="6">
        <f t="shared" si="623"/>
        <v>0</v>
      </c>
      <c r="Q1803" s="7">
        <f t="shared" si="624"/>
        <v>3271534.7500000014</v>
      </c>
      <c r="R1803" s="44" t="str">
        <f>VLOOKUP(F1803,'Set up'!$A$2:$E$48,5,FALSE)</f>
        <v>Chq</v>
      </c>
      <c r="S1803" s="1" t="s">
        <v>1782</v>
      </c>
    </row>
    <row r="1804" spans="1:19" ht="15" hidden="1" customHeight="1" x14ac:dyDescent="0.3">
      <c r="A1804" s="4" t="s">
        <v>1641</v>
      </c>
      <c r="B1804" s="5">
        <f t="shared" ref="B1804:B1825" si="626">MONTH(A1804)</f>
        <v>6</v>
      </c>
      <c r="C1804" s="5">
        <f t="shared" ref="C1804:C1825" si="627">YEAR(A1804)</f>
        <v>2023</v>
      </c>
      <c r="D1804" s="105" t="s">
        <v>1642</v>
      </c>
      <c r="E1804" s="5" t="str">
        <f>VLOOKUP(F1804,'Set up'!$A$2:$C$48,2,FALSE)</f>
        <v>C00000037</v>
      </c>
      <c r="F1804" s="1" t="s">
        <v>1310</v>
      </c>
      <c r="G1804" s="89" t="s">
        <v>1062</v>
      </c>
      <c r="H1804" s="5">
        <v>2</v>
      </c>
      <c r="I1804" s="5">
        <f>VLOOKUP(F1804,'Set up'!$A$2:$C$48,3,FALSE)</f>
        <v>30</v>
      </c>
      <c r="J1804" s="5">
        <f>VLOOKUP(F1804,'Set up'!$A$2:$D$48,4,FALSE)</f>
        <v>30</v>
      </c>
      <c r="K1804" s="4">
        <f t="shared" si="613"/>
        <v>45126</v>
      </c>
      <c r="L1804" s="5">
        <f t="shared" ref="L1804:L1825" si="628">MONTH(K1804)</f>
        <v>7</v>
      </c>
      <c r="M1804" s="5">
        <f t="shared" ref="M1804:M1825" si="629">YEAR(K1804)</f>
        <v>2023</v>
      </c>
      <c r="N1804" s="6">
        <v>190</v>
      </c>
      <c r="O1804" s="6">
        <f t="shared" si="625"/>
        <v>-190</v>
      </c>
      <c r="P1804" s="6">
        <f t="shared" si="623"/>
        <v>0</v>
      </c>
      <c r="Q1804" s="7">
        <f t="shared" si="624"/>
        <v>3271724.7500000014</v>
      </c>
      <c r="R1804" s="44" t="str">
        <f>VLOOKUP(F1804,'Set up'!$A$2:$E$48,5,FALSE)</f>
        <v>Chq</v>
      </c>
      <c r="S1804" s="1" t="s">
        <v>1782</v>
      </c>
    </row>
    <row r="1805" spans="1:19" ht="15" hidden="1" customHeight="1" x14ac:dyDescent="0.3">
      <c r="A1805" s="4" t="s">
        <v>1641</v>
      </c>
      <c r="B1805" s="5">
        <f t="shared" si="626"/>
        <v>6</v>
      </c>
      <c r="C1805" s="5">
        <f t="shared" si="627"/>
        <v>2023</v>
      </c>
      <c r="D1805" s="105" t="s">
        <v>1642</v>
      </c>
      <c r="E1805" s="5" t="str">
        <f>VLOOKUP(F1805,'Set up'!$A$2:$C$48,2,FALSE)</f>
        <v>C00000037</v>
      </c>
      <c r="F1805" s="1" t="s">
        <v>1310</v>
      </c>
      <c r="G1805" s="89" t="s">
        <v>54</v>
      </c>
      <c r="H1805" s="5">
        <v>3</v>
      </c>
      <c r="I1805" s="5">
        <f>VLOOKUP(F1805,'Set up'!$A$2:$C$48,3,FALSE)</f>
        <v>30</v>
      </c>
      <c r="J1805" s="5">
        <f>VLOOKUP(F1805,'Set up'!$A$2:$D$48,4,FALSE)</f>
        <v>30</v>
      </c>
      <c r="K1805" s="4">
        <f t="shared" si="613"/>
        <v>45126</v>
      </c>
      <c r="L1805" s="5">
        <f t="shared" si="628"/>
        <v>7</v>
      </c>
      <c r="M1805" s="5">
        <f t="shared" si="629"/>
        <v>2023</v>
      </c>
      <c r="N1805" s="6">
        <v>187.5</v>
      </c>
      <c r="O1805" s="6">
        <f t="shared" si="625"/>
        <v>-187.5</v>
      </c>
      <c r="P1805" s="6">
        <f t="shared" si="623"/>
        <v>0</v>
      </c>
      <c r="Q1805" s="7">
        <f t="shared" si="624"/>
        <v>3271912.2500000014</v>
      </c>
      <c r="R1805" s="44" t="str">
        <f>VLOOKUP(F1805,'Set up'!$A$2:$E$48,5,FALSE)</f>
        <v>Chq</v>
      </c>
      <c r="S1805" s="1" t="s">
        <v>1782</v>
      </c>
    </row>
    <row r="1806" spans="1:19" ht="15" hidden="1" customHeight="1" x14ac:dyDescent="0.3">
      <c r="A1806" s="4" t="s">
        <v>1641</v>
      </c>
      <c r="B1806" s="5">
        <f t="shared" si="626"/>
        <v>6</v>
      </c>
      <c r="C1806" s="5">
        <f t="shared" si="627"/>
        <v>2023</v>
      </c>
      <c r="D1806" s="105" t="s">
        <v>1642</v>
      </c>
      <c r="E1806" s="5" t="str">
        <f>VLOOKUP(F1806,'Set up'!$A$2:$C$48,2,FALSE)</f>
        <v>C00000037</v>
      </c>
      <c r="F1806" s="1" t="s">
        <v>1310</v>
      </c>
      <c r="G1806" s="89" t="s">
        <v>866</v>
      </c>
      <c r="H1806" s="5">
        <v>2</v>
      </c>
      <c r="I1806" s="5">
        <f>VLOOKUP(F1806,'Set up'!$A$2:$C$48,3,FALSE)</f>
        <v>30</v>
      </c>
      <c r="J1806" s="5">
        <f>VLOOKUP(F1806,'Set up'!$A$2:$D$48,4,FALSE)</f>
        <v>30</v>
      </c>
      <c r="K1806" s="4">
        <f t="shared" si="613"/>
        <v>45126</v>
      </c>
      <c r="L1806" s="5">
        <f t="shared" si="628"/>
        <v>7</v>
      </c>
      <c r="M1806" s="5">
        <f t="shared" si="629"/>
        <v>2023</v>
      </c>
      <c r="N1806" s="6">
        <v>520</v>
      </c>
      <c r="O1806" s="6">
        <f t="shared" si="625"/>
        <v>-520</v>
      </c>
      <c r="P1806" s="6">
        <f t="shared" si="623"/>
        <v>0</v>
      </c>
      <c r="Q1806" s="7">
        <f t="shared" si="624"/>
        <v>3272432.2500000014</v>
      </c>
      <c r="R1806" s="44" t="str">
        <f>VLOOKUP(F1806,'Set up'!$A$2:$E$48,5,FALSE)</f>
        <v>Chq</v>
      </c>
      <c r="S1806" s="1" t="s">
        <v>1782</v>
      </c>
    </row>
    <row r="1807" spans="1:19" ht="15" hidden="1" customHeight="1" x14ac:dyDescent="0.3">
      <c r="A1807" s="4" t="s">
        <v>1641</v>
      </c>
      <c r="B1807" s="5">
        <f t="shared" si="626"/>
        <v>6</v>
      </c>
      <c r="C1807" s="5">
        <f t="shared" si="627"/>
        <v>2023</v>
      </c>
      <c r="D1807" s="105" t="s">
        <v>1642</v>
      </c>
      <c r="E1807" s="5" t="str">
        <f>VLOOKUP(F1807,'Set up'!$A$2:$C$48,2,FALSE)</f>
        <v>C00000037</v>
      </c>
      <c r="F1807" s="1" t="s">
        <v>1310</v>
      </c>
      <c r="G1807" s="89" t="s">
        <v>1547</v>
      </c>
      <c r="H1807" s="5">
        <v>1</v>
      </c>
      <c r="I1807" s="5">
        <f>VLOOKUP(F1807,'Set up'!$A$2:$C$48,3,FALSE)</f>
        <v>30</v>
      </c>
      <c r="J1807" s="5">
        <f>VLOOKUP(F1807,'Set up'!$A$2:$D$48,4,FALSE)</f>
        <v>30</v>
      </c>
      <c r="K1807" s="4">
        <f t="shared" si="613"/>
        <v>45126</v>
      </c>
      <c r="L1807" s="5">
        <f t="shared" si="628"/>
        <v>7</v>
      </c>
      <c r="M1807" s="5">
        <f t="shared" si="629"/>
        <v>2023</v>
      </c>
      <c r="N1807" s="6">
        <v>930</v>
      </c>
      <c r="O1807" s="6">
        <f t="shared" si="625"/>
        <v>-930</v>
      </c>
      <c r="P1807" s="6">
        <f t="shared" si="623"/>
        <v>0</v>
      </c>
      <c r="Q1807" s="7">
        <f t="shared" si="624"/>
        <v>3273362.2500000014</v>
      </c>
      <c r="R1807" s="44" t="str">
        <f>VLOOKUP(F1807,'Set up'!$A$2:$E$48,5,FALSE)</f>
        <v>Chq</v>
      </c>
      <c r="S1807" s="1" t="s">
        <v>1782</v>
      </c>
    </row>
    <row r="1808" spans="1:19" ht="15" hidden="1" customHeight="1" x14ac:dyDescent="0.3">
      <c r="A1808" s="4">
        <v>45097</v>
      </c>
      <c r="B1808" s="5">
        <f t="shared" si="626"/>
        <v>6</v>
      </c>
      <c r="C1808" s="5">
        <f t="shared" si="627"/>
        <v>2023</v>
      </c>
      <c r="D1808" s="105" t="s">
        <v>1647</v>
      </c>
      <c r="E1808" s="5" t="str">
        <f>VLOOKUP(F1808,'Set up'!$A$2:$C$48,2,FALSE)</f>
        <v>C00000034</v>
      </c>
      <c r="F1808" s="1" t="s">
        <v>1197</v>
      </c>
      <c r="G1808" s="11" t="s">
        <v>1357</v>
      </c>
      <c r="H1808" s="5">
        <v>1</v>
      </c>
      <c r="I1808" s="5" t="str">
        <f>VLOOKUP(F1808,'Set up'!$A$2:$C$48,3,FALSE)</f>
        <v>Cash</v>
      </c>
      <c r="J1808" s="5">
        <f>VLOOKUP(F1808,'Set up'!$A$2:$D$48,4,FALSE)</f>
        <v>0</v>
      </c>
      <c r="K1808" s="4">
        <f t="shared" si="613"/>
        <v>45097</v>
      </c>
      <c r="L1808" s="5">
        <f t="shared" si="628"/>
        <v>6</v>
      </c>
      <c r="M1808" s="5">
        <f t="shared" si="629"/>
        <v>2023</v>
      </c>
      <c r="N1808" s="6">
        <v>3740</v>
      </c>
      <c r="O1808" s="6">
        <f t="shared" ref="O1808:O1815" si="630">-N1808</f>
        <v>-3740</v>
      </c>
      <c r="P1808" s="6">
        <f t="shared" si="623"/>
        <v>0</v>
      </c>
      <c r="Q1808" s="7">
        <f t="shared" si="624"/>
        <v>3277102.2500000014</v>
      </c>
      <c r="R1808" s="44" t="str">
        <f>VLOOKUP(F1808,'Set up'!$A$2:$E$48,5,FALSE)</f>
        <v>Trsf</v>
      </c>
      <c r="S1808" s="1" t="s">
        <v>1674</v>
      </c>
    </row>
    <row r="1809" spans="1:19" ht="15" hidden="1" customHeight="1" x14ac:dyDescent="0.3">
      <c r="A1809" s="97" t="s">
        <v>1646</v>
      </c>
      <c r="B1809" s="5">
        <f t="shared" si="626"/>
        <v>6</v>
      </c>
      <c r="C1809" s="5">
        <f t="shared" si="627"/>
        <v>2023</v>
      </c>
      <c r="D1809" s="105" t="s">
        <v>1645</v>
      </c>
      <c r="E1809" s="5" t="str">
        <f>VLOOKUP(F1809,'Set up'!$A$2:$C$48,2,FALSE)</f>
        <v>C00000034</v>
      </c>
      <c r="F1809" s="1" t="s">
        <v>1197</v>
      </c>
      <c r="G1809" s="11" t="s">
        <v>1644</v>
      </c>
      <c r="H1809" s="5">
        <v>1</v>
      </c>
      <c r="I1809" s="5" t="str">
        <f>VLOOKUP(F1809,'Set up'!$A$2:$C$48,3,FALSE)</f>
        <v>Cash</v>
      </c>
      <c r="J1809" s="5">
        <f>VLOOKUP(F1809,'Set up'!$A$2:$D$48,4,FALSE)</f>
        <v>0</v>
      </c>
      <c r="K1809" s="4">
        <f t="shared" si="613"/>
        <v>45097</v>
      </c>
      <c r="L1809" s="5">
        <f t="shared" si="628"/>
        <v>6</v>
      </c>
      <c r="M1809" s="5">
        <f t="shared" si="629"/>
        <v>2023</v>
      </c>
      <c r="N1809" s="6">
        <v>160</v>
      </c>
      <c r="O1809" s="6">
        <f t="shared" si="630"/>
        <v>-160</v>
      </c>
      <c r="P1809" s="6">
        <f t="shared" si="623"/>
        <v>0</v>
      </c>
      <c r="Q1809" s="7">
        <f t="shared" si="624"/>
        <v>3277262.2500000014</v>
      </c>
      <c r="R1809" s="44" t="str">
        <f>VLOOKUP(F1809,'Set up'!$A$2:$E$48,5,FALSE)</f>
        <v>Trsf</v>
      </c>
      <c r="S1809" s="1" t="s">
        <v>1675</v>
      </c>
    </row>
    <row r="1810" spans="1:19" ht="15" hidden="1" customHeight="1" x14ac:dyDescent="0.3">
      <c r="A1810" s="97" t="s">
        <v>1646</v>
      </c>
      <c r="B1810" s="5">
        <f t="shared" si="626"/>
        <v>6</v>
      </c>
      <c r="C1810" s="5">
        <f t="shared" si="627"/>
        <v>2023</v>
      </c>
      <c r="D1810" s="88" t="s">
        <v>1645</v>
      </c>
      <c r="E1810" s="5" t="str">
        <f>VLOOKUP(F1810,'Set up'!$A$2:$C$48,2,FALSE)</f>
        <v>C00000034</v>
      </c>
      <c r="F1810" s="1" t="s">
        <v>1197</v>
      </c>
      <c r="G1810" s="11" t="s">
        <v>1643</v>
      </c>
      <c r="H1810" s="5">
        <v>1</v>
      </c>
      <c r="I1810" s="5" t="str">
        <f>VLOOKUP(F1810,'Set up'!$A$2:$C$48,3,FALSE)</f>
        <v>Cash</v>
      </c>
      <c r="J1810" s="5">
        <f>VLOOKUP(F1810,'Set up'!$A$2:$D$48,4,FALSE)</f>
        <v>0</v>
      </c>
      <c r="K1810" s="4">
        <f t="shared" si="613"/>
        <v>45097</v>
      </c>
      <c r="L1810" s="5">
        <f t="shared" si="628"/>
        <v>6</v>
      </c>
      <c r="M1810" s="5">
        <f t="shared" si="629"/>
        <v>2023</v>
      </c>
      <c r="N1810" s="6">
        <v>165</v>
      </c>
      <c r="O1810" s="6">
        <f t="shared" si="630"/>
        <v>-165</v>
      </c>
      <c r="P1810" s="6">
        <f t="shared" si="623"/>
        <v>0</v>
      </c>
      <c r="Q1810" s="7">
        <f t="shared" si="624"/>
        <v>3277427.2500000014</v>
      </c>
      <c r="R1810" s="44" t="str">
        <f>VLOOKUP(F1810,'Set up'!$A$2:$E$48,5,FALSE)</f>
        <v>Trsf</v>
      </c>
      <c r="S1810" s="1" t="s">
        <v>1675</v>
      </c>
    </row>
    <row r="1811" spans="1:19" ht="15" hidden="1" customHeight="1" x14ac:dyDescent="0.3">
      <c r="A1811" s="97" t="s">
        <v>1646</v>
      </c>
      <c r="B1811" s="5">
        <f t="shared" si="626"/>
        <v>6</v>
      </c>
      <c r="C1811" s="5">
        <f t="shared" si="627"/>
        <v>2023</v>
      </c>
      <c r="D1811" s="105" t="s">
        <v>1645</v>
      </c>
      <c r="E1811" s="5" t="str">
        <f>VLOOKUP(F1811,'Set up'!$A$2:$C$48,2,FALSE)</f>
        <v>C00000034</v>
      </c>
      <c r="F1811" s="1" t="s">
        <v>1197</v>
      </c>
      <c r="G1811" s="11" t="s">
        <v>1644</v>
      </c>
      <c r="H1811" s="5">
        <v>1</v>
      </c>
      <c r="I1811" s="5" t="str">
        <f>VLOOKUP(F1811,'Set up'!$A$2:$C$48,3,FALSE)</f>
        <v>Cash</v>
      </c>
      <c r="J1811" s="5">
        <f>VLOOKUP(F1811,'Set up'!$A$2:$D$48,4,FALSE)</f>
        <v>0</v>
      </c>
      <c r="K1811" s="4">
        <f t="shared" si="613"/>
        <v>45097</v>
      </c>
      <c r="L1811" s="5">
        <f t="shared" si="628"/>
        <v>6</v>
      </c>
      <c r="M1811" s="5">
        <f t="shared" si="629"/>
        <v>2023</v>
      </c>
      <c r="N1811" s="6">
        <v>160</v>
      </c>
      <c r="O1811" s="6">
        <f t="shared" si="630"/>
        <v>-160</v>
      </c>
      <c r="P1811" s="6">
        <f t="shared" si="623"/>
        <v>0</v>
      </c>
      <c r="Q1811" s="7">
        <f t="shared" si="624"/>
        <v>3277587.2500000014</v>
      </c>
      <c r="R1811" s="44" t="str">
        <f>VLOOKUP(F1811,'Set up'!$A$2:$E$48,5,FALSE)</f>
        <v>Trsf</v>
      </c>
      <c r="S1811" s="1" t="s">
        <v>1675</v>
      </c>
    </row>
    <row r="1812" spans="1:19" ht="15" hidden="1" customHeight="1" x14ac:dyDescent="0.3">
      <c r="A1812" s="4">
        <v>45098</v>
      </c>
      <c r="B1812" s="5">
        <f t="shared" si="626"/>
        <v>6</v>
      </c>
      <c r="C1812" s="5">
        <f t="shared" si="627"/>
        <v>2023</v>
      </c>
      <c r="D1812" s="105" t="s">
        <v>1648</v>
      </c>
      <c r="E1812" s="5" t="str">
        <f>VLOOKUP(F1812,'Set up'!$A$2:$C$48,2,FALSE)</f>
        <v>C00000037</v>
      </c>
      <c r="F1812" s="1" t="s">
        <v>1310</v>
      </c>
      <c r="G1812" s="11" t="s">
        <v>1638</v>
      </c>
      <c r="H1812" s="5">
        <v>1</v>
      </c>
      <c r="I1812" s="5">
        <f>VLOOKUP(F1812,'Set up'!$A$2:$C$48,3,FALSE)</f>
        <v>30</v>
      </c>
      <c r="J1812" s="5">
        <f>VLOOKUP(F1812,'Set up'!$A$2:$D$48,4,FALSE)</f>
        <v>30</v>
      </c>
      <c r="K1812" s="4">
        <f t="shared" si="613"/>
        <v>45128</v>
      </c>
      <c r="L1812" s="5">
        <f t="shared" si="628"/>
        <v>7</v>
      </c>
      <c r="M1812" s="5">
        <f t="shared" si="629"/>
        <v>2023</v>
      </c>
      <c r="N1812" s="6">
        <v>390</v>
      </c>
      <c r="O1812" s="6">
        <f t="shared" si="630"/>
        <v>-390</v>
      </c>
      <c r="P1812" s="6">
        <f t="shared" si="623"/>
        <v>0</v>
      </c>
      <c r="Q1812" s="7">
        <f t="shared" si="624"/>
        <v>3277977.2500000014</v>
      </c>
      <c r="R1812" s="44" t="str">
        <f>VLOOKUP(F1812,'Set up'!$A$2:$E$48,5,FALSE)</f>
        <v>Chq</v>
      </c>
      <c r="S1812" s="1" t="s">
        <v>1784</v>
      </c>
    </row>
    <row r="1813" spans="1:19" ht="15" hidden="1" customHeight="1" x14ac:dyDescent="0.3">
      <c r="A1813" s="4">
        <v>45099</v>
      </c>
      <c r="B1813" s="5">
        <f t="shared" si="626"/>
        <v>6</v>
      </c>
      <c r="C1813" s="5">
        <f t="shared" si="627"/>
        <v>2023</v>
      </c>
      <c r="D1813" s="105" t="s">
        <v>1649</v>
      </c>
      <c r="E1813" s="5" t="str">
        <f>VLOOKUP(F1813,'Set up'!$A$2:$C$48,2,FALSE)</f>
        <v>C00000021</v>
      </c>
      <c r="F1813" s="1" t="s">
        <v>492</v>
      </c>
      <c r="G1813" s="107" t="s">
        <v>717</v>
      </c>
      <c r="H1813" s="5">
        <v>1</v>
      </c>
      <c r="I1813" s="5" t="str">
        <f>VLOOKUP(F1813,'Set up'!$A$2:$C$48,3,FALSE)</f>
        <v>Cash</v>
      </c>
      <c r="J1813" s="5">
        <f>VLOOKUP(F1813,'Set up'!$A$2:$D$48,4,FALSE)</f>
        <v>0</v>
      </c>
      <c r="K1813" s="4">
        <f t="shared" si="613"/>
        <v>45099</v>
      </c>
      <c r="L1813" s="5">
        <f t="shared" si="628"/>
        <v>6</v>
      </c>
      <c r="M1813" s="5">
        <f t="shared" si="629"/>
        <v>2023</v>
      </c>
      <c r="N1813" s="6">
        <v>1870</v>
      </c>
      <c r="O1813" s="6">
        <f t="shared" si="630"/>
        <v>-1870</v>
      </c>
      <c r="P1813" s="6">
        <f t="shared" si="623"/>
        <v>0</v>
      </c>
      <c r="Q1813" s="7">
        <f t="shared" si="624"/>
        <v>3279847.2500000014</v>
      </c>
      <c r="R1813" s="44" t="str">
        <f>VLOOKUP(F1813,'Set up'!$A$2:$E$48,5,FALSE)</f>
        <v>PD Chq</v>
      </c>
      <c r="S1813" s="1" t="s">
        <v>2336</v>
      </c>
    </row>
    <row r="1814" spans="1:19" ht="15" hidden="1" customHeight="1" x14ac:dyDescent="0.3">
      <c r="A1814" s="4">
        <v>45099</v>
      </c>
      <c r="B1814" s="5">
        <f t="shared" si="626"/>
        <v>6</v>
      </c>
      <c r="C1814" s="5">
        <f t="shared" si="627"/>
        <v>2023</v>
      </c>
      <c r="D1814" s="105" t="s">
        <v>1649</v>
      </c>
      <c r="E1814" s="5" t="str">
        <f>VLOOKUP(F1814,'Set up'!$A$2:$C$48,2,FALSE)</f>
        <v>C00000021</v>
      </c>
      <c r="F1814" s="1" t="s">
        <v>492</v>
      </c>
      <c r="G1814" s="99" t="s">
        <v>655</v>
      </c>
      <c r="H1814" s="5">
        <v>2</v>
      </c>
      <c r="I1814" s="5" t="str">
        <f>VLOOKUP(F1814,'Set up'!$A$2:$C$48,3,FALSE)</f>
        <v>Cash</v>
      </c>
      <c r="J1814" s="5">
        <f>VLOOKUP(F1814,'Set up'!$A$2:$D$48,4,FALSE)</f>
        <v>0</v>
      </c>
      <c r="K1814" s="4">
        <f t="shared" si="613"/>
        <v>45099</v>
      </c>
      <c r="L1814" s="5">
        <f t="shared" si="628"/>
        <v>6</v>
      </c>
      <c r="M1814" s="5">
        <f t="shared" si="629"/>
        <v>2023</v>
      </c>
      <c r="N1814" s="6">
        <v>510</v>
      </c>
      <c r="O1814" s="6">
        <f t="shared" si="630"/>
        <v>-510</v>
      </c>
      <c r="P1814" s="6">
        <f t="shared" si="623"/>
        <v>0</v>
      </c>
      <c r="Q1814" s="7">
        <f t="shared" si="624"/>
        <v>3280357.2500000014</v>
      </c>
      <c r="R1814" s="44" t="str">
        <f>VLOOKUP(F1814,'Set up'!$A$2:$E$48,5,FALSE)</f>
        <v>PD Chq</v>
      </c>
      <c r="S1814" s="1" t="s">
        <v>2336</v>
      </c>
    </row>
    <row r="1815" spans="1:19" ht="15" hidden="1" customHeight="1" x14ac:dyDescent="0.3">
      <c r="A1815" s="4">
        <v>45099</v>
      </c>
      <c r="B1815" s="5">
        <f t="shared" si="626"/>
        <v>6</v>
      </c>
      <c r="C1815" s="5">
        <f t="shared" si="627"/>
        <v>2023</v>
      </c>
      <c r="D1815" s="105" t="s">
        <v>1649</v>
      </c>
      <c r="E1815" s="5" t="str">
        <f>VLOOKUP(F1815,'Set up'!$A$2:$C$48,2,FALSE)</f>
        <v>C00000021</v>
      </c>
      <c r="F1815" s="1" t="s">
        <v>492</v>
      </c>
      <c r="G1815" s="99" t="s">
        <v>1062</v>
      </c>
      <c r="H1815" s="5">
        <v>1</v>
      </c>
      <c r="I1815" s="5" t="str">
        <f>VLOOKUP(F1815,'Set up'!$A$2:$C$48,3,FALSE)</f>
        <v>Cash</v>
      </c>
      <c r="J1815" s="5">
        <f>VLOOKUP(F1815,'Set up'!$A$2:$D$48,4,FALSE)</f>
        <v>0</v>
      </c>
      <c r="K1815" s="4">
        <f t="shared" si="613"/>
        <v>45099</v>
      </c>
      <c r="L1815" s="5">
        <f t="shared" si="628"/>
        <v>6</v>
      </c>
      <c r="M1815" s="5">
        <f t="shared" si="629"/>
        <v>2023</v>
      </c>
      <c r="N1815" s="6">
        <v>95</v>
      </c>
      <c r="O1815" s="6">
        <f t="shared" si="630"/>
        <v>-95</v>
      </c>
      <c r="P1815" s="6">
        <f t="shared" si="623"/>
        <v>0</v>
      </c>
      <c r="Q1815" s="7">
        <f t="shared" si="624"/>
        <v>3280452.2500000014</v>
      </c>
      <c r="R1815" s="44" t="str">
        <f>VLOOKUP(F1815,'Set up'!$A$2:$E$48,5,FALSE)</f>
        <v>PD Chq</v>
      </c>
      <c r="S1815" s="1" t="s">
        <v>2336</v>
      </c>
    </row>
    <row r="1816" spans="1:19" ht="15" hidden="1" customHeight="1" x14ac:dyDescent="0.3">
      <c r="A1816" s="4">
        <v>45099</v>
      </c>
      <c r="B1816" s="5">
        <f t="shared" si="626"/>
        <v>6</v>
      </c>
      <c r="C1816" s="5">
        <f t="shared" si="627"/>
        <v>2023</v>
      </c>
      <c r="D1816" s="105" t="s">
        <v>1650</v>
      </c>
      <c r="E1816" s="5" t="str">
        <f>VLOOKUP(F1816,'Set up'!$A$2:$C$48,2,FALSE)</f>
        <v>C00000034</v>
      </c>
      <c r="F1816" s="1" t="s">
        <v>1197</v>
      </c>
      <c r="G1816" s="11" t="s">
        <v>945</v>
      </c>
      <c r="H1816" s="5">
        <v>1</v>
      </c>
      <c r="I1816" s="5" t="str">
        <f>VLOOKUP(F1816,'Set up'!$A$2:$C$48,3,FALSE)</f>
        <v>Cash</v>
      </c>
      <c r="J1816" s="5">
        <f>VLOOKUP(F1816,'Set up'!$A$2:$D$48,4,FALSE)</f>
        <v>0</v>
      </c>
      <c r="K1816" s="4">
        <f t="shared" ref="K1816:K1844" si="631">A1816+J1816</f>
        <v>45099</v>
      </c>
      <c r="L1816" s="5">
        <f t="shared" si="628"/>
        <v>6</v>
      </c>
      <c r="M1816" s="5">
        <f t="shared" si="629"/>
        <v>2023</v>
      </c>
      <c r="N1816" s="6">
        <v>420</v>
      </c>
      <c r="O1816" s="6">
        <f t="shared" ref="O1816:O1817" si="632">-N1816</f>
        <v>-420</v>
      </c>
      <c r="P1816" s="6">
        <f t="shared" si="623"/>
        <v>0</v>
      </c>
      <c r="Q1816" s="7">
        <f t="shared" si="624"/>
        <v>3280872.2500000014</v>
      </c>
      <c r="R1816" s="44" t="str">
        <f>VLOOKUP(F1816,'Set up'!$A$2:$E$48,5,FALSE)</f>
        <v>Trsf</v>
      </c>
      <c r="S1816" s="1" t="s">
        <v>1676</v>
      </c>
    </row>
    <row r="1817" spans="1:19" ht="15" hidden="1" customHeight="1" x14ac:dyDescent="0.3">
      <c r="A1817" s="4">
        <v>45099</v>
      </c>
      <c r="B1817" s="5">
        <f t="shared" si="626"/>
        <v>6</v>
      </c>
      <c r="C1817" s="5">
        <f t="shared" si="627"/>
        <v>2023</v>
      </c>
      <c r="D1817" s="105" t="s">
        <v>1650</v>
      </c>
      <c r="E1817" s="5" t="str">
        <f>VLOOKUP(F1817,'Set up'!$A$2:$C$48,2,FALSE)</f>
        <v>C00000034</v>
      </c>
      <c r="F1817" s="1" t="s">
        <v>1197</v>
      </c>
      <c r="G1817" s="11" t="s">
        <v>1111</v>
      </c>
      <c r="H1817" s="5">
        <v>6</v>
      </c>
      <c r="I1817" s="5" t="str">
        <f>VLOOKUP(F1817,'Set up'!$A$2:$C$48,3,FALSE)</f>
        <v>Cash</v>
      </c>
      <c r="J1817" s="5">
        <f>VLOOKUP(F1817,'Set up'!$A$2:$D$48,4,FALSE)</f>
        <v>0</v>
      </c>
      <c r="K1817" s="4">
        <f t="shared" si="631"/>
        <v>45099</v>
      </c>
      <c r="L1817" s="5">
        <f t="shared" si="628"/>
        <v>6</v>
      </c>
      <c r="M1817" s="5">
        <f t="shared" si="629"/>
        <v>2023</v>
      </c>
      <c r="N1817" s="6">
        <v>375</v>
      </c>
      <c r="O1817" s="6">
        <f t="shared" si="632"/>
        <v>-375</v>
      </c>
      <c r="P1817" s="6">
        <f t="shared" si="623"/>
        <v>0</v>
      </c>
      <c r="Q1817" s="7">
        <f t="shared" si="624"/>
        <v>3281247.2500000014</v>
      </c>
      <c r="R1817" s="44" t="str">
        <f>VLOOKUP(F1817,'Set up'!$A$2:$E$48,5,FALSE)</f>
        <v>Trsf</v>
      </c>
      <c r="S1817" s="1" t="s">
        <v>1676</v>
      </c>
    </row>
    <row r="1818" spans="1:19" ht="15" hidden="1" customHeight="1" x14ac:dyDescent="0.3">
      <c r="A1818" s="4">
        <v>45101</v>
      </c>
      <c r="B1818" s="5">
        <f t="shared" si="626"/>
        <v>6</v>
      </c>
      <c r="C1818" s="5">
        <f t="shared" si="627"/>
        <v>2023</v>
      </c>
      <c r="D1818" s="88" t="s">
        <v>1651</v>
      </c>
      <c r="E1818" s="5" t="str">
        <f>VLOOKUP(F1818,'Set up'!$A$2:$C$48,2,FALSE)</f>
        <v>C00000014</v>
      </c>
      <c r="F1818" s="1" t="s">
        <v>263</v>
      </c>
      <c r="G1818" s="1" t="s">
        <v>866</v>
      </c>
      <c r="H1818" s="5">
        <v>4</v>
      </c>
      <c r="I1818" s="5" t="str">
        <f>VLOOKUP(F1818,'Set up'!$A$2:$C$48,3,FALSE)</f>
        <v>Cash</v>
      </c>
      <c r="J1818" s="5">
        <f>VLOOKUP(F1818,'Set up'!$A$2:$D$48,4,FALSE)</f>
        <v>0</v>
      </c>
      <c r="K1818" s="4">
        <f t="shared" si="631"/>
        <v>45101</v>
      </c>
      <c r="L1818" s="5">
        <f t="shared" si="628"/>
        <v>6</v>
      </c>
      <c r="M1818" s="5">
        <f t="shared" si="629"/>
        <v>2023</v>
      </c>
      <c r="N1818" s="6">
        <v>1032</v>
      </c>
      <c r="O1818" s="6">
        <f>-N1818</f>
        <v>-1032</v>
      </c>
      <c r="P1818" s="6">
        <f t="shared" si="623"/>
        <v>0</v>
      </c>
      <c r="Q1818" s="7">
        <f t="shared" si="624"/>
        <v>3282279.2500000014</v>
      </c>
      <c r="R1818" s="44" t="str">
        <f>VLOOKUP(F1818,'Set up'!$A$2:$E$48,5,FALSE)</f>
        <v>Cash</v>
      </c>
      <c r="S1818" s="1" t="s">
        <v>1681</v>
      </c>
    </row>
    <row r="1819" spans="1:19" ht="15" hidden="1" customHeight="1" x14ac:dyDescent="0.3">
      <c r="A1819" s="4">
        <v>45101</v>
      </c>
      <c r="B1819" s="5">
        <f t="shared" si="626"/>
        <v>6</v>
      </c>
      <c r="C1819" s="5">
        <f t="shared" si="627"/>
        <v>2023</v>
      </c>
      <c r="D1819" s="88" t="s">
        <v>1651</v>
      </c>
      <c r="E1819" s="5" t="str">
        <f>VLOOKUP(F1819,'Set up'!$A$2:$C$48,2,FALSE)</f>
        <v>C00000014</v>
      </c>
      <c r="F1819" s="1" t="s">
        <v>263</v>
      </c>
      <c r="G1819" s="1" t="s">
        <v>895</v>
      </c>
      <c r="H1819" s="5">
        <v>1</v>
      </c>
      <c r="I1819" s="5" t="str">
        <f>VLOOKUP(F1819,'Set up'!$A$2:$C$48,3,FALSE)</f>
        <v>Cash</v>
      </c>
      <c r="J1819" s="5">
        <f>VLOOKUP(F1819,'Set up'!$A$2:$D$48,4,FALSE)</f>
        <v>0</v>
      </c>
      <c r="K1819" s="4">
        <f t="shared" si="631"/>
        <v>45101</v>
      </c>
      <c r="L1819" s="5">
        <f t="shared" si="628"/>
        <v>6</v>
      </c>
      <c r="M1819" s="5">
        <f t="shared" si="629"/>
        <v>2023</v>
      </c>
      <c r="N1819" s="6">
        <v>160</v>
      </c>
      <c r="O1819" s="6">
        <f>-N1819</f>
        <v>-160</v>
      </c>
      <c r="P1819" s="6">
        <f t="shared" si="623"/>
        <v>0</v>
      </c>
      <c r="Q1819" s="7">
        <f t="shared" si="624"/>
        <v>3282439.2500000014</v>
      </c>
      <c r="R1819" s="44" t="str">
        <f>VLOOKUP(F1819,'Set up'!$A$2:$E$48,5,FALSE)</f>
        <v>Cash</v>
      </c>
      <c r="S1819" s="1" t="s">
        <v>1681</v>
      </c>
    </row>
    <row r="1820" spans="1:19" ht="15" hidden="1" customHeight="1" x14ac:dyDescent="0.3">
      <c r="A1820" s="4">
        <v>45101</v>
      </c>
      <c r="B1820" s="5">
        <f t="shared" si="626"/>
        <v>6</v>
      </c>
      <c r="C1820" s="5">
        <f t="shared" si="627"/>
        <v>2023</v>
      </c>
      <c r="D1820" s="88" t="s">
        <v>1652</v>
      </c>
      <c r="E1820" s="5" t="str">
        <f>VLOOKUP(F1820,'Set up'!$A$2:$C$48,2,FALSE)</f>
        <v>C00000019</v>
      </c>
      <c r="F1820" s="1" t="s">
        <v>401</v>
      </c>
      <c r="G1820" s="89" t="s">
        <v>720</v>
      </c>
      <c r="H1820" s="5">
        <v>2</v>
      </c>
      <c r="I1820" s="5" t="str">
        <f>VLOOKUP(F1820,'Set up'!$A$2:$C$48,3,FALSE)</f>
        <v>Cash</v>
      </c>
      <c r="J1820" s="5">
        <f>VLOOKUP(F1820,'Set up'!$A$2:$D$48,4,FALSE)</f>
        <v>0</v>
      </c>
      <c r="K1820" s="4">
        <f t="shared" si="631"/>
        <v>45101</v>
      </c>
      <c r="L1820" s="5">
        <f t="shared" si="628"/>
        <v>6</v>
      </c>
      <c r="M1820" s="5">
        <f t="shared" si="629"/>
        <v>2023</v>
      </c>
      <c r="N1820" s="6">
        <v>3652</v>
      </c>
      <c r="O1820" s="6">
        <f>-1988.1</f>
        <v>-1988.1</v>
      </c>
      <c r="P1820" s="6">
        <f t="shared" si="623"/>
        <v>1663.9</v>
      </c>
      <c r="Q1820" s="7">
        <f t="shared" si="624"/>
        <v>3286091.2500000014</v>
      </c>
      <c r="R1820" s="44" t="str">
        <f>VLOOKUP(F1820,'Set up'!$A$2:$E$48,5,FALSE)</f>
        <v>Trsf</v>
      </c>
      <c r="S1820" s="1" t="s">
        <v>2300</v>
      </c>
    </row>
    <row r="1821" spans="1:19" ht="15" hidden="1" customHeight="1" x14ac:dyDescent="0.3">
      <c r="A1821" s="4">
        <v>45101</v>
      </c>
      <c r="B1821" s="5">
        <f t="shared" si="626"/>
        <v>6</v>
      </c>
      <c r="C1821" s="5">
        <f t="shared" si="627"/>
        <v>2023</v>
      </c>
      <c r="D1821" s="88" t="s">
        <v>1652</v>
      </c>
      <c r="E1821" s="5" t="str">
        <f>VLOOKUP(F1821,'Set up'!$A$2:$C$48,2,FALSE)</f>
        <v>C00000019</v>
      </c>
      <c r="F1821" s="1" t="s">
        <v>401</v>
      </c>
      <c r="G1821" s="89" t="s">
        <v>1412</v>
      </c>
      <c r="H1821" s="5">
        <v>2</v>
      </c>
      <c r="I1821" s="5" t="str">
        <f>VLOOKUP(F1821,'Set up'!$A$2:$C$48,3,FALSE)</f>
        <v>Cash</v>
      </c>
      <c r="J1821" s="5">
        <f>VLOOKUP(F1821,'Set up'!$A$2:$D$48,4,FALSE)</f>
        <v>0</v>
      </c>
      <c r="K1821" s="4">
        <f t="shared" si="631"/>
        <v>45101</v>
      </c>
      <c r="L1821" s="5">
        <f t="shared" si="628"/>
        <v>6</v>
      </c>
      <c r="M1821" s="5">
        <f t="shared" si="629"/>
        <v>2023</v>
      </c>
      <c r="N1821" s="6">
        <v>842.4</v>
      </c>
      <c r="P1821" s="6">
        <f t="shared" si="623"/>
        <v>842.4</v>
      </c>
      <c r="Q1821" s="7">
        <f t="shared" si="624"/>
        <v>3286933.6500000013</v>
      </c>
      <c r="R1821" s="44" t="str">
        <f>VLOOKUP(F1821,'Set up'!$A$2:$E$48,5,FALSE)</f>
        <v>Trsf</v>
      </c>
    </row>
    <row r="1822" spans="1:19" ht="15" hidden="1" customHeight="1" x14ac:dyDescent="0.3">
      <c r="A1822" s="4">
        <v>45101</v>
      </c>
      <c r="B1822" s="5">
        <f t="shared" si="626"/>
        <v>6</v>
      </c>
      <c r="C1822" s="5">
        <f t="shared" si="627"/>
        <v>2023</v>
      </c>
      <c r="D1822" s="88" t="s">
        <v>1652</v>
      </c>
      <c r="E1822" s="5" t="str">
        <f>VLOOKUP(F1822,'Set up'!$A$2:$C$48,2,FALSE)</f>
        <v>C00000019</v>
      </c>
      <c r="F1822" s="1" t="s">
        <v>401</v>
      </c>
      <c r="G1822" s="89" t="s">
        <v>792</v>
      </c>
      <c r="H1822" s="5">
        <v>3</v>
      </c>
      <c r="I1822" s="5" t="str">
        <f>VLOOKUP(F1822,'Set up'!$A$2:$C$48,3,FALSE)</f>
        <v>Cash</v>
      </c>
      <c r="J1822" s="5">
        <f>VLOOKUP(F1822,'Set up'!$A$2:$D$48,4,FALSE)</f>
        <v>0</v>
      </c>
      <c r="K1822" s="4">
        <f t="shared" si="631"/>
        <v>45101</v>
      </c>
      <c r="L1822" s="5">
        <f t="shared" si="628"/>
        <v>6</v>
      </c>
      <c r="M1822" s="5">
        <f t="shared" si="629"/>
        <v>2023</v>
      </c>
      <c r="N1822" s="6">
        <v>187.5</v>
      </c>
      <c r="P1822" s="6">
        <f t="shared" si="623"/>
        <v>187.5</v>
      </c>
      <c r="Q1822" s="7">
        <f t="shared" si="624"/>
        <v>3287121.1500000013</v>
      </c>
      <c r="R1822" s="44" t="str">
        <f>VLOOKUP(F1822,'Set up'!$A$2:$E$48,5,FALSE)</f>
        <v>Trsf</v>
      </c>
    </row>
    <row r="1823" spans="1:19" ht="15" hidden="1" customHeight="1" x14ac:dyDescent="0.3">
      <c r="A1823" s="4">
        <v>45101</v>
      </c>
      <c r="B1823" s="5">
        <f t="shared" si="626"/>
        <v>6</v>
      </c>
      <c r="C1823" s="5">
        <f t="shared" si="627"/>
        <v>2023</v>
      </c>
      <c r="D1823" s="88" t="s">
        <v>1652</v>
      </c>
      <c r="E1823" s="5" t="str">
        <f>VLOOKUP(F1823,'Set up'!$A$2:$C$48,2,FALSE)</f>
        <v>C00000019</v>
      </c>
      <c r="F1823" s="1" t="s">
        <v>401</v>
      </c>
      <c r="G1823" s="89" t="s">
        <v>1470</v>
      </c>
      <c r="H1823" s="5">
        <v>1</v>
      </c>
      <c r="I1823" s="5" t="str">
        <f>VLOOKUP(F1823,'Set up'!$A$2:$C$48,3,FALSE)</f>
        <v>Cash</v>
      </c>
      <c r="J1823" s="5">
        <f>VLOOKUP(F1823,'Set up'!$A$2:$D$48,4,FALSE)</f>
        <v>0</v>
      </c>
      <c r="K1823" s="4">
        <f t="shared" si="631"/>
        <v>45101</v>
      </c>
      <c r="L1823" s="5">
        <f t="shared" si="628"/>
        <v>6</v>
      </c>
      <c r="M1823" s="5">
        <f t="shared" si="629"/>
        <v>2023</v>
      </c>
      <c r="N1823" s="6">
        <v>390</v>
      </c>
      <c r="P1823" s="6">
        <f t="shared" si="623"/>
        <v>390</v>
      </c>
      <c r="Q1823" s="7">
        <f t="shared" si="624"/>
        <v>3287511.1500000013</v>
      </c>
      <c r="R1823" s="44" t="str">
        <f>VLOOKUP(F1823,'Set up'!$A$2:$E$48,5,FALSE)</f>
        <v>Trsf</v>
      </c>
    </row>
    <row r="1824" spans="1:19" ht="15" hidden="1" customHeight="1" x14ac:dyDescent="0.3">
      <c r="A1824" s="4">
        <v>45101</v>
      </c>
      <c r="B1824" s="5">
        <f t="shared" si="626"/>
        <v>6</v>
      </c>
      <c r="C1824" s="5">
        <f t="shared" si="627"/>
        <v>2023</v>
      </c>
      <c r="D1824" s="88" t="s">
        <v>1652</v>
      </c>
      <c r="E1824" s="5" t="str">
        <f>VLOOKUP(F1824,'Set up'!$A$2:$C$48,2,FALSE)</f>
        <v>C00000019</v>
      </c>
      <c r="F1824" s="1" t="s">
        <v>401</v>
      </c>
      <c r="G1824" s="89" t="s">
        <v>866</v>
      </c>
      <c r="H1824" s="5">
        <v>1</v>
      </c>
      <c r="I1824" s="5" t="str">
        <f>VLOOKUP(F1824,'Set up'!$A$2:$C$48,3,FALSE)</f>
        <v>Cash</v>
      </c>
      <c r="J1824" s="5">
        <f>VLOOKUP(F1824,'Set up'!$A$2:$D$48,4,FALSE)</f>
        <v>0</v>
      </c>
      <c r="K1824" s="4">
        <f t="shared" si="631"/>
        <v>45101</v>
      </c>
      <c r="L1824" s="5">
        <f t="shared" si="628"/>
        <v>6</v>
      </c>
      <c r="M1824" s="5">
        <f t="shared" si="629"/>
        <v>2023</v>
      </c>
      <c r="N1824" s="6">
        <v>258</v>
      </c>
      <c r="P1824" s="6">
        <f t="shared" si="623"/>
        <v>258</v>
      </c>
      <c r="Q1824" s="7">
        <f t="shared" si="624"/>
        <v>3287769.1500000013</v>
      </c>
      <c r="R1824" s="44" t="str">
        <f>VLOOKUP(F1824,'Set up'!$A$2:$E$48,5,FALSE)</f>
        <v>Trsf</v>
      </c>
    </row>
    <row r="1825" spans="1:19" ht="15" hidden="1" customHeight="1" x14ac:dyDescent="0.3">
      <c r="A1825" s="4">
        <v>45103</v>
      </c>
      <c r="B1825" s="5">
        <f t="shared" si="626"/>
        <v>6</v>
      </c>
      <c r="C1825" s="5">
        <f t="shared" si="627"/>
        <v>2023</v>
      </c>
      <c r="D1825" s="88" t="s">
        <v>1653</v>
      </c>
      <c r="E1825" s="5" t="str">
        <f>VLOOKUP(F1825,'Set up'!$A$2:$C$48,2,FALSE)</f>
        <v>C00000013</v>
      </c>
      <c r="F1825" s="1" t="s">
        <v>1454</v>
      </c>
      <c r="G1825" s="95" t="s">
        <v>1654</v>
      </c>
      <c r="H1825" s="5">
        <v>1</v>
      </c>
      <c r="I1825" s="5" t="str">
        <f>VLOOKUP(F1825,'Set up'!$A$2:$C$48,3,FALSE)</f>
        <v>Cash</v>
      </c>
      <c r="J1825" s="5">
        <f>VLOOKUP(F1825,'Set up'!$A$2:$D$48,4,FALSE)</f>
        <v>0</v>
      </c>
      <c r="K1825" s="4">
        <f t="shared" si="631"/>
        <v>45103</v>
      </c>
      <c r="L1825" s="5">
        <f t="shared" si="628"/>
        <v>6</v>
      </c>
      <c r="M1825" s="5">
        <f t="shared" si="629"/>
        <v>2023</v>
      </c>
      <c r="N1825" s="6">
        <v>1958</v>
      </c>
      <c r="O1825" s="6">
        <f t="shared" ref="O1825:O1833" si="633">-N1825</f>
        <v>-1958</v>
      </c>
      <c r="P1825" s="6">
        <f t="shared" si="623"/>
        <v>0</v>
      </c>
      <c r="Q1825" s="7">
        <f t="shared" si="624"/>
        <v>3289727.1500000013</v>
      </c>
      <c r="R1825" s="44" t="str">
        <f>VLOOKUP(F1825,'Set up'!$A$2:$E$48,5,FALSE)</f>
        <v>Chq</v>
      </c>
      <c r="S1825" s="1" t="s">
        <v>1690</v>
      </c>
    </row>
    <row r="1826" spans="1:19" ht="15" hidden="1" customHeight="1" x14ac:dyDescent="0.3">
      <c r="A1826" s="4">
        <v>45103</v>
      </c>
      <c r="B1826" s="5">
        <f t="shared" ref="B1826:B1830" si="634">MONTH(A1826)</f>
        <v>6</v>
      </c>
      <c r="C1826" s="5">
        <f t="shared" ref="C1826:C1830" si="635">YEAR(A1826)</f>
        <v>2023</v>
      </c>
      <c r="D1826" s="88" t="s">
        <v>1653</v>
      </c>
      <c r="E1826" s="5" t="str">
        <f>VLOOKUP(F1826,'Set up'!$A$2:$C$48,2,FALSE)</f>
        <v>C00000013</v>
      </c>
      <c r="F1826" s="1" t="s">
        <v>1454</v>
      </c>
      <c r="G1826" s="90" t="s">
        <v>1061</v>
      </c>
      <c r="H1826" s="5">
        <v>1</v>
      </c>
      <c r="I1826" s="5" t="str">
        <f>VLOOKUP(F1826,'Set up'!$A$2:$C$48,3,FALSE)</f>
        <v>Cash</v>
      </c>
      <c r="J1826" s="5">
        <f>VLOOKUP(F1826,'Set up'!$A$2:$D$48,4,FALSE)</f>
        <v>0</v>
      </c>
      <c r="K1826" s="4">
        <f t="shared" si="631"/>
        <v>45103</v>
      </c>
      <c r="L1826" s="5">
        <f t="shared" ref="L1826:L1836" si="636">MONTH(K1826)</f>
        <v>6</v>
      </c>
      <c r="M1826" s="5">
        <f t="shared" ref="M1826:M1836" si="637">YEAR(K1826)</f>
        <v>2023</v>
      </c>
      <c r="N1826" s="6">
        <v>237</v>
      </c>
      <c r="O1826" s="6">
        <f t="shared" si="633"/>
        <v>-237</v>
      </c>
      <c r="P1826" s="6">
        <f t="shared" ref="P1826:P1836" si="638">SUM(N1826+O1826)</f>
        <v>0</v>
      </c>
      <c r="Q1826" s="7">
        <f t="shared" ref="Q1826:Q1836" si="639">SUM(Q1825+N1826)</f>
        <v>3289964.1500000013</v>
      </c>
      <c r="R1826" s="44" t="str">
        <f>VLOOKUP(F1826,'Set up'!$A$2:$E$48,5,FALSE)</f>
        <v>Chq</v>
      </c>
      <c r="S1826" s="1" t="s">
        <v>1690</v>
      </c>
    </row>
    <row r="1827" spans="1:19" ht="15" hidden="1" customHeight="1" x14ac:dyDescent="0.3">
      <c r="A1827" s="4">
        <v>45103</v>
      </c>
      <c r="B1827" s="5">
        <f t="shared" si="634"/>
        <v>6</v>
      </c>
      <c r="C1827" s="5">
        <f t="shared" si="635"/>
        <v>2023</v>
      </c>
      <c r="D1827" s="88" t="s">
        <v>1653</v>
      </c>
      <c r="E1827" s="5" t="str">
        <f>VLOOKUP(F1827,'Set up'!$A$2:$C$48,2,FALSE)</f>
        <v>C00000013</v>
      </c>
      <c r="F1827" s="1" t="s">
        <v>1454</v>
      </c>
      <c r="G1827" s="90" t="s">
        <v>1655</v>
      </c>
      <c r="H1827" s="5">
        <v>1</v>
      </c>
      <c r="I1827" s="5" t="str">
        <f>VLOOKUP(F1827,'Set up'!$A$2:$C$48,3,FALSE)</f>
        <v>Cash</v>
      </c>
      <c r="J1827" s="5">
        <f>VLOOKUP(F1827,'Set up'!$A$2:$D$48,4,FALSE)</f>
        <v>0</v>
      </c>
      <c r="K1827" s="4">
        <f t="shared" si="631"/>
        <v>45103</v>
      </c>
      <c r="L1827" s="5">
        <f t="shared" si="636"/>
        <v>6</v>
      </c>
      <c r="M1827" s="5">
        <f t="shared" si="637"/>
        <v>2023</v>
      </c>
      <c r="N1827" s="6">
        <v>258</v>
      </c>
      <c r="O1827" s="6">
        <f t="shared" si="633"/>
        <v>-258</v>
      </c>
      <c r="P1827" s="6">
        <f t="shared" si="638"/>
        <v>0</v>
      </c>
      <c r="Q1827" s="7">
        <f t="shared" si="639"/>
        <v>3290222.1500000013</v>
      </c>
      <c r="R1827" s="44" t="str">
        <f>VLOOKUP(F1827,'Set up'!$A$2:$E$48,5,FALSE)</f>
        <v>Chq</v>
      </c>
      <c r="S1827" s="1" t="s">
        <v>1690</v>
      </c>
    </row>
    <row r="1828" spans="1:19" ht="15" hidden="1" customHeight="1" x14ac:dyDescent="0.3">
      <c r="A1828" s="4">
        <v>45103</v>
      </c>
      <c r="B1828" s="5">
        <f t="shared" si="634"/>
        <v>6</v>
      </c>
      <c r="C1828" s="5">
        <f t="shared" si="635"/>
        <v>2023</v>
      </c>
      <c r="D1828" s="88" t="s">
        <v>1653</v>
      </c>
      <c r="E1828" s="5" t="str">
        <f>VLOOKUP(F1828,'Set up'!$A$2:$C$48,2,FALSE)</f>
        <v>C00000013</v>
      </c>
      <c r="F1828" s="1" t="s">
        <v>1454</v>
      </c>
      <c r="G1828" s="90" t="s">
        <v>1656</v>
      </c>
      <c r="H1828" s="5">
        <v>5</v>
      </c>
      <c r="I1828" s="5" t="str">
        <f>VLOOKUP(F1828,'Set up'!$A$2:$C$48,3,FALSE)</f>
        <v>Cash</v>
      </c>
      <c r="J1828" s="5">
        <f>VLOOKUP(F1828,'Set up'!$A$2:$D$48,4,FALSE)</f>
        <v>0</v>
      </c>
      <c r="K1828" s="4">
        <f t="shared" si="631"/>
        <v>45103</v>
      </c>
      <c r="L1828" s="5">
        <f t="shared" si="636"/>
        <v>6</v>
      </c>
      <c r="M1828" s="5">
        <f t="shared" si="637"/>
        <v>2023</v>
      </c>
      <c r="N1828" s="6">
        <v>30</v>
      </c>
      <c r="O1828" s="6">
        <f t="shared" si="633"/>
        <v>-30</v>
      </c>
      <c r="P1828" s="6">
        <f t="shared" si="638"/>
        <v>0</v>
      </c>
      <c r="Q1828" s="7">
        <f t="shared" si="639"/>
        <v>3290252.1500000013</v>
      </c>
      <c r="R1828" s="44" t="str">
        <f>VLOOKUP(F1828,'Set up'!$A$2:$E$48,5,FALSE)</f>
        <v>Chq</v>
      </c>
      <c r="S1828" s="1" t="s">
        <v>1690</v>
      </c>
    </row>
    <row r="1829" spans="1:19" ht="15" hidden="1" customHeight="1" x14ac:dyDescent="0.3">
      <c r="A1829" s="4">
        <v>45103</v>
      </c>
      <c r="B1829" s="5">
        <f t="shared" si="634"/>
        <v>6</v>
      </c>
      <c r="C1829" s="5">
        <f t="shared" si="635"/>
        <v>2023</v>
      </c>
      <c r="D1829" s="88" t="s">
        <v>1653</v>
      </c>
      <c r="E1829" s="5" t="str">
        <f>VLOOKUP(F1829,'Set up'!$A$2:$C$48,2,FALSE)</f>
        <v>C00000013</v>
      </c>
      <c r="F1829" s="1" t="s">
        <v>1454</v>
      </c>
      <c r="G1829" s="90" t="s">
        <v>1657</v>
      </c>
      <c r="H1829" s="5">
        <v>5</v>
      </c>
      <c r="I1829" s="5" t="str">
        <f>VLOOKUP(F1829,'Set up'!$A$2:$C$48,3,FALSE)</f>
        <v>Cash</v>
      </c>
      <c r="J1829" s="5">
        <f>VLOOKUP(F1829,'Set up'!$A$2:$D$48,4,FALSE)</f>
        <v>0</v>
      </c>
      <c r="K1829" s="4">
        <f t="shared" si="631"/>
        <v>45103</v>
      </c>
      <c r="L1829" s="5">
        <f t="shared" si="636"/>
        <v>6</v>
      </c>
      <c r="M1829" s="5">
        <f t="shared" si="637"/>
        <v>2023</v>
      </c>
      <c r="N1829" s="6">
        <v>27.5</v>
      </c>
      <c r="O1829" s="6">
        <f t="shared" si="633"/>
        <v>-27.5</v>
      </c>
      <c r="P1829" s="6">
        <f t="shared" si="638"/>
        <v>0</v>
      </c>
      <c r="Q1829" s="7">
        <f t="shared" si="639"/>
        <v>3290279.6500000013</v>
      </c>
      <c r="R1829" s="44" t="str">
        <f>VLOOKUP(F1829,'Set up'!$A$2:$E$48,5,FALSE)</f>
        <v>Chq</v>
      </c>
      <c r="S1829" s="1" t="s">
        <v>1690</v>
      </c>
    </row>
    <row r="1830" spans="1:19" ht="15" hidden="1" customHeight="1" x14ac:dyDescent="0.3">
      <c r="A1830" s="4">
        <v>45103</v>
      </c>
      <c r="B1830" s="5">
        <f t="shared" si="634"/>
        <v>6</v>
      </c>
      <c r="C1830" s="5">
        <f t="shared" si="635"/>
        <v>2023</v>
      </c>
      <c r="D1830" s="88" t="s">
        <v>1653</v>
      </c>
      <c r="E1830" s="5" t="str">
        <f>VLOOKUP(F1830,'Set up'!$A$2:$C$48,2,FALSE)</f>
        <v>C00000013</v>
      </c>
      <c r="F1830" s="1" t="s">
        <v>1454</v>
      </c>
      <c r="G1830" s="90" t="s">
        <v>1119</v>
      </c>
      <c r="H1830" s="5">
        <v>1</v>
      </c>
      <c r="I1830" s="5" t="str">
        <f>VLOOKUP(F1830,'Set up'!$A$2:$C$48,3,FALSE)</f>
        <v>Cash</v>
      </c>
      <c r="J1830" s="5">
        <f>VLOOKUP(F1830,'Set up'!$A$2:$D$48,4,FALSE)</f>
        <v>0</v>
      </c>
      <c r="K1830" s="4">
        <f t="shared" si="631"/>
        <v>45103</v>
      </c>
      <c r="L1830" s="5">
        <f t="shared" si="636"/>
        <v>6</v>
      </c>
      <c r="M1830" s="5">
        <f t="shared" si="637"/>
        <v>2023</v>
      </c>
      <c r="N1830" s="6">
        <v>50</v>
      </c>
      <c r="O1830" s="6">
        <f t="shared" si="633"/>
        <v>-50</v>
      </c>
      <c r="P1830" s="6">
        <f t="shared" si="638"/>
        <v>0</v>
      </c>
      <c r="Q1830" s="7">
        <f t="shared" si="639"/>
        <v>3290329.6500000013</v>
      </c>
      <c r="R1830" s="44" t="str">
        <f>VLOOKUP(F1830,'Set up'!$A$2:$E$48,5,FALSE)</f>
        <v>Chq</v>
      </c>
      <c r="S1830" s="1" t="s">
        <v>1690</v>
      </c>
    </row>
    <row r="1831" spans="1:19" ht="15" hidden="1" customHeight="1" x14ac:dyDescent="0.3">
      <c r="A1831" s="4">
        <v>45103</v>
      </c>
      <c r="B1831" s="5">
        <f t="shared" ref="B1831:B1839" si="640">MONTH(A1831)</f>
        <v>6</v>
      </c>
      <c r="C1831" s="5">
        <f t="shared" ref="C1831:C1839" si="641">YEAR(A1831)</f>
        <v>2023</v>
      </c>
      <c r="D1831" s="88" t="s">
        <v>1653</v>
      </c>
      <c r="E1831" s="5" t="str">
        <f>VLOOKUP(F1831,'Set up'!$A$2:$C$48,2,FALSE)</f>
        <v>C00000013</v>
      </c>
      <c r="F1831" s="1" t="s">
        <v>1454</v>
      </c>
      <c r="G1831" s="108" t="s">
        <v>1658</v>
      </c>
      <c r="H1831" s="5">
        <v>1</v>
      </c>
      <c r="I1831" s="5" t="str">
        <f>VLOOKUP(F1831,'Set up'!$A$2:$C$48,3,FALSE)</f>
        <v>Cash</v>
      </c>
      <c r="J1831" s="5">
        <f>VLOOKUP(F1831,'Set up'!$A$2:$D$48,4,FALSE)</f>
        <v>0</v>
      </c>
      <c r="K1831" s="4">
        <f t="shared" si="631"/>
        <v>45103</v>
      </c>
      <c r="L1831" s="5">
        <f t="shared" si="636"/>
        <v>6</v>
      </c>
      <c r="M1831" s="5">
        <f t="shared" si="637"/>
        <v>2023</v>
      </c>
      <c r="N1831" s="6">
        <v>70</v>
      </c>
      <c r="O1831" s="6">
        <f t="shared" si="633"/>
        <v>-70</v>
      </c>
      <c r="P1831" s="6">
        <f t="shared" si="638"/>
        <v>0</v>
      </c>
      <c r="Q1831" s="7">
        <f t="shared" si="639"/>
        <v>3290399.6500000013</v>
      </c>
      <c r="R1831" s="44" t="str">
        <f>VLOOKUP(F1831,'Set up'!$A$2:$E$48,5,FALSE)</f>
        <v>Chq</v>
      </c>
      <c r="S1831" s="1" t="s">
        <v>1690</v>
      </c>
    </row>
    <row r="1832" spans="1:19" ht="15" hidden="1" customHeight="1" x14ac:dyDescent="0.3">
      <c r="A1832" s="4">
        <v>45103</v>
      </c>
      <c r="B1832" s="5">
        <f t="shared" si="640"/>
        <v>6</v>
      </c>
      <c r="C1832" s="5">
        <f t="shared" si="641"/>
        <v>2023</v>
      </c>
      <c r="D1832" s="88" t="s">
        <v>1653</v>
      </c>
      <c r="E1832" s="5" t="str">
        <f>VLOOKUP(F1832,'Set up'!$A$2:$C$48,2,FALSE)</f>
        <v>C00000013</v>
      </c>
      <c r="F1832" s="1" t="s">
        <v>1454</v>
      </c>
      <c r="G1832" s="99" t="s">
        <v>1659</v>
      </c>
      <c r="H1832" s="5">
        <v>1</v>
      </c>
      <c r="I1832" s="5" t="str">
        <f>VLOOKUP(F1832,'Set up'!$A$2:$C$48,3,FALSE)</f>
        <v>Cash</v>
      </c>
      <c r="J1832" s="5">
        <f>VLOOKUP(F1832,'Set up'!$A$2:$D$48,4,FALSE)</f>
        <v>0</v>
      </c>
      <c r="K1832" s="4">
        <f t="shared" si="631"/>
        <v>45103</v>
      </c>
      <c r="L1832" s="5">
        <f t="shared" si="636"/>
        <v>6</v>
      </c>
      <c r="M1832" s="5">
        <f t="shared" si="637"/>
        <v>2023</v>
      </c>
      <c r="N1832" s="6">
        <v>74</v>
      </c>
      <c r="O1832" s="6">
        <f t="shared" si="633"/>
        <v>-74</v>
      </c>
      <c r="P1832" s="6">
        <f t="shared" si="638"/>
        <v>0</v>
      </c>
      <c r="Q1832" s="7">
        <f t="shared" si="639"/>
        <v>3290473.6500000013</v>
      </c>
      <c r="R1832" s="44" t="str">
        <f>VLOOKUP(F1832,'Set up'!$A$2:$E$48,5,FALSE)</f>
        <v>Chq</v>
      </c>
      <c r="S1832" s="1" t="s">
        <v>1690</v>
      </c>
    </row>
    <row r="1833" spans="1:19" ht="15" hidden="1" customHeight="1" x14ac:dyDescent="0.3">
      <c r="A1833" s="4">
        <v>45103</v>
      </c>
      <c r="B1833" s="5">
        <f t="shared" si="640"/>
        <v>6</v>
      </c>
      <c r="C1833" s="5">
        <f t="shared" si="641"/>
        <v>2023</v>
      </c>
      <c r="D1833" s="88" t="s">
        <v>1653</v>
      </c>
      <c r="E1833" s="5" t="str">
        <f>VLOOKUP(F1833,'Set up'!$A$2:$C$48,2,FALSE)</f>
        <v>C00000013</v>
      </c>
      <c r="F1833" s="1" t="s">
        <v>1454</v>
      </c>
      <c r="G1833" s="99" t="s">
        <v>1660</v>
      </c>
      <c r="H1833" s="5">
        <v>1</v>
      </c>
      <c r="I1833" s="5" t="str">
        <f>VLOOKUP(F1833,'Set up'!$A$2:$C$48,3,FALSE)</f>
        <v>Cash</v>
      </c>
      <c r="J1833" s="5">
        <f>VLOOKUP(F1833,'Set up'!$A$2:$D$48,4,FALSE)</f>
        <v>0</v>
      </c>
      <c r="K1833" s="4">
        <f t="shared" si="631"/>
        <v>45103</v>
      </c>
      <c r="L1833" s="5">
        <f t="shared" si="636"/>
        <v>6</v>
      </c>
      <c r="M1833" s="5">
        <f t="shared" si="637"/>
        <v>2023</v>
      </c>
      <c r="N1833" s="6">
        <v>116</v>
      </c>
      <c r="O1833" s="6">
        <f t="shared" si="633"/>
        <v>-116</v>
      </c>
      <c r="P1833" s="6">
        <f t="shared" si="638"/>
        <v>0</v>
      </c>
      <c r="Q1833" s="7">
        <f t="shared" si="639"/>
        <v>3290589.6500000013</v>
      </c>
      <c r="R1833" s="44" t="str">
        <f>VLOOKUP(F1833,'Set up'!$A$2:$E$48,5,FALSE)</f>
        <v>Chq</v>
      </c>
      <c r="S1833" s="1" t="s">
        <v>1690</v>
      </c>
    </row>
    <row r="1834" spans="1:19" ht="15" hidden="1" customHeight="1" x14ac:dyDescent="0.3">
      <c r="A1834" s="4" t="s">
        <v>1664</v>
      </c>
      <c r="B1834" s="5">
        <f t="shared" si="640"/>
        <v>6</v>
      </c>
      <c r="C1834" s="5">
        <f t="shared" si="641"/>
        <v>2023</v>
      </c>
      <c r="D1834" s="88" t="s">
        <v>1663</v>
      </c>
      <c r="E1834" s="5" t="str">
        <f>VLOOKUP(F1834,'Set up'!$A$2:$C$48,2,FALSE)</f>
        <v>C00000034</v>
      </c>
      <c r="F1834" s="1" t="s">
        <v>1197</v>
      </c>
      <c r="G1834" s="89" t="s">
        <v>1357</v>
      </c>
      <c r="H1834" s="5">
        <v>2</v>
      </c>
      <c r="I1834" s="5" t="str">
        <f>VLOOKUP(F1834,'Set up'!$A$2:$C$48,3,FALSE)</f>
        <v>Cash</v>
      </c>
      <c r="J1834" s="5">
        <f>VLOOKUP(F1834,'Set up'!$A$2:$D$48,4,FALSE)</f>
        <v>0</v>
      </c>
      <c r="K1834" s="4">
        <f t="shared" si="631"/>
        <v>45104</v>
      </c>
      <c r="L1834" s="5">
        <f t="shared" si="636"/>
        <v>6</v>
      </c>
      <c r="M1834" s="5">
        <f t="shared" si="637"/>
        <v>2023</v>
      </c>
      <c r="N1834" s="6">
        <v>3740</v>
      </c>
      <c r="O1834" s="6">
        <f>-3000-740</f>
        <v>-3740</v>
      </c>
      <c r="P1834" s="6">
        <f t="shared" si="638"/>
        <v>0</v>
      </c>
      <c r="Q1834" s="7">
        <f t="shared" si="639"/>
        <v>3294329.6500000013</v>
      </c>
      <c r="R1834" s="44" t="str">
        <f>VLOOKUP(F1834,'Set up'!$A$2:$E$48,5,FALSE)</f>
        <v>Trsf</v>
      </c>
      <c r="S1834" s="1" t="s">
        <v>1749</v>
      </c>
    </row>
    <row r="1835" spans="1:19" ht="15" hidden="1" customHeight="1" x14ac:dyDescent="0.3">
      <c r="A1835" s="4" t="s">
        <v>1664</v>
      </c>
      <c r="B1835" s="5">
        <f t="shared" si="640"/>
        <v>6</v>
      </c>
      <c r="C1835" s="5">
        <f t="shared" si="641"/>
        <v>2023</v>
      </c>
      <c r="D1835" s="88" t="s">
        <v>1663</v>
      </c>
      <c r="E1835" s="5" t="str">
        <f>VLOOKUP(F1835,'Set up'!$A$2:$C$48,2,FALSE)</f>
        <v>C00000034</v>
      </c>
      <c r="F1835" s="1" t="s">
        <v>1197</v>
      </c>
      <c r="G1835" s="89" t="s">
        <v>1353</v>
      </c>
      <c r="H1835" s="5">
        <v>2</v>
      </c>
      <c r="I1835" s="5" t="str">
        <f>VLOOKUP(F1835,'Set up'!$A$2:$C$48,3,FALSE)</f>
        <v>Cash</v>
      </c>
      <c r="J1835" s="5">
        <f>VLOOKUP(F1835,'Set up'!$A$2:$D$48,4,FALSE)</f>
        <v>0</v>
      </c>
      <c r="K1835" s="4">
        <f t="shared" si="631"/>
        <v>45104</v>
      </c>
      <c r="L1835" s="5">
        <f t="shared" si="636"/>
        <v>6</v>
      </c>
      <c r="M1835" s="5">
        <f t="shared" si="637"/>
        <v>2023</v>
      </c>
      <c r="N1835" s="6">
        <v>450</v>
      </c>
      <c r="O1835" s="6">
        <f>-393.5-56.5</f>
        <v>-450</v>
      </c>
      <c r="P1835" s="6">
        <f t="shared" si="638"/>
        <v>0</v>
      </c>
      <c r="Q1835" s="7">
        <f t="shared" si="639"/>
        <v>3294779.6500000013</v>
      </c>
      <c r="R1835" s="44" t="str">
        <f>VLOOKUP(F1835,'Set up'!$A$2:$E$48,5,FALSE)</f>
        <v>Trsf</v>
      </c>
      <c r="S1835" s="119" t="s">
        <v>1750</v>
      </c>
    </row>
    <row r="1836" spans="1:19" ht="15" hidden="1" customHeight="1" x14ac:dyDescent="0.3">
      <c r="A1836" s="4" t="s">
        <v>1664</v>
      </c>
      <c r="B1836" s="5">
        <f t="shared" si="640"/>
        <v>6</v>
      </c>
      <c r="C1836" s="5">
        <f t="shared" si="641"/>
        <v>2023</v>
      </c>
      <c r="D1836" s="88" t="s">
        <v>1663</v>
      </c>
      <c r="E1836" s="5" t="str">
        <f>VLOOKUP(F1836,'Set up'!$A$2:$C$48,2,FALSE)</f>
        <v>C00000034</v>
      </c>
      <c r="F1836" s="1" t="s">
        <v>1197</v>
      </c>
      <c r="G1836" s="89" t="s">
        <v>1432</v>
      </c>
      <c r="H1836" s="5">
        <v>1</v>
      </c>
      <c r="I1836" s="5" t="str">
        <f>VLOOKUP(F1836,'Set up'!$A$2:$C$48,3,FALSE)</f>
        <v>Cash</v>
      </c>
      <c r="J1836" s="5">
        <f>VLOOKUP(F1836,'Set up'!$A$2:$D$48,4,FALSE)</f>
        <v>0</v>
      </c>
      <c r="K1836" s="4">
        <f t="shared" si="631"/>
        <v>45104</v>
      </c>
      <c r="L1836" s="5">
        <f t="shared" si="636"/>
        <v>6</v>
      </c>
      <c r="M1836" s="5">
        <f t="shared" si="637"/>
        <v>2023</v>
      </c>
      <c r="N1836" s="6">
        <v>225</v>
      </c>
      <c r="O1836" s="6">
        <f t="shared" ref="O1836:O1844" si="642">-N1836</f>
        <v>-225</v>
      </c>
      <c r="P1836" s="6">
        <f t="shared" si="638"/>
        <v>0</v>
      </c>
      <c r="Q1836" s="7">
        <f t="shared" si="639"/>
        <v>3295004.6500000013</v>
      </c>
      <c r="R1836" s="44" t="str">
        <f>VLOOKUP(F1836,'Set up'!$A$2:$E$48,5,FALSE)</f>
        <v>Trsf</v>
      </c>
      <c r="S1836" s="1" t="s">
        <v>1751</v>
      </c>
    </row>
    <row r="1837" spans="1:19" ht="15" hidden="1" customHeight="1" x14ac:dyDescent="0.3">
      <c r="A1837" s="4" t="s">
        <v>1664</v>
      </c>
      <c r="B1837" s="5">
        <f t="shared" si="640"/>
        <v>6</v>
      </c>
      <c r="C1837" s="5">
        <f t="shared" si="641"/>
        <v>2023</v>
      </c>
      <c r="D1837" s="88" t="s">
        <v>1663</v>
      </c>
      <c r="E1837" s="5" t="str">
        <f>VLOOKUP(F1837,'Set up'!$A$2:$C$48,2,FALSE)</f>
        <v>C00000034</v>
      </c>
      <c r="F1837" s="1" t="s">
        <v>1197</v>
      </c>
      <c r="G1837" s="89" t="s">
        <v>1625</v>
      </c>
      <c r="H1837" s="5">
        <v>1</v>
      </c>
      <c r="I1837" s="5" t="str">
        <f>VLOOKUP(F1837,'Set up'!$A$2:$C$48,3,FALSE)</f>
        <v>Cash</v>
      </c>
      <c r="J1837" s="5">
        <f>VLOOKUP(F1837,'Set up'!$A$2:$D$48,4,FALSE)</f>
        <v>0</v>
      </c>
      <c r="K1837" s="4">
        <f t="shared" si="631"/>
        <v>45104</v>
      </c>
      <c r="L1837" s="5">
        <f t="shared" ref="L1837:L1844" si="643">MONTH(K1837)</f>
        <v>6</v>
      </c>
      <c r="M1837" s="5">
        <f t="shared" ref="M1837:M1844" si="644">YEAR(K1837)</f>
        <v>2023</v>
      </c>
      <c r="N1837" s="6">
        <v>236</v>
      </c>
      <c r="O1837" s="6">
        <f t="shared" si="642"/>
        <v>-236</v>
      </c>
      <c r="P1837" s="6">
        <f t="shared" ref="P1837:P1844" si="645">SUM(N1837+O1837)</f>
        <v>0</v>
      </c>
      <c r="Q1837" s="7">
        <f t="shared" ref="Q1837:Q1844" si="646">SUM(Q1836+N1837)</f>
        <v>3295240.6500000013</v>
      </c>
      <c r="R1837" s="44" t="str">
        <f>VLOOKUP(F1837,'Set up'!$A$2:$E$48,5,FALSE)</f>
        <v>Trsf</v>
      </c>
      <c r="S1837" s="1" t="s">
        <v>1752</v>
      </c>
    </row>
    <row r="1838" spans="1:19" ht="15" hidden="1" customHeight="1" x14ac:dyDescent="0.3">
      <c r="A1838" s="4" t="s">
        <v>1664</v>
      </c>
      <c r="B1838" s="5">
        <f t="shared" si="640"/>
        <v>6</v>
      </c>
      <c r="C1838" s="5">
        <f t="shared" si="641"/>
        <v>2023</v>
      </c>
      <c r="D1838" s="88" t="s">
        <v>1663</v>
      </c>
      <c r="E1838" s="5" t="str">
        <f>VLOOKUP(F1838,'Set up'!$A$2:$C$48,2,FALSE)</f>
        <v>C00000034</v>
      </c>
      <c r="F1838" s="1" t="s">
        <v>1197</v>
      </c>
      <c r="G1838" s="89" t="s">
        <v>1062</v>
      </c>
      <c r="H1838" s="5">
        <v>1</v>
      </c>
      <c r="I1838" s="5" t="str">
        <f>VLOOKUP(F1838,'Set up'!$A$2:$C$48,3,FALSE)</f>
        <v>Cash</v>
      </c>
      <c r="J1838" s="5">
        <f>VLOOKUP(F1838,'Set up'!$A$2:$D$48,4,FALSE)</f>
        <v>0</v>
      </c>
      <c r="K1838" s="4">
        <f t="shared" si="631"/>
        <v>45104</v>
      </c>
      <c r="L1838" s="5">
        <f t="shared" si="643"/>
        <v>6</v>
      </c>
      <c r="M1838" s="5">
        <f t="shared" si="644"/>
        <v>2023</v>
      </c>
      <c r="N1838" s="6">
        <v>95</v>
      </c>
      <c r="O1838" s="6">
        <f t="shared" si="642"/>
        <v>-95</v>
      </c>
      <c r="P1838" s="6">
        <f t="shared" si="645"/>
        <v>0</v>
      </c>
      <c r="Q1838" s="7">
        <f t="shared" si="646"/>
        <v>3295335.6500000013</v>
      </c>
      <c r="R1838" s="44" t="str">
        <f>VLOOKUP(F1838,'Set up'!$A$2:$E$48,5,FALSE)</f>
        <v>Trsf</v>
      </c>
      <c r="S1838" s="1" t="s">
        <v>1753</v>
      </c>
    </row>
    <row r="1839" spans="1:19" ht="15" hidden="1" customHeight="1" x14ac:dyDescent="0.3">
      <c r="A1839" s="4" t="s">
        <v>1664</v>
      </c>
      <c r="B1839" s="5">
        <f t="shared" si="640"/>
        <v>6</v>
      </c>
      <c r="C1839" s="5">
        <f t="shared" si="641"/>
        <v>2023</v>
      </c>
      <c r="D1839" s="88" t="s">
        <v>1663</v>
      </c>
      <c r="E1839" s="5" t="str">
        <f>VLOOKUP(F1839,'Set up'!$A$2:$C$48,2,FALSE)</f>
        <v>C00000034</v>
      </c>
      <c r="F1839" s="1" t="s">
        <v>1197</v>
      </c>
      <c r="G1839" s="89" t="s">
        <v>1111</v>
      </c>
      <c r="H1839" s="5">
        <v>1</v>
      </c>
      <c r="I1839" s="5" t="str">
        <f>VLOOKUP(F1839,'Set up'!$A$2:$C$48,3,FALSE)</f>
        <v>Cash</v>
      </c>
      <c r="J1839" s="5">
        <f>VLOOKUP(F1839,'Set up'!$A$2:$D$48,4,FALSE)</f>
        <v>0</v>
      </c>
      <c r="K1839" s="4">
        <f t="shared" si="631"/>
        <v>45104</v>
      </c>
      <c r="L1839" s="5">
        <f t="shared" si="643"/>
        <v>6</v>
      </c>
      <c r="M1839" s="5">
        <f t="shared" si="644"/>
        <v>2023</v>
      </c>
      <c r="N1839" s="6">
        <v>62.5</v>
      </c>
      <c r="O1839" s="6">
        <f t="shared" si="642"/>
        <v>-62.5</v>
      </c>
      <c r="P1839" s="6">
        <f t="shared" si="645"/>
        <v>0</v>
      </c>
      <c r="Q1839" s="7">
        <f t="shared" si="646"/>
        <v>3295398.1500000013</v>
      </c>
      <c r="R1839" s="44" t="str">
        <f>VLOOKUP(F1839,'Set up'!$A$2:$E$48,5,FALSE)</f>
        <v>Trsf</v>
      </c>
      <c r="S1839" s="1" t="s">
        <v>1754</v>
      </c>
    </row>
    <row r="1840" spans="1:19" ht="15" hidden="1" customHeight="1" x14ac:dyDescent="0.3">
      <c r="A1840" s="4" t="s">
        <v>1664</v>
      </c>
      <c r="B1840" s="5">
        <f t="shared" ref="B1840:B1844" si="647">MONTH(A1840)</f>
        <v>6</v>
      </c>
      <c r="C1840" s="5">
        <f t="shared" ref="C1840:C1844" si="648">YEAR(A1840)</f>
        <v>2023</v>
      </c>
      <c r="D1840" s="88" t="s">
        <v>1663</v>
      </c>
      <c r="E1840" s="5" t="str">
        <f>VLOOKUP(F1840,'Set up'!$A$2:$C$48,2,FALSE)</f>
        <v>C00000034</v>
      </c>
      <c r="F1840" s="1" t="s">
        <v>1197</v>
      </c>
      <c r="G1840" s="89" t="s">
        <v>1661</v>
      </c>
      <c r="H1840" s="5">
        <v>1</v>
      </c>
      <c r="I1840" s="5" t="str">
        <f>VLOOKUP(F1840,'Set up'!$A$2:$C$48,3,FALSE)</f>
        <v>Cash</v>
      </c>
      <c r="J1840" s="5">
        <f>VLOOKUP(F1840,'Set up'!$A$2:$D$48,4,FALSE)</f>
        <v>0</v>
      </c>
      <c r="K1840" s="4">
        <f t="shared" si="631"/>
        <v>45104</v>
      </c>
      <c r="L1840" s="5">
        <f t="shared" si="643"/>
        <v>6</v>
      </c>
      <c r="M1840" s="5">
        <f t="shared" si="644"/>
        <v>2023</v>
      </c>
      <c r="N1840" s="6">
        <v>165</v>
      </c>
      <c r="O1840" s="6">
        <f t="shared" si="642"/>
        <v>-165</v>
      </c>
      <c r="P1840" s="6">
        <f t="shared" si="645"/>
        <v>0</v>
      </c>
      <c r="Q1840" s="7">
        <f t="shared" si="646"/>
        <v>3295563.1500000013</v>
      </c>
      <c r="R1840" s="44" t="str">
        <f>VLOOKUP(F1840,'Set up'!$A$2:$E$48,5,FALSE)</f>
        <v>Trsf</v>
      </c>
      <c r="S1840" s="1" t="s">
        <v>1755</v>
      </c>
    </row>
    <row r="1841" spans="1:19" ht="15" hidden="1" customHeight="1" x14ac:dyDescent="0.3">
      <c r="A1841" s="4" t="s">
        <v>1664</v>
      </c>
      <c r="B1841" s="5">
        <f t="shared" si="647"/>
        <v>6</v>
      </c>
      <c r="C1841" s="5">
        <f t="shared" si="648"/>
        <v>2023</v>
      </c>
      <c r="D1841" s="88" t="s">
        <v>1663</v>
      </c>
      <c r="E1841" s="5" t="str">
        <f>VLOOKUP(F1841,'Set up'!$A$2:$C$48,2,FALSE)</f>
        <v>C00000034</v>
      </c>
      <c r="F1841" s="1" t="s">
        <v>1197</v>
      </c>
      <c r="G1841" s="89" t="s">
        <v>1662</v>
      </c>
      <c r="H1841" s="5">
        <v>1</v>
      </c>
      <c r="I1841" s="5" t="str">
        <f>VLOOKUP(F1841,'Set up'!$A$2:$C$48,3,FALSE)</f>
        <v>Cash</v>
      </c>
      <c r="J1841" s="5">
        <f>VLOOKUP(F1841,'Set up'!$A$2:$D$48,4,FALSE)</f>
        <v>0</v>
      </c>
      <c r="K1841" s="4">
        <f t="shared" si="631"/>
        <v>45104</v>
      </c>
      <c r="L1841" s="5">
        <f t="shared" si="643"/>
        <v>6</v>
      </c>
      <c r="M1841" s="5">
        <f t="shared" si="644"/>
        <v>2023</v>
      </c>
      <c r="N1841" s="6">
        <v>160</v>
      </c>
      <c r="O1841" s="6">
        <f t="shared" si="642"/>
        <v>-160</v>
      </c>
      <c r="P1841" s="6">
        <f t="shared" si="645"/>
        <v>0</v>
      </c>
      <c r="Q1841" s="7">
        <f t="shared" si="646"/>
        <v>3295723.1500000013</v>
      </c>
      <c r="R1841" s="44" t="str">
        <f>VLOOKUP(F1841,'Set up'!$A$2:$E$48,5,FALSE)</f>
        <v>Trsf</v>
      </c>
      <c r="S1841" s="1" t="s">
        <v>1756</v>
      </c>
    </row>
    <row r="1842" spans="1:19" ht="15" hidden="1" customHeight="1" x14ac:dyDescent="0.3">
      <c r="A1842" s="4">
        <v>45105</v>
      </c>
      <c r="B1842" s="5">
        <f t="shared" si="647"/>
        <v>6</v>
      </c>
      <c r="C1842" s="5">
        <f t="shared" si="648"/>
        <v>2023</v>
      </c>
      <c r="D1842" s="88" t="s">
        <v>1665</v>
      </c>
      <c r="E1842" s="5" t="str">
        <f>VLOOKUP(F1842,'Set up'!$A$2:$C$48,2,FALSE)</f>
        <v>C00000021</v>
      </c>
      <c r="F1842" s="1" t="s">
        <v>492</v>
      </c>
      <c r="G1842" s="107" t="s">
        <v>717</v>
      </c>
      <c r="H1842" s="5">
        <v>1</v>
      </c>
      <c r="I1842" s="5" t="str">
        <f>VLOOKUP(F1842,'Set up'!$A$2:$C$48,3,FALSE)</f>
        <v>Cash</v>
      </c>
      <c r="J1842" s="5">
        <f>VLOOKUP(F1842,'Set up'!$A$2:$D$48,4,FALSE)</f>
        <v>0</v>
      </c>
      <c r="K1842" s="4">
        <f t="shared" si="631"/>
        <v>45105</v>
      </c>
      <c r="L1842" s="5">
        <f t="shared" si="643"/>
        <v>6</v>
      </c>
      <c r="M1842" s="5">
        <f t="shared" si="644"/>
        <v>2023</v>
      </c>
      <c r="N1842" s="6">
        <v>1870</v>
      </c>
      <c r="O1842" s="6">
        <f t="shared" si="642"/>
        <v>-1870</v>
      </c>
      <c r="P1842" s="6">
        <f t="shared" si="645"/>
        <v>0</v>
      </c>
      <c r="Q1842" s="7">
        <f t="shared" si="646"/>
        <v>3297593.1500000013</v>
      </c>
      <c r="R1842" s="44" t="str">
        <f>VLOOKUP(F1842,'Set up'!$A$2:$E$48,5,FALSE)</f>
        <v>PD Chq</v>
      </c>
      <c r="S1842" s="1" t="s">
        <v>2340</v>
      </c>
    </row>
    <row r="1843" spans="1:19" ht="15" hidden="1" customHeight="1" x14ac:dyDescent="0.3">
      <c r="A1843" s="4">
        <v>45105</v>
      </c>
      <c r="B1843" s="5">
        <f t="shared" si="647"/>
        <v>6</v>
      </c>
      <c r="C1843" s="5">
        <f t="shared" si="648"/>
        <v>2023</v>
      </c>
      <c r="D1843" s="88" t="s">
        <v>1665</v>
      </c>
      <c r="E1843" s="5" t="str">
        <f>VLOOKUP(F1843,'Set up'!$A$2:$C$48,2,FALSE)</f>
        <v>C00000021</v>
      </c>
      <c r="F1843" s="1" t="s">
        <v>492</v>
      </c>
      <c r="G1843" s="99" t="s">
        <v>655</v>
      </c>
      <c r="H1843" s="5">
        <v>2</v>
      </c>
      <c r="I1843" s="5" t="str">
        <f>VLOOKUP(F1843,'Set up'!$A$2:$C$48,3,FALSE)</f>
        <v>Cash</v>
      </c>
      <c r="J1843" s="5">
        <f>VLOOKUP(F1843,'Set up'!$A$2:$D$48,4,FALSE)</f>
        <v>0</v>
      </c>
      <c r="K1843" s="4">
        <f t="shared" si="631"/>
        <v>45105</v>
      </c>
      <c r="L1843" s="5">
        <f t="shared" si="643"/>
        <v>6</v>
      </c>
      <c r="M1843" s="5">
        <f t="shared" si="644"/>
        <v>2023</v>
      </c>
      <c r="N1843" s="6">
        <v>510</v>
      </c>
      <c r="O1843" s="6">
        <f t="shared" si="642"/>
        <v>-510</v>
      </c>
      <c r="P1843" s="6">
        <f t="shared" si="645"/>
        <v>0</v>
      </c>
      <c r="Q1843" s="7">
        <f t="shared" si="646"/>
        <v>3298103.1500000013</v>
      </c>
      <c r="R1843" s="44" t="str">
        <f>VLOOKUP(F1843,'Set up'!$A$2:$E$48,5,FALSE)</f>
        <v>PD Chq</v>
      </c>
      <c r="S1843" s="1" t="s">
        <v>2340</v>
      </c>
    </row>
    <row r="1844" spans="1:19" ht="15" hidden="1" customHeight="1" x14ac:dyDescent="0.3">
      <c r="A1844" s="4">
        <v>45105</v>
      </c>
      <c r="B1844" s="5">
        <f t="shared" si="647"/>
        <v>6</v>
      </c>
      <c r="C1844" s="5">
        <f t="shared" si="648"/>
        <v>2023</v>
      </c>
      <c r="D1844" s="88" t="s">
        <v>1665</v>
      </c>
      <c r="E1844" s="5" t="str">
        <f>VLOOKUP(F1844,'Set up'!$A$2:$C$48,2,FALSE)</f>
        <v>C00000021</v>
      </c>
      <c r="F1844" s="1" t="s">
        <v>492</v>
      </c>
      <c r="G1844" s="99" t="s">
        <v>1062</v>
      </c>
      <c r="H1844" s="5">
        <v>1</v>
      </c>
      <c r="I1844" s="5" t="str">
        <f>VLOOKUP(F1844,'Set up'!$A$2:$C$48,3,FALSE)</f>
        <v>Cash</v>
      </c>
      <c r="J1844" s="5">
        <f>VLOOKUP(F1844,'Set up'!$A$2:$D$48,4,FALSE)</f>
        <v>0</v>
      </c>
      <c r="K1844" s="4">
        <f t="shared" si="631"/>
        <v>45105</v>
      </c>
      <c r="L1844" s="5">
        <f t="shared" si="643"/>
        <v>6</v>
      </c>
      <c r="M1844" s="5">
        <f t="shared" si="644"/>
        <v>2023</v>
      </c>
      <c r="N1844" s="6">
        <v>95</v>
      </c>
      <c r="O1844" s="6">
        <f t="shared" si="642"/>
        <v>-95</v>
      </c>
      <c r="P1844" s="6">
        <f t="shared" si="645"/>
        <v>0</v>
      </c>
      <c r="Q1844" s="7">
        <f t="shared" si="646"/>
        <v>3298198.1500000013</v>
      </c>
      <c r="R1844" s="44" t="str">
        <f>VLOOKUP(F1844,'Set up'!$A$2:$E$48,5,FALSE)</f>
        <v>PD Chq</v>
      </c>
      <c r="S1844" s="1" t="s">
        <v>2340</v>
      </c>
    </row>
    <row r="1845" spans="1:19" ht="15" hidden="1" customHeight="1" x14ac:dyDescent="0.3">
      <c r="A1845" s="4" t="s">
        <v>1709</v>
      </c>
      <c r="B1845" s="5">
        <f t="shared" ref="B1845:B1908" si="649">MONTH(A1845)</f>
        <v>7</v>
      </c>
      <c r="C1845" s="5">
        <f t="shared" ref="C1845:C1908" si="650">YEAR(A1845)</f>
        <v>2023</v>
      </c>
      <c r="D1845" s="88" t="s">
        <v>1706</v>
      </c>
      <c r="E1845" s="5" t="str">
        <f>VLOOKUP(F1845,'Set up'!$A$2:$C$48,2,FALSE)</f>
        <v>C00000009</v>
      </c>
      <c r="F1845" s="1" t="s">
        <v>58</v>
      </c>
      <c r="G1845" s="11" t="s">
        <v>46</v>
      </c>
      <c r="H1845" s="5">
        <v>2</v>
      </c>
      <c r="I1845" s="5">
        <f>VLOOKUP(F1845,'Set up'!$A$2:$C$48,3,FALSE)</f>
        <v>60</v>
      </c>
      <c r="J1845" s="5">
        <f>VLOOKUP(F1845,'Set up'!$A$2:$D$48,4,FALSE)</f>
        <v>60</v>
      </c>
      <c r="K1845" s="4">
        <f t="shared" ref="K1845:K1908" si="651">A1845+J1845</f>
        <v>45168</v>
      </c>
      <c r="L1845" s="5">
        <f t="shared" ref="L1845:L1908" si="652">MONTH(K1845)</f>
        <v>8</v>
      </c>
      <c r="M1845" s="5">
        <f t="shared" ref="M1845:M1908" si="653">YEAR(K1845)</f>
        <v>2023</v>
      </c>
      <c r="N1845" s="6">
        <v>220</v>
      </c>
      <c r="O1845" s="6">
        <f t="shared" ref="O1845" si="654">-N1845</f>
        <v>-220</v>
      </c>
      <c r="P1845" s="6">
        <f t="shared" ref="P1845:P1908" si="655">SUM(N1845+O1845)</f>
        <v>0</v>
      </c>
      <c r="Q1845" s="7">
        <f t="shared" ref="Q1845:Q1908" si="656">SUM(Q1844+N1845)</f>
        <v>3298418.1500000013</v>
      </c>
      <c r="R1845" s="44" t="str">
        <f>VLOOKUP(F1845,'Set up'!$A$2:$E$48,5,FALSE)</f>
        <v>Chq</v>
      </c>
      <c r="S1845" s="1" t="s">
        <v>2332</v>
      </c>
    </row>
    <row r="1846" spans="1:19" ht="15" customHeight="1" x14ac:dyDescent="0.3">
      <c r="A1846" s="4" t="s">
        <v>1709</v>
      </c>
      <c r="B1846" s="5">
        <f t="shared" si="649"/>
        <v>7</v>
      </c>
      <c r="C1846" s="5">
        <f t="shared" si="650"/>
        <v>2023</v>
      </c>
      <c r="D1846" s="88" t="s">
        <v>1707</v>
      </c>
      <c r="E1846" s="5" t="str">
        <f>VLOOKUP(F1846,'Set up'!$A$2:$C$48,2,FALSE)</f>
        <v>C00000020</v>
      </c>
      <c r="F1846" s="1" t="s">
        <v>410</v>
      </c>
      <c r="G1846" s="99" t="s">
        <v>1111</v>
      </c>
      <c r="H1846" s="5">
        <v>1</v>
      </c>
      <c r="I1846" s="5" t="str">
        <f>VLOOKUP(F1846,'Set up'!$A$2:$C$48,3,FALSE)</f>
        <v>Cash</v>
      </c>
      <c r="J1846" s="5">
        <f>VLOOKUP(F1846,'Set up'!$A$2:$D$48,4,FALSE)</f>
        <v>0</v>
      </c>
      <c r="K1846" s="4">
        <f t="shared" si="651"/>
        <v>45108</v>
      </c>
      <c r="L1846" s="5">
        <f t="shared" si="652"/>
        <v>7</v>
      </c>
      <c r="M1846" s="5">
        <f t="shared" si="653"/>
        <v>2023</v>
      </c>
      <c r="N1846" s="6">
        <v>62.5</v>
      </c>
      <c r="P1846" s="6">
        <f t="shared" si="655"/>
        <v>62.5</v>
      </c>
      <c r="Q1846" s="7">
        <f t="shared" si="656"/>
        <v>3298480.6500000013</v>
      </c>
      <c r="R1846" s="44" t="str">
        <f>VLOOKUP(F1846,'Set up'!$A$2:$E$48,5,FALSE)</f>
        <v>Trsf</v>
      </c>
    </row>
    <row r="1847" spans="1:19" ht="15" customHeight="1" x14ac:dyDescent="0.3">
      <c r="A1847" s="4" t="s">
        <v>1709</v>
      </c>
      <c r="B1847" s="5">
        <f t="shared" si="649"/>
        <v>7</v>
      </c>
      <c r="C1847" s="5">
        <f t="shared" si="650"/>
        <v>2023</v>
      </c>
      <c r="D1847" s="88" t="s">
        <v>1707</v>
      </c>
      <c r="E1847" s="5" t="str">
        <f>VLOOKUP(F1847,'Set up'!$A$2:$C$48,2,FALSE)</f>
        <v>C00000020</v>
      </c>
      <c r="F1847" s="1" t="s">
        <v>410</v>
      </c>
      <c r="G1847" s="99" t="s">
        <v>1713</v>
      </c>
      <c r="H1847" s="5">
        <v>1</v>
      </c>
      <c r="I1847" s="5" t="str">
        <f>VLOOKUP(F1847,'Set up'!$A$2:$C$48,3,FALSE)</f>
        <v>Cash</v>
      </c>
      <c r="J1847" s="5">
        <f>VLOOKUP(F1847,'Set up'!$A$2:$D$48,4,FALSE)</f>
        <v>0</v>
      </c>
      <c r="K1847" s="4">
        <f t="shared" si="651"/>
        <v>45108</v>
      </c>
      <c r="L1847" s="5">
        <f t="shared" si="652"/>
        <v>7</v>
      </c>
      <c r="M1847" s="5">
        <f t="shared" si="653"/>
        <v>2023</v>
      </c>
      <c r="N1847" s="6">
        <v>50.4</v>
      </c>
      <c r="P1847" s="6">
        <f t="shared" si="655"/>
        <v>50.4</v>
      </c>
      <c r="Q1847" s="7">
        <f t="shared" si="656"/>
        <v>3298531.0500000012</v>
      </c>
      <c r="R1847" s="44" t="str">
        <f>VLOOKUP(F1847,'Set up'!$A$2:$E$48,5,FALSE)</f>
        <v>Trsf</v>
      </c>
    </row>
    <row r="1848" spans="1:19" ht="15" hidden="1" customHeight="1" x14ac:dyDescent="0.3">
      <c r="A1848" s="4">
        <v>45110</v>
      </c>
      <c r="B1848" s="5">
        <f t="shared" si="649"/>
        <v>7</v>
      </c>
      <c r="C1848" s="5">
        <f t="shared" si="650"/>
        <v>2023</v>
      </c>
      <c r="D1848" s="88" t="s">
        <v>1708</v>
      </c>
      <c r="E1848" s="5" t="str">
        <f>VLOOKUP(F1848,'Set up'!$A$2:$C$48,2,FALSE)</f>
        <v>C00000034</v>
      </c>
      <c r="F1848" s="1" t="s">
        <v>1197</v>
      </c>
      <c r="G1848" s="99" t="s">
        <v>1357</v>
      </c>
      <c r="H1848" s="5">
        <v>2</v>
      </c>
      <c r="I1848" s="5" t="str">
        <f>VLOOKUP(F1848,'Set up'!$A$2:$C$48,3,FALSE)</f>
        <v>Cash</v>
      </c>
      <c r="J1848" s="5">
        <f>VLOOKUP(F1848,'Set up'!$A$2:$D$48,4,FALSE)</f>
        <v>0</v>
      </c>
      <c r="K1848" s="4">
        <f t="shared" si="651"/>
        <v>45110</v>
      </c>
      <c r="L1848" s="5">
        <f t="shared" si="652"/>
        <v>7</v>
      </c>
      <c r="M1848" s="5">
        <f t="shared" si="653"/>
        <v>2023</v>
      </c>
      <c r="N1848" s="6">
        <v>3652</v>
      </c>
      <c r="O1848" s="6">
        <f t="shared" ref="O1848:O1854" si="657">-N1848</f>
        <v>-3652</v>
      </c>
      <c r="P1848" s="6">
        <f t="shared" si="655"/>
        <v>0</v>
      </c>
      <c r="Q1848" s="7">
        <f t="shared" si="656"/>
        <v>3302183.0500000012</v>
      </c>
      <c r="R1848" s="44" t="str">
        <f>VLOOKUP(F1848,'Set up'!$A$2:$E$48,5,FALSE)</f>
        <v>Trsf</v>
      </c>
      <c r="S1848" s="1" t="s">
        <v>1757</v>
      </c>
    </row>
    <row r="1849" spans="1:19" ht="15" hidden="1" customHeight="1" x14ac:dyDescent="0.3">
      <c r="A1849" s="4">
        <v>45110</v>
      </c>
      <c r="B1849" s="5">
        <f t="shared" si="649"/>
        <v>7</v>
      </c>
      <c r="C1849" s="5">
        <f t="shared" si="650"/>
        <v>2023</v>
      </c>
      <c r="D1849" s="88" t="s">
        <v>1708</v>
      </c>
      <c r="E1849" s="5" t="str">
        <f>VLOOKUP(F1849,'Set up'!$A$2:$C$48,2,FALSE)</f>
        <v>C00000034</v>
      </c>
      <c r="F1849" s="1" t="s">
        <v>1197</v>
      </c>
      <c r="G1849" s="99" t="s">
        <v>1432</v>
      </c>
      <c r="H1849" s="5">
        <v>3</v>
      </c>
      <c r="I1849" s="5" t="str">
        <f>VLOOKUP(F1849,'Set up'!$A$2:$C$48,3,FALSE)</f>
        <v>Cash</v>
      </c>
      <c r="J1849" s="5">
        <f>VLOOKUP(F1849,'Set up'!$A$2:$D$48,4,FALSE)</f>
        <v>0</v>
      </c>
      <c r="K1849" s="4">
        <f t="shared" si="651"/>
        <v>45110</v>
      </c>
      <c r="L1849" s="5">
        <f t="shared" si="652"/>
        <v>7</v>
      </c>
      <c r="M1849" s="5">
        <f t="shared" si="653"/>
        <v>2023</v>
      </c>
      <c r="N1849" s="6">
        <v>675</v>
      </c>
      <c r="O1849" s="6">
        <f t="shared" si="657"/>
        <v>-675</v>
      </c>
      <c r="P1849" s="6">
        <f t="shared" si="655"/>
        <v>0</v>
      </c>
      <c r="Q1849" s="7">
        <f t="shared" si="656"/>
        <v>3302858.0500000012</v>
      </c>
      <c r="R1849" s="44" t="str">
        <f>VLOOKUP(F1849,'Set up'!$A$2:$E$48,5,FALSE)</f>
        <v>Trsf</v>
      </c>
      <c r="S1849" s="1" t="s">
        <v>1758</v>
      </c>
    </row>
    <row r="1850" spans="1:19" ht="15" hidden="1" customHeight="1" x14ac:dyDescent="0.3">
      <c r="A1850" s="4">
        <v>45110</v>
      </c>
      <c r="B1850" s="5">
        <f t="shared" si="649"/>
        <v>7</v>
      </c>
      <c r="C1850" s="5">
        <f t="shared" si="650"/>
        <v>2023</v>
      </c>
      <c r="D1850" s="88" t="s">
        <v>1708</v>
      </c>
      <c r="E1850" s="5" t="str">
        <f>VLOOKUP(F1850,'Set up'!$A$2:$C$48,2,FALSE)</f>
        <v>C00000034</v>
      </c>
      <c r="F1850" s="1" t="s">
        <v>1197</v>
      </c>
      <c r="G1850" s="99" t="s">
        <v>1625</v>
      </c>
      <c r="H1850" s="5">
        <v>1</v>
      </c>
      <c r="I1850" s="5" t="str">
        <f>VLOOKUP(F1850,'Set up'!$A$2:$C$48,3,FALSE)</f>
        <v>Cash</v>
      </c>
      <c r="J1850" s="5">
        <f>VLOOKUP(F1850,'Set up'!$A$2:$D$48,4,FALSE)</f>
        <v>0</v>
      </c>
      <c r="K1850" s="4">
        <f t="shared" si="651"/>
        <v>45110</v>
      </c>
      <c r="L1850" s="5">
        <f t="shared" si="652"/>
        <v>7</v>
      </c>
      <c r="M1850" s="5">
        <f t="shared" si="653"/>
        <v>2023</v>
      </c>
      <c r="N1850" s="6">
        <v>236</v>
      </c>
      <c r="O1850" s="6">
        <f t="shared" si="657"/>
        <v>-236</v>
      </c>
      <c r="P1850" s="6">
        <f t="shared" si="655"/>
        <v>0</v>
      </c>
      <c r="Q1850" s="7">
        <f t="shared" si="656"/>
        <v>3303094.0500000012</v>
      </c>
      <c r="R1850" s="44" t="str">
        <f>VLOOKUP(F1850,'Set up'!$A$2:$E$48,5,FALSE)</f>
        <v>Trsf</v>
      </c>
      <c r="S1850" s="1" t="s">
        <v>1752</v>
      </c>
    </row>
    <row r="1851" spans="1:19" ht="15" hidden="1" customHeight="1" x14ac:dyDescent="0.3">
      <c r="A1851" s="4">
        <v>45110</v>
      </c>
      <c r="B1851" s="5">
        <f t="shared" si="649"/>
        <v>7</v>
      </c>
      <c r="C1851" s="5">
        <f t="shared" si="650"/>
        <v>2023</v>
      </c>
      <c r="D1851" s="88" t="s">
        <v>1708</v>
      </c>
      <c r="E1851" s="5" t="str">
        <f>VLOOKUP(F1851,'Set up'!$A$2:$C$48,2,FALSE)</f>
        <v>C00000034</v>
      </c>
      <c r="F1851" s="1" t="s">
        <v>1197</v>
      </c>
      <c r="G1851" s="11" t="s">
        <v>1062</v>
      </c>
      <c r="H1851" s="5">
        <v>1</v>
      </c>
      <c r="I1851" s="5" t="str">
        <f>VLOOKUP(F1851,'Set up'!$A$2:$C$48,3,FALSE)</f>
        <v>Cash</v>
      </c>
      <c r="J1851" s="5">
        <f>VLOOKUP(F1851,'Set up'!$A$2:$D$48,4,FALSE)</f>
        <v>0</v>
      </c>
      <c r="K1851" s="4">
        <f t="shared" si="651"/>
        <v>45110</v>
      </c>
      <c r="L1851" s="5">
        <f t="shared" si="652"/>
        <v>7</v>
      </c>
      <c r="M1851" s="5">
        <f t="shared" si="653"/>
        <v>2023</v>
      </c>
      <c r="N1851" s="6">
        <v>95</v>
      </c>
      <c r="O1851" s="6">
        <f t="shared" si="657"/>
        <v>-95</v>
      </c>
      <c r="P1851" s="6">
        <f t="shared" si="655"/>
        <v>0</v>
      </c>
      <c r="Q1851" s="7">
        <f t="shared" si="656"/>
        <v>3303189.0500000012</v>
      </c>
      <c r="R1851" s="44" t="str">
        <f>VLOOKUP(F1851,'Set up'!$A$2:$E$48,5,FALSE)</f>
        <v>Trsf</v>
      </c>
      <c r="S1851" s="1" t="s">
        <v>1753</v>
      </c>
    </row>
    <row r="1852" spans="1:19" ht="15" hidden="1" customHeight="1" x14ac:dyDescent="0.3">
      <c r="A1852" s="4">
        <v>45110</v>
      </c>
      <c r="B1852" s="5">
        <f t="shared" si="649"/>
        <v>7</v>
      </c>
      <c r="C1852" s="5">
        <f t="shared" si="650"/>
        <v>2023</v>
      </c>
      <c r="D1852" s="88" t="s">
        <v>1708</v>
      </c>
      <c r="E1852" s="5" t="str">
        <f>VLOOKUP(F1852,'Set up'!$A$2:$C$48,2,FALSE)</f>
        <v>C00000034</v>
      </c>
      <c r="F1852" s="1" t="s">
        <v>1197</v>
      </c>
      <c r="G1852" s="99" t="s">
        <v>1111</v>
      </c>
      <c r="H1852" s="5">
        <v>2</v>
      </c>
      <c r="I1852" s="5" t="str">
        <f>VLOOKUP(F1852,'Set up'!$A$2:$C$48,3,FALSE)</f>
        <v>Cash</v>
      </c>
      <c r="J1852" s="5">
        <f>VLOOKUP(F1852,'Set up'!$A$2:$D$48,4,FALSE)</f>
        <v>0</v>
      </c>
      <c r="K1852" s="4">
        <f t="shared" si="651"/>
        <v>45110</v>
      </c>
      <c r="L1852" s="5">
        <f t="shared" si="652"/>
        <v>7</v>
      </c>
      <c r="M1852" s="5">
        <f t="shared" si="653"/>
        <v>2023</v>
      </c>
      <c r="N1852" s="96">
        <v>125</v>
      </c>
      <c r="O1852" s="6">
        <f t="shared" si="657"/>
        <v>-125</v>
      </c>
      <c r="P1852" s="6">
        <f t="shared" si="655"/>
        <v>0</v>
      </c>
      <c r="Q1852" s="7">
        <f t="shared" si="656"/>
        <v>3303314.0500000012</v>
      </c>
      <c r="R1852" s="44" t="str">
        <f>VLOOKUP(F1852,'Set up'!$A$2:$E$48,5,FALSE)</f>
        <v>Trsf</v>
      </c>
      <c r="S1852" s="1" t="s">
        <v>1759</v>
      </c>
    </row>
    <row r="1853" spans="1:19" ht="15" hidden="1" customHeight="1" x14ac:dyDescent="0.3">
      <c r="A1853" s="4">
        <v>45110</v>
      </c>
      <c r="B1853" s="5">
        <f t="shared" si="649"/>
        <v>7</v>
      </c>
      <c r="C1853" s="5">
        <f t="shared" si="650"/>
        <v>2023</v>
      </c>
      <c r="D1853" s="88" t="s">
        <v>1710</v>
      </c>
      <c r="E1853" s="5" t="str">
        <f>VLOOKUP(F1853,'Set up'!$A$2:$C$48,2,FALSE)</f>
        <v>C00000034</v>
      </c>
      <c r="F1853" s="1" t="s">
        <v>1197</v>
      </c>
      <c r="G1853" s="11" t="s">
        <v>1406</v>
      </c>
      <c r="H1853" s="5">
        <v>2</v>
      </c>
      <c r="I1853" s="5" t="str">
        <f>VLOOKUP(F1853,'Set up'!$A$2:$C$48,3,FALSE)</f>
        <v>Cash</v>
      </c>
      <c r="J1853" s="5">
        <f>VLOOKUP(F1853,'Set up'!$A$2:$D$48,4,FALSE)</f>
        <v>0</v>
      </c>
      <c r="K1853" s="4">
        <f t="shared" si="651"/>
        <v>45110</v>
      </c>
      <c r="L1853" s="5">
        <f t="shared" si="652"/>
        <v>7</v>
      </c>
      <c r="M1853" s="5">
        <f t="shared" si="653"/>
        <v>2023</v>
      </c>
      <c r="N1853" s="6">
        <v>100</v>
      </c>
      <c r="O1853" s="6">
        <f t="shared" si="657"/>
        <v>-100</v>
      </c>
      <c r="P1853" s="6">
        <f t="shared" si="655"/>
        <v>0</v>
      </c>
      <c r="Q1853" s="7">
        <f t="shared" si="656"/>
        <v>3303414.0500000012</v>
      </c>
      <c r="R1853" s="44" t="str">
        <f>VLOOKUP(F1853,'Set up'!$A$2:$E$48,5,FALSE)</f>
        <v>Trsf</v>
      </c>
      <c r="S1853" s="1" t="s">
        <v>1760</v>
      </c>
    </row>
    <row r="1854" spans="1:19" ht="15" hidden="1" customHeight="1" x14ac:dyDescent="0.3">
      <c r="A1854" s="4">
        <v>45111</v>
      </c>
      <c r="B1854" s="5">
        <f t="shared" si="649"/>
        <v>7</v>
      </c>
      <c r="C1854" s="5">
        <f t="shared" si="650"/>
        <v>2023</v>
      </c>
      <c r="D1854" s="88" t="s">
        <v>1711</v>
      </c>
      <c r="E1854" s="5" t="str">
        <f>VLOOKUP(F1854,'Set up'!$A$2:$C$48,2,FALSE)</f>
        <v>C00000022</v>
      </c>
      <c r="F1854" s="1" t="s">
        <v>638</v>
      </c>
      <c r="G1854" s="103" t="s">
        <v>1714</v>
      </c>
      <c r="H1854" s="5">
        <v>1</v>
      </c>
      <c r="I1854" s="5" t="str">
        <f>VLOOKUP(F1854,'Set up'!$A$2:$C$48,3,FALSE)</f>
        <v>Cash</v>
      </c>
      <c r="J1854" s="5">
        <f>VLOOKUP(F1854,'Set up'!$A$2:$D$48,4,FALSE)</f>
        <v>0</v>
      </c>
      <c r="K1854" s="4">
        <f t="shared" si="651"/>
        <v>45111</v>
      </c>
      <c r="L1854" s="5">
        <f t="shared" si="652"/>
        <v>7</v>
      </c>
      <c r="M1854" s="5">
        <f t="shared" si="653"/>
        <v>2023</v>
      </c>
      <c r="N1854" s="6">
        <v>100</v>
      </c>
      <c r="O1854" s="6">
        <f t="shared" si="657"/>
        <v>-100</v>
      </c>
      <c r="P1854" s="6">
        <f t="shared" si="655"/>
        <v>0</v>
      </c>
      <c r="Q1854" s="7">
        <f t="shared" si="656"/>
        <v>3303514.0500000012</v>
      </c>
      <c r="R1854" s="44" t="str">
        <f>VLOOKUP(F1854,'Set up'!$A$2:$E$48,5,FALSE)</f>
        <v>Trsf</v>
      </c>
      <c r="S1854" s="1" t="s">
        <v>2321</v>
      </c>
    </row>
    <row r="1855" spans="1:19" ht="15" hidden="1" customHeight="1" x14ac:dyDescent="0.3">
      <c r="A1855" s="4">
        <v>45113</v>
      </c>
      <c r="B1855" s="5">
        <f t="shared" si="649"/>
        <v>7</v>
      </c>
      <c r="C1855" s="5">
        <f t="shared" si="650"/>
        <v>2023</v>
      </c>
      <c r="D1855" s="88" t="s">
        <v>1712</v>
      </c>
      <c r="E1855" s="5" t="str">
        <f>VLOOKUP(F1855,'Set up'!$A$2:$C$48,2,FALSE)</f>
        <v>C00000027</v>
      </c>
      <c r="F1855" s="1" t="s">
        <v>860</v>
      </c>
      <c r="G1855" s="90" t="s">
        <v>717</v>
      </c>
      <c r="H1855" s="5">
        <v>1</v>
      </c>
      <c r="I1855" s="5" t="str">
        <f>VLOOKUP(F1855,'Set up'!$A$2:$C$48,3,FALSE)</f>
        <v>Cash</v>
      </c>
      <c r="J1855" s="5">
        <f>VLOOKUP(F1855,'Set up'!$A$2:$D$48,4,FALSE)</f>
        <v>0</v>
      </c>
      <c r="K1855" s="4">
        <f t="shared" si="651"/>
        <v>45113</v>
      </c>
      <c r="L1855" s="5">
        <f t="shared" si="652"/>
        <v>7</v>
      </c>
      <c r="M1855" s="5">
        <f t="shared" si="653"/>
        <v>2023</v>
      </c>
      <c r="N1855" s="6">
        <v>1848</v>
      </c>
      <c r="P1855" s="6">
        <f t="shared" si="655"/>
        <v>1848</v>
      </c>
      <c r="Q1855" s="7">
        <f t="shared" si="656"/>
        <v>3305362.0500000012</v>
      </c>
      <c r="R1855" s="44" t="str">
        <f>VLOOKUP(F1855,'Set up'!$A$2:$E$48,5,FALSE)</f>
        <v>Trsf</v>
      </c>
    </row>
    <row r="1856" spans="1:19" ht="15" hidden="1" customHeight="1" x14ac:dyDescent="0.3">
      <c r="A1856" s="4">
        <v>45113</v>
      </c>
      <c r="B1856" s="5">
        <f t="shared" si="649"/>
        <v>7</v>
      </c>
      <c r="C1856" s="5">
        <f t="shared" si="650"/>
        <v>2023</v>
      </c>
      <c r="D1856" s="88" t="s">
        <v>1712</v>
      </c>
      <c r="E1856" s="5" t="str">
        <f>VLOOKUP(F1856,'Set up'!$A$2:$C$48,2,FALSE)</f>
        <v>C00000027</v>
      </c>
      <c r="F1856" s="1" t="s">
        <v>860</v>
      </c>
      <c r="G1856" s="89" t="s">
        <v>866</v>
      </c>
      <c r="H1856" s="5">
        <v>2</v>
      </c>
      <c r="I1856" s="5" t="str">
        <f>VLOOKUP(F1856,'Set up'!$A$2:$C$48,3,FALSE)</f>
        <v>Cash</v>
      </c>
      <c r="J1856" s="5">
        <f>VLOOKUP(F1856,'Set up'!$A$2:$D$48,4,FALSE)</f>
        <v>0</v>
      </c>
      <c r="K1856" s="4">
        <f t="shared" si="651"/>
        <v>45113</v>
      </c>
      <c r="L1856" s="5">
        <f t="shared" si="652"/>
        <v>7</v>
      </c>
      <c r="M1856" s="5">
        <f t="shared" si="653"/>
        <v>2023</v>
      </c>
      <c r="N1856" s="6">
        <v>508</v>
      </c>
      <c r="P1856" s="6">
        <f t="shared" si="655"/>
        <v>508</v>
      </c>
      <c r="Q1856" s="7">
        <f t="shared" si="656"/>
        <v>3305870.0500000012</v>
      </c>
      <c r="R1856" s="44" t="str">
        <f>VLOOKUP(F1856,'Set up'!$A$2:$E$48,5,FALSE)</f>
        <v>Trsf</v>
      </c>
    </row>
    <row r="1857" spans="1:19" ht="15" hidden="1" customHeight="1" x14ac:dyDescent="0.3">
      <c r="A1857" s="4">
        <v>45113</v>
      </c>
      <c r="B1857" s="5">
        <f t="shared" si="649"/>
        <v>7</v>
      </c>
      <c r="C1857" s="5">
        <f t="shared" si="650"/>
        <v>2023</v>
      </c>
      <c r="D1857" s="88" t="s">
        <v>1712</v>
      </c>
      <c r="E1857" s="5" t="str">
        <f>VLOOKUP(F1857,'Set up'!$A$2:$C$48,2,FALSE)</f>
        <v>C00000027</v>
      </c>
      <c r="F1857" s="1" t="s">
        <v>860</v>
      </c>
      <c r="G1857" s="90" t="s">
        <v>1400</v>
      </c>
      <c r="H1857" s="5">
        <v>1</v>
      </c>
      <c r="I1857" s="5" t="str">
        <f>VLOOKUP(F1857,'Set up'!$A$2:$C$48,3,FALSE)</f>
        <v>Cash</v>
      </c>
      <c r="J1857" s="5">
        <f>VLOOKUP(F1857,'Set up'!$A$2:$D$48,4,FALSE)</f>
        <v>0</v>
      </c>
      <c r="K1857" s="4">
        <f t="shared" si="651"/>
        <v>45113</v>
      </c>
      <c r="L1857" s="5">
        <f t="shared" si="652"/>
        <v>7</v>
      </c>
      <c r="M1857" s="5">
        <f t="shared" si="653"/>
        <v>2023</v>
      </c>
      <c r="N1857" s="6">
        <v>160</v>
      </c>
      <c r="P1857" s="6">
        <f t="shared" si="655"/>
        <v>160</v>
      </c>
      <c r="Q1857" s="7">
        <f t="shared" si="656"/>
        <v>3306030.0500000012</v>
      </c>
      <c r="R1857" s="44" t="str">
        <f>VLOOKUP(F1857,'Set up'!$A$2:$E$48,5,FALSE)</f>
        <v>Trsf</v>
      </c>
    </row>
    <row r="1858" spans="1:19" ht="15" hidden="1" customHeight="1" x14ac:dyDescent="0.3">
      <c r="A1858" s="4">
        <v>45113</v>
      </c>
      <c r="B1858" s="5">
        <f t="shared" si="649"/>
        <v>7</v>
      </c>
      <c r="C1858" s="5">
        <f t="shared" si="650"/>
        <v>2023</v>
      </c>
      <c r="D1858" s="88" t="s">
        <v>1715</v>
      </c>
      <c r="E1858" s="5" t="str">
        <f>VLOOKUP(F1858,'Set up'!$A$2:$C$48,2,FALSE)</f>
        <v>C00000014</v>
      </c>
      <c r="F1858" s="1" t="s">
        <v>263</v>
      </c>
      <c r="G1858" s="95" t="s">
        <v>304</v>
      </c>
      <c r="H1858" s="5">
        <v>3</v>
      </c>
      <c r="I1858" s="5" t="str">
        <f>VLOOKUP(F1858,'Set up'!$A$2:$C$48,3,FALSE)</f>
        <v>Cash</v>
      </c>
      <c r="J1858" s="5">
        <f>VLOOKUP(F1858,'Set up'!$A$2:$D$48,4,FALSE)</f>
        <v>0</v>
      </c>
      <c r="K1858" s="4">
        <f t="shared" si="651"/>
        <v>45113</v>
      </c>
      <c r="L1858" s="5">
        <f t="shared" si="652"/>
        <v>7</v>
      </c>
      <c r="M1858" s="5">
        <f t="shared" si="653"/>
        <v>2023</v>
      </c>
      <c r="N1858" s="6">
        <v>5280</v>
      </c>
      <c r="O1858" s="6">
        <f t="shared" ref="O1858:O1863" si="658">-N1858</f>
        <v>-5280</v>
      </c>
      <c r="P1858" s="6">
        <f t="shared" si="655"/>
        <v>0</v>
      </c>
      <c r="Q1858" s="7">
        <f t="shared" si="656"/>
        <v>3311310.0500000012</v>
      </c>
      <c r="R1858" s="44" t="str">
        <f>VLOOKUP(F1858,'Set up'!$A$2:$E$48,5,FALSE)</f>
        <v>Cash</v>
      </c>
      <c r="S1858" s="1" t="s">
        <v>1777</v>
      </c>
    </row>
    <row r="1859" spans="1:19" ht="15" hidden="1" customHeight="1" x14ac:dyDescent="0.3">
      <c r="A1859" s="4">
        <v>45113</v>
      </c>
      <c r="B1859" s="5">
        <f t="shared" si="649"/>
        <v>7</v>
      </c>
      <c r="C1859" s="5">
        <f t="shared" si="650"/>
        <v>2023</v>
      </c>
      <c r="D1859" s="88" t="s">
        <v>1715</v>
      </c>
      <c r="E1859" s="5" t="str">
        <f>VLOOKUP(F1859,'Set up'!$A$2:$C$48,2,FALSE)</f>
        <v>C00000014</v>
      </c>
      <c r="F1859" s="1" t="s">
        <v>263</v>
      </c>
      <c r="G1859" s="90" t="s">
        <v>989</v>
      </c>
      <c r="H1859" s="5">
        <v>5</v>
      </c>
      <c r="I1859" s="5" t="str">
        <f>VLOOKUP(F1859,'Set up'!$A$2:$C$48,3,FALSE)</f>
        <v>Cash</v>
      </c>
      <c r="J1859" s="5">
        <f>VLOOKUP(F1859,'Set up'!$A$2:$D$48,4,FALSE)</f>
        <v>0</v>
      </c>
      <c r="K1859" s="4">
        <f t="shared" si="651"/>
        <v>45113</v>
      </c>
      <c r="L1859" s="5">
        <f t="shared" si="652"/>
        <v>7</v>
      </c>
      <c r="M1859" s="5">
        <f t="shared" si="653"/>
        <v>2023</v>
      </c>
      <c r="N1859" s="6">
        <v>1185</v>
      </c>
      <c r="O1859" s="6">
        <f t="shared" si="658"/>
        <v>-1185</v>
      </c>
      <c r="P1859" s="6">
        <f t="shared" si="655"/>
        <v>0</v>
      </c>
      <c r="Q1859" s="7">
        <f t="shared" si="656"/>
        <v>3312495.0500000012</v>
      </c>
      <c r="R1859" s="44" t="str">
        <f>VLOOKUP(F1859,'Set up'!$A$2:$E$48,5,FALSE)</f>
        <v>Cash</v>
      </c>
      <c r="S1859" s="1" t="s">
        <v>1777</v>
      </c>
    </row>
    <row r="1860" spans="1:19" ht="15" hidden="1" customHeight="1" x14ac:dyDescent="0.3">
      <c r="A1860" s="4">
        <v>45113</v>
      </c>
      <c r="B1860" s="5">
        <f t="shared" si="649"/>
        <v>7</v>
      </c>
      <c r="C1860" s="5">
        <f t="shared" si="650"/>
        <v>2023</v>
      </c>
      <c r="D1860" s="88" t="s">
        <v>1715</v>
      </c>
      <c r="E1860" s="5" t="str">
        <f>VLOOKUP(F1860,'Set up'!$A$2:$C$48,2,FALSE)</f>
        <v>C00000014</v>
      </c>
      <c r="F1860" s="1" t="s">
        <v>263</v>
      </c>
      <c r="G1860" s="99" t="s">
        <v>1062</v>
      </c>
      <c r="H1860" s="5">
        <v>2</v>
      </c>
      <c r="I1860" s="5" t="str">
        <f>VLOOKUP(F1860,'Set up'!$A$2:$C$48,3,FALSE)</f>
        <v>Cash</v>
      </c>
      <c r="J1860" s="5">
        <f>VLOOKUP(F1860,'Set up'!$A$2:$D$48,4,FALSE)</f>
        <v>0</v>
      </c>
      <c r="K1860" s="4">
        <f t="shared" si="651"/>
        <v>45113</v>
      </c>
      <c r="L1860" s="5">
        <f t="shared" si="652"/>
        <v>7</v>
      </c>
      <c r="M1860" s="5">
        <f t="shared" si="653"/>
        <v>2023</v>
      </c>
      <c r="N1860" s="6">
        <v>190</v>
      </c>
      <c r="O1860" s="6">
        <f t="shared" si="658"/>
        <v>-190</v>
      </c>
      <c r="P1860" s="6">
        <f t="shared" si="655"/>
        <v>0</v>
      </c>
      <c r="Q1860" s="7">
        <f t="shared" si="656"/>
        <v>3312685.0500000012</v>
      </c>
      <c r="R1860" s="44" t="str">
        <f>VLOOKUP(F1860,'Set up'!$A$2:$E$48,5,FALSE)</f>
        <v>Cash</v>
      </c>
      <c r="S1860" s="1" t="s">
        <v>1777</v>
      </c>
    </row>
    <row r="1861" spans="1:19" ht="15" hidden="1" customHeight="1" x14ac:dyDescent="0.3">
      <c r="A1861" s="4">
        <v>45113</v>
      </c>
      <c r="B1861" s="5">
        <f t="shared" si="649"/>
        <v>7</v>
      </c>
      <c r="C1861" s="5">
        <f t="shared" si="650"/>
        <v>2023</v>
      </c>
      <c r="D1861" s="88" t="s">
        <v>1715</v>
      </c>
      <c r="E1861" s="5" t="str">
        <f>VLOOKUP(F1861,'Set up'!$A$2:$C$48,2,FALSE)</f>
        <v>C00000014</v>
      </c>
      <c r="F1861" s="1" t="s">
        <v>263</v>
      </c>
      <c r="G1861" s="99" t="s">
        <v>1716</v>
      </c>
      <c r="H1861" s="5">
        <v>1</v>
      </c>
      <c r="I1861" s="5" t="str">
        <f>VLOOKUP(F1861,'Set up'!$A$2:$C$48,3,FALSE)</f>
        <v>Cash</v>
      </c>
      <c r="J1861" s="5">
        <f>VLOOKUP(F1861,'Set up'!$A$2:$D$48,4,FALSE)</f>
        <v>0</v>
      </c>
      <c r="K1861" s="4">
        <f t="shared" si="651"/>
        <v>45113</v>
      </c>
      <c r="L1861" s="5">
        <f t="shared" si="652"/>
        <v>7</v>
      </c>
      <c r="M1861" s="5">
        <f t="shared" si="653"/>
        <v>2023</v>
      </c>
      <c r="N1861" s="6">
        <v>165</v>
      </c>
      <c r="O1861" s="6">
        <f t="shared" si="658"/>
        <v>-165</v>
      </c>
      <c r="P1861" s="6">
        <f t="shared" si="655"/>
        <v>0</v>
      </c>
      <c r="Q1861" s="7">
        <f t="shared" si="656"/>
        <v>3312850.0500000012</v>
      </c>
      <c r="R1861" s="44" t="str">
        <f>VLOOKUP(F1861,'Set up'!$A$2:$E$48,5,FALSE)</f>
        <v>Cash</v>
      </c>
      <c r="S1861" s="1" t="s">
        <v>1777</v>
      </c>
    </row>
    <row r="1862" spans="1:19" ht="15" hidden="1" customHeight="1" x14ac:dyDescent="0.3">
      <c r="A1862" s="4">
        <v>45113</v>
      </c>
      <c r="B1862" s="5">
        <f t="shared" si="649"/>
        <v>7</v>
      </c>
      <c r="C1862" s="5">
        <f t="shared" si="650"/>
        <v>2023</v>
      </c>
      <c r="D1862" s="88" t="s">
        <v>1715</v>
      </c>
      <c r="E1862" s="5" t="str">
        <f>VLOOKUP(F1862,'Set up'!$A$2:$C$48,2,FALSE)</f>
        <v>C00000014</v>
      </c>
      <c r="F1862" s="1" t="s">
        <v>263</v>
      </c>
      <c r="G1862" s="99" t="s">
        <v>866</v>
      </c>
      <c r="H1862" s="5">
        <v>2</v>
      </c>
      <c r="I1862" s="5" t="str">
        <f>VLOOKUP(F1862,'Set up'!$A$2:$C$48,3,FALSE)</f>
        <v>Cash</v>
      </c>
      <c r="J1862" s="5">
        <f>VLOOKUP(F1862,'Set up'!$A$2:$D$48,4,FALSE)</f>
        <v>0</v>
      </c>
      <c r="K1862" s="4">
        <f t="shared" si="651"/>
        <v>45113</v>
      </c>
      <c r="L1862" s="5">
        <f t="shared" si="652"/>
        <v>7</v>
      </c>
      <c r="M1862" s="5">
        <f t="shared" si="653"/>
        <v>2023</v>
      </c>
      <c r="N1862" s="6">
        <v>516</v>
      </c>
      <c r="O1862" s="6">
        <f t="shared" si="658"/>
        <v>-516</v>
      </c>
      <c r="P1862" s="6">
        <f t="shared" si="655"/>
        <v>0</v>
      </c>
      <c r="Q1862" s="7">
        <f t="shared" si="656"/>
        <v>3313366.0500000012</v>
      </c>
      <c r="R1862" s="44" t="str">
        <f>VLOOKUP(F1862,'Set up'!$A$2:$E$48,5,FALSE)</f>
        <v>Cash</v>
      </c>
      <c r="S1862" s="1" t="s">
        <v>1777</v>
      </c>
    </row>
    <row r="1863" spans="1:19" ht="15" hidden="1" customHeight="1" x14ac:dyDescent="0.3">
      <c r="A1863" s="4">
        <v>45113</v>
      </c>
      <c r="B1863" s="5">
        <f t="shared" si="649"/>
        <v>7</v>
      </c>
      <c r="C1863" s="5">
        <f t="shared" si="650"/>
        <v>2023</v>
      </c>
      <c r="D1863" s="88" t="s">
        <v>1715</v>
      </c>
      <c r="E1863" s="5" t="str">
        <f>VLOOKUP(F1863,'Set up'!$A$2:$C$48,2,FALSE)</f>
        <v>C00000014</v>
      </c>
      <c r="F1863" s="1" t="s">
        <v>263</v>
      </c>
      <c r="G1863" s="99" t="s">
        <v>950</v>
      </c>
      <c r="H1863" s="5">
        <v>4</v>
      </c>
      <c r="I1863" s="5" t="str">
        <f>VLOOKUP(F1863,'Set up'!$A$2:$C$48,3,FALSE)</f>
        <v>Cash</v>
      </c>
      <c r="J1863" s="5">
        <f>VLOOKUP(F1863,'Set up'!$A$2:$D$48,4,FALSE)</f>
        <v>0</v>
      </c>
      <c r="K1863" s="4">
        <f t="shared" si="651"/>
        <v>45113</v>
      </c>
      <c r="L1863" s="5">
        <f t="shared" si="652"/>
        <v>7</v>
      </c>
      <c r="M1863" s="5">
        <f t="shared" si="653"/>
        <v>2023</v>
      </c>
      <c r="N1863" s="6">
        <v>200</v>
      </c>
      <c r="O1863" s="6">
        <f t="shared" si="658"/>
        <v>-200</v>
      </c>
      <c r="P1863" s="6">
        <f t="shared" si="655"/>
        <v>0</v>
      </c>
      <c r="Q1863" s="7">
        <f t="shared" si="656"/>
        <v>3313566.0500000012</v>
      </c>
      <c r="R1863" s="44" t="str">
        <f>VLOOKUP(F1863,'Set up'!$A$2:$E$48,5,FALSE)</f>
        <v>Cash</v>
      </c>
      <c r="S1863" s="1" t="s">
        <v>1777</v>
      </c>
    </row>
    <row r="1864" spans="1:19" ht="15" hidden="1" customHeight="1" x14ac:dyDescent="0.3">
      <c r="A1864" s="4">
        <v>45117</v>
      </c>
      <c r="B1864" s="5">
        <f t="shared" si="649"/>
        <v>7</v>
      </c>
      <c r="C1864" s="5">
        <f t="shared" si="650"/>
        <v>2023</v>
      </c>
      <c r="D1864" s="88" t="s">
        <v>1717</v>
      </c>
      <c r="E1864" s="5" t="str">
        <f>VLOOKUP(F1864,'Set up'!$A$2:$C$48,2,FALSE)</f>
        <v>C00000010</v>
      </c>
      <c r="F1864" s="1" t="s">
        <v>62</v>
      </c>
      <c r="G1864" s="95" t="s">
        <v>1403</v>
      </c>
      <c r="H1864" s="5">
        <v>6</v>
      </c>
      <c r="I1864" s="5">
        <f>VLOOKUP(F1864,'Set up'!$A$2:$C$48,3,FALSE)</f>
        <v>120</v>
      </c>
      <c r="J1864" s="5">
        <f>VLOOKUP(F1864,'Set up'!$A$2:$D$48,4,FALSE)</f>
        <v>120</v>
      </c>
      <c r="K1864" s="4">
        <f t="shared" si="651"/>
        <v>45237</v>
      </c>
      <c r="L1864" s="5">
        <f t="shared" si="652"/>
        <v>11</v>
      </c>
      <c r="M1864" s="5">
        <f t="shared" si="653"/>
        <v>2023</v>
      </c>
      <c r="N1864" s="6">
        <v>9636</v>
      </c>
      <c r="O1864" s="6">
        <f t="shared" ref="O1864:O1869" si="659">-N1864</f>
        <v>-9636</v>
      </c>
      <c r="P1864" s="6">
        <f t="shared" si="655"/>
        <v>0</v>
      </c>
      <c r="Q1864" s="7">
        <f t="shared" si="656"/>
        <v>3323202.0500000012</v>
      </c>
      <c r="R1864" s="44" t="str">
        <f>VLOOKUP(F1864,'Set up'!$A$2:$E$48,5,FALSE)</f>
        <v>Trsf</v>
      </c>
      <c r="S1864" s="1" t="s">
        <v>2333</v>
      </c>
    </row>
    <row r="1865" spans="1:19" ht="15" hidden="1" customHeight="1" x14ac:dyDescent="0.3">
      <c r="A1865" s="4">
        <v>45117</v>
      </c>
      <c r="B1865" s="5">
        <f t="shared" si="649"/>
        <v>7</v>
      </c>
      <c r="C1865" s="5">
        <f t="shared" si="650"/>
        <v>2023</v>
      </c>
      <c r="D1865" s="88" t="s">
        <v>1717</v>
      </c>
      <c r="E1865" s="5" t="str">
        <f>VLOOKUP(F1865,'Set up'!$A$2:$C$48,2,FALSE)</f>
        <v>C00000010</v>
      </c>
      <c r="F1865" s="1" t="s">
        <v>62</v>
      </c>
      <c r="G1865" s="90" t="s">
        <v>1544</v>
      </c>
      <c r="H1865" s="5">
        <v>10</v>
      </c>
      <c r="I1865" s="5">
        <f>VLOOKUP(F1865,'Set up'!$A$2:$C$48,3,FALSE)</f>
        <v>120</v>
      </c>
      <c r="J1865" s="5">
        <f>VLOOKUP(F1865,'Set up'!$A$2:$D$48,4,FALSE)</f>
        <v>120</v>
      </c>
      <c r="K1865" s="4">
        <f t="shared" si="651"/>
        <v>45237</v>
      </c>
      <c r="L1865" s="5">
        <f t="shared" si="652"/>
        <v>11</v>
      </c>
      <c r="M1865" s="5">
        <f t="shared" si="653"/>
        <v>2023</v>
      </c>
      <c r="N1865" s="6">
        <v>1800</v>
      </c>
      <c r="O1865" s="6">
        <f t="shared" si="659"/>
        <v>-1800</v>
      </c>
      <c r="P1865" s="6">
        <f t="shared" si="655"/>
        <v>0</v>
      </c>
      <c r="Q1865" s="7">
        <f t="shared" si="656"/>
        <v>3325002.0500000012</v>
      </c>
      <c r="R1865" s="44" t="str">
        <f>VLOOKUP(F1865,'Set up'!$A$2:$E$48,5,FALSE)</f>
        <v>Trsf</v>
      </c>
      <c r="S1865" s="1" t="s">
        <v>2333</v>
      </c>
    </row>
    <row r="1866" spans="1:19" ht="15" hidden="1" customHeight="1" x14ac:dyDescent="0.3">
      <c r="A1866" s="4">
        <v>45117</v>
      </c>
      <c r="B1866" s="5">
        <f t="shared" si="649"/>
        <v>7</v>
      </c>
      <c r="C1866" s="5">
        <f t="shared" si="650"/>
        <v>2023</v>
      </c>
      <c r="D1866" s="88" t="s">
        <v>1717</v>
      </c>
      <c r="E1866" s="5" t="str">
        <f>VLOOKUP(F1866,'Set up'!$A$2:$C$48,2,FALSE)</f>
        <v>C00000010</v>
      </c>
      <c r="F1866" s="1" t="s">
        <v>62</v>
      </c>
      <c r="G1866" s="90" t="s">
        <v>792</v>
      </c>
      <c r="H1866" s="5">
        <v>10</v>
      </c>
      <c r="I1866" s="5">
        <f>VLOOKUP(F1866,'Set up'!$A$2:$C$48,3,FALSE)</f>
        <v>120</v>
      </c>
      <c r="J1866" s="5">
        <f>VLOOKUP(F1866,'Set up'!$A$2:$D$48,4,FALSE)</f>
        <v>120</v>
      </c>
      <c r="K1866" s="4">
        <f t="shared" si="651"/>
        <v>45237</v>
      </c>
      <c r="L1866" s="5">
        <f t="shared" si="652"/>
        <v>11</v>
      </c>
      <c r="M1866" s="5">
        <f t="shared" si="653"/>
        <v>2023</v>
      </c>
      <c r="N1866" s="6">
        <v>575</v>
      </c>
      <c r="O1866" s="6">
        <f t="shared" si="659"/>
        <v>-575</v>
      </c>
      <c r="P1866" s="6">
        <f t="shared" si="655"/>
        <v>0</v>
      </c>
      <c r="Q1866" s="7">
        <f t="shared" si="656"/>
        <v>3325577.0500000012</v>
      </c>
      <c r="R1866" s="44" t="str">
        <f>VLOOKUP(F1866,'Set up'!$A$2:$E$48,5,FALSE)</f>
        <v>Trsf</v>
      </c>
      <c r="S1866" s="1" t="s">
        <v>2333</v>
      </c>
    </row>
    <row r="1867" spans="1:19" ht="15" hidden="1" customHeight="1" x14ac:dyDescent="0.3">
      <c r="A1867" s="4">
        <v>45117</v>
      </c>
      <c r="B1867" s="5">
        <f t="shared" si="649"/>
        <v>7</v>
      </c>
      <c r="C1867" s="5">
        <f t="shared" si="650"/>
        <v>2023</v>
      </c>
      <c r="D1867" s="88" t="s">
        <v>1717</v>
      </c>
      <c r="E1867" s="5" t="str">
        <f>VLOOKUP(F1867,'Set up'!$A$2:$C$48,2,FALSE)</f>
        <v>C00000010</v>
      </c>
      <c r="F1867" s="1" t="s">
        <v>62</v>
      </c>
      <c r="G1867" s="11" t="s">
        <v>46</v>
      </c>
      <c r="H1867" s="5">
        <v>8</v>
      </c>
      <c r="I1867" s="5">
        <f>VLOOKUP(F1867,'Set up'!$A$2:$C$48,3,FALSE)</f>
        <v>120</v>
      </c>
      <c r="J1867" s="5">
        <f>VLOOKUP(F1867,'Set up'!$A$2:$D$48,4,FALSE)</f>
        <v>120</v>
      </c>
      <c r="K1867" s="4">
        <f t="shared" si="651"/>
        <v>45237</v>
      </c>
      <c r="L1867" s="5">
        <f t="shared" si="652"/>
        <v>11</v>
      </c>
      <c r="M1867" s="5">
        <f t="shared" si="653"/>
        <v>2023</v>
      </c>
      <c r="N1867" s="6">
        <v>840</v>
      </c>
      <c r="O1867" s="6">
        <f t="shared" si="659"/>
        <v>-840</v>
      </c>
      <c r="P1867" s="6">
        <f t="shared" si="655"/>
        <v>0</v>
      </c>
      <c r="Q1867" s="7">
        <f t="shared" si="656"/>
        <v>3326417.0500000012</v>
      </c>
      <c r="R1867" s="44" t="str">
        <f>VLOOKUP(F1867,'Set up'!$A$2:$E$48,5,FALSE)</f>
        <v>Trsf</v>
      </c>
      <c r="S1867" s="1" t="s">
        <v>2333</v>
      </c>
    </row>
    <row r="1868" spans="1:19" ht="15" hidden="1" customHeight="1" x14ac:dyDescent="0.3">
      <c r="A1868" s="4">
        <v>45117</v>
      </c>
      <c r="B1868" s="5">
        <f t="shared" si="649"/>
        <v>7</v>
      </c>
      <c r="C1868" s="5">
        <f t="shared" si="650"/>
        <v>2023</v>
      </c>
      <c r="D1868" s="88" t="s">
        <v>1717</v>
      </c>
      <c r="E1868" s="5" t="str">
        <f>VLOOKUP(F1868,'Set up'!$A$2:$C$48,2,FALSE)</f>
        <v>C00000010</v>
      </c>
      <c r="F1868" s="1" t="s">
        <v>62</v>
      </c>
      <c r="G1868" s="90" t="s">
        <v>945</v>
      </c>
      <c r="H1868" s="5">
        <v>1</v>
      </c>
      <c r="I1868" s="5">
        <f>VLOOKUP(F1868,'Set up'!$A$2:$C$48,3,FALSE)</f>
        <v>120</v>
      </c>
      <c r="J1868" s="5">
        <f>VLOOKUP(F1868,'Set up'!$A$2:$D$48,4,FALSE)</f>
        <v>120</v>
      </c>
      <c r="K1868" s="4">
        <f t="shared" si="651"/>
        <v>45237</v>
      </c>
      <c r="L1868" s="5">
        <f t="shared" si="652"/>
        <v>11</v>
      </c>
      <c r="M1868" s="5">
        <f t="shared" si="653"/>
        <v>2023</v>
      </c>
      <c r="N1868" s="6">
        <v>420</v>
      </c>
      <c r="O1868" s="6">
        <f t="shared" si="659"/>
        <v>-420</v>
      </c>
      <c r="P1868" s="6">
        <f t="shared" si="655"/>
        <v>0</v>
      </c>
      <c r="Q1868" s="7">
        <f t="shared" si="656"/>
        <v>3326837.0500000012</v>
      </c>
      <c r="R1868" s="44" t="str">
        <f>VLOOKUP(F1868,'Set up'!$A$2:$E$48,5,FALSE)</f>
        <v>Trsf</v>
      </c>
      <c r="S1868" s="1" t="s">
        <v>2333</v>
      </c>
    </row>
    <row r="1869" spans="1:19" ht="15" hidden="1" customHeight="1" x14ac:dyDescent="0.3">
      <c r="A1869" s="4">
        <v>45117</v>
      </c>
      <c r="B1869" s="5">
        <f t="shared" si="649"/>
        <v>7</v>
      </c>
      <c r="C1869" s="5">
        <f t="shared" si="650"/>
        <v>2023</v>
      </c>
      <c r="D1869" s="88" t="s">
        <v>1717</v>
      </c>
      <c r="E1869" s="5" t="str">
        <f>VLOOKUP(F1869,'Set up'!$A$2:$C$48,2,FALSE)</f>
        <v>C00000010</v>
      </c>
      <c r="F1869" s="1" t="s">
        <v>62</v>
      </c>
      <c r="G1869" s="90" t="s">
        <v>615</v>
      </c>
      <c r="H1869" s="5">
        <v>1</v>
      </c>
      <c r="I1869" s="5">
        <f>VLOOKUP(F1869,'Set up'!$A$2:$C$48,3,FALSE)</f>
        <v>120</v>
      </c>
      <c r="J1869" s="5">
        <f>VLOOKUP(F1869,'Set up'!$A$2:$D$48,4,FALSE)</f>
        <v>120</v>
      </c>
      <c r="K1869" s="4">
        <f t="shared" si="651"/>
        <v>45237</v>
      </c>
      <c r="L1869" s="5">
        <f t="shared" si="652"/>
        <v>11</v>
      </c>
      <c r="M1869" s="5">
        <f t="shared" si="653"/>
        <v>2023</v>
      </c>
      <c r="N1869" s="6">
        <v>395</v>
      </c>
      <c r="O1869" s="6">
        <f t="shared" si="659"/>
        <v>-395</v>
      </c>
      <c r="P1869" s="6">
        <f t="shared" si="655"/>
        <v>0</v>
      </c>
      <c r="Q1869" s="7">
        <f t="shared" si="656"/>
        <v>3327232.0500000012</v>
      </c>
      <c r="R1869" s="44" t="str">
        <f>VLOOKUP(F1869,'Set up'!$A$2:$E$48,5,FALSE)</f>
        <v>Trsf</v>
      </c>
      <c r="S1869" s="1" t="s">
        <v>2333</v>
      </c>
    </row>
    <row r="1870" spans="1:19" ht="15" hidden="1" customHeight="1" x14ac:dyDescent="0.3">
      <c r="A1870" s="4">
        <v>45117</v>
      </c>
      <c r="B1870" s="5">
        <f t="shared" si="649"/>
        <v>7</v>
      </c>
      <c r="C1870" s="5">
        <f t="shared" si="650"/>
        <v>2023</v>
      </c>
      <c r="D1870" s="88" t="s">
        <v>1718</v>
      </c>
      <c r="E1870" s="5" t="str">
        <f>VLOOKUP(F1870,'Set up'!$A$2:$C$48,2,FALSE)</f>
        <v>C00000034</v>
      </c>
      <c r="F1870" s="1" t="s">
        <v>1197</v>
      </c>
      <c r="G1870" s="11" t="s">
        <v>1352</v>
      </c>
      <c r="H1870" s="5">
        <v>10</v>
      </c>
      <c r="I1870" s="5" t="str">
        <f>VLOOKUP(F1870,'Set up'!$A$2:$C$48,3,FALSE)</f>
        <v>Cash</v>
      </c>
      <c r="J1870" s="5">
        <f>VLOOKUP(F1870,'Set up'!$A$2:$D$48,4,FALSE)</f>
        <v>0</v>
      </c>
      <c r="K1870" s="4">
        <f t="shared" si="651"/>
        <v>45117</v>
      </c>
      <c r="L1870" s="5">
        <f t="shared" si="652"/>
        <v>7</v>
      </c>
      <c r="M1870" s="5">
        <f t="shared" si="653"/>
        <v>2023</v>
      </c>
      <c r="N1870" s="6">
        <v>1390</v>
      </c>
      <c r="O1870" s="6">
        <f t="shared" ref="O1870:O1873" si="660">-N1870</f>
        <v>-1390</v>
      </c>
      <c r="P1870" s="91">
        <f t="shared" si="655"/>
        <v>0</v>
      </c>
      <c r="Q1870" s="7">
        <f t="shared" si="656"/>
        <v>3328622.0500000012</v>
      </c>
      <c r="R1870" s="44" t="str">
        <f>VLOOKUP(F1870,'Set up'!$A$2:$E$48,5,FALSE)</f>
        <v>Trsf</v>
      </c>
      <c r="S1870" s="117" t="s">
        <v>1847</v>
      </c>
    </row>
    <row r="1871" spans="1:19" ht="15" hidden="1" customHeight="1" x14ac:dyDescent="0.3">
      <c r="A1871" s="4">
        <v>45118</v>
      </c>
      <c r="B1871" s="5">
        <f t="shared" si="649"/>
        <v>7</v>
      </c>
      <c r="C1871" s="5">
        <f t="shared" si="650"/>
        <v>2023</v>
      </c>
      <c r="D1871" s="88" t="s">
        <v>1719</v>
      </c>
      <c r="E1871" s="5" t="str">
        <f>VLOOKUP(F1871,'Set up'!$A$2:$C$48,2,FALSE)</f>
        <v>C00000021</v>
      </c>
      <c r="F1871" s="1" t="s">
        <v>492</v>
      </c>
      <c r="G1871" s="107" t="s">
        <v>717</v>
      </c>
      <c r="H1871" s="5">
        <v>1</v>
      </c>
      <c r="I1871" s="5" t="str">
        <f>VLOOKUP(F1871,'Set up'!$A$2:$C$48,3,FALSE)</f>
        <v>Cash</v>
      </c>
      <c r="J1871" s="5">
        <f>VLOOKUP(F1871,'Set up'!$A$2:$D$48,4,FALSE)</f>
        <v>0</v>
      </c>
      <c r="K1871" s="4">
        <f t="shared" si="651"/>
        <v>45118</v>
      </c>
      <c r="L1871" s="5">
        <f t="shared" si="652"/>
        <v>7</v>
      </c>
      <c r="M1871" s="5">
        <f t="shared" si="653"/>
        <v>2023</v>
      </c>
      <c r="N1871" s="6">
        <v>1826</v>
      </c>
      <c r="O1871" s="6">
        <f t="shared" si="660"/>
        <v>-1826</v>
      </c>
      <c r="P1871" s="6">
        <f t="shared" si="655"/>
        <v>0</v>
      </c>
      <c r="Q1871" s="7">
        <f t="shared" si="656"/>
        <v>3330448.0500000012</v>
      </c>
      <c r="R1871" s="44" t="str">
        <f>VLOOKUP(F1871,'Set up'!$A$2:$E$48,5,FALSE)</f>
        <v>PD Chq</v>
      </c>
      <c r="S1871" s="1" t="s">
        <v>2385</v>
      </c>
    </row>
    <row r="1872" spans="1:19" ht="15" hidden="1" customHeight="1" x14ac:dyDescent="0.3">
      <c r="A1872" s="4">
        <v>45118</v>
      </c>
      <c r="B1872" s="5">
        <f t="shared" si="649"/>
        <v>7</v>
      </c>
      <c r="C1872" s="5">
        <f t="shared" si="650"/>
        <v>2023</v>
      </c>
      <c r="D1872" s="88" t="s">
        <v>1719</v>
      </c>
      <c r="E1872" s="5" t="str">
        <f>VLOOKUP(F1872,'Set up'!$A$2:$C$48,2,FALSE)</f>
        <v>C00000021</v>
      </c>
      <c r="F1872" s="1" t="s">
        <v>492</v>
      </c>
      <c r="G1872" s="99" t="s">
        <v>655</v>
      </c>
      <c r="H1872" s="5">
        <v>3</v>
      </c>
      <c r="I1872" s="5" t="str">
        <f>VLOOKUP(F1872,'Set up'!$A$2:$C$48,3,FALSE)</f>
        <v>Cash</v>
      </c>
      <c r="J1872" s="5">
        <f>VLOOKUP(F1872,'Set up'!$A$2:$D$48,4,FALSE)</f>
        <v>0</v>
      </c>
      <c r="K1872" s="4">
        <f t="shared" si="651"/>
        <v>45118</v>
      </c>
      <c r="L1872" s="5">
        <f t="shared" si="652"/>
        <v>7</v>
      </c>
      <c r="M1872" s="5">
        <f t="shared" si="653"/>
        <v>2023</v>
      </c>
      <c r="N1872" s="6">
        <v>747</v>
      </c>
      <c r="O1872" s="6">
        <f t="shared" si="660"/>
        <v>-747</v>
      </c>
      <c r="P1872" s="6">
        <f t="shared" si="655"/>
        <v>0</v>
      </c>
      <c r="Q1872" s="7">
        <f t="shared" si="656"/>
        <v>3331195.0500000012</v>
      </c>
      <c r="R1872" s="44" t="str">
        <f>VLOOKUP(F1872,'Set up'!$A$2:$E$48,5,FALSE)</f>
        <v>PD Chq</v>
      </c>
      <c r="S1872" s="1" t="s">
        <v>2385</v>
      </c>
    </row>
    <row r="1873" spans="1:19" ht="15" hidden="1" customHeight="1" x14ac:dyDescent="0.3">
      <c r="A1873" s="4">
        <v>45118</v>
      </c>
      <c r="B1873" s="5">
        <f t="shared" si="649"/>
        <v>7</v>
      </c>
      <c r="C1873" s="5">
        <f t="shared" si="650"/>
        <v>2023</v>
      </c>
      <c r="D1873" s="88" t="s">
        <v>1719</v>
      </c>
      <c r="E1873" s="5" t="str">
        <f>VLOOKUP(F1873,'Set up'!$A$2:$C$48,2,FALSE)</f>
        <v>C00000021</v>
      </c>
      <c r="F1873" s="1" t="s">
        <v>492</v>
      </c>
      <c r="G1873" s="99" t="s">
        <v>1062</v>
      </c>
      <c r="H1873" s="5">
        <v>1</v>
      </c>
      <c r="I1873" s="5" t="str">
        <f>VLOOKUP(F1873,'Set up'!$A$2:$C$48,3,FALSE)</f>
        <v>Cash</v>
      </c>
      <c r="J1873" s="5">
        <f>VLOOKUP(F1873,'Set up'!$A$2:$D$48,4,FALSE)</f>
        <v>0</v>
      </c>
      <c r="K1873" s="4">
        <f t="shared" si="651"/>
        <v>45118</v>
      </c>
      <c r="L1873" s="5">
        <f t="shared" si="652"/>
        <v>7</v>
      </c>
      <c r="M1873" s="5">
        <f t="shared" si="653"/>
        <v>2023</v>
      </c>
      <c r="N1873" s="6">
        <v>95</v>
      </c>
      <c r="O1873" s="6">
        <f t="shared" si="660"/>
        <v>-95</v>
      </c>
      <c r="P1873" s="6">
        <f t="shared" si="655"/>
        <v>0</v>
      </c>
      <c r="Q1873" s="7">
        <f t="shared" si="656"/>
        <v>3331290.0500000012</v>
      </c>
      <c r="R1873" s="44" t="str">
        <f>VLOOKUP(F1873,'Set up'!$A$2:$E$48,5,FALSE)</f>
        <v>PD Chq</v>
      </c>
      <c r="S1873" s="1" t="s">
        <v>2385</v>
      </c>
    </row>
    <row r="1874" spans="1:19" ht="15" hidden="1" customHeight="1" x14ac:dyDescent="0.3">
      <c r="A1874" s="4">
        <v>45118</v>
      </c>
      <c r="B1874" s="5">
        <f t="shared" si="649"/>
        <v>7</v>
      </c>
      <c r="C1874" s="5">
        <f t="shared" si="650"/>
        <v>2023</v>
      </c>
      <c r="D1874" s="88" t="s">
        <v>1720</v>
      </c>
      <c r="E1874" s="5" t="str">
        <f>VLOOKUP(F1874,'Set up'!$A$2:$C$48,2,FALSE)</f>
        <v>C00000037</v>
      </c>
      <c r="F1874" s="1" t="s">
        <v>1310</v>
      </c>
      <c r="G1874" s="11" t="s">
        <v>1406</v>
      </c>
      <c r="H1874" s="5">
        <v>3</v>
      </c>
      <c r="I1874" s="5">
        <f>VLOOKUP(F1874,'Set up'!$A$2:$C$48,3,FALSE)</f>
        <v>30</v>
      </c>
      <c r="J1874" s="5">
        <f>VLOOKUP(F1874,'Set up'!$A$2:$D$48,4,FALSE)</f>
        <v>30</v>
      </c>
      <c r="K1874" s="4">
        <f t="shared" si="651"/>
        <v>45148</v>
      </c>
      <c r="L1874" s="5">
        <f t="shared" si="652"/>
        <v>8</v>
      </c>
      <c r="M1874" s="5">
        <f t="shared" si="653"/>
        <v>2023</v>
      </c>
      <c r="N1874" s="6">
        <v>144</v>
      </c>
      <c r="O1874" s="6">
        <f t="shared" ref="O1874" si="661">-N1874</f>
        <v>-144</v>
      </c>
      <c r="P1874" s="6">
        <f t="shared" si="655"/>
        <v>0</v>
      </c>
      <c r="Q1874" s="7">
        <f t="shared" si="656"/>
        <v>3331434.0500000012</v>
      </c>
      <c r="R1874" s="44" t="str">
        <f>VLOOKUP(F1874,'Set up'!$A$2:$E$48,5,FALSE)</f>
        <v>Chq</v>
      </c>
      <c r="S1874" s="1" t="s">
        <v>1783</v>
      </c>
    </row>
    <row r="1875" spans="1:19" ht="15" hidden="1" customHeight="1" x14ac:dyDescent="0.3">
      <c r="A1875" s="4" t="s">
        <v>1722</v>
      </c>
      <c r="B1875" s="5">
        <f t="shared" si="649"/>
        <v>7</v>
      </c>
      <c r="C1875" s="5">
        <f t="shared" si="650"/>
        <v>2023</v>
      </c>
      <c r="D1875" s="88" t="s">
        <v>1721</v>
      </c>
      <c r="E1875" s="5" t="str">
        <f>VLOOKUP(F1875,'Set up'!$A$2:$C$48,2,FALSE)</f>
        <v>C00000034</v>
      </c>
      <c r="F1875" s="1" t="s">
        <v>1197</v>
      </c>
      <c r="G1875" s="99" t="s">
        <v>1357</v>
      </c>
      <c r="H1875" s="5">
        <v>2</v>
      </c>
      <c r="I1875" s="5" t="str">
        <f>VLOOKUP(F1875,'Set up'!$A$2:$C$48,3,FALSE)</f>
        <v>Cash</v>
      </c>
      <c r="J1875" s="5">
        <f>VLOOKUP(F1875,'Set up'!$A$2:$D$48,4,FALSE)</f>
        <v>0</v>
      </c>
      <c r="K1875" s="4">
        <f t="shared" si="651"/>
        <v>45122</v>
      </c>
      <c r="L1875" s="5">
        <f t="shared" si="652"/>
        <v>7</v>
      </c>
      <c r="M1875" s="5">
        <f t="shared" si="653"/>
        <v>2023</v>
      </c>
      <c r="N1875" s="6">
        <v>3652</v>
      </c>
      <c r="O1875" s="6">
        <f t="shared" ref="O1875:O1884" si="662">-N1875</f>
        <v>-3652</v>
      </c>
      <c r="P1875" s="6">
        <f t="shared" si="655"/>
        <v>0</v>
      </c>
      <c r="Q1875" s="7">
        <f t="shared" si="656"/>
        <v>3335086.0500000012</v>
      </c>
      <c r="R1875" s="44" t="str">
        <f>VLOOKUP(F1875,'Set up'!$A$2:$E$48,5,FALSE)</f>
        <v>Trsf</v>
      </c>
      <c r="S1875" s="117" t="s">
        <v>1848</v>
      </c>
    </row>
    <row r="1876" spans="1:19" ht="15" hidden="1" customHeight="1" x14ac:dyDescent="0.3">
      <c r="A1876" s="4" t="s">
        <v>1722</v>
      </c>
      <c r="B1876" s="5">
        <f t="shared" si="649"/>
        <v>7</v>
      </c>
      <c r="C1876" s="5">
        <f t="shared" si="650"/>
        <v>2023</v>
      </c>
      <c r="D1876" s="88" t="s">
        <v>1721</v>
      </c>
      <c r="E1876" s="5" t="str">
        <f>VLOOKUP(F1876,'Set up'!$A$2:$C$48,2,FALSE)</f>
        <v>C00000034</v>
      </c>
      <c r="F1876" s="1" t="s">
        <v>1197</v>
      </c>
      <c r="G1876" s="99" t="s">
        <v>1432</v>
      </c>
      <c r="H1876" s="5">
        <v>3</v>
      </c>
      <c r="I1876" s="5" t="str">
        <f>VLOOKUP(F1876,'Set up'!$A$2:$C$48,3,FALSE)</f>
        <v>Cash</v>
      </c>
      <c r="J1876" s="5">
        <f>VLOOKUP(F1876,'Set up'!$A$2:$D$48,4,FALSE)</f>
        <v>0</v>
      </c>
      <c r="K1876" s="4">
        <f t="shared" si="651"/>
        <v>45122</v>
      </c>
      <c r="L1876" s="5">
        <f t="shared" si="652"/>
        <v>7</v>
      </c>
      <c r="M1876" s="5">
        <f t="shared" si="653"/>
        <v>2023</v>
      </c>
      <c r="N1876" s="6">
        <v>675</v>
      </c>
      <c r="O1876" s="6">
        <f t="shared" si="662"/>
        <v>-675</v>
      </c>
      <c r="P1876" s="6">
        <f t="shared" si="655"/>
        <v>0</v>
      </c>
      <c r="Q1876" s="7">
        <f t="shared" si="656"/>
        <v>3335761.0500000012</v>
      </c>
      <c r="R1876" s="44" t="str">
        <f>VLOOKUP(F1876,'Set up'!$A$2:$E$48,5,FALSE)</f>
        <v>Trsf</v>
      </c>
      <c r="S1876" s="117" t="s">
        <v>1848</v>
      </c>
    </row>
    <row r="1877" spans="1:19" ht="15" hidden="1" customHeight="1" x14ac:dyDescent="0.3">
      <c r="A1877" s="4" t="s">
        <v>1722</v>
      </c>
      <c r="B1877" s="5">
        <f t="shared" si="649"/>
        <v>7</v>
      </c>
      <c r="C1877" s="5">
        <f t="shared" si="650"/>
        <v>2023</v>
      </c>
      <c r="D1877" s="88" t="s">
        <v>1721</v>
      </c>
      <c r="E1877" s="5" t="str">
        <f>VLOOKUP(F1877,'Set up'!$A$2:$C$48,2,FALSE)</f>
        <v>C00000034</v>
      </c>
      <c r="F1877" s="1" t="s">
        <v>1197</v>
      </c>
      <c r="G1877" s="99" t="s">
        <v>1625</v>
      </c>
      <c r="H1877" s="5">
        <v>1</v>
      </c>
      <c r="I1877" s="5" t="str">
        <f>VLOOKUP(F1877,'Set up'!$A$2:$C$48,3,FALSE)</f>
        <v>Cash</v>
      </c>
      <c r="J1877" s="5">
        <f>VLOOKUP(F1877,'Set up'!$A$2:$D$48,4,FALSE)</f>
        <v>0</v>
      </c>
      <c r="K1877" s="4">
        <f t="shared" si="651"/>
        <v>45122</v>
      </c>
      <c r="L1877" s="5">
        <f t="shared" si="652"/>
        <v>7</v>
      </c>
      <c r="M1877" s="5">
        <f t="shared" si="653"/>
        <v>2023</v>
      </c>
      <c r="N1877" s="6">
        <v>236</v>
      </c>
      <c r="O1877" s="6">
        <f t="shared" si="662"/>
        <v>-236</v>
      </c>
      <c r="P1877" s="6">
        <f t="shared" si="655"/>
        <v>0</v>
      </c>
      <c r="Q1877" s="7">
        <f t="shared" si="656"/>
        <v>3335997.0500000012</v>
      </c>
      <c r="R1877" s="44" t="str">
        <f>VLOOKUP(F1877,'Set up'!$A$2:$E$48,5,FALSE)</f>
        <v>Trsf</v>
      </c>
      <c r="S1877" s="117" t="s">
        <v>1848</v>
      </c>
    </row>
    <row r="1878" spans="1:19" ht="15" hidden="1" customHeight="1" x14ac:dyDescent="0.3">
      <c r="A1878" s="4" t="s">
        <v>1722</v>
      </c>
      <c r="B1878" s="5">
        <f t="shared" si="649"/>
        <v>7</v>
      </c>
      <c r="C1878" s="5">
        <f t="shared" si="650"/>
        <v>2023</v>
      </c>
      <c r="D1878" s="88" t="s">
        <v>1721</v>
      </c>
      <c r="E1878" s="5" t="str">
        <f>VLOOKUP(F1878,'Set up'!$A$2:$C$48,2,FALSE)</f>
        <v>C00000034</v>
      </c>
      <c r="F1878" s="1" t="s">
        <v>1197</v>
      </c>
      <c r="G1878" s="99" t="s">
        <v>1062</v>
      </c>
      <c r="H1878" s="5">
        <v>2</v>
      </c>
      <c r="I1878" s="5" t="str">
        <f>VLOOKUP(F1878,'Set up'!$A$2:$C$48,3,FALSE)</f>
        <v>Cash</v>
      </c>
      <c r="J1878" s="5">
        <f>VLOOKUP(F1878,'Set up'!$A$2:$D$48,4,FALSE)</f>
        <v>0</v>
      </c>
      <c r="K1878" s="4">
        <f t="shared" si="651"/>
        <v>45122</v>
      </c>
      <c r="L1878" s="5">
        <f t="shared" si="652"/>
        <v>7</v>
      </c>
      <c r="M1878" s="5">
        <f t="shared" si="653"/>
        <v>2023</v>
      </c>
      <c r="N1878" s="6">
        <v>190</v>
      </c>
      <c r="O1878" s="6">
        <f t="shared" si="662"/>
        <v>-190</v>
      </c>
      <c r="P1878" s="6">
        <f t="shared" si="655"/>
        <v>0</v>
      </c>
      <c r="Q1878" s="7">
        <f t="shared" si="656"/>
        <v>3336187.0500000012</v>
      </c>
      <c r="R1878" s="44" t="str">
        <f>VLOOKUP(F1878,'Set up'!$A$2:$E$48,5,FALSE)</f>
        <v>Trsf</v>
      </c>
      <c r="S1878" s="117" t="s">
        <v>1848</v>
      </c>
    </row>
    <row r="1879" spans="1:19" ht="15" hidden="1" customHeight="1" x14ac:dyDescent="0.3">
      <c r="A1879" s="4" t="s">
        <v>1722</v>
      </c>
      <c r="B1879" s="5">
        <f t="shared" si="649"/>
        <v>7</v>
      </c>
      <c r="C1879" s="5">
        <f t="shared" si="650"/>
        <v>2023</v>
      </c>
      <c r="D1879" s="88" t="s">
        <v>1721</v>
      </c>
      <c r="E1879" s="5" t="str">
        <f>VLOOKUP(F1879,'Set up'!$A$2:$C$48,2,FALSE)</f>
        <v>C00000034</v>
      </c>
      <c r="F1879" s="1" t="s">
        <v>1197</v>
      </c>
      <c r="G1879" s="99" t="s">
        <v>1111</v>
      </c>
      <c r="H1879" s="5">
        <v>2</v>
      </c>
      <c r="I1879" s="5" t="str">
        <f>VLOOKUP(F1879,'Set up'!$A$2:$C$48,3,FALSE)</f>
        <v>Cash</v>
      </c>
      <c r="J1879" s="5">
        <f>VLOOKUP(F1879,'Set up'!$A$2:$D$48,4,FALSE)</f>
        <v>0</v>
      </c>
      <c r="K1879" s="4">
        <f t="shared" si="651"/>
        <v>45122</v>
      </c>
      <c r="L1879" s="5">
        <f t="shared" si="652"/>
        <v>7</v>
      </c>
      <c r="M1879" s="5">
        <f t="shared" si="653"/>
        <v>2023</v>
      </c>
      <c r="N1879" s="6">
        <v>125</v>
      </c>
      <c r="O1879" s="6">
        <f t="shared" si="662"/>
        <v>-125</v>
      </c>
      <c r="P1879" s="6">
        <f t="shared" si="655"/>
        <v>0</v>
      </c>
      <c r="Q1879" s="7">
        <f t="shared" si="656"/>
        <v>3336312.0500000012</v>
      </c>
      <c r="R1879" s="44" t="str">
        <f>VLOOKUP(F1879,'Set up'!$A$2:$E$48,5,FALSE)</f>
        <v>Trsf</v>
      </c>
      <c r="S1879" s="117" t="s">
        <v>1848</v>
      </c>
    </row>
    <row r="1880" spans="1:19" ht="15" hidden="1" customHeight="1" x14ac:dyDescent="0.3">
      <c r="A1880" s="4" t="s">
        <v>1722</v>
      </c>
      <c r="B1880" s="5">
        <f t="shared" si="649"/>
        <v>7</v>
      </c>
      <c r="C1880" s="5">
        <f t="shared" si="650"/>
        <v>2023</v>
      </c>
      <c r="D1880" s="88" t="s">
        <v>1721</v>
      </c>
      <c r="E1880" s="5" t="str">
        <f>VLOOKUP(F1880,'Set up'!$A$2:$C$48,2,FALSE)</f>
        <v>C00000034</v>
      </c>
      <c r="F1880" s="1" t="s">
        <v>1197</v>
      </c>
      <c r="G1880" s="99" t="s">
        <v>1352</v>
      </c>
      <c r="H1880" s="5">
        <v>5</v>
      </c>
      <c r="I1880" s="5" t="str">
        <f>VLOOKUP(F1880,'Set up'!$A$2:$C$48,3,FALSE)</f>
        <v>Cash</v>
      </c>
      <c r="J1880" s="5">
        <f>VLOOKUP(F1880,'Set up'!$A$2:$D$48,4,FALSE)</f>
        <v>0</v>
      </c>
      <c r="K1880" s="4">
        <f t="shared" si="651"/>
        <v>45122</v>
      </c>
      <c r="L1880" s="5">
        <f t="shared" si="652"/>
        <v>7</v>
      </c>
      <c r="M1880" s="5">
        <f t="shared" si="653"/>
        <v>2023</v>
      </c>
      <c r="N1880" s="6">
        <v>695</v>
      </c>
      <c r="O1880" s="6">
        <f t="shared" si="662"/>
        <v>-695</v>
      </c>
      <c r="P1880" s="91">
        <f t="shared" si="655"/>
        <v>0</v>
      </c>
      <c r="Q1880" s="7">
        <f t="shared" si="656"/>
        <v>3337007.0500000012</v>
      </c>
      <c r="R1880" s="44" t="str">
        <f>VLOOKUP(F1880,'Set up'!$A$2:$E$48,5,FALSE)</f>
        <v>Trsf</v>
      </c>
      <c r="S1880" s="117" t="s">
        <v>1848</v>
      </c>
    </row>
    <row r="1881" spans="1:19" ht="15" hidden="1" customHeight="1" x14ac:dyDescent="0.3">
      <c r="A1881" s="4">
        <v>45124</v>
      </c>
      <c r="B1881" s="5">
        <f t="shared" si="649"/>
        <v>7</v>
      </c>
      <c r="C1881" s="5">
        <f t="shared" si="650"/>
        <v>2023</v>
      </c>
      <c r="D1881" s="88" t="s">
        <v>1723</v>
      </c>
      <c r="E1881" s="5" t="str">
        <f>VLOOKUP(F1881,'Set up'!$A$2:$C$48,2,FALSE)</f>
        <v>C00000021</v>
      </c>
      <c r="F1881" s="1" t="s">
        <v>492</v>
      </c>
      <c r="G1881" s="99" t="s">
        <v>717</v>
      </c>
      <c r="H1881" s="5">
        <v>1</v>
      </c>
      <c r="I1881" s="5" t="str">
        <f>VLOOKUP(F1881,'Set up'!$A$2:$C$48,3,FALSE)</f>
        <v>Cash</v>
      </c>
      <c r="J1881" s="5">
        <f>VLOOKUP(F1881,'Set up'!$A$2:$D$48,4,FALSE)</f>
        <v>0</v>
      </c>
      <c r="K1881" s="4">
        <f t="shared" si="651"/>
        <v>45124</v>
      </c>
      <c r="L1881" s="5">
        <f t="shared" si="652"/>
        <v>7</v>
      </c>
      <c r="M1881" s="5">
        <f t="shared" si="653"/>
        <v>2023</v>
      </c>
      <c r="N1881" s="6">
        <v>1826</v>
      </c>
      <c r="O1881" s="6">
        <f t="shared" si="662"/>
        <v>-1826</v>
      </c>
      <c r="P1881" s="6">
        <f t="shared" si="655"/>
        <v>0</v>
      </c>
      <c r="Q1881" s="7">
        <f t="shared" si="656"/>
        <v>3338833.0500000012</v>
      </c>
      <c r="R1881" s="44" t="str">
        <f>VLOOKUP(F1881,'Set up'!$A$2:$E$48,5,FALSE)</f>
        <v>PD Chq</v>
      </c>
      <c r="S1881" s="1" t="s">
        <v>2384</v>
      </c>
    </row>
    <row r="1882" spans="1:19" ht="15" hidden="1" customHeight="1" x14ac:dyDescent="0.3">
      <c r="A1882" s="4">
        <v>45124</v>
      </c>
      <c r="B1882" s="5">
        <f t="shared" si="649"/>
        <v>7</v>
      </c>
      <c r="C1882" s="5">
        <f t="shared" si="650"/>
        <v>2023</v>
      </c>
      <c r="D1882" s="88" t="s">
        <v>1723</v>
      </c>
      <c r="E1882" s="5" t="str">
        <f>VLOOKUP(F1882,'Set up'!$A$2:$C$48,2,FALSE)</f>
        <v>C00000021</v>
      </c>
      <c r="F1882" s="1" t="s">
        <v>492</v>
      </c>
      <c r="G1882" s="99" t="s">
        <v>655</v>
      </c>
      <c r="H1882" s="5">
        <v>2</v>
      </c>
      <c r="I1882" s="5" t="str">
        <f>VLOOKUP(F1882,'Set up'!$A$2:$C$48,3,FALSE)</f>
        <v>Cash</v>
      </c>
      <c r="J1882" s="5">
        <f>VLOOKUP(F1882,'Set up'!$A$2:$D$48,4,FALSE)</f>
        <v>0</v>
      </c>
      <c r="K1882" s="4">
        <f t="shared" si="651"/>
        <v>45124</v>
      </c>
      <c r="L1882" s="5">
        <f t="shared" si="652"/>
        <v>7</v>
      </c>
      <c r="M1882" s="5">
        <f t="shared" si="653"/>
        <v>2023</v>
      </c>
      <c r="N1882" s="6">
        <v>498</v>
      </c>
      <c r="O1882" s="6">
        <f t="shared" si="662"/>
        <v>-498</v>
      </c>
      <c r="P1882" s="6">
        <f t="shared" si="655"/>
        <v>0</v>
      </c>
      <c r="Q1882" s="7">
        <f t="shared" si="656"/>
        <v>3339331.0500000012</v>
      </c>
      <c r="R1882" s="44" t="str">
        <f>VLOOKUP(F1882,'Set up'!$A$2:$E$48,5,FALSE)</f>
        <v>PD Chq</v>
      </c>
      <c r="S1882" s="1" t="s">
        <v>2384</v>
      </c>
    </row>
    <row r="1883" spans="1:19" ht="15" hidden="1" customHeight="1" x14ac:dyDescent="0.3">
      <c r="A1883" s="4">
        <v>45124</v>
      </c>
      <c r="B1883" s="5">
        <f t="shared" si="649"/>
        <v>7</v>
      </c>
      <c r="C1883" s="5">
        <f t="shared" si="650"/>
        <v>2023</v>
      </c>
      <c r="D1883" s="88" t="s">
        <v>1723</v>
      </c>
      <c r="E1883" s="5" t="str">
        <f>VLOOKUP(F1883,'Set up'!$A$2:$C$48,2,FALSE)</f>
        <v>C00000021</v>
      </c>
      <c r="F1883" s="1" t="s">
        <v>492</v>
      </c>
      <c r="G1883" s="99" t="s">
        <v>1062</v>
      </c>
      <c r="H1883" s="5">
        <v>1</v>
      </c>
      <c r="I1883" s="5" t="str">
        <f>VLOOKUP(F1883,'Set up'!$A$2:$C$48,3,FALSE)</f>
        <v>Cash</v>
      </c>
      <c r="J1883" s="5">
        <f>VLOOKUP(F1883,'Set up'!$A$2:$D$48,4,FALSE)</f>
        <v>0</v>
      </c>
      <c r="K1883" s="4">
        <f t="shared" si="651"/>
        <v>45124</v>
      </c>
      <c r="L1883" s="5">
        <f t="shared" si="652"/>
        <v>7</v>
      </c>
      <c r="M1883" s="5">
        <f t="shared" si="653"/>
        <v>2023</v>
      </c>
      <c r="N1883" s="6">
        <v>95</v>
      </c>
      <c r="O1883" s="6">
        <f t="shared" si="662"/>
        <v>-95</v>
      </c>
      <c r="P1883" s="6">
        <f t="shared" si="655"/>
        <v>0</v>
      </c>
      <c r="Q1883" s="7">
        <f t="shared" si="656"/>
        <v>3339426.0500000012</v>
      </c>
      <c r="R1883" s="44" t="str">
        <f>VLOOKUP(F1883,'Set up'!$A$2:$E$48,5,FALSE)</f>
        <v>PD Chq</v>
      </c>
      <c r="S1883" s="1" t="s">
        <v>2384</v>
      </c>
    </row>
    <row r="1884" spans="1:19" ht="15" hidden="1" customHeight="1" x14ac:dyDescent="0.3">
      <c r="A1884" s="4">
        <v>45124</v>
      </c>
      <c r="B1884" s="5">
        <f t="shared" si="649"/>
        <v>7</v>
      </c>
      <c r="C1884" s="5">
        <f t="shared" si="650"/>
        <v>2023</v>
      </c>
      <c r="D1884" s="88" t="s">
        <v>1723</v>
      </c>
      <c r="E1884" s="5" t="str">
        <f>VLOOKUP(F1884,'Set up'!$A$2:$C$48,2,FALSE)</f>
        <v>C00000021</v>
      </c>
      <c r="F1884" s="1" t="s">
        <v>492</v>
      </c>
      <c r="G1884" s="99" t="s">
        <v>1111</v>
      </c>
      <c r="H1884" s="5">
        <v>5</v>
      </c>
      <c r="I1884" s="5" t="str">
        <f>VLOOKUP(F1884,'Set up'!$A$2:$C$48,3,FALSE)</f>
        <v>Cash</v>
      </c>
      <c r="J1884" s="5">
        <f>VLOOKUP(F1884,'Set up'!$A$2:$D$48,4,FALSE)</f>
        <v>0</v>
      </c>
      <c r="K1884" s="4">
        <f t="shared" si="651"/>
        <v>45124</v>
      </c>
      <c r="L1884" s="5">
        <f t="shared" si="652"/>
        <v>7</v>
      </c>
      <c r="M1884" s="5">
        <f t="shared" si="653"/>
        <v>2023</v>
      </c>
      <c r="N1884" s="6">
        <v>312.5</v>
      </c>
      <c r="O1884" s="6">
        <f t="shared" si="662"/>
        <v>-312.5</v>
      </c>
      <c r="P1884" s="6">
        <f t="shared" si="655"/>
        <v>0</v>
      </c>
      <c r="Q1884" s="7">
        <f t="shared" si="656"/>
        <v>3339738.5500000012</v>
      </c>
      <c r="R1884" s="44" t="str">
        <f>VLOOKUP(F1884,'Set up'!$A$2:$E$48,5,FALSE)</f>
        <v>PD Chq</v>
      </c>
      <c r="S1884" s="1" t="s">
        <v>2384</v>
      </c>
    </row>
    <row r="1885" spans="1:19" ht="15" hidden="1" customHeight="1" x14ac:dyDescent="0.3">
      <c r="A1885" s="4" t="s">
        <v>1725</v>
      </c>
      <c r="B1885" s="5">
        <f t="shared" si="649"/>
        <v>7</v>
      </c>
      <c r="C1885" s="5">
        <f t="shared" si="650"/>
        <v>2023</v>
      </c>
      <c r="D1885" s="88" t="s">
        <v>1724</v>
      </c>
      <c r="E1885" s="5" t="str">
        <f>VLOOKUP(F1885,'Set up'!$A$2:$C$48,2,FALSE)</f>
        <v>C00000019</v>
      </c>
      <c r="F1885" s="1" t="s">
        <v>401</v>
      </c>
      <c r="G1885" s="99" t="s">
        <v>720</v>
      </c>
      <c r="H1885" s="5">
        <v>2</v>
      </c>
      <c r="I1885" s="5" t="str">
        <f>VLOOKUP(F1885,'Set up'!$A$2:$C$48,3,FALSE)</f>
        <v>Cash</v>
      </c>
      <c r="J1885" s="5">
        <f>VLOOKUP(F1885,'Set up'!$A$2:$D$48,4,FALSE)</f>
        <v>0</v>
      </c>
      <c r="K1885" s="4">
        <f t="shared" si="651"/>
        <v>45125</v>
      </c>
      <c r="L1885" s="5">
        <f t="shared" si="652"/>
        <v>7</v>
      </c>
      <c r="M1885" s="5">
        <f t="shared" si="653"/>
        <v>2023</v>
      </c>
      <c r="N1885" s="6">
        <v>3564</v>
      </c>
      <c r="P1885" s="6">
        <f t="shared" si="655"/>
        <v>3564</v>
      </c>
      <c r="Q1885" s="7">
        <f t="shared" si="656"/>
        <v>3343302.5500000012</v>
      </c>
      <c r="R1885" s="44" t="str">
        <f>VLOOKUP(F1885,'Set up'!$A$2:$E$48,5,FALSE)</f>
        <v>Trsf</v>
      </c>
    </row>
    <row r="1886" spans="1:19" ht="15" hidden="1" customHeight="1" x14ac:dyDescent="0.3">
      <c r="A1886" s="4" t="s">
        <v>1725</v>
      </c>
      <c r="B1886" s="5">
        <f t="shared" si="649"/>
        <v>7</v>
      </c>
      <c r="C1886" s="5">
        <f t="shared" si="650"/>
        <v>2023</v>
      </c>
      <c r="D1886" s="88" t="s">
        <v>1724</v>
      </c>
      <c r="E1886" s="5" t="str">
        <f>VLOOKUP(F1886,'Set up'!$A$2:$C$48,2,FALSE)</f>
        <v>C00000019</v>
      </c>
      <c r="F1886" s="1" t="s">
        <v>401</v>
      </c>
      <c r="G1886" s="99" t="s">
        <v>1412</v>
      </c>
      <c r="H1886" s="5">
        <v>2</v>
      </c>
      <c r="I1886" s="5" t="str">
        <f>VLOOKUP(F1886,'Set up'!$A$2:$C$48,3,FALSE)</f>
        <v>Cash</v>
      </c>
      <c r="J1886" s="5">
        <f>VLOOKUP(F1886,'Set up'!$A$2:$D$48,4,FALSE)</f>
        <v>0</v>
      </c>
      <c r="K1886" s="4">
        <f t="shared" si="651"/>
        <v>45125</v>
      </c>
      <c r="L1886" s="5">
        <f t="shared" si="652"/>
        <v>7</v>
      </c>
      <c r="M1886" s="5">
        <f t="shared" si="653"/>
        <v>2023</v>
      </c>
      <c r="N1886" s="6">
        <v>842.4</v>
      </c>
      <c r="P1886" s="6">
        <f t="shared" si="655"/>
        <v>842.4</v>
      </c>
      <c r="Q1886" s="7">
        <f t="shared" si="656"/>
        <v>3344144.9500000011</v>
      </c>
      <c r="R1886" s="44" t="str">
        <f>VLOOKUP(F1886,'Set up'!$A$2:$E$48,5,FALSE)</f>
        <v>Trsf</v>
      </c>
    </row>
    <row r="1887" spans="1:19" ht="15" hidden="1" customHeight="1" x14ac:dyDescent="0.3">
      <c r="A1887" s="4" t="s">
        <v>1725</v>
      </c>
      <c r="B1887" s="5">
        <f t="shared" si="649"/>
        <v>7</v>
      </c>
      <c r="C1887" s="5">
        <f t="shared" si="650"/>
        <v>2023</v>
      </c>
      <c r="D1887" s="88" t="s">
        <v>1724</v>
      </c>
      <c r="E1887" s="5" t="str">
        <f>VLOOKUP(F1887,'Set up'!$A$2:$C$48,2,FALSE)</f>
        <v>C00000019</v>
      </c>
      <c r="F1887" s="1" t="s">
        <v>401</v>
      </c>
      <c r="G1887" s="99" t="s">
        <v>792</v>
      </c>
      <c r="H1887" s="5">
        <v>3</v>
      </c>
      <c r="I1887" s="5" t="str">
        <f>VLOOKUP(F1887,'Set up'!$A$2:$C$48,3,FALSE)</f>
        <v>Cash</v>
      </c>
      <c r="J1887" s="5">
        <f>VLOOKUP(F1887,'Set up'!$A$2:$D$48,4,FALSE)</f>
        <v>0</v>
      </c>
      <c r="K1887" s="4">
        <f t="shared" si="651"/>
        <v>45125</v>
      </c>
      <c r="L1887" s="5">
        <f t="shared" si="652"/>
        <v>7</v>
      </c>
      <c r="M1887" s="5">
        <f t="shared" si="653"/>
        <v>2023</v>
      </c>
      <c r="N1887" s="6">
        <v>187.5</v>
      </c>
      <c r="P1887" s="6">
        <f t="shared" si="655"/>
        <v>187.5</v>
      </c>
      <c r="Q1887" s="7">
        <f t="shared" si="656"/>
        <v>3344332.4500000011</v>
      </c>
      <c r="R1887" s="44" t="str">
        <f>VLOOKUP(F1887,'Set up'!$A$2:$E$48,5,FALSE)</f>
        <v>Trsf</v>
      </c>
    </row>
    <row r="1888" spans="1:19" ht="15" hidden="1" customHeight="1" x14ac:dyDescent="0.3">
      <c r="A1888" s="4" t="s">
        <v>1725</v>
      </c>
      <c r="B1888" s="5">
        <f t="shared" si="649"/>
        <v>7</v>
      </c>
      <c r="C1888" s="5">
        <f t="shared" si="650"/>
        <v>2023</v>
      </c>
      <c r="D1888" s="88" t="s">
        <v>1724</v>
      </c>
      <c r="E1888" s="5" t="str">
        <f>VLOOKUP(F1888,'Set up'!$A$2:$C$48,2,FALSE)</f>
        <v>C00000019</v>
      </c>
      <c r="F1888" s="1" t="s">
        <v>401</v>
      </c>
      <c r="G1888" s="99" t="s">
        <v>1470</v>
      </c>
      <c r="H1888" s="5">
        <v>1</v>
      </c>
      <c r="I1888" s="5" t="str">
        <f>VLOOKUP(F1888,'Set up'!$A$2:$C$48,3,FALSE)</f>
        <v>Cash</v>
      </c>
      <c r="J1888" s="5">
        <f>VLOOKUP(F1888,'Set up'!$A$2:$D$48,4,FALSE)</f>
        <v>0</v>
      </c>
      <c r="K1888" s="4">
        <f t="shared" si="651"/>
        <v>45125</v>
      </c>
      <c r="L1888" s="5">
        <f t="shared" si="652"/>
        <v>7</v>
      </c>
      <c r="M1888" s="5">
        <f t="shared" si="653"/>
        <v>2023</v>
      </c>
      <c r="N1888" s="6">
        <v>390</v>
      </c>
      <c r="P1888" s="6">
        <f t="shared" si="655"/>
        <v>390</v>
      </c>
      <c r="Q1888" s="7">
        <f t="shared" si="656"/>
        <v>3344722.4500000011</v>
      </c>
      <c r="R1888" s="44" t="str">
        <f>VLOOKUP(F1888,'Set up'!$A$2:$E$48,5,FALSE)</f>
        <v>Trsf</v>
      </c>
    </row>
    <row r="1889" spans="1:19" ht="15" hidden="1" customHeight="1" x14ac:dyDescent="0.3">
      <c r="A1889" s="4" t="s">
        <v>1725</v>
      </c>
      <c r="B1889" s="5">
        <f t="shared" si="649"/>
        <v>7</v>
      </c>
      <c r="C1889" s="5">
        <f t="shared" si="650"/>
        <v>2023</v>
      </c>
      <c r="D1889" s="88" t="s">
        <v>1724</v>
      </c>
      <c r="E1889" s="5" t="str">
        <f>VLOOKUP(F1889,'Set up'!$A$2:$C$48,2,FALSE)</f>
        <v>C00000019</v>
      </c>
      <c r="F1889" s="1" t="s">
        <v>401</v>
      </c>
      <c r="G1889" s="99" t="s">
        <v>46</v>
      </c>
      <c r="H1889" s="5">
        <v>1</v>
      </c>
      <c r="I1889" s="5" t="str">
        <f>VLOOKUP(F1889,'Set up'!$A$2:$C$48,3,FALSE)</f>
        <v>Cash</v>
      </c>
      <c r="J1889" s="5">
        <f>VLOOKUP(F1889,'Set up'!$A$2:$D$48,4,FALSE)</f>
        <v>0</v>
      </c>
      <c r="K1889" s="4">
        <f t="shared" si="651"/>
        <v>45125</v>
      </c>
      <c r="L1889" s="5">
        <f t="shared" si="652"/>
        <v>7</v>
      </c>
      <c r="M1889" s="5">
        <f t="shared" si="653"/>
        <v>2023</v>
      </c>
      <c r="N1889" s="6">
        <v>105</v>
      </c>
      <c r="P1889" s="6">
        <f t="shared" si="655"/>
        <v>105</v>
      </c>
      <c r="Q1889" s="7">
        <f t="shared" si="656"/>
        <v>3344827.4500000011</v>
      </c>
      <c r="R1889" s="44" t="str">
        <f>VLOOKUP(F1889,'Set up'!$A$2:$E$48,5,FALSE)</f>
        <v>Trsf</v>
      </c>
    </row>
    <row r="1890" spans="1:19" ht="15" hidden="1" customHeight="1" x14ac:dyDescent="0.3">
      <c r="A1890" s="4" t="s">
        <v>1725</v>
      </c>
      <c r="B1890" s="5">
        <f t="shared" si="649"/>
        <v>7</v>
      </c>
      <c r="C1890" s="5">
        <f t="shared" si="650"/>
        <v>2023</v>
      </c>
      <c r="D1890" s="88" t="s">
        <v>1724</v>
      </c>
      <c r="E1890" s="5" t="str">
        <f>VLOOKUP(F1890,'Set up'!$A$2:$C$48,2,FALSE)</f>
        <v>C00000019</v>
      </c>
      <c r="F1890" s="1" t="s">
        <v>401</v>
      </c>
      <c r="G1890" s="99" t="s">
        <v>950</v>
      </c>
      <c r="H1890" s="5">
        <v>3</v>
      </c>
      <c r="I1890" s="5" t="str">
        <f>VLOOKUP(F1890,'Set up'!$A$2:$C$48,3,FALSE)</f>
        <v>Cash</v>
      </c>
      <c r="J1890" s="5">
        <f>VLOOKUP(F1890,'Set up'!$A$2:$D$48,4,FALSE)</f>
        <v>0</v>
      </c>
      <c r="K1890" s="4">
        <f t="shared" si="651"/>
        <v>45125</v>
      </c>
      <c r="L1890" s="5">
        <f t="shared" si="652"/>
        <v>7</v>
      </c>
      <c r="M1890" s="5">
        <f t="shared" si="653"/>
        <v>2023</v>
      </c>
      <c r="N1890" s="6">
        <v>150</v>
      </c>
      <c r="P1890" s="6">
        <f t="shared" si="655"/>
        <v>150</v>
      </c>
      <c r="Q1890" s="7">
        <f t="shared" si="656"/>
        <v>3344977.4500000011</v>
      </c>
      <c r="R1890" s="44" t="str">
        <f>VLOOKUP(F1890,'Set up'!$A$2:$E$48,5,FALSE)</f>
        <v>Trsf</v>
      </c>
    </row>
    <row r="1891" spans="1:19" ht="15" customHeight="1" x14ac:dyDescent="0.3">
      <c r="A1891" s="4">
        <v>45133</v>
      </c>
      <c r="B1891" s="5">
        <f t="shared" si="649"/>
        <v>7</v>
      </c>
      <c r="C1891" s="5">
        <f t="shared" si="650"/>
        <v>2023</v>
      </c>
      <c r="D1891" s="88" t="s">
        <v>1726</v>
      </c>
      <c r="E1891" s="5" t="str">
        <f>VLOOKUP(F1891,'Set up'!$A$2:$C$48,2,FALSE)</f>
        <v>C00000020</v>
      </c>
      <c r="F1891" s="1" t="s">
        <v>410</v>
      </c>
      <c r="G1891" s="103" t="s">
        <v>1111</v>
      </c>
      <c r="H1891" s="5">
        <v>1</v>
      </c>
      <c r="I1891" s="5" t="str">
        <f>VLOOKUP(F1891,'Set up'!$A$2:$C$48,3,FALSE)</f>
        <v>Cash</v>
      </c>
      <c r="J1891" s="5">
        <f>VLOOKUP(F1891,'Set up'!$A$2:$D$48,4,FALSE)</f>
        <v>0</v>
      </c>
      <c r="K1891" s="4">
        <f t="shared" si="651"/>
        <v>45133</v>
      </c>
      <c r="L1891" s="5">
        <f t="shared" si="652"/>
        <v>7</v>
      </c>
      <c r="M1891" s="5">
        <f t="shared" si="653"/>
        <v>2023</v>
      </c>
      <c r="N1891" s="6">
        <v>62.5</v>
      </c>
      <c r="P1891" s="6">
        <f t="shared" si="655"/>
        <v>62.5</v>
      </c>
      <c r="Q1891" s="7">
        <f t="shared" si="656"/>
        <v>3345039.9500000011</v>
      </c>
      <c r="R1891" s="44" t="str">
        <f>VLOOKUP(F1891,'Set up'!$A$2:$E$48,5,FALSE)</f>
        <v>Trsf</v>
      </c>
    </row>
    <row r="1892" spans="1:19" ht="15" hidden="1" customHeight="1" x14ac:dyDescent="0.3">
      <c r="A1892" s="4">
        <v>45127</v>
      </c>
      <c r="B1892" s="5">
        <f t="shared" si="649"/>
        <v>7</v>
      </c>
      <c r="C1892" s="5">
        <f t="shared" si="650"/>
        <v>2023</v>
      </c>
      <c r="D1892" s="88" t="s">
        <v>1727</v>
      </c>
      <c r="E1892" s="5" t="str">
        <f>VLOOKUP(F1892,'Set up'!$A$2:$C$48,2,FALSE)</f>
        <v>C00000019</v>
      </c>
      <c r="F1892" s="1" t="s">
        <v>401</v>
      </c>
      <c r="G1892" s="89" t="s">
        <v>788</v>
      </c>
      <c r="H1892" s="5">
        <v>1</v>
      </c>
      <c r="I1892" s="5" t="str">
        <f>VLOOKUP(F1892,'Set up'!$A$2:$C$48,3,FALSE)</f>
        <v>Cash</v>
      </c>
      <c r="J1892" s="5">
        <f>VLOOKUP(F1892,'Set up'!$A$2:$D$48,4,FALSE)</f>
        <v>0</v>
      </c>
      <c r="K1892" s="4">
        <f t="shared" si="651"/>
        <v>45127</v>
      </c>
      <c r="L1892" s="5">
        <f t="shared" si="652"/>
        <v>7</v>
      </c>
      <c r="M1892" s="5">
        <f t="shared" si="653"/>
        <v>2023</v>
      </c>
      <c r="N1892" s="6">
        <v>420</v>
      </c>
      <c r="P1892" s="6">
        <f t="shared" si="655"/>
        <v>420</v>
      </c>
      <c r="Q1892" s="7">
        <f t="shared" si="656"/>
        <v>3345459.9500000011</v>
      </c>
      <c r="R1892" s="44" t="str">
        <f>VLOOKUP(F1892,'Set up'!$A$2:$E$48,5,FALSE)</f>
        <v>Trsf</v>
      </c>
    </row>
    <row r="1893" spans="1:19" ht="15" hidden="1" customHeight="1" x14ac:dyDescent="0.3">
      <c r="A1893" s="4">
        <v>45128</v>
      </c>
      <c r="B1893" s="5">
        <f t="shared" si="649"/>
        <v>7</v>
      </c>
      <c r="C1893" s="5">
        <f t="shared" si="650"/>
        <v>2023</v>
      </c>
      <c r="D1893" s="88" t="s">
        <v>1728</v>
      </c>
      <c r="E1893" s="5" t="str">
        <f>VLOOKUP(F1893,'Set up'!$A$2:$C$48,2,FALSE)</f>
        <v>C00000010</v>
      </c>
      <c r="F1893" s="1" t="s">
        <v>62</v>
      </c>
      <c r="G1893" s="95" t="s">
        <v>1403</v>
      </c>
      <c r="H1893" s="5">
        <v>6</v>
      </c>
      <c r="I1893" s="5">
        <f>VLOOKUP(F1893,'Set up'!$A$2:$C$48,3,FALSE)</f>
        <v>120</v>
      </c>
      <c r="J1893" s="5">
        <f>VLOOKUP(F1893,'Set up'!$A$2:$D$48,4,FALSE)</f>
        <v>120</v>
      </c>
      <c r="K1893" s="4">
        <f t="shared" si="651"/>
        <v>45248</v>
      </c>
      <c r="L1893" s="5">
        <f t="shared" si="652"/>
        <v>11</v>
      </c>
      <c r="M1893" s="5">
        <f t="shared" si="653"/>
        <v>2023</v>
      </c>
      <c r="N1893" s="6">
        <v>9636</v>
      </c>
      <c r="O1893" s="6">
        <f>-N1893</f>
        <v>-9636</v>
      </c>
      <c r="P1893" s="6">
        <f t="shared" si="655"/>
        <v>0</v>
      </c>
      <c r="Q1893" s="7">
        <f t="shared" si="656"/>
        <v>3355095.9500000011</v>
      </c>
      <c r="R1893" s="44" t="str">
        <f>VLOOKUP(F1893,'Set up'!$A$2:$E$48,5,FALSE)</f>
        <v>Trsf</v>
      </c>
      <c r="S1893" s="1" t="s">
        <v>2333</v>
      </c>
    </row>
    <row r="1894" spans="1:19" ht="15" hidden="1" customHeight="1" x14ac:dyDescent="0.3">
      <c r="A1894" s="4">
        <v>45128</v>
      </c>
      <c r="B1894" s="5">
        <f t="shared" si="649"/>
        <v>7</v>
      </c>
      <c r="C1894" s="5">
        <f t="shared" si="650"/>
        <v>2023</v>
      </c>
      <c r="D1894" s="88" t="s">
        <v>1728</v>
      </c>
      <c r="E1894" s="5" t="str">
        <f>VLOOKUP(F1894,'Set up'!$A$2:$C$48,2,FALSE)</f>
        <v>C00000010</v>
      </c>
      <c r="F1894" s="1" t="s">
        <v>62</v>
      </c>
      <c r="G1894" s="90" t="s">
        <v>1544</v>
      </c>
      <c r="H1894" s="5">
        <v>5</v>
      </c>
      <c r="I1894" s="5">
        <f>VLOOKUP(F1894,'Set up'!$A$2:$C$48,3,FALSE)</f>
        <v>120</v>
      </c>
      <c r="J1894" s="5">
        <f>VLOOKUP(F1894,'Set up'!$A$2:$D$48,4,FALSE)</f>
        <v>120</v>
      </c>
      <c r="K1894" s="4">
        <f t="shared" si="651"/>
        <v>45248</v>
      </c>
      <c r="L1894" s="5">
        <f t="shared" si="652"/>
        <v>11</v>
      </c>
      <c r="M1894" s="5">
        <f t="shared" si="653"/>
        <v>2023</v>
      </c>
      <c r="N1894" s="6">
        <v>900</v>
      </c>
      <c r="O1894" s="6">
        <f>-N1894</f>
        <v>-900</v>
      </c>
      <c r="P1894" s="6">
        <f t="shared" si="655"/>
        <v>0</v>
      </c>
      <c r="Q1894" s="7">
        <f t="shared" si="656"/>
        <v>3355995.9500000011</v>
      </c>
      <c r="R1894" s="44" t="str">
        <f>VLOOKUP(F1894,'Set up'!$A$2:$E$48,5,FALSE)</f>
        <v>Trsf</v>
      </c>
      <c r="S1894" s="1" t="s">
        <v>2333</v>
      </c>
    </row>
    <row r="1895" spans="1:19" ht="15" hidden="1" customHeight="1" x14ac:dyDescent="0.3">
      <c r="A1895" s="4">
        <v>45128</v>
      </c>
      <c r="B1895" s="5">
        <f t="shared" si="649"/>
        <v>7</v>
      </c>
      <c r="C1895" s="5">
        <f t="shared" si="650"/>
        <v>2023</v>
      </c>
      <c r="D1895" s="88" t="s">
        <v>1728</v>
      </c>
      <c r="E1895" s="5" t="str">
        <f>VLOOKUP(F1895,'Set up'!$A$2:$C$48,2,FALSE)</f>
        <v>C00000010</v>
      </c>
      <c r="F1895" s="1" t="s">
        <v>62</v>
      </c>
      <c r="G1895" s="90" t="s">
        <v>792</v>
      </c>
      <c r="H1895" s="5">
        <v>15</v>
      </c>
      <c r="I1895" s="5">
        <f>VLOOKUP(F1895,'Set up'!$A$2:$C$48,3,FALSE)</f>
        <v>120</v>
      </c>
      <c r="J1895" s="5">
        <f>VLOOKUP(F1895,'Set up'!$A$2:$D$48,4,FALSE)</f>
        <v>120</v>
      </c>
      <c r="K1895" s="4">
        <f t="shared" si="651"/>
        <v>45248</v>
      </c>
      <c r="L1895" s="5">
        <f t="shared" si="652"/>
        <v>11</v>
      </c>
      <c r="M1895" s="5">
        <f t="shared" si="653"/>
        <v>2023</v>
      </c>
      <c r="N1895" s="6">
        <v>862.5</v>
      </c>
      <c r="O1895" s="6">
        <f>-N1895</f>
        <v>-862.5</v>
      </c>
      <c r="P1895" s="6">
        <f t="shared" si="655"/>
        <v>0</v>
      </c>
      <c r="Q1895" s="7">
        <f t="shared" si="656"/>
        <v>3356858.4500000011</v>
      </c>
      <c r="R1895" s="44" t="str">
        <f>VLOOKUP(F1895,'Set up'!$A$2:$E$48,5,FALSE)</f>
        <v>Trsf</v>
      </c>
      <c r="S1895" s="1" t="s">
        <v>2333</v>
      </c>
    </row>
    <row r="1896" spans="1:19" ht="15" hidden="1" customHeight="1" x14ac:dyDescent="0.3">
      <c r="A1896" s="4">
        <v>45128</v>
      </c>
      <c r="B1896" s="5">
        <f t="shared" si="649"/>
        <v>7</v>
      </c>
      <c r="C1896" s="5">
        <f t="shared" si="650"/>
        <v>2023</v>
      </c>
      <c r="D1896" s="88" t="s">
        <v>1729</v>
      </c>
      <c r="E1896" s="5" t="str">
        <f>VLOOKUP(F1896,'Set up'!$A$2:$C$48,2,FALSE)</f>
        <v>C00000037</v>
      </c>
      <c r="F1896" s="1" t="s">
        <v>1310</v>
      </c>
      <c r="G1896" s="11" t="s">
        <v>720</v>
      </c>
      <c r="H1896" s="5">
        <v>4</v>
      </c>
      <c r="I1896" s="5">
        <f>VLOOKUP(F1896,'Set up'!$A$2:$C$48,3,FALSE)</f>
        <v>30</v>
      </c>
      <c r="J1896" s="5">
        <f>VLOOKUP(F1896,'Set up'!$A$2:$D$48,4,FALSE)</f>
        <v>30</v>
      </c>
      <c r="K1896" s="4">
        <f t="shared" si="651"/>
        <v>45158</v>
      </c>
      <c r="L1896" s="5">
        <f t="shared" si="652"/>
        <v>8</v>
      </c>
      <c r="M1896" s="5">
        <f t="shared" si="653"/>
        <v>2023</v>
      </c>
      <c r="N1896" s="6">
        <v>7304</v>
      </c>
      <c r="O1896" s="6">
        <f t="shared" ref="O1896:O1902" si="663">-N1896</f>
        <v>-7304</v>
      </c>
      <c r="P1896" s="6">
        <f t="shared" si="655"/>
        <v>0</v>
      </c>
      <c r="Q1896" s="7">
        <f t="shared" si="656"/>
        <v>3364162.4500000011</v>
      </c>
      <c r="R1896" s="44" t="str">
        <f>VLOOKUP(F1896,'Set up'!$A$2:$E$48,5,FALSE)</f>
        <v>Chq</v>
      </c>
      <c r="S1896" s="1" t="s">
        <v>1857</v>
      </c>
    </row>
    <row r="1897" spans="1:19" ht="15" hidden="1" customHeight="1" x14ac:dyDescent="0.3">
      <c r="A1897" s="4">
        <v>45128</v>
      </c>
      <c r="B1897" s="5">
        <f t="shared" si="649"/>
        <v>7</v>
      </c>
      <c r="C1897" s="5">
        <f t="shared" si="650"/>
        <v>2023</v>
      </c>
      <c r="D1897" s="88" t="s">
        <v>1729</v>
      </c>
      <c r="E1897" s="5" t="str">
        <f>VLOOKUP(F1897,'Set up'!$A$2:$C$48,2,FALSE)</f>
        <v>C00000037</v>
      </c>
      <c r="F1897" s="1" t="s">
        <v>1310</v>
      </c>
      <c r="G1897" s="11" t="s">
        <v>708</v>
      </c>
      <c r="H1897" s="5">
        <v>5</v>
      </c>
      <c r="I1897" s="5">
        <f>VLOOKUP(F1897,'Set up'!$A$2:$C$48,3,FALSE)</f>
        <v>30</v>
      </c>
      <c r="J1897" s="5">
        <f>VLOOKUP(F1897,'Set up'!$A$2:$D$48,4,FALSE)</f>
        <v>30</v>
      </c>
      <c r="K1897" s="4">
        <f t="shared" si="651"/>
        <v>45158</v>
      </c>
      <c r="L1897" s="5">
        <f t="shared" si="652"/>
        <v>8</v>
      </c>
      <c r="M1897" s="5">
        <f t="shared" si="653"/>
        <v>2023</v>
      </c>
      <c r="N1897" s="6">
        <v>2106</v>
      </c>
      <c r="O1897" s="6">
        <f t="shared" si="663"/>
        <v>-2106</v>
      </c>
      <c r="P1897" s="6">
        <f t="shared" si="655"/>
        <v>0</v>
      </c>
      <c r="Q1897" s="7">
        <f t="shared" si="656"/>
        <v>3366268.4500000011</v>
      </c>
      <c r="R1897" s="44" t="str">
        <f>VLOOKUP(F1897,'Set up'!$A$2:$E$48,5,FALSE)</f>
        <v>Chq</v>
      </c>
      <c r="S1897" s="1" t="s">
        <v>1857</v>
      </c>
    </row>
    <row r="1898" spans="1:19" ht="15" hidden="1" customHeight="1" x14ac:dyDescent="0.3">
      <c r="A1898" s="4">
        <v>45128</v>
      </c>
      <c r="B1898" s="5">
        <f t="shared" si="649"/>
        <v>7</v>
      </c>
      <c r="C1898" s="5">
        <f t="shared" si="650"/>
        <v>2023</v>
      </c>
      <c r="D1898" s="88" t="s">
        <v>1729</v>
      </c>
      <c r="E1898" s="5" t="str">
        <f>VLOOKUP(F1898,'Set up'!$A$2:$C$48,2,FALSE)</f>
        <v>C00000037</v>
      </c>
      <c r="F1898" s="1" t="s">
        <v>1310</v>
      </c>
      <c r="G1898" s="90" t="s">
        <v>1406</v>
      </c>
      <c r="H1898" s="5">
        <v>5</v>
      </c>
      <c r="I1898" s="5">
        <f>VLOOKUP(F1898,'Set up'!$A$2:$C$48,3,FALSE)</f>
        <v>30</v>
      </c>
      <c r="J1898" s="5">
        <f>VLOOKUP(F1898,'Set up'!$A$2:$D$48,4,FALSE)</f>
        <v>30</v>
      </c>
      <c r="K1898" s="4">
        <f t="shared" si="651"/>
        <v>45158</v>
      </c>
      <c r="L1898" s="5">
        <f t="shared" si="652"/>
        <v>8</v>
      </c>
      <c r="M1898" s="5">
        <f t="shared" si="653"/>
        <v>2023</v>
      </c>
      <c r="N1898" s="6">
        <v>240</v>
      </c>
      <c r="O1898" s="6">
        <f t="shared" si="663"/>
        <v>-240</v>
      </c>
      <c r="P1898" s="6">
        <f t="shared" si="655"/>
        <v>0</v>
      </c>
      <c r="Q1898" s="7">
        <f t="shared" si="656"/>
        <v>3366508.4500000011</v>
      </c>
      <c r="R1898" s="44" t="str">
        <f>VLOOKUP(F1898,'Set up'!$A$2:$E$48,5,FALSE)</f>
        <v>Chq</v>
      </c>
      <c r="S1898" s="1" t="s">
        <v>1857</v>
      </c>
    </row>
    <row r="1899" spans="1:19" ht="15" hidden="1" customHeight="1" x14ac:dyDescent="0.3">
      <c r="A1899" s="4">
        <v>45128</v>
      </c>
      <c r="B1899" s="5">
        <f t="shared" si="649"/>
        <v>7</v>
      </c>
      <c r="C1899" s="5">
        <f t="shared" si="650"/>
        <v>2023</v>
      </c>
      <c r="D1899" s="88" t="s">
        <v>1729</v>
      </c>
      <c r="E1899" s="5" t="str">
        <f>VLOOKUP(F1899,'Set up'!$A$2:$C$48,2,FALSE)</f>
        <v>C00000037</v>
      </c>
      <c r="F1899" s="1" t="s">
        <v>1310</v>
      </c>
      <c r="G1899" s="90" t="s">
        <v>1062</v>
      </c>
      <c r="H1899" s="5">
        <v>2</v>
      </c>
      <c r="I1899" s="5">
        <f>VLOOKUP(F1899,'Set up'!$A$2:$C$48,3,FALSE)</f>
        <v>30</v>
      </c>
      <c r="J1899" s="5">
        <f>VLOOKUP(F1899,'Set up'!$A$2:$D$48,4,FALSE)</f>
        <v>30</v>
      </c>
      <c r="K1899" s="4">
        <f t="shared" si="651"/>
        <v>45158</v>
      </c>
      <c r="L1899" s="5">
        <f t="shared" si="652"/>
        <v>8</v>
      </c>
      <c r="M1899" s="5">
        <f t="shared" si="653"/>
        <v>2023</v>
      </c>
      <c r="N1899" s="6">
        <v>190</v>
      </c>
      <c r="O1899" s="6">
        <f t="shared" si="663"/>
        <v>-190</v>
      </c>
      <c r="P1899" s="6">
        <f t="shared" si="655"/>
        <v>0</v>
      </c>
      <c r="Q1899" s="7">
        <f t="shared" si="656"/>
        <v>3366698.4500000011</v>
      </c>
      <c r="R1899" s="44" t="str">
        <f>VLOOKUP(F1899,'Set up'!$A$2:$E$48,5,FALSE)</f>
        <v>Chq</v>
      </c>
      <c r="S1899" s="1" t="s">
        <v>1857</v>
      </c>
    </row>
    <row r="1900" spans="1:19" ht="15" hidden="1" customHeight="1" x14ac:dyDescent="0.3">
      <c r="A1900" s="4">
        <v>45128</v>
      </c>
      <c r="B1900" s="5">
        <f t="shared" si="649"/>
        <v>7</v>
      </c>
      <c r="C1900" s="5">
        <f t="shared" si="650"/>
        <v>2023</v>
      </c>
      <c r="D1900" s="88" t="s">
        <v>1729</v>
      </c>
      <c r="E1900" s="5" t="str">
        <f>VLOOKUP(F1900,'Set up'!$A$2:$C$48,2,FALSE)</f>
        <v>C00000037</v>
      </c>
      <c r="F1900" s="1" t="s">
        <v>1310</v>
      </c>
      <c r="G1900" s="99" t="s">
        <v>1111</v>
      </c>
      <c r="H1900" s="5">
        <v>5</v>
      </c>
      <c r="I1900" s="5">
        <f>VLOOKUP(F1900,'Set up'!$A$2:$C$48,3,FALSE)</f>
        <v>30</v>
      </c>
      <c r="J1900" s="5">
        <f>VLOOKUP(F1900,'Set up'!$A$2:$D$48,4,FALSE)</f>
        <v>30</v>
      </c>
      <c r="K1900" s="4">
        <f t="shared" si="651"/>
        <v>45158</v>
      </c>
      <c r="L1900" s="5">
        <f t="shared" si="652"/>
        <v>8</v>
      </c>
      <c r="M1900" s="5">
        <f t="shared" si="653"/>
        <v>2023</v>
      </c>
      <c r="N1900" s="6">
        <v>312.5</v>
      </c>
      <c r="O1900" s="6">
        <f t="shared" si="663"/>
        <v>-312.5</v>
      </c>
      <c r="P1900" s="6">
        <f t="shared" si="655"/>
        <v>0</v>
      </c>
      <c r="Q1900" s="7">
        <f t="shared" si="656"/>
        <v>3367010.9500000011</v>
      </c>
      <c r="R1900" s="44" t="str">
        <f>VLOOKUP(F1900,'Set up'!$A$2:$E$48,5,FALSE)</f>
        <v>Chq</v>
      </c>
      <c r="S1900" s="1" t="s">
        <v>1857</v>
      </c>
    </row>
    <row r="1901" spans="1:19" ht="15" hidden="1" customHeight="1" x14ac:dyDescent="0.3">
      <c r="A1901" s="4">
        <v>45128</v>
      </c>
      <c r="B1901" s="5">
        <f t="shared" si="649"/>
        <v>7</v>
      </c>
      <c r="C1901" s="5">
        <f t="shared" si="650"/>
        <v>2023</v>
      </c>
      <c r="D1901" s="88" t="s">
        <v>1729</v>
      </c>
      <c r="E1901" s="5" t="str">
        <f>VLOOKUP(F1901,'Set up'!$A$2:$C$48,2,FALSE)</f>
        <v>C00000037</v>
      </c>
      <c r="F1901" s="1" t="s">
        <v>1310</v>
      </c>
      <c r="G1901" s="99" t="s">
        <v>866</v>
      </c>
      <c r="H1901" s="5">
        <v>1</v>
      </c>
      <c r="I1901" s="5">
        <f>VLOOKUP(F1901,'Set up'!$A$2:$C$48,3,FALSE)</f>
        <v>30</v>
      </c>
      <c r="J1901" s="5">
        <f>VLOOKUP(F1901,'Set up'!$A$2:$D$48,4,FALSE)</f>
        <v>30</v>
      </c>
      <c r="K1901" s="4">
        <f t="shared" si="651"/>
        <v>45158</v>
      </c>
      <c r="L1901" s="5">
        <f t="shared" si="652"/>
        <v>8</v>
      </c>
      <c r="M1901" s="5">
        <f t="shared" si="653"/>
        <v>2023</v>
      </c>
      <c r="N1901" s="6">
        <v>260</v>
      </c>
      <c r="O1901" s="6">
        <f t="shared" si="663"/>
        <v>-260</v>
      </c>
      <c r="P1901" s="6">
        <f t="shared" si="655"/>
        <v>0</v>
      </c>
      <c r="Q1901" s="7">
        <f t="shared" si="656"/>
        <v>3367270.9500000011</v>
      </c>
      <c r="R1901" s="44" t="str">
        <f>VLOOKUP(F1901,'Set up'!$A$2:$E$48,5,FALSE)</f>
        <v>Chq</v>
      </c>
      <c r="S1901" s="1" t="s">
        <v>1857</v>
      </c>
    </row>
    <row r="1902" spans="1:19" ht="15" hidden="1" customHeight="1" x14ac:dyDescent="0.3">
      <c r="A1902" s="4">
        <v>45128</v>
      </c>
      <c r="B1902" s="5">
        <f t="shared" si="649"/>
        <v>7</v>
      </c>
      <c r="C1902" s="5">
        <f t="shared" si="650"/>
        <v>2023</v>
      </c>
      <c r="D1902" s="88" t="s">
        <v>1729</v>
      </c>
      <c r="E1902" s="5" t="str">
        <f>VLOOKUP(F1902,'Set up'!$A$2:$C$48,2,FALSE)</f>
        <v>C00000037</v>
      </c>
      <c r="F1902" s="1" t="s">
        <v>1310</v>
      </c>
      <c r="G1902" s="99" t="s">
        <v>1547</v>
      </c>
      <c r="H1902" s="5">
        <v>1</v>
      </c>
      <c r="I1902" s="5">
        <f>VLOOKUP(F1902,'Set up'!$A$2:$C$48,3,FALSE)</f>
        <v>30</v>
      </c>
      <c r="J1902" s="5">
        <f>VLOOKUP(F1902,'Set up'!$A$2:$D$48,4,FALSE)</f>
        <v>30</v>
      </c>
      <c r="K1902" s="4">
        <f t="shared" si="651"/>
        <v>45158</v>
      </c>
      <c r="L1902" s="5">
        <f t="shared" si="652"/>
        <v>8</v>
      </c>
      <c r="M1902" s="5">
        <f t="shared" si="653"/>
        <v>2023</v>
      </c>
      <c r="N1902" s="6">
        <v>930</v>
      </c>
      <c r="O1902" s="6">
        <f t="shared" si="663"/>
        <v>-930</v>
      </c>
      <c r="P1902" s="6">
        <f t="shared" si="655"/>
        <v>0</v>
      </c>
      <c r="Q1902" s="7">
        <f t="shared" si="656"/>
        <v>3368200.9500000011</v>
      </c>
      <c r="R1902" s="44" t="str">
        <f>VLOOKUP(F1902,'Set up'!$A$2:$E$48,5,FALSE)</f>
        <v>Chq</v>
      </c>
      <c r="S1902" s="1" t="s">
        <v>1857</v>
      </c>
    </row>
    <row r="1903" spans="1:19" ht="15" hidden="1" customHeight="1" x14ac:dyDescent="0.3">
      <c r="A1903" s="4">
        <v>45131</v>
      </c>
      <c r="B1903" s="5">
        <f t="shared" si="649"/>
        <v>7</v>
      </c>
      <c r="C1903" s="5">
        <f t="shared" si="650"/>
        <v>2023</v>
      </c>
      <c r="D1903" s="88" t="s">
        <v>1730</v>
      </c>
      <c r="E1903" s="5" t="str">
        <f>VLOOKUP(F1903,'Set up'!$A$2:$C$48,2,FALSE)</f>
        <v>C00000034</v>
      </c>
      <c r="F1903" s="1" t="s">
        <v>1197</v>
      </c>
      <c r="G1903" s="99" t="s">
        <v>1357</v>
      </c>
      <c r="H1903" s="5">
        <v>2</v>
      </c>
      <c r="I1903" s="5" t="str">
        <f>VLOOKUP(F1903,'Set up'!$A$2:$C$48,3,FALSE)</f>
        <v>Cash</v>
      </c>
      <c r="J1903" s="5">
        <f>VLOOKUP(F1903,'Set up'!$A$2:$D$48,4,FALSE)</f>
        <v>0</v>
      </c>
      <c r="K1903" s="4">
        <f t="shared" si="651"/>
        <v>45131</v>
      </c>
      <c r="L1903" s="5">
        <f t="shared" si="652"/>
        <v>7</v>
      </c>
      <c r="M1903" s="5">
        <f t="shared" si="653"/>
        <v>2023</v>
      </c>
      <c r="N1903" s="6">
        <v>3652</v>
      </c>
      <c r="O1903" s="6">
        <f t="shared" ref="O1903:O1909" si="664">-N1903</f>
        <v>-3652</v>
      </c>
      <c r="P1903" s="6">
        <f t="shared" si="655"/>
        <v>0</v>
      </c>
      <c r="Q1903" s="7">
        <f t="shared" si="656"/>
        <v>3371852.9500000011</v>
      </c>
      <c r="R1903" s="44" t="str">
        <f>VLOOKUP(F1903,'Set up'!$A$2:$E$48,5,FALSE)</f>
        <v>Trsf</v>
      </c>
      <c r="S1903" s="1" t="s">
        <v>1869</v>
      </c>
    </row>
    <row r="1904" spans="1:19" ht="15" hidden="1" customHeight="1" x14ac:dyDescent="0.3">
      <c r="A1904" s="4">
        <v>45131</v>
      </c>
      <c r="B1904" s="5">
        <f t="shared" si="649"/>
        <v>7</v>
      </c>
      <c r="C1904" s="5">
        <f t="shared" si="650"/>
        <v>2023</v>
      </c>
      <c r="D1904" s="88" t="s">
        <v>1730</v>
      </c>
      <c r="E1904" s="5" t="str">
        <f>VLOOKUP(F1904,'Set up'!$A$2:$C$48,2,FALSE)</f>
        <v>C00000034</v>
      </c>
      <c r="F1904" s="1" t="s">
        <v>1197</v>
      </c>
      <c r="G1904" s="99" t="s">
        <v>1432</v>
      </c>
      <c r="H1904" s="5">
        <v>3</v>
      </c>
      <c r="I1904" s="5" t="str">
        <f>VLOOKUP(F1904,'Set up'!$A$2:$C$48,3,FALSE)</f>
        <v>Cash</v>
      </c>
      <c r="J1904" s="5">
        <f>VLOOKUP(F1904,'Set up'!$A$2:$D$48,4,FALSE)</f>
        <v>0</v>
      </c>
      <c r="K1904" s="4">
        <f t="shared" si="651"/>
        <v>45131</v>
      </c>
      <c r="L1904" s="5">
        <f t="shared" si="652"/>
        <v>7</v>
      </c>
      <c r="M1904" s="5">
        <f t="shared" si="653"/>
        <v>2023</v>
      </c>
      <c r="N1904" s="6">
        <v>675</v>
      </c>
      <c r="O1904" s="6">
        <f t="shared" si="664"/>
        <v>-675</v>
      </c>
      <c r="P1904" s="6">
        <f t="shared" si="655"/>
        <v>0</v>
      </c>
      <c r="Q1904" s="7">
        <f t="shared" si="656"/>
        <v>3372527.9500000011</v>
      </c>
      <c r="R1904" s="44" t="str">
        <f>VLOOKUP(F1904,'Set up'!$A$2:$E$48,5,FALSE)</f>
        <v>Trsf</v>
      </c>
      <c r="S1904" s="1" t="s">
        <v>1870</v>
      </c>
    </row>
    <row r="1905" spans="1:19" ht="15" hidden="1" customHeight="1" x14ac:dyDescent="0.3">
      <c r="A1905" s="4">
        <v>45131</v>
      </c>
      <c r="B1905" s="5">
        <f t="shared" si="649"/>
        <v>7</v>
      </c>
      <c r="C1905" s="5">
        <f t="shared" si="650"/>
        <v>2023</v>
      </c>
      <c r="D1905" s="88" t="s">
        <v>1730</v>
      </c>
      <c r="E1905" s="5" t="str">
        <f>VLOOKUP(F1905,'Set up'!$A$2:$C$48,2,FALSE)</f>
        <v>C00000034</v>
      </c>
      <c r="F1905" s="1" t="s">
        <v>1197</v>
      </c>
      <c r="G1905" s="99" t="s">
        <v>1625</v>
      </c>
      <c r="H1905" s="5">
        <v>1</v>
      </c>
      <c r="I1905" s="5" t="str">
        <f>VLOOKUP(F1905,'Set up'!$A$2:$C$48,3,FALSE)</f>
        <v>Cash</v>
      </c>
      <c r="J1905" s="5">
        <f>VLOOKUP(F1905,'Set up'!$A$2:$D$48,4,FALSE)</f>
        <v>0</v>
      </c>
      <c r="K1905" s="4">
        <f t="shared" si="651"/>
        <v>45131</v>
      </c>
      <c r="L1905" s="5">
        <f t="shared" si="652"/>
        <v>7</v>
      </c>
      <c r="M1905" s="5">
        <f t="shared" si="653"/>
        <v>2023</v>
      </c>
      <c r="N1905" s="6">
        <v>236</v>
      </c>
      <c r="O1905" s="6">
        <f t="shared" si="664"/>
        <v>-236</v>
      </c>
      <c r="P1905" s="6">
        <f t="shared" si="655"/>
        <v>0</v>
      </c>
      <c r="Q1905" s="7">
        <f t="shared" si="656"/>
        <v>3372763.9500000011</v>
      </c>
      <c r="R1905" s="44" t="str">
        <f>VLOOKUP(F1905,'Set up'!$A$2:$E$48,5,FALSE)</f>
        <v>Trsf</v>
      </c>
      <c r="S1905" s="1" t="s">
        <v>1871</v>
      </c>
    </row>
    <row r="1906" spans="1:19" ht="15" hidden="1" customHeight="1" x14ac:dyDescent="0.3">
      <c r="A1906" s="4">
        <v>45131</v>
      </c>
      <c r="B1906" s="5">
        <f t="shared" si="649"/>
        <v>7</v>
      </c>
      <c r="C1906" s="5">
        <f t="shared" si="650"/>
        <v>2023</v>
      </c>
      <c r="D1906" s="88" t="s">
        <v>1730</v>
      </c>
      <c r="E1906" s="5" t="str">
        <f>VLOOKUP(F1906,'Set up'!$A$2:$C$48,2,FALSE)</f>
        <v>C00000034</v>
      </c>
      <c r="F1906" s="1" t="s">
        <v>1197</v>
      </c>
      <c r="G1906" s="99" t="s">
        <v>1062</v>
      </c>
      <c r="H1906" s="5">
        <v>2</v>
      </c>
      <c r="I1906" s="5" t="str">
        <f>VLOOKUP(F1906,'Set up'!$A$2:$C$48,3,FALSE)</f>
        <v>Cash</v>
      </c>
      <c r="J1906" s="5">
        <f>VLOOKUP(F1906,'Set up'!$A$2:$D$48,4,FALSE)</f>
        <v>0</v>
      </c>
      <c r="K1906" s="4">
        <f t="shared" si="651"/>
        <v>45131</v>
      </c>
      <c r="L1906" s="5">
        <f t="shared" si="652"/>
        <v>7</v>
      </c>
      <c r="M1906" s="5">
        <f t="shared" si="653"/>
        <v>2023</v>
      </c>
      <c r="N1906" s="6">
        <v>190</v>
      </c>
      <c r="O1906" s="6">
        <f t="shared" si="664"/>
        <v>-190</v>
      </c>
      <c r="P1906" s="6">
        <f t="shared" si="655"/>
        <v>0</v>
      </c>
      <c r="Q1906" s="7">
        <f t="shared" si="656"/>
        <v>3372953.9500000011</v>
      </c>
      <c r="R1906" s="44" t="str">
        <f>VLOOKUP(F1906,'Set up'!$A$2:$E$48,5,FALSE)</f>
        <v>Trsf</v>
      </c>
      <c r="S1906" s="1" t="s">
        <v>1872</v>
      </c>
    </row>
    <row r="1907" spans="1:19" ht="15" hidden="1" customHeight="1" x14ac:dyDescent="0.3">
      <c r="A1907" s="4">
        <v>45131</v>
      </c>
      <c r="B1907" s="5">
        <f t="shared" si="649"/>
        <v>7</v>
      </c>
      <c r="C1907" s="5">
        <f t="shared" si="650"/>
        <v>2023</v>
      </c>
      <c r="D1907" s="88" t="s">
        <v>1730</v>
      </c>
      <c r="E1907" s="5" t="str">
        <f>VLOOKUP(F1907,'Set up'!$A$2:$C$48,2,FALSE)</f>
        <v>C00000034</v>
      </c>
      <c r="F1907" s="1" t="s">
        <v>1197</v>
      </c>
      <c r="G1907" s="99" t="s">
        <v>1111</v>
      </c>
      <c r="H1907" s="5">
        <v>3</v>
      </c>
      <c r="I1907" s="5" t="str">
        <f>VLOOKUP(F1907,'Set up'!$A$2:$C$48,3,FALSE)</f>
        <v>Cash</v>
      </c>
      <c r="J1907" s="5">
        <f>VLOOKUP(F1907,'Set up'!$A$2:$D$48,4,FALSE)</f>
        <v>0</v>
      </c>
      <c r="K1907" s="4">
        <f t="shared" si="651"/>
        <v>45131</v>
      </c>
      <c r="L1907" s="5">
        <f t="shared" si="652"/>
        <v>7</v>
      </c>
      <c r="M1907" s="5">
        <f t="shared" si="653"/>
        <v>2023</v>
      </c>
      <c r="N1907" s="6">
        <v>187.5</v>
      </c>
      <c r="O1907" s="6">
        <f>-187-0.5</f>
        <v>-187.5</v>
      </c>
      <c r="P1907" s="6">
        <f t="shared" si="655"/>
        <v>0</v>
      </c>
      <c r="Q1907" s="7">
        <f t="shared" si="656"/>
        <v>3373141.4500000011</v>
      </c>
      <c r="R1907" s="44" t="str">
        <f>VLOOKUP(F1907,'Set up'!$A$2:$E$48,5,FALSE)</f>
        <v>Trsf</v>
      </c>
      <c r="S1907" s="1" t="s">
        <v>1873</v>
      </c>
    </row>
    <row r="1908" spans="1:19" ht="15" hidden="1" customHeight="1" x14ac:dyDescent="0.3">
      <c r="A1908" s="4">
        <v>45132</v>
      </c>
      <c r="B1908" s="5">
        <f t="shared" si="649"/>
        <v>7</v>
      </c>
      <c r="C1908" s="5">
        <f t="shared" si="650"/>
        <v>2023</v>
      </c>
      <c r="D1908" s="88" t="s">
        <v>1731</v>
      </c>
      <c r="E1908" s="5" t="str">
        <f>VLOOKUP(F1908,'Set up'!$A$2:$C$48,2,FALSE)</f>
        <v>C00000038</v>
      </c>
      <c r="F1908" s="1" t="s">
        <v>1421</v>
      </c>
      <c r="G1908" s="103" t="s">
        <v>1631</v>
      </c>
      <c r="H1908" s="5">
        <v>1</v>
      </c>
      <c r="I1908" s="5" t="str">
        <f>VLOOKUP(F1908,'Set up'!$A$2:$C$48,3,FALSE)</f>
        <v>Cash</v>
      </c>
      <c r="J1908" s="5">
        <f>VLOOKUP(F1908,'Set up'!$A$2:$D$48,4,FALSE)</f>
        <v>0</v>
      </c>
      <c r="K1908" s="4">
        <f t="shared" si="651"/>
        <v>45132</v>
      </c>
      <c r="L1908" s="5">
        <f t="shared" si="652"/>
        <v>7</v>
      </c>
      <c r="M1908" s="5">
        <f t="shared" si="653"/>
        <v>2023</v>
      </c>
      <c r="N1908" s="6">
        <v>350</v>
      </c>
      <c r="O1908" s="6">
        <f t="shared" si="664"/>
        <v>-350</v>
      </c>
      <c r="P1908" s="6">
        <f t="shared" si="655"/>
        <v>0</v>
      </c>
      <c r="Q1908" s="7">
        <f t="shared" si="656"/>
        <v>3373491.4500000011</v>
      </c>
      <c r="R1908" s="44" t="str">
        <f>VLOOKUP(F1908,'Set up'!$A$2:$E$48,5,FALSE)</f>
        <v>Trsf</v>
      </c>
      <c r="S1908" s="1" t="s">
        <v>1787</v>
      </c>
    </row>
    <row r="1909" spans="1:19" ht="15" hidden="1" customHeight="1" x14ac:dyDescent="0.3">
      <c r="A1909" s="4">
        <v>45132</v>
      </c>
      <c r="B1909" s="5">
        <f t="shared" ref="B1909:B1935" si="665">MONTH(A1909)</f>
        <v>7</v>
      </c>
      <c r="C1909" s="5">
        <f t="shared" ref="C1909:C1935" si="666">YEAR(A1909)</f>
        <v>2023</v>
      </c>
      <c r="D1909" s="88" t="s">
        <v>1731</v>
      </c>
      <c r="E1909" s="5" t="str">
        <f>VLOOKUP(F1909,'Set up'!$A$2:$C$48,2,FALSE)</f>
        <v>C00000038</v>
      </c>
      <c r="F1909" s="1" t="s">
        <v>1421</v>
      </c>
      <c r="G1909" s="90" t="s">
        <v>1426</v>
      </c>
      <c r="H1909" s="5">
        <v>1</v>
      </c>
      <c r="I1909" s="5" t="str">
        <f>VLOOKUP(F1909,'Set up'!$A$2:$C$48,3,FALSE)</f>
        <v>Cash</v>
      </c>
      <c r="J1909" s="5">
        <f>VLOOKUP(F1909,'Set up'!$A$2:$D$48,4,FALSE)</f>
        <v>0</v>
      </c>
      <c r="K1909" s="4">
        <f t="shared" ref="K1909:K1935" si="667">A1909+J1909</f>
        <v>45132</v>
      </c>
      <c r="L1909" s="5">
        <f t="shared" ref="L1909:L1935" si="668">MONTH(K1909)</f>
        <v>7</v>
      </c>
      <c r="M1909" s="5">
        <f t="shared" ref="M1909:M1935" si="669">YEAR(K1909)</f>
        <v>2023</v>
      </c>
      <c r="N1909" s="6">
        <v>55</v>
      </c>
      <c r="O1909" s="6">
        <f t="shared" si="664"/>
        <v>-55</v>
      </c>
      <c r="P1909" s="6">
        <f t="shared" ref="P1909:P1935" si="670">SUM(N1909+O1909)</f>
        <v>0</v>
      </c>
      <c r="Q1909" s="7">
        <f t="shared" ref="Q1909:Q1935" si="671">SUM(Q1908+N1909)</f>
        <v>3373546.4500000011</v>
      </c>
      <c r="R1909" s="44" t="str">
        <f>VLOOKUP(F1909,'Set up'!$A$2:$E$48,5,FALSE)</f>
        <v>Trsf</v>
      </c>
      <c r="S1909" s="1" t="s">
        <v>1787</v>
      </c>
    </row>
    <row r="1910" spans="1:19" ht="15" customHeight="1" x14ac:dyDescent="0.3">
      <c r="A1910" s="4" t="s">
        <v>1733</v>
      </c>
      <c r="B1910" s="5">
        <f t="shared" si="665"/>
        <v>7</v>
      </c>
      <c r="C1910" s="5">
        <f t="shared" si="666"/>
        <v>2023</v>
      </c>
      <c r="D1910" s="88" t="s">
        <v>1732</v>
      </c>
      <c r="E1910" s="5" t="str">
        <f>VLOOKUP(F1910,'Set up'!$A$2:$C$48,2,FALSE)</f>
        <v>C00000020</v>
      </c>
      <c r="F1910" s="1" t="s">
        <v>410</v>
      </c>
      <c r="G1910" s="99" t="s">
        <v>1734</v>
      </c>
      <c r="H1910" s="5">
        <v>2</v>
      </c>
      <c r="I1910" s="5" t="str">
        <f>VLOOKUP(F1910,'Set up'!$A$2:$C$48,3,FALSE)</f>
        <v>Cash</v>
      </c>
      <c r="J1910" s="5">
        <f>VLOOKUP(F1910,'Set up'!$A$2:$D$48,4,FALSE)</f>
        <v>0</v>
      </c>
      <c r="K1910" s="4">
        <f t="shared" si="667"/>
        <v>45133</v>
      </c>
      <c r="L1910" s="5">
        <f t="shared" si="668"/>
        <v>7</v>
      </c>
      <c r="M1910" s="5">
        <f t="shared" si="669"/>
        <v>2023</v>
      </c>
      <c r="N1910" s="6">
        <v>3080</v>
      </c>
      <c r="P1910" s="6">
        <f t="shared" si="670"/>
        <v>3080</v>
      </c>
      <c r="Q1910" s="7">
        <f t="shared" si="671"/>
        <v>3376626.4500000011</v>
      </c>
      <c r="R1910" s="44" t="str">
        <f>VLOOKUP(F1910,'Set up'!$A$2:$E$48,5,FALSE)</f>
        <v>Trsf</v>
      </c>
    </row>
    <row r="1911" spans="1:19" ht="15" customHeight="1" x14ac:dyDescent="0.3">
      <c r="A1911" s="4" t="s">
        <v>1733</v>
      </c>
      <c r="B1911" s="5">
        <f t="shared" si="665"/>
        <v>7</v>
      </c>
      <c r="C1911" s="5">
        <f t="shared" si="666"/>
        <v>2023</v>
      </c>
      <c r="D1911" s="88" t="s">
        <v>1732</v>
      </c>
      <c r="E1911" s="5" t="str">
        <f>VLOOKUP(F1911,'Set up'!$A$2:$C$48,2,FALSE)</f>
        <v>C00000020</v>
      </c>
      <c r="F1911" s="1" t="s">
        <v>410</v>
      </c>
      <c r="G1911" s="99" t="s">
        <v>914</v>
      </c>
      <c r="H1911" s="5">
        <v>6</v>
      </c>
      <c r="I1911" s="5" t="str">
        <f>VLOOKUP(F1911,'Set up'!$A$2:$C$48,3,FALSE)</f>
        <v>Cash</v>
      </c>
      <c r="J1911" s="5">
        <f>VLOOKUP(F1911,'Set up'!$A$2:$D$48,4,FALSE)</f>
        <v>0</v>
      </c>
      <c r="K1911" s="4">
        <f t="shared" si="667"/>
        <v>45133</v>
      </c>
      <c r="L1911" s="5">
        <f t="shared" si="668"/>
        <v>7</v>
      </c>
      <c r="M1911" s="5">
        <f t="shared" si="669"/>
        <v>2023</v>
      </c>
      <c r="N1911" s="6">
        <v>1134</v>
      </c>
      <c r="P1911" s="6">
        <f t="shared" si="670"/>
        <v>1134</v>
      </c>
      <c r="Q1911" s="7">
        <f t="shared" si="671"/>
        <v>3377760.4500000011</v>
      </c>
      <c r="R1911" s="44" t="str">
        <f>VLOOKUP(F1911,'Set up'!$A$2:$E$48,5,FALSE)</f>
        <v>Trsf</v>
      </c>
    </row>
    <row r="1912" spans="1:19" ht="15" customHeight="1" x14ac:dyDescent="0.3">
      <c r="A1912" s="4" t="s">
        <v>1733</v>
      </c>
      <c r="B1912" s="5">
        <f t="shared" si="665"/>
        <v>7</v>
      </c>
      <c r="C1912" s="5">
        <f t="shared" si="666"/>
        <v>2023</v>
      </c>
      <c r="D1912" s="88" t="s">
        <v>1732</v>
      </c>
      <c r="E1912" s="5" t="str">
        <f>VLOOKUP(F1912,'Set up'!$A$2:$C$48,2,FALSE)</f>
        <v>C00000020</v>
      </c>
      <c r="F1912" s="1" t="s">
        <v>410</v>
      </c>
      <c r="G1912" s="99" t="s">
        <v>779</v>
      </c>
      <c r="H1912" s="5">
        <v>3</v>
      </c>
      <c r="I1912" s="5" t="str">
        <f>VLOOKUP(F1912,'Set up'!$A$2:$C$48,3,FALSE)</f>
        <v>Cash</v>
      </c>
      <c r="J1912" s="5">
        <f>VLOOKUP(F1912,'Set up'!$A$2:$D$48,4,FALSE)</f>
        <v>0</v>
      </c>
      <c r="K1912" s="4">
        <f t="shared" si="667"/>
        <v>45133</v>
      </c>
      <c r="L1912" s="5">
        <f t="shared" si="668"/>
        <v>7</v>
      </c>
      <c r="M1912" s="5">
        <f t="shared" si="669"/>
        <v>2023</v>
      </c>
      <c r="N1912" s="6">
        <v>600</v>
      </c>
      <c r="P1912" s="6">
        <f t="shared" si="670"/>
        <v>600</v>
      </c>
      <c r="Q1912" s="7">
        <f t="shared" si="671"/>
        <v>3378360.4500000011</v>
      </c>
      <c r="R1912" s="44" t="str">
        <f>VLOOKUP(F1912,'Set up'!$A$2:$E$48,5,FALSE)</f>
        <v>Trsf</v>
      </c>
    </row>
    <row r="1913" spans="1:19" ht="15" customHeight="1" x14ac:dyDescent="0.3">
      <c r="A1913" s="4" t="s">
        <v>1733</v>
      </c>
      <c r="B1913" s="5">
        <f t="shared" si="665"/>
        <v>7</v>
      </c>
      <c r="C1913" s="5">
        <f t="shared" si="666"/>
        <v>2023</v>
      </c>
      <c r="D1913" s="88" t="s">
        <v>1732</v>
      </c>
      <c r="E1913" s="5" t="str">
        <f>VLOOKUP(F1913,'Set up'!$A$2:$C$48,2,FALSE)</f>
        <v>C00000020</v>
      </c>
      <c r="F1913" s="1" t="s">
        <v>410</v>
      </c>
      <c r="G1913" s="99" t="s">
        <v>1062</v>
      </c>
      <c r="H1913" s="5">
        <v>4</v>
      </c>
      <c r="I1913" s="5" t="str">
        <f>VLOOKUP(F1913,'Set up'!$A$2:$C$48,3,FALSE)</f>
        <v>Cash</v>
      </c>
      <c r="J1913" s="5">
        <f>VLOOKUP(F1913,'Set up'!$A$2:$D$48,4,FALSE)</f>
        <v>0</v>
      </c>
      <c r="K1913" s="4">
        <f t="shared" si="667"/>
        <v>45133</v>
      </c>
      <c r="L1913" s="5">
        <f t="shared" si="668"/>
        <v>7</v>
      </c>
      <c r="M1913" s="5">
        <f t="shared" si="669"/>
        <v>2023</v>
      </c>
      <c r="N1913" s="6">
        <v>380</v>
      </c>
      <c r="P1913" s="6">
        <f t="shared" si="670"/>
        <v>380</v>
      </c>
      <c r="Q1913" s="7">
        <f t="shared" si="671"/>
        <v>3378740.4500000011</v>
      </c>
      <c r="R1913" s="44" t="str">
        <f>VLOOKUP(F1913,'Set up'!$A$2:$E$48,5,FALSE)</f>
        <v>Trsf</v>
      </c>
    </row>
    <row r="1914" spans="1:19" ht="15" customHeight="1" x14ac:dyDescent="0.3">
      <c r="A1914" s="4" t="s">
        <v>1733</v>
      </c>
      <c r="B1914" s="5">
        <f t="shared" si="665"/>
        <v>7</v>
      </c>
      <c r="C1914" s="5">
        <f t="shared" si="666"/>
        <v>2023</v>
      </c>
      <c r="D1914" s="88" t="s">
        <v>1732</v>
      </c>
      <c r="E1914" s="5" t="str">
        <f>VLOOKUP(F1914,'Set up'!$A$2:$C$48,2,FALSE)</f>
        <v>C00000020</v>
      </c>
      <c r="F1914" s="1" t="s">
        <v>410</v>
      </c>
      <c r="G1914" s="99" t="s">
        <v>1074</v>
      </c>
      <c r="H1914" s="5">
        <v>1</v>
      </c>
      <c r="I1914" s="5" t="str">
        <f>VLOOKUP(F1914,'Set up'!$A$2:$C$48,3,FALSE)</f>
        <v>Cash</v>
      </c>
      <c r="J1914" s="5">
        <f>VLOOKUP(F1914,'Set up'!$A$2:$D$48,4,FALSE)</f>
        <v>0</v>
      </c>
      <c r="K1914" s="4">
        <f t="shared" si="667"/>
        <v>45133</v>
      </c>
      <c r="L1914" s="5">
        <f t="shared" si="668"/>
        <v>7</v>
      </c>
      <c r="M1914" s="5">
        <f t="shared" si="669"/>
        <v>2023</v>
      </c>
      <c r="N1914" s="6">
        <v>1000</v>
      </c>
      <c r="P1914" s="6">
        <f t="shared" si="670"/>
        <v>1000</v>
      </c>
      <c r="Q1914" s="7">
        <f t="shared" si="671"/>
        <v>3379740.4500000011</v>
      </c>
      <c r="R1914" s="44" t="str">
        <f>VLOOKUP(F1914,'Set up'!$A$2:$E$48,5,FALSE)</f>
        <v>Trsf</v>
      </c>
    </row>
    <row r="1915" spans="1:19" ht="15" hidden="1" customHeight="1" x14ac:dyDescent="0.3">
      <c r="A1915" s="4">
        <v>45134</v>
      </c>
      <c r="B1915" s="5">
        <f t="shared" si="665"/>
        <v>7</v>
      </c>
      <c r="C1915" s="5">
        <f t="shared" si="666"/>
        <v>2023</v>
      </c>
      <c r="D1915" s="88" t="s">
        <v>1735</v>
      </c>
      <c r="E1915" s="5" t="str">
        <f>VLOOKUP(F1915,'Set up'!$A$2:$C$48,2,FALSE)</f>
        <v>C00000021</v>
      </c>
      <c r="F1915" s="1" t="s">
        <v>492</v>
      </c>
      <c r="G1915" s="99" t="s">
        <v>717</v>
      </c>
      <c r="H1915" s="5">
        <v>1</v>
      </c>
      <c r="I1915" s="5" t="str">
        <f>VLOOKUP(F1915,'Set up'!$A$2:$C$48,3,FALSE)</f>
        <v>Cash</v>
      </c>
      <c r="J1915" s="5">
        <f>VLOOKUP(F1915,'Set up'!$A$2:$D$48,4,FALSE)</f>
        <v>0</v>
      </c>
      <c r="K1915" s="4">
        <f t="shared" si="667"/>
        <v>45134</v>
      </c>
      <c r="L1915" s="5">
        <f t="shared" si="668"/>
        <v>7</v>
      </c>
      <c r="M1915" s="5">
        <f t="shared" si="669"/>
        <v>2023</v>
      </c>
      <c r="N1915" s="6">
        <v>1826</v>
      </c>
      <c r="P1915" s="6">
        <f t="shared" si="670"/>
        <v>1826</v>
      </c>
      <c r="Q1915" s="7">
        <f t="shared" si="671"/>
        <v>3381566.4500000011</v>
      </c>
      <c r="R1915" s="44" t="str">
        <f>VLOOKUP(F1915,'Set up'!$A$2:$E$48,5,FALSE)</f>
        <v>PD Chq</v>
      </c>
    </row>
    <row r="1916" spans="1:19" ht="15" hidden="1" customHeight="1" x14ac:dyDescent="0.3">
      <c r="A1916" s="4">
        <v>45134</v>
      </c>
      <c r="B1916" s="5">
        <f t="shared" si="665"/>
        <v>7</v>
      </c>
      <c r="C1916" s="5">
        <f t="shared" si="666"/>
        <v>2023</v>
      </c>
      <c r="D1916" s="88" t="s">
        <v>1735</v>
      </c>
      <c r="E1916" s="5" t="str">
        <f>VLOOKUP(F1916,'Set up'!$A$2:$C$48,2,FALSE)</f>
        <v>C00000021</v>
      </c>
      <c r="F1916" s="1" t="s">
        <v>492</v>
      </c>
      <c r="G1916" s="99" t="s">
        <v>655</v>
      </c>
      <c r="H1916" s="5">
        <v>2</v>
      </c>
      <c r="I1916" s="5" t="str">
        <f>VLOOKUP(F1916,'Set up'!$A$2:$C$48,3,FALSE)</f>
        <v>Cash</v>
      </c>
      <c r="J1916" s="5">
        <f>VLOOKUP(F1916,'Set up'!$A$2:$D$48,4,FALSE)</f>
        <v>0</v>
      </c>
      <c r="K1916" s="4">
        <f t="shared" si="667"/>
        <v>45134</v>
      </c>
      <c r="L1916" s="5">
        <f t="shared" si="668"/>
        <v>7</v>
      </c>
      <c r="M1916" s="5">
        <f t="shared" si="669"/>
        <v>2023</v>
      </c>
      <c r="N1916" s="6">
        <v>498</v>
      </c>
      <c r="P1916" s="6">
        <f t="shared" si="670"/>
        <v>498</v>
      </c>
      <c r="Q1916" s="7">
        <f t="shared" si="671"/>
        <v>3382064.4500000011</v>
      </c>
      <c r="R1916" s="44" t="str">
        <f>VLOOKUP(F1916,'Set up'!$A$2:$E$48,5,FALSE)</f>
        <v>PD Chq</v>
      </c>
    </row>
    <row r="1917" spans="1:19" ht="15" hidden="1" customHeight="1" x14ac:dyDescent="0.3">
      <c r="A1917" s="4">
        <v>45134</v>
      </c>
      <c r="B1917" s="5">
        <f t="shared" si="665"/>
        <v>7</v>
      </c>
      <c r="C1917" s="5">
        <f t="shared" si="666"/>
        <v>2023</v>
      </c>
      <c r="D1917" s="88" t="s">
        <v>1735</v>
      </c>
      <c r="E1917" s="5" t="str">
        <f>VLOOKUP(F1917,'Set up'!$A$2:$C$48,2,FALSE)</f>
        <v>C00000021</v>
      </c>
      <c r="F1917" s="1" t="s">
        <v>492</v>
      </c>
      <c r="G1917" s="99" t="s">
        <v>1062</v>
      </c>
      <c r="H1917" s="5">
        <v>1</v>
      </c>
      <c r="I1917" s="5" t="str">
        <f>VLOOKUP(F1917,'Set up'!$A$2:$C$48,3,FALSE)</f>
        <v>Cash</v>
      </c>
      <c r="J1917" s="5">
        <f>VLOOKUP(F1917,'Set up'!$A$2:$D$48,4,FALSE)</f>
        <v>0</v>
      </c>
      <c r="K1917" s="4">
        <f t="shared" si="667"/>
        <v>45134</v>
      </c>
      <c r="L1917" s="5">
        <f t="shared" si="668"/>
        <v>7</v>
      </c>
      <c r="M1917" s="5">
        <f t="shared" si="669"/>
        <v>2023</v>
      </c>
      <c r="N1917" s="6">
        <v>95</v>
      </c>
      <c r="P1917" s="6">
        <f t="shared" si="670"/>
        <v>95</v>
      </c>
      <c r="Q1917" s="7">
        <f t="shared" si="671"/>
        <v>3382159.4500000011</v>
      </c>
      <c r="R1917" s="44" t="str">
        <f>VLOOKUP(F1917,'Set up'!$A$2:$E$48,5,FALSE)</f>
        <v>PD Chq</v>
      </c>
    </row>
    <row r="1918" spans="1:19" ht="15" hidden="1" customHeight="1" x14ac:dyDescent="0.3">
      <c r="A1918" s="4">
        <v>45134</v>
      </c>
      <c r="B1918" s="5">
        <f t="shared" si="665"/>
        <v>7</v>
      </c>
      <c r="C1918" s="5">
        <f t="shared" si="666"/>
        <v>2023</v>
      </c>
      <c r="D1918" s="88" t="s">
        <v>1735</v>
      </c>
      <c r="E1918" s="5" t="str">
        <f>VLOOKUP(F1918,'Set up'!$A$2:$C$48,2,FALSE)</f>
        <v>C00000021</v>
      </c>
      <c r="F1918" s="1" t="s">
        <v>492</v>
      </c>
      <c r="G1918" s="99" t="s">
        <v>801</v>
      </c>
      <c r="H1918" s="5">
        <v>1</v>
      </c>
      <c r="I1918" s="5" t="str">
        <f>VLOOKUP(F1918,'Set up'!$A$2:$C$48,3,FALSE)</f>
        <v>Cash</v>
      </c>
      <c r="J1918" s="5">
        <f>VLOOKUP(F1918,'Set up'!$A$2:$D$48,4,FALSE)</f>
        <v>0</v>
      </c>
      <c r="K1918" s="4">
        <f t="shared" si="667"/>
        <v>45134</v>
      </c>
      <c r="L1918" s="5">
        <f t="shared" si="668"/>
        <v>7</v>
      </c>
      <c r="M1918" s="5">
        <f t="shared" si="669"/>
        <v>2023</v>
      </c>
      <c r="N1918" s="6">
        <v>225</v>
      </c>
      <c r="P1918" s="6">
        <f t="shared" si="670"/>
        <v>225</v>
      </c>
      <c r="Q1918" s="7">
        <f t="shared" si="671"/>
        <v>3382384.4500000011</v>
      </c>
      <c r="R1918" s="44" t="str">
        <f>VLOOKUP(F1918,'Set up'!$A$2:$E$48,5,FALSE)</f>
        <v>PD Chq</v>
      </c>
    </row>
    <row r="1919" spans="1:19" ht="15" customHeight="1" x14ac:dyDescent="0.3">
      <c r="A1919" s="4">
        <v>45134</v>
      </c>
      <c r="B1919" s="5">
        <f t="shared" si="665"/>
        <v>7</v>
      </c>
      <c r="C1919" s="5">
        <f t="shared" si="666"/>
        <v>2023</v>
      </c>
      <c r="D1919" s="88" t="s">
        <v>1736</v>
      </c>
      <c r="E1919" s="5" t="str">
        <f>VLOOKUP(F1919,'Set up'!$A$2:$C$48,2,FALSE)</f>
        <v>C00000020</v>
      </c>
      <c r="F1919" s="1" t="s">
        <v>410</v>
      </c>
      <c r="G1919" s="99" t="s">
        <v>1111</v>
      </c>
      <c r="H1919" s="5">
        <v>3</v>
      </c>
      <c r="I1919" s="5" t="str">
        <f>VLOOKUP(F1919,'Set up'!$A$2:$C$48,3,FALSE)</f>
        <v>Cash</v>
      </c>
      <c r="J1919" s="5">
        <f>VLOOKUP(F1919,'Set up'!$A$2:$D$48,4,FALSE)</f>
        <v>0</v>
      </c>
      <c r="K1919" s="4">
        <f t="shared" si="667"/>
        <v>45134</v>
      </c>
      <c r="L1919" s="5">
        <f t="shared" si="668"/>
        <v>7</v>
      </c>
      <c r="M1919" s="5">
        <f t="shared" si="669"/>
        <v>2023</v>
      </c>
      <c r="N1919" s="6">
        <v>187.5</v>
      </c>
      <c r="P1919" s="6">
        <f t="shared" si="670"/>
        <v>187.5</v>
      </c>
      <c r="Q1919" s="7">
        <f t="shared" si="671"/>
        <v>3382571.9500000011</v>
      </c>
      <c r="R1919" s="44" t="str">
        <f>VLOOKUP(F1919,'Set up'!$A$2:$E$48,5,FALSE)</f>
        <v>Trsf</v>
      </c>
    </row>
    <row r="1920" spans="1:19" ht="15" customHeight="1" x14ac:dyDescent="0.3">
      <c r="A1920" s="4">
        <v>45134</v>
      </c>
      <c r="B1920" s="5">
        <f t="shared" si="665"/>
        <v>7</v>
      </c>
      <c r="C1920" s="5">
        <f t="shared" si="666"/>
        <v>2023</v>
      </c>
      <c r="D1920" s="88" t="s">
        <v>1737</v>
      </c>
      <c r="E1920" s="5" t="str">
        <f>VLOOKUP(F1920,'Set up'!$A$2:$C$48,2,FALSE)</f>
        <v>C00000020</v>
      </c>
      <c r="F1920" s="1" t="s">
        <v>410</v>
      </c>
      <c r="G1920" s="103" t="s">
        <v>1734</v>
      </c>
      <c r="H1920" s="5">
        <v>3</v>
      </c>
      <c r="I1920" s="5" t="str">
        <f>VLOOKUP(F1920,'Set up'!$A$2:$C$48,3,FALSE)</f>
        <v>Cash</v>
      </c>
      <c r="J1920" s="5">
        <f>VLOOKUP(F1920,'Set up'!$A$2:$D$48,4,FALSE)</f>
        <v>0</v>
      </c>
      <c r="K1920" s="4">
        <f t="shared" si="667"/>
        <v>45134</v>
      </c>
      <c r="L1920" s="5">
        <f t="shared" si="668"/>
        <v>7</v>
      </c>
      <c r="M1920" s="5">
        <f t="shared" si="669"/>
        <v>2023</v>
      </c>
      <c r="N1920" s="6">
        <v>4620</v>
      </c>
      <c r="P1920" s="6">
        <f t="shared" si="670"/>
        <v>4620</v>
      </c>
      <c r="Q1920" s="7">
        <f t="shared" si="671"/>
        <v>3387191.9500000011</v>
      </c>
      <c r="R1920" s="44" t="str">
        <f>VLOOKUP(F1920,'Set up'!$A$2:$E$48,5,FALSE)</f>
        <v>Trsf</v>
      </c>
    </row>
    <row r="1921" spans="1:19" ht="15" customHeight="1" x14ac:dyDescent="0.3">
      <c r="A1921" s="4">
        <v>45134</v>
      </c>
      <c r="B1921" s="5">
        <f t="shared" si="665"/>
        <v>7</v>
      </c>
      <c r="C1921" s="5">
        <f t="shared" si="666"/>
        <v>2023</v>
      </c>
      <c r="D1921" s="88" t="s">
        <v>1737</v>
      </c>
      <c r="E1921" s="5" t="str">
        <f>VLOOKUP(F1921,'Set up'!$A$2:$C$48,2,FALSE)</f>
        <v>C00000020</v>
      </c>
      <c r="F1921" s="1" t="s">
        <v>410</v>
      </c>
      <c r="G1921" s="90" t="s">
        <v>914</v>
      </c>
      <c r="H1921" s="5">
        <v>9</v>
      </c>
      <c r="I1921" s="5" t="str">
        <f>VLOOKUP(F1921,'Set up'!$A$2:$C$48,3,FALSE)</f>
        <v>Cash</v>
      </c>
      <c r="J1921" s="5">
        <f>VLOOKUP(F1921,'Set up'!$A$2:$D$48,4,FALSE)</f>
        <v>0</v>
      </c>
      <c r="K1921" s="4">
        <f t="shared" si="667"/>
        <v>45134</v>
      </c>
      <c r="L1921" s="5">
        <f t="shared" si="668"/>
        <v>7</v>
      </c>
      <c r="M1921" s="5">
        <f t="shared" si="669"/>
        <v>2023</v>
      </c>
      <c r="N1921" s="6">
        <v>1701</v>
      </c>
      <c r="P1921" s="6">
        <f t="shared" si="670"/>
        <v>1701</v>
      </c>
      <c r="Q1921" s="7">
        <f t="shared" si="671"/>
        <v>3388892.9500000011</v>
      </c>
      <c r="R1921" s="44" t="str">
        <f>VLOOKUP(F1921,'Set up'!$A$2:$E$48,5,FALSE)</f>
        <v>Trsf</v>
      </c>
    </row>
    <row r="1922" spans="1:19" ht="15" customHeight="1" x14ac:dyDescent="0.3">
      <c r="A1922" s="4">
        <v>45134</v>
      </c>
      <c r="B1922" s="5">
        <f t="shared" si="665"/>
        <v>7</v>
      </c>
      <c r="C1922" s="5">
        <f t="shared" si="666"/>
        <v>2023</v>
      </c>
      <c r="D1922" s="88" t="s">
        <v>1737</v>
      </c>
      <c r="E1922" s="5" t="str">
        <f>VLOOKUP(F1922,'Set up'!$A$2:$C$48,2,FALSE)</f>
        <v>C00000020</v>
      </c>
      <c r="F1922" s="1" t="s">
        <v>410</v>
      </c>
      <c r="G1922" s="90" t="s">
        <v>779</v>
      </c>
      <c r="H1922" s="5">
        <v>4</v>
      </c>
      <c r="I1922" s="5" t="str">
        <f>VLOOKUP(F1922,'Set up'!$A$2:$C$48,3,FALSE)</f>
        <v>Cash</v>
      </c>
      <c r="J1922" s="5">
        <f>VLOOKUP(F1922,'Set up'!$A$2:$D$48,4,FALSE)</f>
        <v>0</v>
      </c>
      <c r="K1922" s="4">
        <f t="shared" si="667"/>
        <v>45134</v>
      </c>
      <c r="L1922" s="5">
        <f t="shared" si="668"/>
        <v>7</v>
      </c>
      <c r="M1922" s="5">
        <f t="shared" si="669"/>
        <v>2023</v>
      </c>
      <c r="N1922" s="6">
        <v>800</v>
      </c>
      <c r="P1922" s="6">
        <f t="shared" si="670"/>
        <v>800</v>
      </c>
      <c r="Q1922" s="7">
        <f t="shared" si="671"/>
        <v>3389692.9500000011</v>
      </c>
      <c r="R1922" s="44" t="str">
        <f>VLOOKUP(F1922,'Set up'!$A$2:$E$48,5,FALSE)</f>
        <v>Trsf</v>
      </c>
    </row>
    <row r="1923" spans="1:19" ht="15" hidden="1" customHeight="1" x14ac:dyDescent="0.3">
      <c r="A1923" s="4">
        <v>45134</v>
      </c>
      <c r="B1923" s="5">
        <f t="shared" si="665"/>
        <v>7</v>
      </c>
      <c r="C1923" s="5">
        <f t="shared" si="666"/>
        <v>2023</v>
      </c>
      <c r="D1923" s="88" t="s">
        <v>1738</v>
      </c>
      <c r="E1923" s="5" t="str">
        <f>VLOOKUP(F1923,'Set up'!$A$2:$C$48,2,FALSE)</f>
        <v>C00000003</v>
      </c>
      <c r="F1923" s="1" t="s">
        <v>20</v>
      </c>
      <c r="G1923" s="103" t="s">
        <v>67</v>
      </c>
      <c r="H1923" s="5">
        <v>2</v>
      </c>
      <c r="I1923" s="5">
        <f>VLOOKUP(F1923,'Set up'!$A$2:$C$48,3,FALSE)</f>
        <v>45</v>
      </c>
      <c r="J1923" s="5">
        <f>VLOOKUP(F1923,'Set up'!$A$2:$D$48,4,FALSE)</f>
        <v>45</v>
      </c>
      <c r="K1923" s="4">
        <f t="shared" si="667"/>
        <v>45179</v>
      </c>
      <c r="L1923" s="5">
        <f t="shared" si="668"/>
        <v>9</v>
      </c>
      <c r="M1923" s="5">
        <f t="shared" si="669"/>
        <v>2023</v>
      </c>
      <c r="N1923" s="6">
        <v>3740</v>
      </c>
      <c r="O1923" s="6">
        <f>-N1923</f>
        <v>-3740</v>
      </c>
      <c r="P1923" s="6">
        <f t="shared" si="670"/>
        <v>0</v>
      </c>
      <c r="Q1923" s="7">
        <f t="shared" si="671"/>
        <v>3393432.9500000011</v>
      </c>
      <c r="R1923" s="44" t="str">
        <f>VLOOKUP(F1923,'Set up'!$A$2:$E$48,5,FALSE)</f>
        <v>PD Chq</v>
      </c>
      <c r="S1923" s="1" t="s">
        <v>1977</v>
      </c>
    </row>
    <row r="1924" spans="1:19" ht="15" hidden="1" customHeight="1" x14ac:dyDescent="0.3">
      <c r="A1924" s="4">
        <v>45135</v>
      </c>
      <c r="B1924" s="5">
        <f t="shared" si="665"/>
        <v>7</v>
      </c>
      <c r="C1924" s="5">
        <f t="shared" si="666"/>
        <v>2023</v>
      </c>
      <c r="D1924" s="88" t="s">
        <v>1738</v>
      </c>
      <c r="E1924" s="5" t="str">
        <f>VLOOKUP(F1924,'Set up'!$A$2:$C$48,2,FALSE)</f>
        <v>C00000003</v>
      </c>
      <c r="F1924" s="1" t="s">
        <v>20</v>
      </c>
      <c r="G1924" s="90" t="s">
        <v>17</v>
      </c>
      <c r="H1924" s="5">
        <v>2</v>
      </c>
      <c r="I1924" s="5">
        <f>VLOOKUP(F1924,'Set up'!$A$2:$C$48,3,FALSE)</f>
        <v>45</v>
      </c>
      <c r="J1924" s="5">
        <f>VLOOKUP(F1924,'Set up'!$A$2:$D$48,4,FALSE)</f>
        <v>45</v>
      </c>
      <c r="K1924" s="4">
        <f t="shared" si="667"/>
        <v>45180</v>
      </c>
      <c r="L1924" s="5">
        <f t="shared" si="668"/>
        <v>9</v>
      </c>
      <c r="M1924" s="5">
        <f t="shared" si="669"/>
        <v>2023</v>
      </c>
      <c r="N1924" s="6">
        <v>220</v>
      </c>
      <c r="O1924" s="6">
        <f>-N1924</f>
        <v>-220</v>
      </c>
      <c r="P1924" s="6">
        <f t="shared" si="670"/>
        <v>0</v>
      </c>
      <c r="Q1924" s="7">
        <f t="shared" si="671"/>
        <v>3393652.9500000011</v>
      </c>
      <c r="R1924" s="44" t="str">
        <f>VLOOKUP(F1924,'Set up'!$A$2:$E$48,5,FALSE)</f>
        <v>PD Chq</v>
      </c>
      <c r="S1924" s="1" t="s">
        <v>1977</v>
      </c>
    </row>
    <row r="1925" spans="1:19" ht="15" hidden="1" customHeight="1" x14ac:dyDescent="0.3">
      <c r="A1925" s="4">
        <v>45138</v>
      </c>
      <c r="B1925" s="5">
        <f t="shared" si="665"/>
        <v>7</v>
      </c>
      <c r="C1925" s="5">
        <f t="shared" si="666"/>
        <v>2023</v>
      </c>
      <c r="D1925" s="88" t="s">
        <v>1748</v>
      </c>
      <c r="E1925" s="5" t="str">
        <f>VLOOKUP(F1925,'Set up'!$A$2:$C$48,2,FALSE)</f>
        <v>C00000013</v>
      </c>
      <c r="F1925" s="1" t="s">
        <v>1454</v>
      </c>
      <c r="G1925" s="89" t="s">
        <v>1739</v>
      </c>
      <c r="H1925" s="5">
        <v>4</v>
      </c>
      <c r="I1925" s="5" t="str">
        <f>VLOOKUP(F1925,'Set up'!$A$2:$C$48,3,FALSE)</f>
        <v>Cash</v>
      </c>
      <c r="J1925" s="5">
        <f>VLOOKUP(F1925,'Set up'!$A$2:$D$48,4,FALSE)</f>
        <v>0</v>
      </c>
      <c r="K1925" s="4">
        <f t="shared" si="667"/>
        <v>45138</v>
      </c>
      <c r="L1925" s="5">
        <f t="shared" si="668"/>
        <v>7</v>
      </c>
      <c r="M1925" s="5">
        <f t="shared" si="669"/>
        <v>2023</v>
      </c>
      <c r="N1925" s="96">
        <v>7304</v>
      </c>
      <c r="O1925" s="6">
        <f t="shared" ref="O1925:O1935" si="672">-N1925</f>
        <v>-7304</v>
      </c>
      <c r="P1925" s="6">
        <f t="shared" si="670"/>
        <v>0</v>
      </c>
      <c r="Q1925" s="7">
        <f t="shared" si="671"/>
        <v>3400956.9500000011</v>
      </c>
      <c r="R1925" s="44" t="str">
        <f>VLOOKUP(F1925,'Set up'!$A$2:$E$48,5,FALSE)</f>
        <v>Chq</v>
      </c>
      <c r="S1925" s="1" t="s">
        <v>1789</v>
      </c>
    </row>
    <row r="1926" spans="1:19" ht="15" hidden="1" customHeight="1" x14ac:dyDescent="0.3">
      <c r="A1926" s="4">
        <v>45138</v>
      </c>
      <c r="B1926" s="5">
        <f t="shared" si="665"/>
        <v>7</v>
      </c>
      <c r="C1926" s="5">
        <f t="shared" si="666"/>
        <v>2023</v>
      </c>
      <c r="D1926" s="88" t="s">
        <v>1748</v>
      </c>
      <c r="E1926" s="5" t="str">
        <f>VLOOKUP(F1926,'Set up'!$A$2:$C$48,2,FALSE)</f>
        <v>C00000013</v>
      </c>
      <c r="F1926" s="1" t="s">
        <v>1454</v>
      </c>
      <c r="G1926" s="90" t="s">
        <v>1740</v>
      </c>
      <c r="H1926" s="5">
        <v>5</v>
      </c>
      <c r="I1926" s="5" t="str">
        <f>VLOOKUP(F1926,'Set up'!$A$2:$C$48,3,FALSE)</f>
        <v>Cash</v>
      </c>
      <c r="J1926" s="5">
        <f>VLOOKUP(F1926,'Set up'!$A$2:$D$48,4,FALSE)</f>
        <v>0</v>
      </c>
      <c r="K1926" s="4">
        <f t="shared" si="667"/>
        <v>45138</v>
      </c>
      <c r="L1926" s="5">
        <f t="shared" si="668"/>
        <v>7</v>
      </c>
      <c r="M1926" s="5">
        <f t="shared" si="669"/>
        <v>2023</v>
      </c>
      <c r="N1926" s="96">
        <v>2133</v>
      </c>
      <c r="O1926" s="6">
        <f t="shared" si="672"/>
        <v>-2133</v>
      </c>
      <c r="P1926" s="6">
        <f t="shared" si="670"/>
        <v>0</v>
      </c>
      <c r="Q1926" s="7">
        <f t="shared" si="671"/>
        <v>3403089.9500000011</v>
      </c>
      <c r="R1926" s="44" t="str">
        <f>VLOOKUP(F1926,'Set up'!$A$2:$E$48,5,FALSE)</f>
        <v>Chq</v>
      </c>
      <c r="S1926" s="1" t="s">
        <v>1789</v>
      </c>
    </row>
    <row r="1927" spans="1:19" ht="15" hidden="1" customHeight="1" x14ac:dyDescent="0.3">
      <c r="A1927" s="4">
        <v>45138</v>
      </c>
      <c r="B1927" s="5">
        <f t="shared" si="665"/>
        <v>7</v>
      </c>
      <c r="C1927" s="5">
        <f t="shared" si="666"/>
        <v>2023</v>
      </c>
      <c r="D1927" s="88" t="s">
        <v>1748</v>
      </c>
      <c r="E1927" s="5" t="str">
        <f>VLOOKUP(F1927,'Set up'!$A$2:$C$48,2,FALSE)</f>
        <v>C00000013</v>
      </c>
      <c r="F1927" s="1" t="s">
        <v>1454</v>
      </c>
      <c r="G1927" s="90" t="s">
        <v>1741</v>
      </c>
      <c r="H1927" s="5">
        <v>3</v>
      </c>
      <c r="I1927" s="5" t="str">
        <f>VLOOKUP(F1927,'Set up'!$A$2:$C$48,3,FALSE)</f>
        <v>Cash</v>
      </c>
      <c r="J1927" s="5">
        <f>VLOOKUP(F1927,'Set up'!$A$2:$D$48,4,FALSE)</f>
        <v>0</v>
      </c>
      <c r="K1927" s="4">
        <f t="shared" si="667"/>
        <v>45138</v>
      </c>
      <c r="L1927" s="5">
        <f t="shared" si="668"/>
        <v>7</v>
      </c>
      <c r="M1927" s="5">
        <f t="shared" si="669"/>
        <v>2023</v>
      </c>
      <c r="N1927" s="96">
        <v>1279.8000000000002</v>
      </c>
      <c r="O1927" s="6">
        <f t="shared" si="672"/>
        <v>-1279.8000000000002</v>
      </c>
      <c r="P1927" s="6">
        <f t="shared" si="670"/>
        <v>0</v>
      </c>
      <c r="Q1927" s="7">
        <f t="shared" si="671"/>
        <v>3404369.7500000009</v>
      </c>
      <c r="R1927" s="44" t="str">
        <f>VLOOKUP(F1927,'Set up'!$A$2:$E$48,5,FALSE)</f>
        <v>Chq</v>
      </c>
      <c r="S1927" s="1" t="s">
        <v>1789</v>
      </c>
    </row>
    <row r="1928" spans="1:19" ht="15" hidden="1" customHeight="1" x14ac:dyDescent="0.3">
      <c r="A1928" s="4">
        <v>45138</v>
      </c>
      <c r="B1928" s="5">
        <f t="shared" si="665"/>
        <v>7</v>
      </c>
      <c r="C1928" s="5">
        <f t="shared" si="666"/>
        <v>2023</v>
      </c>
      <c r="D1928" s="88" t="s">
        <v>1748</v>
      </c>
      <c r="E1928" s="5" t="str">
        <f>VLOOKUP(F1928,'Set up'!$A$2:$C$48,2,FALSE)</f>
        <v>C00000013</v>
      </c>
      <c r="F1928" s="1" t="s">
        <v>1454</v>
      </c>
      <c r="G1928" s="90" t="s">
        <v>1655</v>
      </c>
      <c r="H1928" s="5">
        <v>16</v>
      </c>
      <c r="I1928" s="5" t="str">
        <f>VLOOKUP(F1928,'Set up'!$A$2:$C$48,3,FALSE)</f>
        <v>Cash</v>
      </c>
      <c r="J1928" s="5">
        <f>VLOOKUP(F1928,'Set up'!$A$2:$D$48,4,FALSE)</f>
        <v>0</v>
      </c>
      <c r="K1928" s="4">
        <f t="shared" si="667"/>
        <v>45138</v>
      </c>
      <c r="L1928" s="5">
        <f t="shared" si="668"/>
        <v>7</v>
      </c>
      <c r="M1928" s="5">
        <f t="shared" si="669"/>
        <v>2023</v>
      </c>
      <c r="N1928" s="96">
        <v>4128</v>
      </c>
      <c r="O1928" s="6">
        <f t="shared" si="672"/>
        <v>-4128</v>
      </c>
      <c r="P1928" s="6">
        <f t="shared" si="670"/>
        <v>0</v>
      </c>
      <c r="Q1928" s="7">
        <f t="shared" si="671"/>
        <v>3408497.7500000009</v>
      </c>
      <c r="R1928" s="44" t="str">
        <f>VLOOKUP(F1928,'Set up'!$A$2:$E$48,5,FALSE)</f>
        <v>Chq</v>
      </c>
      <c r="S1928" s="1" t="s">
        <v>1789</v>
      </c>
    </row>
    <row r="1929" spans="1:19" ht="15" hidden="1" customHeight="1" x14ac:dyDescent="0.3">
      <c r="A1929" s="4">
        <v>45138</v>
      </c>
      <c r="B1929" s="5">
        <f t="shared" si="665"/>
        <v>7</v>
      </c>
      <c r="C1929" s="5">
        <f t="shared" si="666"/>
        <v>2023</v>
      </c>
      <c r="D1929" s="88" t="s">
        <v>1748</v>
      </c>
      <c r="E1929" s="5" t="str">
        <f>VLOOKUP(F1929,'Set up'!$A$2:$C$48,2,FALSE)</f>
        <v>C00000013</v>
      </c>
      <c r="F1929" s="1" t="s">
        <v>1454</v>
      </c>
      <c r="G1929" s="90" t="s">
        <v>1742</v>
      </c>
      <c r="H1929" s="5">
        <v>3</v>
      </c>
      <c r="I1929" s="5" t="str">
        <f>VLOOKUP(F1929,'Set up'!$A$2:$C$48,3,FALSE)</f>
        <v>Cash</v>
      </c>
      <c r="J1929" s="5">
        <f>VLOOKUP(F1929,'Set up'!$A$2:$D$48,4,FALSE)</f>
        <v>0</v>
      </c>
      <c r="K1929" s="4">
        <f t="shared" si="667"/>
        <v>45138</v>
      </c>
      <c r="L1929" s="5">
        <f t="shared" si="668"/>
        <v>7</v>
      </c>
      <c r="M1929" s="5">
        <f t="shared" si="669"/>
        <v>2023</v>
      </c>
      <c r="N1929" s="96">
        <v>2625</v>
      </c>
      <c r="O1929" s="6">
        <f t="shared" si="672"/>
        <v>-2625</v>
      </c>
      <c r="P1929" s="6">
        <f t="shared" si="670"/>
        <v>0</v>
      </c>
      <c r="Q1929" s="7">
        <f t="shared" si="671"/>
        <v>3411122.7500000009</v>
      </c>
      <c r="R1929" s="44" t="str">
        <f>VLOOKUP(F1929,'Set up'!$A$2:$E$48,5,FALSE)</f>
        <v>Chq</v>
      </c>
      <c r="S1929" s="1" t="s">
        <v>1789</v>
      </c>
    </row>
    <row r="1930" spans="1:19" ht="15" hidden="1" customHeight="1" x14ac:dyDescent="0.3">
      <c r="A1930" s="4">
        <v>45138</v>
      </c>
      <c r="B1930" s="5">
        <f t="shared" si="665"/>
        <v>7</v>
      </c>
      <c r="C1930" s="5">
        <f t="shared" si="666"/>
        <v>2023</v>
      </c>
      <c r="D1930" s="88" t="s">
        <v>1748</v>
      </c>
      <c r="E1930" s="5" t="str">
        <f>VLOOKUP(F1930,'Set up'!$A$2:$C$48,2,FALSE)</f>
        <v>C00000013</v>
      </c>
      <c r="F1930" s="1" t="s">
        <v>1454</v>
      </c>
      <c r="G1930" s="90" t="s">
        <v>1470</v>
      </c>
      <c r="H1930" s="5">
        <v>3</v>
      </c>
      <c r="I1930" s="5" t="str">
        <f>VLOOKUP(F1930,'Set up'!$A$2:$C$48,3,FALSE)</f>
        <v>Cash</v>
      </c>
      <c r="J1930" s="5">
        <f>VLOOKUP(F1930,'Set up'!$A$2:$D$48,4,FALSE)</f>
        <v>0</v>
      </c>
      <c r="K1930" s="4">
        <f t="shared" si="667"/>
        <v>45138</v>
      </c>
      <c r="L1930" s="5">
        <f t="shared" si="668"/>
        <v>7</v>
      </c>
      <c r="M1930" s="5">
        <f t="shared" si="669"/>
        <v>2023</v>
      </c>
      <c r="N1930" s="96">
        <v>1290</v>
      </c>
      <c r="O1930" s="6">
        <f t="shared" si="672"/>
        <v>-1290</v>
      </c>
      <c r="P1930" s="6">
        <f t="shared" si="670"/>
        <v>0</v>
      </c>
      <c r="Q1930" s="7">
        <f t="shared" si="671"/>
        <v>3412412.7500000009</v>
      </c>
      <c r="R1930" s="44" t="str">
        <f>VLOOKUP(F1930,'Set up'!$A$2:$E$48,5,FALSE)</f>
        <v>Chq</v>
      </c>
      <c r="S1930" s="1" t="s">
        <v>1789</v>
      </c>
    </row>
    <row r="1931" spans="1:19" ht="15" hidden="1" customHeight="1" x14ac:dyDescent="0.3">
      <c r="A1931" s="4">
        <v>45138</v>
      </c>
      <c r="B1931" s="5">
        <f t="shared" si="665"/>
        <v>7</v>
      </c>
      <c r="C1931" s="5">
        <f t="shared" si="666"/>
        <v>2023</v>
      </c>
      <c r="D1931" s="88" t="s">
        <v>1748</v>
      </c>
      <c r="E1931" s="5" t="str">
        <f>VLOOKUP(F1931,'Set up'!$A$2:$C$48,2,FALSE)</f>
        <v>C00000013</v>
      </c>
      <c r="F1931" s="1" t="s">
        <v>1454</v>
      </c>
      <c r="G1931" s="108" t="s">
        <v>1743</v>
      </c>
      <c r="H1931" s="5">
        <v>2</v>
      </c>
      <c r="I1931" s="5" t="str">
        <f>VLOOKUP(F1931,'Set up'!$A$2:$C$48,3,FALSE)</f>
        <v>Cash</v>
      </c>
      <c r="J1931" s="5">
        <f>VLOOKUP(F1931,'Set up'!$A$2:$D$48,4,FALSE)</f>
        <v>0</v>
      </c>
      <c r="K1931" s="4">
        <f t="shared" si="667"/>
        <v>45138</v>
      </c>
      <c r="L1931" s="5">
        <f t="shared" si="668"/>
        <v>7</v>
      </c>
      <c r="M1931" s="5">
        <f t="shared" si="669"/>
        <v>2023</v>
      </c>
      <c r="N1931" s="96">
        <v>120</v>
      </c>
      <c r="O1931" s="6">
        <f t="shared" si="672"/>
        <v>-120</v>
      </c>
      <c r="P1931" s="6">
        <f t="shared" si="670"/>
        <v>0</v>
      </c>
      <c r="Q1931" s="7">
        <f t="shared" si="671"/>
        <v>3412532.7500000009</v>
      </c>
      <c r="R1931" s="44" t="str">
        <f>VLOOKUP(F1931,'Set up'!$A$2:$E$48,5,FALSE)</f>
        <v>Chq</v>
      </c>
      <c r="S1931" s="1" t="s">
        <v>1789</v>
      </c>
    </row>
    <row r="1932" spans="1:19" ht="15" hidden="1" customHeight="1" x14ac:dyDescent="0.3">
      <c r="A1932" s="4">
        <v>45138</v>
      </c>
      <c r="B1932" s="5">
        <f t="shared" si="665"/>
        <v>7</v>
      </c>
      <c r="C1932" s="5">
        <f t="shared" si="666"/>
        <v>2023</v>
      </c>
      <c r="D1932" s="88" t="s">
        <v>1748</v>
      </c>
      <c r="E1932" s="5" t="str">
        <f>VLOOKUP(F1932,'Set up'!$A$2:$C$48,2,FALSE)</f>
        <v>C00000013</v>
      </c>
      <c r="F1932" s="1" t="s">
        <v>1454</v>
      </c>
      <c r="G1932" s="99" t="s">
        <v>1744</v>
      </c>
      <c r="H1932" s="5">
        <v>1</v>
      </c>
      <c r="I1932" s="5" t="str">
        <f>VLOOKUP(F1932,'Set up'!$A$2:$C$48,3,FALSE)</f>
        <v>Cash</v>
      </c>
      <c r="J1932" s="5">
        <f>VLOOKUP(F1932,'Set up'!$A$2:$D$48,4,FALSE)</f>
        <v>0</v>
      </c>
      <c r="K1932" s="4">
        <f t="shared" si="667"/>
        <v>45138</v>
      </c>
      <c r="L1932" s="5">
        <f t="shared" si="668"/>
        <v>7</v>
      </c>
      <c r="M1932" s="5">
        <f t="shared" si="669"/>
        <v>2023</v>
      </c>
      <c r="N1932" s="96">
        <v>55.2</v>
      </c>
      <c r="O1932" s="6">
        <f t="shared" si="672"/>
        <v>-55.2</v>
      </c>
      <c r="P1932" s="6">
        <f t="shared" si="670"/>
        <v>0</v>
      </c>
      <c r="Q1932" s="7">
        <f t="shared" si="671"/>
        <v>3412587.9500000011</v>
      </c>
      <c r="R1932" s="44" t="str">
        <f>VLOOKUP(F1932,'Set up'!$A$2:$E$48,5,FALSE)</f>
        <v>Chq</v>
      </c>
      <c r="S1932" s="1" t="s">
        <v>1789</v>
      </c>
    </row>
    <row r="1933" spans="1:19" ht="15" hidden="1" customHeight="1" x14ac:dyDescent="0.3">
      <c r="A1933" s="4">
        <v>45138</v>
      </c>
      <c r="B1933" s="5">
        <f t="shared" si="665"/>
        <v>7</v>
      </c>
      <c r="C1933" s="5">
        <f t="shared" si="666"/>
        <v>2023</v>
      </c>
      <c r="D1933" s="88" t="s">
        <v>1748</v>
      </c>
      <c r="E1933" s="5" t="str">
        <f>VLOOKUP(F1933,'Set up'!$A$2:$C$48,2,FALSE)</f>
        <v>C00000013</v>
      </c>
      <c r="F1933" s="1" t="s">
        <v>1454</v>
      </c>
      <c r="G1933" s="99" t="s">
        <v>1745</v>
      </c>
      <c r="H1933" s="5">
        <v>1</v>
      </c>
      <c r="I1933" s="5" t="str">
        <f>VLOOKUP(F1933,'Set up'!$A$2:$C$48,3,FALSE)</f>
        <v>Cash</v>
      </c>
      <c r="J1933" s="5">
        <f>VLOOKUP(F1933,'Set up'!$A$2:$D$48,4,FALSE)</f>
        <v>0</v>
      </c>
      <c r="K1933" s="4">
        <f t="shared" si="667"/>
        <v>45138</v>
      </c>
      <c r="L1933" s="5">
        <f t="shared" si="668"/>
        <v>7</v>
      </c>
      <c r="M1933" s="5">
        <f t="shared" si="669"/>
        <v>2023</v>
      </c>
      <c r="N1933" s="96">
        <v>1108.4000000000001</v>
      </c>
      <c r="O1933" s="6">
        <f t="shared" si="672"/>
        <v>-1108.4000000000001</v>
      </c>
      <c r="P1933" s="6">
        <f t="shared" si="670"/>
        <v>0</v>
      </c>
      <c r="Q1933" s="7">
        <f t="shared" si="671"/>
        <v>3413696.350000001</v>
      </c>
      <c r="R1933" s="44" t="str">
        <f>VLOOKUP(F1933,'Set up'!$A$2:$E$48,5,FALSE)</f>
        <v>Chq</v>
      </c>
      <c r="S1933" s="1" t="s">
        <v>1789</v>
      </c>
    </row>
    <row r="1934" spans="1:19" ht="15" hidden="1" customHeight="1" x14ac:dyDescent="0.3">
      <c r="A1934" s="4">
        <v>45138</v>
      </c>
      <c r="B1934" s="5">
        <f t="shared" si="665"/>
        <v>7</v>
      </c>
      <c r="C1934" s="5">
        <f t="shared" si="666"/>
        <v>2023</v>
      </c>
      <c r="D1934" s="88" t="s">
        <v>1748</v>
      </c>
      <c r="E1934" s="5" t="str">
        <f>VLOOKUP(F1934,'Set up'!$A$2:$C$48,2,FALSE)</f>
        <v>C00000013</v>
      </c>
      <c r="F1934" s="1" t="s">
        <v>1454</v>
      </c>
      <c r="G1934" s="99" t="s">
        <v>1746</v>
      </c>
      <c r="H1934" s="5">
        <v>1</v>
      </c>
      <c r="I1934" s="5" t="str">
        <f>VLOOKUP(F1934,'Set up'!$A$2:$C$48,3,FALSE)</f>
        <v>Cash</v>
      </c>
      <c r="J1934" s="5">
        <f>VLOOKUP(F1934,'Set up'!$A$2:$D$48,4,FALSE)</f>
        <v>0</v>
      </c>
      <c r="K1934" s="4">
        <f t="shared" si="667"/>
        <v>45138</v>
      </c>
      <c r="L1934" s="5">
        <f t="shared" si="668"/>
        <v>7</v>
      </c>
      <c r="M1934" s="5">
        <f t="shared" si="669"/>
        <v>2023</v>
      </c>
      <c r="N1934" s="96">
        <v>280</v>
      </c>
      <c r="O1934" s="6">
        <f t="shared" si="672"/>
        <v>-280</v>
      </c>
      <c r="P1934" s="6">
        <f t="shared" si="670"/>
        <v>0</v>
      </c>
      <c r="Q1934" s="7">
        <f t="shared" si="671"/>
        <v>3413976.350000001</v>
      </c>
      <c r="R1934" s="44" t="str">
        <f>VLOOKUP(F1934,'Set up'!$A$2:$E$48,5,FALSE)</f>
        <v>Chq</v>
      </c>
      <c r="S1934" s="1" t="s">
        <v>1789</v>
      </c>
    </row>
    <row r="1935" spans="1:19" ht="15" hidden="1" customHeight="1" x14ac:dyDescent="0.3">
      <c r="A1935" s="4">
        <v>45138</v>
      </c>
      <c r="B1935" s="5">
        <f t="shared" si="665"/>
        <v>7</v>
      </c>
      <c r="C1935" s="5">
        <f t="shared" si="666"/>
        <v>2023</v>
      </c>
      <c r="D1935" s="88" t="s">
        <v>1748</v>
      </c>
      <c r="E1935" s="5" t="str">
        <f>VLOOKUP(F1935,'Set up'!$A$2:$C$48,2,FALSE)</f>
        <v>C00000013</v>
      </c>
      <c r="F1935" s="1" t="s">
        <v>1454</v>
      </c>
      <c r="G1935" s="99" t="s">
        <v>1747</v>
      </c>
      <c r="H1935" s="5">
        <v>1</v>
      </c>
      <c r="I1935" s="5" t="str">
        <f>VLOOKUP(F1935,'Set up'!$A$2:$C$48,3,FALSE)</f>
        <v>Cash</v>
      </c>
      <c r="J1935" s="5">
        <f>VLOOKUP(F1935,'Set up'!$A$2:$D$48,4,FALSE)</f>
        <v>0</v>
      </c>
      <c r="K1935" s="4">
        <f t="shared" si="667"/>
        <v>45138</v>
      </c>
      <c r="L1935" s="5">
        <f t="shared" si="668"/>
        <v>7</v>
      </c>
      <c r="M1935" s="5">
        <f t="shared" si="669"/>
        <v>2023</v>
      </c>
      <c r="N1935" s="96">
        <v>260</v>
      </c>
      <c r="O1935" s="6">
        <f t="shared" si="672"/>
        <v>-260</v>
      </c>
      <c r="P1935" s="6">
        <f t="shared" si="670"/>
        <v>0</v>
      </c>
      <c r="Q1935" s="7">
        <f t="shared" si="671"/>
        <v>3414236.350000001</v>
      </c>
      <c r="R1935" s="44" t="str">
        <f>VLOOKUP(F1935,'Set up'!$A$2:$E$48,5,FALSE)</f>
        <v>Chq</v>
      </c>
      <c r="S1935" s="1" t="s">
        <v>1789</v>
      </c>
    </row>
    <row r="1936" spans="1:19" ht="15" hidden="1" customHeight="1" x14ac:dyDescent="0.3">
      <c r="A1936" s="4">
        <v>45139</v>
      </c>
      <c r="B1936" s="5">
        <f t="shared" ref="B1936:B1999" si="673">MONTH(A1936)</f>
        <v>8</v>
      </c>
      <c r="C1936" s="5">
        <f t="shared" ref="C1936:C1999" si="674">YEAR(A1936)</f>
        <v>2023</v>
      </c>
      <c r="D1936" s="88" t="s">
        <v>1792</v>
      </c>
      <c r="E1936" s="5" t="str">
        <f>VLOOKUP(F1936,'Set up'!$A$2:$C$48,2,FALSE)</f>
        <v>C00000034</v>
      </c>
      <c r="F1936" s="1" t="s">
        <v>1197</v>
      </c>
      <c r="G1936" s="89" t="s">
        <v>945</v>
      </c>
      <c r="H1936" s="5">
        <v>1</v>
      </c>
      <c r="I1936" s="5" t="str">
        <f>VLOOKUP(F1936,'Set up'!$A$2:$C$48,3,FALSE)</f>
        <v>Cash</v>
      </c>
      <c r="J1936" s="5">
        <f>VLOOKUP(F1936,'Set up'!$A$2:$D$48,4,FALSE)</f>
        <v>0</v>
      </c>
      <c r="K1936" s="4">
        <f t="shared" ref="K1936:K1999" si="675">A1936+J1936</f>
        <v>45139</v>
      </c>
      <c r="L1936" s="5">
        <f t="shared" ref="L1936:L1999" si="676">MONTH(K1936)</f>
        <v>8</v>
      </c>
      <c r="M1936" s="5">
        <f t="shared" ref="M1936:M1999" si="677">YEAR(K1936)</f>
        <v>2023</v>
      </c>
      <c r="N1936" s="96">
        <v>420</v>
      </c>
      <c r="O1936" s="6">
        <f>-0.2-10-100-309.8</f>
        <v>-420</v>
      </c>
      <c r="P1936" s="6">
        <f t="shared" ref="P1936:P1999" si="678">SUM(N1936+O1936)</f>
        <v>0</v>
      </c>
      <c r="Q1936" s="7">
        <f t="shared" ref="Q1936:Q1999" si="679">SUM(Q1935+N1936)</f>
        <v>3414656.350000001</v>
      </c>
      <c r="R1936" s="44" t="str">
        <f>VLOOKUP(F1936,'Set up'!$A$2:$E$48,5,FALSE)</f>
        <v>Trsf</v>
      </c>
      <c r="S1936" s="1" t="s">
        <v>1874</v>
      </c>
    </row>
    <row r="1937" spans="1:19" ht="15" hidden="1" customHeight="1" x14ac:dyDescent="0.3">
      <c r="A1937" s="4">
        <v>45139</v>
      </c>
      <c r="B1937" s="5">
        <f t="shared" si="673"/>
        <v>8</v>
      </c>
      <c r="C1937" s="5">
        <f t="shared" si="674"/>
        <v>2023</v>
      </c>
      <c r="D1937" s="88" t="s">
        <v>1792</v>
      </c>
      <c r="E1937" s="5" t="str">
        <f>VLOOKUP(F1937,'Set up'!$A$2:$C$48,2,FALSE)</f>
        <v>C00000034</v>
      </c>
      <c r="F1937" s="1" t="s">
        <v>1197</v>
      </c>
      <c r="G1937" s="11" t="s">
        <v>1432</v>
      </c>
      <c r="H1937" s="5">
        <v>1</v>
      </c>
      <c r="I1937" s="5" t="str">
        <f>VLOOKUP(F1937,'Set up'!$A$2:$C$48,3,FALSE)</f>
        <v>Cash</v>
      </c>
      <c r="J1937" s="5">
        <f>VLOOKUP(F1937,'Set up'!$A$2:$D$48,4,FALSE)</f>
        <v>0</v>
      </c>
      <c r="K1937" s="4">
        <f t="shared" si="675"/>
        <v>45139</v>
      </c>
      <c r="L1937" s="5">
        <f t="shared" si="676"/>
        <v>8</v>
      </c>
      <c r="M1937" s="5">
        <f t="shared" si="677"/>
        <v>2023</v>
      </c>
      <c r="N1937" s="96">
        <v>225</v>
      </c>
      <c r="O1937" s="6">
        <f t="shared" ref="O1937:O1939" si="680">-N1937</f>
        <v>-225</v>
      </c>
      <c r="P1937" s="6">
        <f t="shared" si="678"/>
        <v>0</v>
      </c>
      <c r="Q1937" s="7">
        <f t="shared" si="679"/>
        <v>3414881.350000001</v>
      </c>
      <c r="R1937" s="44" t="str">
        <f>VLOOKUP(F1937,'Set up'!$A$2:$E$48,5,FALSE)</f>
        <v>Trsf</v>
      </c>
      <c r="S1937" s="1" t="s">
        <v>1849</v>
      </c>
    </row>
    <row r="1938" spans="1:19" ht="15" hidden="1" customHeight="1" x14ac:dyDescent="0.3">
      <c r="A1938" s="4">
        <v>45139</v>
      </c>
      <c r="B1938" s="5">
        <f t="shared" si="673"/>
        <v>8</v>
      </c>
      <c r="C1938" s="5">
        <f t="shared" si="674"/>
        <v>2023</v>
      </c>
      <c r="D1938" s="88" t="s">
        <v>1792</v>
      </c>
      <c r="E1938" s="5" t="str">
        <f>VLOOKUP(F1938,'Set up'!$A$2:$C$48,2,FALSE)</f>
        <v>C00000034</v>
      </c>
      <c r="F1938" s="1" t="s">
        <v>1197</v>
      </c>
      <c r="G1938" s="90" t="s">
        <v>1794</v>
      </c>
      <c r="H1938" s="5">
        <v>1</v>
      </c>
      <c r="I1938" s="5" t="str">
        <f>VLOOKUP(F1938,'Set up'!$A$2:$C$48,3,FALSE)</f>
        <v>Cash</v>
      </c>
      <c r="J1938" s="5">
        <f>VLOOKUP(F1938,'Set up'!$A$2:$D$48,4,FALSE)</f>
        <v>0</v>
      </c>
      <c r="K1938" s="4">
        <f t="shared" si="675"/>
        <v>45139</v>
      </c>
      <c r="L1938" s="5">
        <f t="shared" si="676"/>
        <v>8</v>
      </c>
      <c r="M1938" s="5">
        <f t="shared" si="677"/>
        <v>2023</v>
      </c>
      <c r="N1938" s="96">
        <v>160</v>
      </c>
      <c r="O1938" s="6">
        <f t="shared" si="680"/>
        <v>-160</v>
      </c>
      <c r="P1938" s="6">
        <f t="shared" si="678"/>
        <v>0</v>
      </c>
      <c r="Q1938" s="7">
        <f t="shared" si="679"/>
        <v>3415041.350000001</v>
      </c>
      <c r="R1938" s="44" t="str">
        <f>VLOOKUP(F1938,'Set up'!$A$2:$E$48,5,FALSE)</f>
        <v>Trsf</v>
      </c>
      <c r="S1938" s="1" t="s">
        <v>1850</v>
      </c>
    </row>
    <row r="1939" spans="1:19" ht="15" hidden="1" customHeight="1" x14ac:dyDescent="0.3">
      <c r="A1939" s="4">
        <v>45139</v>
      </c>
      <c r="B1939" s="5">
        <f t="shared" si="673"/>
        <v>8</v>
      </c>
      <c r="C1939" s="5">
        <f t="shared" si="674"/>
        <v>2023</v>
      </c>
      <c r="D1939" s="88" t="s">
        <v>1793</v>
      </c>
      <c r="E1939" s="5" t="str">
        <f>VLOOKUP(F1939,'Set up'!$A$2:$C$48,2,FALSE)</f>
        <v>C00000009</v>
      </c>
      <c r="F1939" s="1" t="s">
        <v>58</v>
      </c>
      <c r="G1939" s="11" t="s">
        <v>1403</v>
      </c>
      <c r="H1939" s="5">
        <v>2</v>
      </c>
      <c r="I1939" s="5">
        <f>VLOOKUP(F1939,'Set up'!$A$2:$C$48,3,FALSE)</f>
        <v>60</v>
      </c>
      <c r="J1939" s="5">
        <f>VLOOKUP(F1939,'Set up'!$A$2:$D$48,4,FALSE)</f>
        <v>60</v>
      </c>
      <c r="K1939" s="4">
        <f t="shared" si="675"/>
        <v>45199</v>
      </c>
      <c r="L1939" s="5">
        <f t="shared" si="676"/>
        <v>9</v>
      </c>
      <c r="M1939" s="5">
        <f t="shared" si="677"/>
        <v>2023</v>
      </c>
      <c r="N1939" s="98">
        <v>3124</v>
      </c>
      <c r="O1939" s="6">
        <f t="shared" si="680"/>
        <v>-3124</v>
      </c>
      <c r="P1939" s="6">
        <f t="shared" si="678"/>
        <v>0</v>
      </c>
      <c r="Q1939" s="7">
        <f t="shared" si="679"/>
        <v>3418165.350000001</v>
      </c>
      <c r="R1939" s="44" t="str">
        <f>VLOOKUP(F1939,'Set up'!$A$2:$E$48,5,FALSE)</f>
        <v>Chq</v>
      </c>
      <c r="S1939" s="1" t="s">
        <v>2332</v>
      </c>
    </row>
    <row r="1940" spans="1:19" ht="15" hidden="1" customHeight="1" x14ac:dyDescent="0.3">
      <c r="A1940" s="4">
        <v>45139</v>
      </c>
      <c r="B1940" s="5">
        <f t="shared" si="673"/>
        <v>8</v>
      </c>
      <c r="C1940" s="5">
        <f t="shared" si="674"/>
        <v>2023</v>
      </c>
      <c r="D1940" s="88" t="s">
        <v>1795</v>
      </c>
      <c r="E1940" s="5" t="str">
        <f>VLOOKUP(F1940,'Set up'!$A$2:$C$48,2,FALSE)</f>
        <v>C00000014</v>
      </c>
      <c r="F1940" s="1" t="s">
        <v>263</v>
      </c>
      <c r="G1940" s="95" t="s">
        <v>304</v>
      </c>
      <c r="H1940" s="5">
        <v>2</v>
      </c>
      <c r="I1940" s="5" t="str">
        <f>VLOOKUP(F1940,'Set up'!$A$2:$C$48,3,FALSE)</f>
        <v>Cash</v>
      </c>
      <c r="J1940" s="5">
        <f>VLOOKUP(F1940,'Set up'!$A$2:$D$48,4,FALSE)</f>
        <v>0</v>
      </c>
      <c r="K1940" s="4">
        <f t="shared" si="675"/>
        <v>45139</v>
      </c>
      <c r="L1940" s="5">
        <f t="shared" si="676"/>
        <v>8</v>
      </c>
      <c r="M1940" s="5">
        <f t="shared" si="677"/>
        <v>2023</v>
      </c>
      <c r="N1940" s="96">
        <v>3388</v>
      </c>
      <c r="O1940" s="6">
        <f t="shared" ref="O1940:O1942" si="681">-N1940</f>
        <v>-3388</v>
      </c>
      <c r="P1940" s="6">
        <f t="shared" si="678"/>
        <v>0</v>
      </c>
      <c r="Q1940" s="7">
        <f t="shared" si="679"/>
        <v>3421553.350000001</v>
      </c>
      <c r="R1940" s="44" t="str">
        <f>VLOOKUP(F1940,'Set up'!$A$2:$E$48,5,FALSE)</f>
        <v>Cash</v>
      </c>
      <c r="S1940" s="1" t="s">
        <v>1843</v>
      </c>
    </row>
    <row r="1941" spans="1:19" ht="15" hidden="1" customHeight="1" x14ac:dyDescent="0.3">
      <c r="A1941" s="4">
        <v>45139</v>
      </c>
      <c r="B1941" s="5">
        <f t="shared" si="673"/>
        <v>8</v>
      </c>
      <c r="C1941" s="5">
        <f t="shared" si="674"/>
        <v>2023</v>
      </c>
      <c r="D1941" s="88" t="s">
        <v>1795</v>
      </c>
      <c r="E1941" s="5" t="str">
        <f>VLOOKUP(F1941,'Set up'!$A$2:$C$48,2,FALSE)</f>
        <v>C00000014</v>
      </c>
      <c r="F1941" s="1" t="s">
        <v>263</v>
      </c>
      <c r="G1941" s="90" t="s">
        <v>989</v>
      </c>
      <c r="H1941" s="5">
        <v>4</v>
      </c>
      <c r="I1941" s="5" t="str">
        <f>VLOOKUP(F1941,'Set up'!$A$2:$C$48,3,FALSE)</f>
        <v>Cash</v>
      </c>
      <c r="J1941" s="5">
        <f>VLOOKUP(F1941,'Set up'!$A$2:$D$48,4,FALSE)</f>
        <v>0</v>
      </c>
      <c r="K1941" s="4">
        <f t="shared" si="675"/>
        <v>45139</v>
      </c>
      <c r="L1941" s="5">
        <f t="shared" si="676"/>
        <v>8</v>
      </c>
      <c r="M1941" s="5">
        <f t="shared" si="677"/>
        <v>2023</v>
      </c>
      <c r="N1941" s="96">
        <v>936</v>
      </c>
      <c r="O1941" s="6">
        <f t="shared" si="681"/>
        <v>-936</v>
      </c>
      <c r="P1941" s="6">
        <f t="shared" si="678"/>
        <v>0</v>
      </c>
      <c r="Q1941" s="7">
        <f t="shared" si="679"/>
        <v>3422489.350000001</v>
      </c>
      <c r="R1941" s="44" t="str">
        <f>VLOOKUP(F1941,'Set up'!$A$2:$E$48,5,FALSE)</f>
        <v>Cash</v>
      </c>
      <c r="S1941" s="1" t="s">
        <v>1843</v>
      </c>
    </row>
    <row r="1942" spans="1:19" ht="15" hidden="1" customHeight="1" x14ac:dyDescent="0.3">
      <c r="A1942" s="4">
        <v>45139</v>
      </c>
      <c r="B1942" s="5">
        <f t="shared" si="673"/>
        <v>8</v>
      </c>
      <c r="C1942" s="5">
        <f t="shared" si="674"/>
        <v>2023</v>
      </c>
      <c r="D1942" s="88" t="s">
        <v>1795</v>
      </c>
      <c r="E1942" s="5" t="str">
        <f>VLOOKUP(F1942,'Set up'!$A$2:$C$48,2,FALSE)</f>
        <v>C00000014</v>
      </c>
      <c r="F1942" s="1" t="s">
        <v>263</v>
      </c>
      <c r="G1942" s="99" t="s">
        <v>1111</v>
      </c>
      <c r="H1942" s="5">
        <v>1</v>
      </c>
      <c r="I1942" s="5" t="str">
        <f>VLOOKUP(F1942,'Set up'!$A$2:$C$48,3,FALSE)</f>
        <v>Cash</v>
      </c>
      <c r="J1942" s="5">
        <f>VLOOKUP(F1942,'Set up'!$A$2:$D$48,4,FALSE)</f>
        <v>0</v>
      </c>
      <c r="K1942" s="4">
        <f t="shared" si="675"/>
        <v>45139</v>
      </c>
      <c r="L1942" s="5">
        <f t="shared" si="676"/>
        <v>8</v>
      </c>
      <c r="M1942" s="5">
        <f t="shared" si="677"/>
        <v>2023</v>
      </c>
      <c r="N1942" s="96">
        <v>62.5</v>
      </c>
      <c r="O1942" s="6">
        <f t="shared" si="681"/>
        <v>-62.5</v>
      </c>
      <c r="P1942" s="6">
        <f t="shared" si="678"/>
        <v>0</v>
      </c>
      <c r="Q1942" s="7">
        <f t="shared" si="679"/>
        <v>3422551.850000001</v>
      </c>
      <c r="R1942" s="44" t="str">
        <f>VLOOKUP(F1942,'Set up'!$A$2:$E$48,5,FALSE)</f>
        <v>Cash</v>
      </c>
      <c r="S1942" s="1" t="s">
        <v>1843</v>
      </c>
    </row>
    <row r="1943" spans="1:19" ht="15" hidden="1" customHeight="1" x14ac:dyDescent="0.3">
      <c r="A1943" s="4">
        <v>45140</v>
      </c>
      <c r="B1943" s="5">
        <f t="shared" si="673"/>
        <v>8</v>
      </c>
      <c r="C1943" s="5">
        <f t="shared" si="674"/>
        <v>2023</v>
      </c>
      <c r="D1943" s="88" t="s">
        <v>1796</v>
      </c>
      <c r="E1943" s="5" t="str">
        <f>VLOOKUP(F1943,'Set up'!$A$2:$C$48,2,FALSE)</f>
        <v>C00000010</v>
      </c>
      <c r="F1943" s="1" t="s">
        <v>62</v>
      </c>
      <c r="G1943" s="95" t="s">
        <v>1179</v>
      </c>
      <c r="H1943" s="5">
        <v>6</v>
      </c>
      <c r="I1943" s="5">
        <f>VLOOKUP(F1943,'Set up'!$A$2:$C$48,3,FALSE)</f>
        <v>120</v>
      </c>
      <c r="J1943" s="5">
        <f>VLOOKUP(F1943,'Set up'!$A$2:$D$48,4,FALSE)</f>
        <v>120</v>
      </c>
      <c r="K1943" s="4">
        <f t="shared" si="675"/>
        <v>45260</v>
      </c>
      <c r="L1943" s="5">
        <f t="shared" si="676"/>
        <v>11</v>
      </c>
      <c r="M1943" s="5">
        <f t="shared" si="677"/>
        <v>2023</v>
      </c>
      <c r="N1943" s="96">
        <v>9636</v>
      </c>
      <c r="P1943" s="6">
        <f t="shared" si="678"/>
        <v>9636</v>
      </c>
      <c r="Q1943" s="7">
        <f t="shared" si="679"/>
        <v>3432187.850000001</v>
      </c>
      <c r="R1943" s="44" t="str">
        <f>VLOOKUP(F1943,'Set up'!$A$2:$E$48,5,FALSE)</f>
        <v>Trsf</v>
      </c>
    </row>
    <row r="1944" spans="1:19" ht="15" hidden="1" customHeight="1" x14ac:dyDescent="0.3">
      <c r="A1944" s="4">
        <v>45140</v>
      </c>
      <c r="B1944" s="5">
        <f t="shared" si="673"/>
        <v>8</v>
      </c>
      <c r="C1944" s="5">
        <f t="shared" si="674"/>
        <v>2023</v>
      </c>
      <c r="D1944" s="88" t="s">
        <v>1796</v>
      </c>
      <c r="E1944" s="5" t="str">
        <f>VLOOKUP(F1944,'Set up'!$A$2:$C$48,2,FALSE)</f>
        <v>C00000010</v>
      </c>
      <c r="F1944" s="1" t="s">
        <v>62</v>
      </c>
      <c r="G1944" s="90" t="s">
        <v>1544</v>
      </c>
      <c r="H1944" s="5">
        <v>10</v>
      </c>
      <c r="I1944" s="5">
        <f>VLOOKUP(F1944,'Set up'!$A$2:$C$48,3,FALSE)</f>
        <v>120</v>
      </c>
      <c r="J1944" s="5">
        <f>VLOOKUP(F1944,'Set up'!$A$2:$D$48,4,FALSE)</f>
        <v>120</v>
      </c>
      <c r="K1944" s="4">
        <f t="shared" si="675"/>
        <v>45260</v>
      </c>
      <c r="L1944" s="5">
        <f t="shared" si="676"/>
        <v>11</v>
      </c>
      <c r="M1944" s="5">
        <f t="shared" si="677"/>
        <v>2023</v>
      </c>
      <c r="N1944" s="96">
        <v>1800</v>
      </c>
      <c r="P1944" s="6">
        <f t="shared" si="678"/>
        <v>1800</v>
      </c>
      <c r="Q1944" s="7">
        <f t="shared" si="679"/>
        <v>3433987.850000001</v>
      </c>
      <c r="R1944" s="44" t="str">
        <f>VLOOKUP(F1944,'Set up'!$A$2:$E$48,5,FALSE)</f>
        <v>Trsf</v>
      </c>
    </row>
    <row r="1945" spans="1:19" ht="15" hidden="1" customHeight="1" x14ac:dyDescent="0.3">
      <c r="A1945" s="4">
        <v>45140</v>
      </c>
      <c r="B1945" s="5">
        <f t="shared" si="673"/>
        <v>8</v>
      </c>
      <c r="C1945" s="5">
        <f t="shared" si="674"/>
        <v>2023</v>
      </c>
      <c r="D1945" s="88" t="s">
        <v>1796</v>
      </c>
      <c r="E1945" s="5" t="str">
        <f>VLOOKUP(F1945,'Set up'!$A$2:$C$48,2,FALSE)</f>
        <v>C00000010</v>
      </c>
      <c r="F1945" s="1" t="s">
        <v>62</v>
      </c>
      <c r="G1945" s="90" t="s">
        <v>792</v>
      </c>
      <c r="H1945" s="5">
        <v>15</v>
      </c>
      <c r="I1945" s="5">
        <f>VLOOKUP(F1945,'Set up'!$A$2:$C$48,3,FALSE)</f>
        <v>120</v>
      </c>
      <c r="J1945" s="5">
        <f>VLOOKUP(F1945,'Set up'!$A$2:$D$48,4,FALSE)</f>
        <v>120</v>
      </c>
      <c r="K1945" s="4">
        <f t="shared" si="675"/>
        <v>45260</v>
      </c>
      <c r="L1945" s="5">
        <f t="shared" si="676"/>
        <v>11</v>
      </c>
      <c r="M1945" s="5">
        <f t="shared" si="677"/>
        <v>2023</v>
      </c>
      <c r="N1945" s="96">
        <v>862.5</v>
      </c>
      <c r="P1945" s="6">
        <f t="shared" si="678"/>
        <v>862.5</v>
      </c>
      <c r="Q1945" s="7">
        <f t="shared" si="679"/>
        <v>3434850.350000001</v>
      </c>
      <c r="R1945" s="44" t="str">
        <f>VLOOKUP(F1945,'Set up'!$A$2:$E$48,5,FALSE)</f>
        <v>Trsf</v>
      </c>
    </row>
    <row r="1946" spans="1:19" ht="15" hidden="1" customHeight="1" x14ac:dyDescent="0.3">
      <c r="A1946" s="4">
        <v>45140</v>
      </c>
      <c r="B1946" s="5">
        <f t="shared" si="673"/>
        <v>8</v>
      </c>
      <c r="C1946" s="5">
        <f t="shared" si="674"/>
        <v>2023</v>
      </c>
      <c r="D1946" s="88" t="s">
        <v>1796</v>
      </c>
      <c r="E1946" s="5" t="str">
        <f>VLOOKUP(F1946,'Set up'!$A$2:$C$48,2,FALSE)</f>
        <v>C00000010</v>
      </c>
      <c r="F1946" s="1" t="s">
        <v>62</v>
      </c>
      <c r="G1946" s="11" t="s">
        <v>46</v>
      </c>
      <c r="H1946" s="5">
        <v>4</v>
      </c>
      <c r="I1946" s="5">
        <f>VLOOKUP(F1946,'Set up'!$A$2:$C$48,3,FALSE)</f>
        <v>120</v>
      </c>
      <c r="J1946" s="5">
        <f>VLOOKUP(F1946,'Set up'!$A$2:$D$48,4,FALSE)</f>
        <v>120</v>
      </c>
      <c r="K1946" s="4">
        <f t="shared" si="675"/>
        <v>45260</v>
      </c>
      <c r="L1946" s="5">
        <f t="shared" si="676"/>
        <v>11</v>
      </c>
      <c r="M1946" s="5">
        <f t="shared" si="677"/>
        <v>2023</v>
      </c>
      <c r="N1946" s="96">
        <v>420</v>
      </c>
      <c r="P1946" s="6">
        <f t="shared" si="678"/>
        <v>420</v>
      </c>
      <c r="Q1946" s="7">
        <f t="shared" si="679"/>
        <v>3435270.350000001</v>
      </c>
      <c r="R1946" s="44" t="str">
        <f>VLOOKUP(F1946,'Set up'!$A$2:$E$48,5,FALSE)</f>
        <v>Trsf</v>
      </c>
    </row>
    <row r="1947" spans="1:19" ht="15" hidden="1" customHeight="1" x14ac:dyDescent="0.3">
      <c r="A1947" s="4">
        <v>45140</v>
      </c>
      <c r="B1947" s="5">
        <f t="shared" si="673"/>
        <v>8</v>
      </c>
      <c r="C1947" s="5">
        <f t="shared" si="674"/>
        <v>2023</v>
      </c>
      <c r="D1947" s="88" t="s">
        <v>1796</v>
      </c>
      <c r="E1947" s="5" t="str">
        <f>VLOOKUP(F1947,'Set up'!$A$2:$C$48,2,FALSE)</f>
        <v>C00000010</v>
      </c>
      <c r="F1947" s="1" t="s">
        <v>62</v>
      </c>
      <c r="G1947" s="90" t="s">
        <v>945</v>
      </c>
      <c r="H1947" s="5">
        <v>1</v>
      </c>
      <c r="I1947" s="5">
        <f>VLOOKUP(F1947,'Set up'!$A$2:$C$48,3,FALSE)</f>
        <v>120</v>
      </c>
      <c r="J1947" s="5">
        <f>VLOOKUP(F1947,'Set up'!$A$2:$D$48,4,FALSE)</f>
        <v>120</v>
      </c>
      <c r="K1947" s="4">
        <f t="shared" si="675"/>
        <v>45260</v>
      </c>
      <c r="L1947" s="5">
        <f t="shared" si="676"/>
        <v>11</v>
      </c>
      <c r="M1947" s="5">
        <f t="shared" si="677"/>
        <v>2023</v>
      </c>
      <c r="N1947" s="96">
        <v>420</v>
      </c>
      <c r="P1947" s="6">
        <f t="shared" si="678"/>
        <v>420</v>
      </c>
      <c r="Q1947" s="7">
        <f t="shared" si="679"/>
        <v>3435690.350000001</v>
      </c>
      <c r="R1947" s="44" t="str">
        <f>VLOOKUP(F1947,'Set up'!$A$2:$E$48,5,FALSE)</f>
        <v>Trsf</v>
      </c>
    </row>
    <row r="1948" spans="1:19" ht="15" hidden="1" customHeight="1" x14ac:dyDescent="0.3">
      <c r="A1948" s="4">
        <v>45140</v>
      </c>
      <c r="B1948" s="5">
        <f t="shared" si="673"/>
        <v>8</v>
      </c>
      <c r="C1948" s="5">
        <f t="shared" si="674"/>
        <v>2023</v>
      </c>
      <c r="D1948" s="88" t="s">
        <v>1796</v>
      </c>
      <c r="E1948" s="5" t="str">
        <f>VLOOKUP(F1948,'Set up'!$A$2:$C$48,2,FALSE)</f>
        <v>C00000010</v>
      </c>
      <c r="F1948" s="1" t="s">
        <v>62</v>
      </c>
      <c r="G1948" s="90" t="s">
        <v>615</v>
      </c>
      <c r="H1948" s="5">
        <v>1</v>
      </c>
      <c r="I1948" s="5">
        <f>VLOOKUP(F1948,'Set up'!$A$2:$C$48,3,FALSE)</f>
        <v>120</v>
      </c>
      <c r="J1948" s="5">
        <f>VLOOKUP(F1948,'Set up'!$A$2:$D$48,4,FALSE)</f>
        <v>120</v>
      </c>
      <c r="K1948" s="4">
        <f t="shared" si="675"/>
        <v>45260</v>
      </c>
      <c r="L1948" s="5">
        <f t="shared" si="676"/>
        <v>11</v>
      </c>
      <c r="M1948" s="5">
        <f t="shared" si="677"/>
        <v>2023</v>
      </c>
      <c r="N1948" s="96">
        <v>395</v>
      </c>
      <c r="P1948" s="6">
        <f t="shared" si="678"/>
        <v>395</v>
      </c>
      <c r="Q1948" s="7">
        <f t="shared" si="679"/>
        <v>3436085.350000001</v>
      </c>
      <c r="R1948" s="44" t="str">
        <f>VLOOKUP(F1948,'Set up'!$A$2:$E$48,5,FALSE)</f>
        <v>Trsf</v>
      </c>
    </row>
    <row r="1949" spans="1:19" ht="15" hidden="1" customHeight="1" x14ac:dyDescent="0.3">
      <c r="A1949" s="4">
        <v>45141</v>
      </c>
      <c r="B1949" s="5">
        <f t="shared" si="673"/>
        <v>8</v>
      </c>
      <c r="C1949" s="5">
        <f t="shared" si="674"/>
        <v>2023</v>
      </c>
      <c r="D1949" s="88" t="s">
        <v>1798</v>
      </c>
      <c r="E1949" s="5" t="str">
        <f>VLOOKUP(F1949,'Set up'!$A$2:$C$48,2,FALSE)</f>
        <v>C00000006</v>
      </c>
      <c r="F1949" s="1" t="s">
        <v>43</v>
      </c>
      <c r="G1949" s="99" t="s">
        <v>95</v>
      </c>
      <c r="H1949" s="5">
        <v>1</v>
      </c>
      <c r="I1949" s="5" t="str">
        <f>VLOOKUP(F1949,'Set up'!$A$2:$C$48,3,FALSE)</f>
        <v>Cash</v>
      </c>
      <c r="J1949" s="5">
        <f>VLOOKUP(F1949,'Set up'!$A$2:$D$48,4,FALSE)</f>
        <v>0</v>
      </c>
      <c r="K1949" s="4">
        <f t="shared" si="675"/>
        <v>45141</v>
      </c>
      <c r="L1949" s="5">
        <f t="shared" si="676"/>
        <v>8</v>
      </c>
      <c r="M1949" s="5">
        <f t="shared" si="677"/>
        <v>2023</v>
      </c>
      <c r="N1949" s="96">
        <v>1738</v>
      </c>
      <c r="O1949" s="6">
        <f>-N1949</f>
        <v>-1738</v>
      </c>
      <c r="P1949" s="6">
        <f t="shared" si="678"/>
        <v>0</v>
      </c>
      <c r="Q1949" s="7">
        <f t="shared" si="679"/>
        <v>3437823.350000001</v>
      </c>
      <c r="R1949" s="44" t="str">
        <f>VLOOKUP(F1949,'Set up'!$A$2:$E$48,5,FALSE)</f>
        <v>Chq</v>
      </c>
      <c r="S1949" s="1" t="s">
        <v>2091</v>
      </c>
    </row>
    <row r="1950" spans="1:19" ht="15" hidden="1" customHeight="1" x14ac:dyDescent="0.3">
      <c r="A1950" s="4">
        <v>45141</v>
      </c>
      <c r="B1950" s="5">
        <f t="shared" si="673"/>
        <v>8</v>
      </c>
      <c r="C1950" s="5">
        <f t="shared" si="674"/>
        <v>2023</v>
      </c>
      <c r="D1950" s="88" t="s">
        <v>1798</v>
      </c>
      <c r="E1950" s="5" t="str">
        <f>VLOOKUP(F1950,'Set up'!$A$2:$C$48,2,FALSE)</f>
        <v>C00000006</v>
      </c>
      <c r="F1950" s="1" t="s">
        <v>43</v>
      </c>
      <c r="G1950" s="90" t="s">
        <v>1797</v>
      </c>
      <c r="H1950" s="5">
        <v>2</v>
      </c>
      <c r="I1950" s="5" t="str">
        <f>VLOOKUP(F1950,'Set up'!$A$2:$C$48,3,FALSE)</f>
        <v>Cash</v>
      </c>
      <c r="J1950" s="5">
        <f>VLOOKUP(F1950,'Set up'!$A$2:$D$48,4,FALSE)</f>
        <v>0</v>
      </c>
      <c r="K1950" s="4">
        <f t="shared" si="675"/>
        <v>45141</v>
      </c>
      <c r="L1950" s="5">
        <f t="shared" si="676"/>
        <v>8</v>
      </c>
      <c r="M1950" s="5">
        <f t="shared" si="677"/>
        <v>2023</v>
      </c>
      <c r="N1950" s="96">
        <v>468</v>
      </c>
      <c r="O1950" s="6">
        <f>-N1950</f>
        <v>-468</v>
      </c>
      <c r="P1950" s="6">
        <f t="shared" si="678"/>
        <v>0</v>
      </c>
      <c r="Q1950" s="7">
        <f t="shared" si="679"/>
        <v>3438291.350000001</v>
      </c>
      <c r="R1950" s="44" t="str">
        <f>VLOOKUP(F1950,'Set up'!$A$2:$E$48,5,FALSE)</f>
        <v>Chq</v>
      </c>
      <c r="S1950" s="1" t="s">
        <v>2091</v>
      </c>
    </row>
    <row r="1951" spans="1:19" ht="15" hidden="1" customHeight="1" x14ac:dyDescent="0.3">
      <c r="A1951" s="4">
        <v>45141</v>
      </c>
      <c r="B1951" s="5">
        <f t="shared" si="673"/>
        <v>8</v>
      </c>
      <c r="C1951" s="5">
        <f t="shared" si="674"/>
        <v>2023</v>
      </c>
      <c r="D1951" s="88" t="s">
        <v>1798</v>
      </c>
      <c r="E1951" s="5" t="str">
        <f>VLOOKUP(F1951,'Set up'!$A$2:$C$48,2,FALSE)</f>
        <v>C00000006</v>
      </c>
      <c r="F1951" s="1" t="s">
        <v>43</v>
      </c>
      <c r="G1951" s="90" t="s">
        <v>1794</v>
      </c>
      <c r="H1951" s="5">
        <v>1</v>
      </c>
      <c r="I1951" s="5" t="str">
        <f>VLOOKUP(F1951,'Set up'!$A$2:$C$48,3,FALSE)</f>
        <v>Cash</v>
      </c>
      <c r="J1951" s="5">
        <f>VLOOKUP(F1951,'Set up'!$A$2:$D$48,4,FALSE)</f>
        <v>0</v>
      </c>
      <c r="K1951" s="4">
        <f t="shared" si="675"/>
        <v>45141</v>
      </c>
      <c r="L1951" s="5">
        <f t="shared" si="676"/>
        <v>8</v>
      </c>
      <c r="M1951" s="5">
        <f t="shared" si="677"/>
        <v>2023</v>
      </c>
      <c r="N1951" s="96">
        <v>175</v>
      </c>
      <c r="O1951" s="6">
        <f>-N1951</f>
        <v>-175</v>
      </c>
      <c r="P1951" s="6">
        <f t="shared" si="678"/>
        <v>0</v>
      </c>
      <c r="Q1951" s="7">
        <f t="shared" si="679"/>
        <v>3438466.350000001</v>
      </c>
      <c r="R1951" s="44" t="str">
        <f>VLOOKUP(F1951,'Set up'!$A$2:$E$48,5,FALSE)</f>
        <v>Chq</v>
      </c>
      <c r="S1951" s="1" t="s">
        <v>2091</v>
      </c>
    </row>
    <row r="1952" spans="1:19" ht="15" hidden="1" customHeight="1" x14ac:dyDescent="0.3">
      <c r="A1952" s="4">
        <v>45142</v>
      </c>
      <c r="B1952" s="5">
        <f t="shared" si="673"/>
        <v>8</v>
      </c>
      <c r="C1952" s="5">
        <f t="shared" si="674"/>
        <v>2023</v>
      </c>
      <c r="D1952" s="88" t="s">
        <v>1799</v>
      </c>
      <c r="E1952" s="5" t="str">
        <f>VLOOKUP(F1952,'Set up'!$A$2:$C$48,2,FALSE)</f>
        <v>C00000019</v>
      </c>
      <c r="F1952" s="1" t="s">
        <v>401</v>
      </c>
      <c r="G1952" s="90" t="s">
        <v>95</v>
      </c>
      <c r="H1952" s="5">
        <v>1</v>
      </c>
      <c r="I1952" s="5" t="str">
        <f>VLOOKUP(F1952,'Set up'!$A$2:$C$48,3,FALSE)</f>
        <v>Cash</v>
      </c>
      <c r="J1952" s="5">
        <f>VLOOKUP(F1952,'Set up'!$A$2:$D$48,4,FALSE)</f>
        <v>0</v>
      </c>
      <c r="K1952" s="4">
        <f t="shared" si="675"/>
        <v>45142</v>
      </c>
      <c r="L1952" s="5">
        <f t="shared" si="676"/>
        <v>8</v>
      </c>
      <c r="M1952" s="5">
        <f t="shared" si="677"/>
        <v>2023</v>
      </c>
      <c r="N1952" s="96">
        <v>1738</v>
      </c>
      <c r="P1952" s="6">
        <f t="shared" si="678"/>
        <v>1738</v>
      </c>
      <c r="Q1952" s="7">
        <f t="shared" si="679"/>
        <v>3440204.350000001</v>
      </c>
      <c r="R1952" s="44" t="str">
        <f>VLOOKUP(F1952,'Set up'!$A$2:$E$48,5,FALSE)</f>
        <v>Trsf</v>
      </c>
    </row>
    <row r="1953" spans="1:19" ht="15" hidden="1" customHeight="1" x14ac:dyDescent="0.3">
      <c r="A1953" s="4">
        <v>45142</v>
      </c>
      <c r="B1953" s="5">
        <f t="shared" si="673"/>
        <v>8</v>
      </c>
      <c r="C1953" s="5">
        <f t="shared" si="674"/>
        <v>2023</v>
      </c>
      <c r="D1953" s="88" t="s">
        <v>1799</v>
      </c>
      <c r="E1953" s="5" t="str">
        <f>VLOOKUP(F1953,'Set up'!$A$2:$C$48,2,FALSE)</f>
        <v>C00000019</v>
      </c>
      <c r="F1953" s="1" t="s">
        <v>401</v>
      </c>
      <c r="G1953" s="90" t="s">
        <v>792</v>
      </c>
      <c r="H1953" s="5">
        <v>2</v>
      </c>
      <c r="I1953" s="5" t="str">
        <f>VLOOKUP(F1953,'Set up'!$A$2:$C$48,3,FALSE)</f>
        <v>Cash</v>
      </c>
      <c r="J1953" s="5">
        <f>VLOOKUP(F1953,'Set up'!$A$2:$D$48,4,FALSE)</f>
        <v>0</v>
      </c>
      <c r="K1953" s="4">
        <f t="shared" si="675"/>
        <v>45142</v>
      </c>
      <c r="L1953" s="5">
        <f t="shared" si="676"/>
        <v>8</v>
      </c>
      <c r="M1953" s="5">
        <f t="shared" si="677"/>
        <v>2023</v>
      </c>
      <c r="N1953" s="96">
        <v>125</v>
      </c>
      <c r="P1953" s="6">
        <f t="shared" si="678"/>
        <v>125</v>
      </c>
      <c r="Q1953" s="7">
        <f t="shared" si="679"/>
        <v>3440329.350000001</v>
      </c>
      <c r="R1953" s="44" t="str">
        <f>VLOOKUP(F1953,'Set up'!$A$2:$E$48,5,FALSE)</f>
        <v>Trsf</v>
      </c>
    </row>
    <row r="1954" spans="1:19" ht="15" hidden="1" customHeight="1" x14ac:dyDescent="0.3">
      <c r="A1954" s="4">
        <v>45142</v>
      </c>
      <c r="B1954" s="5">
        <f t="shared" si="673"/>
        <v>8</v>
      </c>
      <c r="C1954" s="5">
        <f t="shared" si="674"/>
        <v>2023</v>
      </c>
      <c r="D1954" s="88" t="s">
        <v>1799</v>
      </c>
      <c r="E1954" s="5" t="str">
        <f>VLOOKUP(F1954,'Set up'!$A$2:$C$48,2,FALSE)</f>
        <v>C00000019</v>
      </c>
      <c r="F1954" s="1" t="s">
        <v>401</v>
      </c>
      <c r="G1954" s="90" t="s">
        <v>1470</v>
      </c>
      <c r="H1954" s="5">
        <v>1</v>
      </c>
      <c r="I1954" s="5" t="str">
        <f>VLOOKUP(F1954,'Set up'!$A$2:$C$48,3,FALSE)</f>
        <v>Cash</v>
      </c>
      <c r="J1954" s="5">
        <f>VLOOKUP(F1954,'Set up'!$A$2:$D$48,4,FALSE)</f>
        <v>0</v>
      </c>
      <c r="K1954" s="4">
        <f t="shared" si="675"/>
        <v>45142</v>
      </c>
      <c r="L1954" s="5">
        <f t="shared" si="676"/>
        <v>8</v>
      </c>
      <c r="M1954" s="5">
        <f t="shared" si="677"/>
        <v>2023</v>
      </c>
      <c r="N1954" s="96">
        <v>390</v>
      </c>
      <c r="P1954" s="6">
        <f t="shared" si="678"/>
        <v>390</v>
      </c>
      <c r="Q1954" s="7">
        <f t="shared" si="679"/>
        <v>3440719.350000001</v>
      </c>
      <c r="R1954" s="44" t="str">
        <f>VLOOKUP(F1954,'Set up'!$A$2:$E$48,5,FALSE)</f>
        <v>Trsf</v>
      </c>
    </row>
    <row r="1955" spans="1:19" ht="15" hidden="1" customHeight="1" x14ac:dyDescent="0.3">
      <c r="A1955" s="4">
        <v>45142</v>
      </c>
      <c r="B1955" s="5">
        <f t="shared" si="673"/>
        <v>8</v>
      </c>
      <c r="C1955" s="5">
        <f t="shared" si="674"/>
        <v>2023</v>
      </c>
      <c r="D1955" s="88" t="s">
        <v>1799</v>
      </c>
      <c r="E1955" s="5" t="str">
        <f>VLOOKUP(F1955,'Set up'!$A$2:$C$48,2,FALSE)</f>
        <v>C00000019</v>
      </c>
      <c r="F1955" s="1" t="s">
        <v>401</v>
      </c>
      <c r="G1955" s="89" t="s">
        <v>945</v>
      </c>
      <c r="H1955" s="5">
        <v>1</v>
      </c>
      <c r="I1955" s="5" t="str">
        <f>VLOOKUP(F1955,'Set up'!$A$2:$C$48,3,FALSE)</f>
        <v>Cash</v>
      </c>
      <c r="J1955" s="5">
        <f>VLOOKUP(F1955,'Set up'!$A$2:$D$48,4,FALSE)</f>
        <v>0</v>
      </c>
      <c r="K1955" s="4">
        <f t="shared" si="675"/>
        <v>45142</v>
      </c>
      <c r="L1955" s="5">
        <f t="shared" si="676"/>
        <v>8</v>
      </c>
      <c r="M1955" s="5">
        <f t="shared" si="677"/>
        <v>2023</v>
      </c>
      <c r="N1955" s="96">
        <v>420</v>
      </c>
      <c r="P1955" s="6">
        <f t="shared" si="678"/>
        <v>420</v>
      </c>
      <c r="Q1955" s="7">
        <f t="shared" si="679"/>
        <v>3441139.350000001</v>
      </c>
      <c r="R1955" s="44" t="str">
        <f>VLOOKUP(F1955,'Set up'!$A$2:$E$48,5,FALSE)</f>
        <v>Trsf</v>
      </c>
    </row>
    <row r="1956" spans="1:19" ht="15" hidden="1" customHeight="1" x14ac:dyDescent="0.3">
      <c r="A1956" s="4">
        <v>45142</v>
      </c>
      <c r="B1956" s="5">
        <f t="shared" si="673"/>
        <v>8</v>
      </c>
      <c r="C1956" s="5">
        <f t="shared" si="674"/>
        <v>2023</v>
      </c>
      <c r="D1956" s="88" t="s">
        <v>1799</v>
      </c>
      <c r="E1956" s="5" t="str">
        <f>VLOOKUP(F1956,'Set up'!$A$2:$C$48,2,FALSE)</f>
        <v>C00000019</v>
      </c>
      <c r="F1956" s="1" t="s">
        <v>401</v>
      </c>
      <c r="G1956" s="90" t="s">
        <v>1461</v>
      </c>
      <c r="H1956" s="5">
        <v>1</v>
      </c>
      <c r="I1956" s="5" t="str">
        <f>VLOOKUP(F1956,'Set up'!$A$2:$C$48,3,FALSE)</f>
        <v>Cash</v>
      </c>
      <c r="J1956" s="5">
        <f>VLOOKUP(F1956,'Set up'!$A$2:$D$48,4,FALSE)</f>
        <v>0</v>
      </c>
      <c r="K1956" s="4">
        <f t="shared" si="675"/>
        <v>45142</v>
      </c>
      <c r="L1956" s="5">
        <f t="shared" si="676"/>
        <v>8</v>
      </c>
      <c r="M1956" s="5">
        <f t="shared" si="677"/>
        <v>2023</v>
      </c>
      <c r="N1956" s="96">
        <v>160</v>
      </c>
      <c r="P1956" s="6">
        <f t="shared" si="678"/>
        <v>160</v>
      </c>
      <c r="Q1956" s="7">
        <f t="shared" si="679"/>
        <v>3441299.350000001</v>
      </c>
      <c r="R1956" s="44" t="str">
        <f>VLOOKUP(F1956,'Set up'!$A$2:$E$48,5,FALSE)</f>
        <v>Trsf</v>
      </c>
    </row>
    <row r="1957" spans="1:19" ht="15" hidden="1" customHeight="1" x14ac:dyDescent="0.3">
      <c r="A1957" s="4">
        <v>45142</v>
      </c>
      <c r="B1957" s="5">
        <f t="shared" si="673"/>
        <v>8</v>
      </c>
      <c r="C1957" s="5">
        <f t="shared" si="674"/>
        <v>2023</v>
      </c>
      <c r="D1957" s="88" t="s">
        <v>1799</v>
      </c>
      <c r="E1957" s="5" t="str">
        <f>VLOOKUP(F1957,'Set up'!$A$2:$C$48,2,FALSE)</f>
        <v>C00000019</v>
      </c>
      <c r="F1957" s="1" t="s">
        <v>401</v>
      </c>
      <c r="G1957" s="90" t="s">
        <v>895</v>
      </c>
      <c r="H1957" s="5">
        <v>1</v>
      </c>
      <c r="I1957" s="5" t="str">
        <f>VLOOKUP(F1957,'Set up'!$A$2:$C$48,3,FALSE)</f>
        <v>Cash</v>
      </c>
      <c r="J1957" s="5">
        <f>VLOOKUP(F1957,'Set up'!$A$2:$D$48,4,FALSE)</f>
        <v>0</v>
      </c>
      <c r="K1957" s="4">
        <f t="shared" si="675"/>
        <v>45142</v>
      </c>
      <c r="L1957" s="5">
        <f t="shared" si="676"/>
        <v>8</v>
      </c>
      <c r="M1957" s="5">
        <f t="shared" si="677"/>
        <v>2023</v>
      </c>
      <c r="N1957" s="96">
        <v>150</v>
      </c>
      <c r="P1957" s="6">
        <f t="shared" si="678"/>
        <v>150</v>
      </c>
      <c r="Q1957" s="7">
        <f t="shared" si="679"/>
        <v>3441449.350000001</v>
      </c>
      <c r="R1957" s="44" t="str">
        <f>VLOOKUP(F1957,'Set up'!$A$2:$E$48,5,FALSE)</f>
        <v>Trsf</v>
      </c>
    </row>
    <row r="1958" spans="1:19" ht="15" hidden="1" customHeight="1" x14ac:dyDescent="0.3">
      <c r="A1958" s="4">
        <v>45142</v>
      </c>
      <c r="B1958" s="5">
        <f t="shared" si="673"/>
        <v>8</v>
      </c>
      <c r="C1958" s="5">
        <f t="shared" si="674"/>
        <v>2023</v>
      </c>
      <c r="D1958" s="88" t="s">
        <v>1799</v>
      </c>
      <c r="E1958" s="5" t="str">
        <f>VLOOKUP(F1958,'Set up'!$A$2:$C$48,2,FALSE)</f>
        <v>C00000019</v>
      </c>
      <c r="F1958" s="1" t="s">
        <v>401</v>
      </c>
      <c r="G1958" s="90" t="s">
        <v>1628</v>
      </c>
      <c r="H1958" s="5">
        <v>1</v>
      </c>
      <c r="I1958" s="5" t="str">
        <f>VLOOKUP(F1958,'Set up'!$A$2:$C$48,3,FALSE)</f>
        <v>Cash</v>
      </c>
      <c r="J1958" s="5">
        <f>VLOOKUP(F1958,'Set up'!$A$2:$D$48,4,FALSE)</f>
        <v>0</v>
      </c>
      <c r="K1958" s="4">
        <f t="shared" si="675"/>
        <v>45142</v>
      </c>
      <c r="L1958" s="5">
        <f t="shared" si="676"/>
        <v>8</v>
      </c>
      <c r="M1958" s="5">
        <f t="shared" si="677"/>
        <v>2023</v>
      </c>
      <c r="N1958" s="96">
        <v>260</v>
      </c>
      <c r="P1958" s="6">
        <f t="shared" si="678"/>
        <v>260</v>
      </c>
      <c r="Q1958" s="7">
        <f t="shared" si="679"/>
        <v>3441709.350000001</v>
      </c>
      <c r="R1958" s="44" t="str">
        <f>VLOOKUP(F1958,'Set up'!$A$2:$E$48,5,FALSE)</f>
        <v>Trsf</v>
      </c>
    </row>
    <row r="1959" spans="1:19" ht="15" hidden="1" customHeight="1" x14ac:dyDescent="0.3">
      <c r="A1959" s="4">
        <v>45142</v>
      </c>
      <c r="B1959" s="5">
        <f t="shared" si="673"/>
        <v>8</v>
      </c>
      <c r="C1959" s="5">
        <f t="shared" si="674"/>
        <v>2023</v>
      </c>
      <c r="D1959" s="88" t="s">
        <v>1799</v>
      </c>
      <c r="E1959" s="5" t="str">
        <f>VLOOKUP(F1959,'Set up'!$A$2:$C$48,2,FALSE)</f>
        <v>C00000019</v>
      </c>
      <c r="F1959" s="1" t="s">
        <v>401</v>
      </c>
      <c r="G1959" s="89" t="s">
        <v>1469</v>
      </c>
      <c r="H1959" s="5">
        <v>1</v>
      </c>
      <c r="I1959" s="5" t="str">
        <f>VLOOKUP(F1959,'Set up'!$A$2:$C$48,3,FALSE)</f>
        <v>Cash</v>
      </c>
      <c r="J1959" s="5">
        <f>VLOOKUP(F1959,'Set up'!$A$2:$D$48,4,FALSE)</f>
        <v>0</v>
      </c>
      <c r="K1959" s="4">
        <f t="shared" si="675"/>
        <v>45142</v>
      </c>
      <c r="L1959" s="5">
        <f t="shared" si="676"/>
        <v>8</v>
      </c>
      <c r="M1959" s="5">
        <f t="shared" si="677"/>
        <v>2023</v>
      </c>
      <c r="N1959" s="96">
        <v>322.5</v>
      </c>
      <c r="P1959" s="6">
        <f t="shared" si="678"/>
        <v>322.5</v>
      </c>
      <c r="Q1959" s="7">
        <f t="shared" si="679"/>
        <v>3442031.850000001</v>
      </c>
      <c r="R1959" s="44" t="str">
        <f>VLOOKUP(F1959,'Set up'!$A$2:$E$48,5,FALSE)</f>
        <v>Trsf</v>
      </c>
    </row>
    <row r="1960" spans="1:19" ht="15" customHeight="1" x14ac:dyDescent="0.3">
      <c r="A1960" s="4">
        <v>45142</v>
      </c>
      <c r="B1960" s="5">
        <f t="shared" si="673"/>
        <v>8</v>
      </c>
      <c r="C1960" s="5">
        <f t="shared" si="674"/>
        <v>2023</v>
      </c>
      <c r="D1960" s="88" t="s">
        <v>1800</v>
      </c>
      <c r="E1960" s="5" t="str">
        <f>VLOOKUP(F1960,'Set up'!$A$2:$C$48,2,FALSE)</f>
        <v>C00000020</v>
      </c>
      <c r="F1960" s="1" t="s">
        <v>410</v>
      </c>
      <c r="G1960" s="99" t="s">
        <v>1734</v>
      </c>
      <c r="H1960" s="5">
        <v>2</v>
      </c>
      <c r="I1960" s="5" t="str">
        <f>VLOOKUP(F1960,'Set up'!$A$2:$C$48,3,FALSE)</f>
        <v>Cash</v>
      </c>
      <c r="J1960" s="5">
        <f>VLOOKUP(F1960,'Set up'!$A$2:$D$48,4,FALSE)</f>
        <v>0</v>
      </c>
      <c r="K1960" s="4">
        <f t="shared" si="675"/>
        <v>45142</v>
      </c>
      <c r="L1960" s="5">
        <f t="shared" si="676"/>
        <v>8</v>
      </c>
      <c r="M1960" s="5">
        <f t="shared" si="677"/>
        <v>2023</v>
      </c>
      <c r="N1960" s="96">
        <v>3124</v>
      </c>
      <c r="P1960" s="6">
        <f t="shared" si="678"/>
        <v>3124</v>
      </c>
      <c r="Q1960" s="7">
        <f t="shared" si="679"/>
        <v>3445155.850000001</v>
      </c>
      <c r="R1960" s="44" t="str">
        <f>VLOOKUP(F1960,'Set up'!$A$2:$E$48,5,FALSE)</f>
        <v>Trsf</v>
      </c>
    </row>
    <row r="1961" spans="1:19" ht="15" customHeight="1" x14ac:dyDescent="0.3">
      <c r="A1961" s="4">
        <v>45142</v>
      </c>
      <c r="B1961" s="5">
        <f t="shared" si="673"/>
        <v>8</v>
      </c>
      <c r="C1961" s="5">
        <f t="shared" si="674"/>
        <v>2023</v>
      </c>
      <c r="D1961" s="88" t="s">
        <v>1800</v>
      </c>
      <c r="E1961" s="5" t="str">
        <f>VLOOKUP(F1961,'Set up'!$A$2:$C$48,2,FALSE)</f>
        <v>C00000020</v>
      </c>
      <c r="F1961" s="1" t="s">
        <v>410</v>
      </c>
      <c r="G1961" s="99" t="s">
        <v>914</v>
      </c>
      <c r="H1961" s="5">
        <v>6</v>
      </c>
      <c r="I1961" s="5" t="str">
        <f>VLOOKUP(F1961,'Set up'!$A$2:$C$48,3,FALSE)</f>
        <v>Cash</v>
      </c>
      <c r="J1961" s="5">
        <f>VLOOKUP(F1961,'Set up'!$A$2:$D$48,4,FALSE)</f>
        <v>0</v>
      </c>
      <c r="K1961" s="4">
        <f t="shared" si="675"/>
        <v>45142</v>
      </c>
      <c r="L1961" s="5">
        <f t="shared" si="676"/>
        <v>8</v>
      </c>
      <c r="M1961" s="5">
        <f t="shared" si="677"/>
        <v>2023</v>
      </c>
      <c r="N1961" s="96">
        <v>1134</v>
      </c>
      <c r="P1961" s="6">
        <f t="shared" si="678"/>
        <v>1134</v>
      </c>
      <c r="Q1961" s="7">
        <f t="shared" si="679"/>
        <v>3446289.850000001</v>
      </c>
      <c r="R1961" s="44" t="str">
        <f>VLOOKUP(F1961,'Set up'!$A$2:$E$48,5,FALSE)</f>
        <v>Trsf</v>
      </c>
    </row>
    <row r="1962" spans="1:19" ht="15" customHeight="1" x14ac:dyDescent="0.3">
      <c r="A1962" s="4">
        <v>45142</v>
      </c>
      <c r="B1962" s="5">
        <f t="shared" si="673"/>
        <v>8</v>
      </c>
      <c r="C1962" s="5">
        <f t="shared" si="674"/>
        <v>2023</v>
      </c>
      <c r="D1962" s="88" t="s">
        <v>1800</v>
      </c>
      <c r="E1962" s="5" t="str">
        <f>VLOOKUP(F1962,'Set up'!$A$2:$C$48,2,FALSE)</f>
        <v>C00000020</v>
      </c>
      <c r="F1962" s="1" t="s">
        <v>410</v>
      </c>
      <c r="G1962" s="99" t="s">
        <v>779</v>
      </c>
      <c r="H1962" s="5">
        <v>3</v>
      </c>
      <c r="I1962" s="5" t="str">
        <f>VLOOKUP(F1962,'Set up'!$A$2:$C$48,3,FALSE)</f>
        <v>Cash</v>
      </c>
      <c r="J1962" s="5">
        <f>VLOOKUP(F1962,'Set up'!$A$2:$D$48,4,FALSE)</f>
        <v>0</v>
      </c>
      <c r="K1962" s="4">
        <f t="shared" si="675"/>
        <v>45142</v>
      </c>
      <c r="L1962" s="5">
        <f t="shared" si="676"/>
        <v>8</v>
      </c>
      <c r="M1962" s="5">
        <f t="shared" si="677"/>
        <v>2023</v>
      </c>
      <c r="N1962" s="96">
        <v>600</v>
      </c>
      <c r="P1962" s="6">
        <f t="shared" si="678"/>
        <v>600</v>
      </c>
      <c r="Q1962" s="7">
        <f t="shared" si="679"/>
        <v>3446889.850000001</v>
      </c>
      <c r="R1962" s="44" t="str">
        <f>VLOOKUP(F1962,'Set up'!$A$2:$E$48,5,FALSE)</f>
        <v>Trsf</v>
      </c>
    </row>
    <row r="1963" spans="1:19" ht="15" customHeight="1" x14ac:dyDescent="0.3">
      <c r="A1963" s="4">
        <v>45142</v>
      </c>
      <c r="B1963" s="5">
        <f t="shared" si="673"/>
        <v>8</v>
      </c>
      <c r="C1963" s="5">
        <f t="shared" si="674"/>
        <v>2023</v>
      </c>
      <c r="D1963" s="88" t="s">
        <v>1800</v>
      </c>
      <c r="E1963" s="5" t="str">
        <f>VLOOKUP(F1963,'Set up'!$A$2:$C$48,2,FALSE)</f>
        <v>C00000020</v>
      </c>
      <c r="F1963" s="1" t="s">
        <v>410</v>
      </c>
      <c r="G1963" s="99" t="s">
        <v>1074</v>
      </c>
      <c r="H1963" s="5">
        <v>1</v>
      </c>
      <c r="I1963" s="5" t="str">
        <f>VLOOKUP(F1963,'Set up'!$A$2:$C$48,3,FALSE)</f>
        <v>Cash</v>
      </c>
      <c r="J1963" s="5">
        <f>VLOOKUP(F1963,'Set up'!$A$2:$D$48,4,FALSE)</f>
        <v>0</v>
      </c>
      <c r="K1963" s="4">
        <f t="shared" si="675"/>
        <v>45142</v>
      </c>
      <c r="L1963" s="5">
        <f t="shared" si="676"/>
        <v>8</v>
      </c>
      <c r="M1963" s="5">
        <f t="shared" si="677"/>
        <v>2023</v>
      </c>
      <c r="N1963" s="96">
        <v>1000</v>
      </c>
      <c r="P1963" s="6">
        <f t="shared" si="678"/>
        <v>1000</v>
      </c>
      <c r="Q1963" s="7">
        <f t="shared" si="679"/>
        <v>3447889.850000001</v>
      </c>
      <c r="R1963" s="44" t="str">
        <f>VLOOKUP(F1963,'Set up'!$A$2:$E$48,5,FALSE)</f>
        <v>Trsf</v>
      </c>
    </row>
    <row r="1964" spans="1:19" ht="15" hidden="1" customHeight="1" x14ac:dyDescent="0.3">
      <c r="A1964" s="4">
        <v>45145</v>
      </c>
      <c r="B1964" s="5">
        <f t="shared" si="673"/>
        <v>8</v>
      </c>
      <c r="C1964" s="5">
        <f t="shared" si="674"/>
        <v>2023</v>
      </c>
      <c r="D1964" s="88" t="s">
        <v>1805</v>
      </c>
      <c r="E1964" s="5" t="str">
        <f>VLOOKUP(F1964,'Set up'!$A$2:$C$48,2,FALSE)</f>
        <v>C00000014</v>
      </c>
      <c r="F1964" s="1" t="s">
        <v>263</v>
      </c>
      <c r="G1964" s="99" t="s">
        <v>1801</v>
      </c>
      <c r="H1964" s="5">
        <v>2</v>
      </c>
      <c r="I1964" s="5" t="str">
        <f>VLOOKUP(F1964,'Set up'!$A$2:$C$48,3,FALSE)</f>
        <v>Cash</v>
      </c>
      <c r="J1964" s="5">
        <f>VLOOKUP(F1964,'Set up'!$A$2:$D$48,4,FALSE)</f>
        <v>0</v>
      </c>
      <c r="K1964" s="4">
        <f t="shared" si="675"/>
        <v>45145</v>
      </c>
      <c r="L1964" s="5">
        <f t="shared" si="676"/>
        <v>8</v>
      </c>
      <c r="M1964" s="5">
        <f t="shared" si="677"/>
        <v>2023</v>
      </c>
      <c r="N1964" s="96">
        <v>645</v>
      </c>
      <c r="O1964" s="6">
        <f t="shared" ref="O1964:O1967" si="682">-N1964</f>
        <v>-645</v>
      </c>
      <c r="P1964" s="6">
        <f t="shared" si="678"/>
        <v>0</v>
      </c>
      <c r="Q1964" s="7">
        <f t="shared" si="679"/>
        <v>3448534.850000001</v>
      </c>
      <c r="R1964" s="44" t="str">
        <f>VLOOKUP(F1964,'Set up'!$A$2:$E$48,5,FALSE)</f>
        <v>Cash</v>
      </c>
      <c r="S1964" s="1" t="s">
        <v>1844</v>
      </c>
    </row>
    <row r="1965" spans="1:19" ht="15" hidden="1" customHeight="1" x14ac:dyDescent="0.3">
      <c r="A1965" s="4">
        <v>45145</v>
      </c>
      <c r="B1965" s="5">
        <f t="shared" si="673"/>
        <v>8</v>
      </c>
      <c r="C1965" s="5">
        <f t="shared" si="674"/>
        <v>2023</v>
      </c>
      <c r="D1965" s="88" t="s">
        <v>1805</v>
      </c>
      <c r="E1965" s="5" t="str">
        <f>VLOOKUP(F1965,'Set up'!$A$2:$C$48,2,FALSE)</f>
        <v>C00000014</v>
      </c>
      <c r="F1965" s="1" t="s">
        <v>263</v>
      </c>
      <c r="G1965" s="99" t="s">
        <v>1802</v>
      </c>
      <c r="H1965" s="5">
        <v>1</v>
      </c>
      <c r="I1965" s="5" t="str">
        <f>VLOOKUP(F1965,'Set up'!$A$2:$C$48,3,FALSE)</f>
        <v>Cash</v>
      </c>
      <c r="J1965" s="5">
        <f>VLOOKUP(F1965,'Set up'!$A$2:$D$48,4,FALSE)</f>
        <v>0</v>
      </c>
      <c r="K1965" s="4">
        <f t="shared" si="675"/>
        <v>45145</v>
      </c>
      <c r="L1965" s="5">
        <f t="shared" si="676"/>
        <v>8</v>
      </c>
      <c r="M1965" s="5">
        <f t="shared" si="677"/>
        <v>2023</v>
      </c>
      <c r="N1965" s="96">
        <v>283.8</v>
      </c>
      <c r="O1965" s="6">
        <f t="shared" si="682"/>
        <v>-283.8</v>
      </c>
      <c r="P1965" s="6">
        <f t="shared" si="678"/>
        <v>0</v>
      </c>
      <c r="Q1965" s="7">
        <f t="shared" si="679"/>
        <v>3448818.6500000008</v>
      </c>
      <c r="R1965" s="44" t="str">
        <f>VLOOKUP(F1965,'Set up'!$A$2:$E$48,5,FALSE)</f>
        <v>Cash</v>
      </c>
      <c r="S1965" s="1" t="s">
        <v>1844</v>
      </c>
    </row>
    <row r="1966" spans="1:19" ht="15" hidden="1" customHeight="1" x14ac:dyDescent="0.3">
      <c r="A1966" s="4">
        <v>45145</v>
      </c>
      <c r="B1966" s="5">
        <f t="shared" si="673"/>
        <v>8</v>
      </c>
      <c r="C1966" s="5">
        <f t="shared" si="674"/>
        <v>2023</v>
      </c>
      <c r="D1966" s="88" t="s">
        <v>1805</v>
      </c>
      <c r="E1966" s="5" t="str">
        <f>VLOOKUP(F1966,'Set up'!$A$2:$C$48,2,FALSE)</f>
        <v>C00000014</v>
      </c>
      <c r="F1966" s="1" t="s">
        <v>263</v>
      </c>
      <c r="G1966" s="99" t="s">
        <v>1803</v>
      </c>
      <c r="H1966" s="5">
        <v>1</v>
      </c>
      <c r="I1966" s="5" t="str">
        <f>VLOOKUP(F1966,'Set up'!$A$2:$C$48,3,FALSE)</f>
        <v>Cash</v>
      </c>
      <c r="J1966" s="5">
        <f>VLOOKUP(F1966,'Set up'!$A$2:$D$48,4,FALSE)</f>
        <v>0</v>
      </c>
      <c r="K1966" s="4">
        <f t="shared" si="675"/>
        <v>45145</v>
      </c>
      <c r="L1966" s="5">
        <f t="shared" si="676"/>
        <v>8</v>
      </c>
      <c r="M1966" s="5">
        <f t="shared" si="677"/>
        <v>2023</v>
      </c>
      <c r="N1966" s="96">
        <v>160</v>
      </c>
      <c r="O1966" s="6">
        <f t="shared" si="682"/>
        <v>-160</v>
      </c>
      <c r="P1966" s="6">
        <f t="shared" si="678"/>
        <v>0</v>
      </c>
      <c r="Q1966" s="7">
        <f t="shared" si="679"/>
        <v>3448978.6500000008</v>
      </c>
      <c r="R1966" s="44" t="str">
        <f>VLOOKUP(F1966,'Set up'!$A$2:$E$48,5,FALSE)</f>
        <v>Cash</v>
      </c>
      <c r="S1966" s="1" t="s">
        <v>1844</v>
      </c>
    </row>
    <row r="1967" spans="1:19" ht="15" hidden="1" customHeight="1" x14ac:dyDescent="0.3">
      <c r="A1967" s="4">
        <v>45145</v>
      </c>
      <c r="B1967" s="5">
        <f t="shared" si="673"/>
        <v>8</v>
      </c>
      <c r="C1967" s="5">
        <f t="shared" si="674"/>
        <v>2023</v>
      </c>
      <c r="D1967" s="88" t="s">
        <v>1805</v>
      </c>
      <c r="E1967" s="5" t="str">
        <f>VLOOKUP(F1967,'Set up'!$A$2:$C$48,2,FALSE)</f>
        <v>C00000014</v>
      </c>
      <c r="F1967" s="1" t="s">
        <v>263</v>
      </c>
      <c r="G1967" s="99" t="s">
        <v>1804</v>
      </c>
      <c r="H1967" s="5">
        <v>1</v>
      </c>
      <c r="I1967" s="5" t="str">
        <f>VLOOKUP(F1967,'Set up'!$A$2:$C$48,3,FALSE)</f>
        <v>Cash</v>
      </c>
      <c r="J1967" s="5">
        <f>VLOOKUP(F1967,'Set up'!$A$2:$D$48,4,FALSE)</f>
        <v>0</v>
      </c>
      <c r="K1967" s="4">
        <f t="shared" si="675"/>
        <v>45145</v>
      </c>
      <c r="L1967" s="5">
        <f t="shared" si="676"/>
        <v>8</v>
      </c>
      <c r="M1967" s="5">
        <f t="shared" si="677"/>
        <v>2023</v>
      </c>
      <c r="N1967" s="96">
        <v>0</v>
      </c>
      <c r="O1967" s="6">
        <f t="shared" si="682"/>
        <v>0</v>
      </c>
      <c r="P1967" s="6">
        <f t="shared" si="678"/>
        <v>0</v>
      </c>
      <c r="Q1967" s="7">
        <f t="shared" si="679"/>
        <v>3448978.6500000008</v>
      </c>
      <c r="R1967" s="44" t="str">
        <f>VLOOKUP(F1967,'Set up'!$A$2:$E$48,5,FALSE)</f>
        <v>Cash</v>
      </c>
      <c r="S1967" s="1" t="s">
        <v>1844</v>
      </c>
    </row>
    <row r="1968" spans="1:19" ht="15" customHeight="1" x14ac:dyDescent="0.3">
      <c r="A1968" s="4">
        <v>45145</v>
      </c>
      <c r="B1968" s="5">
        <f t="shared" si="673"/>
        <v>8</v>
      </c>
      <c r="C1968" s="5">
        <f t="shared" si="674"/>
        <v>2023</v>
      </c>
      <c r="D1968" s="88" t="s">
        <v>1805</v>
      </c>
      <c r="E1968" s="5" t="str">
        <f>VLOOKUP(F1968,'Set up'!$A$2:$C$48,2,FALSE)</f>
        <v>C00000020</v>
      </c>
      <c r="F1968" s="1" t="s">
        <v>410</v>
      </c>
      <c r="G1968" s="99" t="s">
        <v>1111</v>
      </c>
      <c r="H1968" s="5">
        <v>4</v>
      </c>
      <c r="I1968" s="5" t="str">
        <f>VLOOKUP(F1968,'Set up'!$A$2:$C$48,3,FALSE)</f>
        <v>Cash</v>
      </c>
      <c r="J1968" s="5">
        <f>VLOOKUP(F1968,'Set up'!$A$2:$D$48,4,FALSE)</f>
        <v>0</v>
      </c>
      <c r="K1968" s="4">
        <f t="shared" si="675"/>
        <v>45145</v>
      </c>
      <c r="L1968" s="5">
        <f t="shared" si="676"/>
        <v>8</v>
      </c>
      <c r="M1968" s="5">
        <f t="shared" si="677"/>
        <v>2023</v>
      </c>
      <c r="N1968" s="96">
        <v>250</v>
      </c>
      <c r="P1968" s="6">
        <f t="shared" si="678"/>
        <v>250</v>
      </c>
      <c r="Q1968" s="7">
        <f t="shared" si="679"/>
        <v>3449228.6500000008</v>
      </c>
      <c r="R1968" s="44" t="str">
        <f>VLOOKUP(F1968,'Set up'!$A$2:$E$48,5,FALSE)</f>
        <v>Trsf</v>
      </c>
    </row>
    <row r="1969" spans="1:19" ht="15" customHeight="1" x14ac:dyDescent="0.3">
      <c r="A1969" s="4">
        <v>45145</v>
      </c>
      <c r="B1969" s="5">
        <f t="shared" si="673"/>
        <v>8</v>
      </c>
      <c r="C1969" s="5">
        <f t="shared" si="674"/>
        <v>2023</v>
      </c>
      <c r="D1969" s="88" t="s">
        <v>1806</v>
      </c>
      <c r="E1969" s="5" t="str">
        <f>VLOOKUP(F1969,'Set up'!$A$2:$C$48,2,FALSE)</f>
        <v>C00000020</v>
      </c>
      <c r="F1969" s="1" t="s">
        <v>410</v>
      </c>
      <c r="G1969" s="99" t="s">
        <v>1734</v>
      </c>
      <c r="H1969" s="5">
        <v>2</v>
      </c>
      <c r="I1969" s="5" t="str">
        <f>VLOOKUP(F1969,'Set up'!$A$2:$C$48,3,FALSE)</f>
        <v>Cash</v>
      </c>
      <c r="J1969" s="5">
        <f>VLOOKUP(F1969,'Set up'!$A$2:$D$48,4,FALSE)</f>
        <v>0</v>
      </c>
      <c r="K1969" s="4">
        <f t="shared" si="675"/>
        <v>45145</v>
      </c>
      <c r="L1969" s="5">
        <f t="shared" si="676"/>
        <v>8</v>
      </c>
      <c r="M1969" s="5">
        <f t="shared" si="677"/>
        <v>2023</v>
      </c>
      <c r="N1969" s="96">
        <v>3124</v>
      </c>
      <c r="P1969" s="6">
        <f t="shared" si="678"/>
        <v>3124</v>
      </c>
      <c r="Q1969" s="7">
        <f t="shared" si="679"/>
        <v>3452352.6500000008</v>
      </c>
      <c r="R1969" s="44" t="str">
        <f>VLOOKUP(F1969,'Set up'!$A$2:$E$48,5,FALSE)</f>
        <v>Trsf</v>
      </c>
    </row>
    <row r="1970" spans="1:19" ht="15" customHeight="1" x14ac:dyDescent="0.3">
      <c r="A1970" s="4">
        <v>45145</v>
      </c>
      <c r="B1970" s="5">
        <f t="shared" si="673"/>
        <v>8</v>
      </c>
      <c r="C1970" s="5">
        <f t="shared" si="674"/>
        <v>2023</v>
      </c>
      <c r="D1970" s="88" t="s">
        <v>1807</v>
      </c>
      <c r="E1970" s="5" t="str">
        <f>VLOOKUP(F1970,'Set up'!$A$2:$C$48,2,FALSE)</f>
        <v>C00000020</v>
      </c>
      <c r="F1970" s="1" t="s">
        <v>410</v>
      </c>
      <c r="G1970" s="99" t="s">
        <v>914</v>
      </c>
      <c r="H1970" s="5">
        <v>6</v>
      </c>
      <c r="I1970" s="5" t="str">
        <f>VLOOKUP(F1970,'Set up'!$A$2:$C$48,3,FALSE)</f>
        <v>Cash</v>
      </c>
      <c r="J1970" s="5">
        <f>VLOOKUP(F1970,'Set up'!$A$2:$D$48,4,FALSE)</f>
        <v>0</v>
      </c>
      <c r="K1970" s="4">
        <f t="shared" si="675"/>
        <v>45145</v>
      </c>
      <c r="L1970" s="5">
        <f t="shared" si="676"/>
        <v>8</v>
      </c>
      <c r="M1970" s="5">
        <f t="shared" si="677"/>
        <v>2023</v>
      </c>
      <c r="N1970" s="96">
        <v>1134</v>
      </c>
      <c r="P1970" s="6">
        <f t="shared" si="678"/>
        <v>1134</v>
      </c>
      <c r="Q1970" s="7">
        <f t="shared" si="679"/>
        <v>3453486.6500000008</v>
      </c>
      <c r="R1970" s="44" t="str">
        <f>VLOOKUP(F1970,'Set up'!$A$2:$E$48,5,FALSE)</f>
        <v>Trsf</v>
      </c>
    </row>
    <row r="1971" spans="1:19" ht="15" customHeight="1" x14ac:dyDescent="0.3">
      <c r="A1971" s="4">
        <v>45145</v>
      </c>
      <c r="B1971" s="5">
        <f t="shared" si="673"/>
        <v>8</v>
      </c>
      <c r="C1971" s="5">
        <f t="shared" si="674"/>
        <v>2023</v>
      </c>
      <c r="D1971" s="88" t="s">
        <v>1807</v>
      </c>
      <c r="E1971" s="5" t="str">
        <f>VLOOKUP(F1971,'Set up'!$A$2:$C$48,2,FALSE)</f>
        <v>C00000020</v>
      </c>
      <c r="F1971" s="1" t="s">
        <v>410</v>
      </c>
      <c r="G1971" s="99" t="s">
        <v>779</v>
      </c>
      <c r="H1971" s="5">
        <v>3</v>
      </c>
      <c r="I1971" s="5" t="str">
        <f>VLOOKUP(F1971,'Set up'!$A$2:$C$48,3,FALSE)</f>
        <v>Cash</v>
      </c>
      <c r="J1971" s="5">
        <f>VLOOKUP(F1971,'Set up'!$A$2:$D$48,4,FALSE)</f>
        <v>0</v>
      </c>
      <c r="K1971" s="4">
        <f t="shared" si="675"/>
        <v>45145</v>
      </c>
      <c r="L1971" s="5">
        <f t="shared" si="676"/>
        <v>8</v>
      </c>
      <c r="M1971" s="5">
        <f t="shared" si="677"/>
        <v>2023</v>
      </c>
      <c r="N1971" s="96">
        <v>600</v>
      </c>
      <c r="P1971" s="6">
        <f t="shared" si="678"/>
        <v>600</v>
      </c>
      <c r="Q1971" s="7">
        <f t="shared" si="679"/>
        <v>3454086.6500000008</v>
      </c>
      <c r="R1971" s="44" t="str">
        <f>VLOOKUP(F1971,'Set up'!$A$2:$E$48,5,FALSE)</f>
        <v>Trsf</v>
      </c>
    </row>
    <row r="1972" spans="1:19" ht="15" customHeight="1" x14ac:dyDescent="0.3">
      <c r="A1972" s="4">
        <v>45145</v>
      </c>
      <c r="B1972" s="5">
        <f t="shared" si="673"/>
        <v>8</v>
      </c>
      <c r="C1972" s="5">
        <f t="shared" si="674"/>
        <v>2023</v>
      </c>
      <c r="D1972" s="88" t="s">
        <v>1807</v>
      </c>
      <c r="E1972" s="5" t="str">
        <f>VLOOKUP(F1972,'Set up'!$A$2:$C$48,2,FALSE)</f>
        <v>C00000020</v>
      </c>
      <c r="F1972" s="1" t="s">
        <v>410</v>
      </c>
      <c r="G1972" s="99" t="s">
        <v>1074</v>
      </c>
      <c r="H1972" s="5">
        <v>1</v>
      </c>
      <c r="I1972" s="5" t="str">
        <f>VLOOKUP(F1972,'Set up'!$A$2:$C$48,3,FALSE)</f>
        <v>Cash</v>
      </c>
      <c r="J1972" s="5">
        <f>VLOOKUP(F1972,'Set up'!$A$2:$D$48,4,FALSE)</f>
        <v>0</v>
      </c>
      <c r="K1972" s="4">
        <f t="shared" si="675"/>
        <v>45145</v>
      </c>
      <c r="L1972" s="5">
        <f t="shared" si="676"/>
        <v>8</v>
      </c>
      <c r="M1972" s="5">
        <f t="shared" si="677"/>
        <v>2023</v>
      </c>
      <c r="N1972" s="96">
        <v>1000</v>
      </c>
      <c r="P1972" s="6">
        <f t="shared" si="678"/>
        <v>1000</v>
      </c>
      <c r="Q1972" s="7">
        <f t="shared" si="679"/>
        <v>3455086.6500000008</v>
      </c>
      <c r="R1972" s="44" t="str">
        <f>VLOOKUP(F1972,'Set up'!$A$2:$E$48,5,FALSE)</f>
        <v>Trsf</v>
      </c>
    </row>
    <row r="1973" spans="1:19" ht="15" hidden="1" customHeight="1" x14ac:dyDescent="0.3">
      <c r="A1973" s="4">
        <v>45145</v>
      </c>
      <c r="B1973" s="5">
        <f t="shared" si="673"/>
        <v>8</v>
      </c>
      <c r="C1973" s="5">
        <f t="shared" si="674"/>
        <v>2023</v>
      </c>
      <c r="D1973" s="88" t="s">
        <v>1808</v>
      </c>
      <c r="E1973" s="5" t="str">
        <f>VLOOKUP(F1973,'Set up'!$A$2:$C$48,2,FALSE)</f>
        <v>C00000034</v>
      </c>
      <c r="F1973" s="1" t="s">
        <v>1197</v>
      </c>
      <c r="G1973" s="99" t="s">
        <v>1432</v>
      </c>
      <c r="H1973" s="5">
        <v>1</v>
      </c>
      <c r="I1973" s="5" t="str">
        <f>VLOOKUP(F1973,'Set up'!$A$2:$C$48,3,FALSE)</f>
        <v>Cash</v>
      </c>
      <c r="J1973" s="5">
        <f>VLOOKUP(F1973,'Set up'!$A$2:$D$48,4,FALSE)</f>
        <v>0</v>
      </c>
      <c r="K1973" s="4">
        <f t="shared" si="675"/>
        <v>45145</v>
      </c>
      <c r="L1973" s="5">
        <f t="shared" si="676"/>
        <v>8</v>
      </c>
      <c r="M1973" s="5">
        <f t="shared" si="677"/>
        <v>2023</v>
      </c>
      <c r="N1973" s="96">
        <v>225</v>
      </c>
      <c r="O1973" s="6">
        <f t="shared" ref="O1973" si="683">-N1973</f>
        <v>-225</v>
      </c>
      <c r="P1973" s="6">
        <f t="shared" si="678"/>
        <v>0</v>
      </c>
      <c r="Q1973" s="7">
        <f t="shared" si="679"/>
        <v>3455311.6500000008</v>
      </c>
      <c r="R1973" s="44" t="str">
        <f>VLOOKUP(F1973,'Set up'!$A$2:$E$48,5,FALSE)</f>
        <v>Trsf</v>
      </c>
      <c r="S1973" s="1" t="s">
        <v>1849</v>
      </c>
    </row>
    <row r="1974" spans="1:19" ht="15" hidden="1" customHeight="1" x14ac:dyDescent="0.3">
      <c r="A1974" s="4">
        <v>45145</v>
      </c>
      <c r="B1974" s="5">
        <f t="shared" si="673"/>
        <v>8</v>
      </c>
      <c r="C1974" s="5">
        <f t="shared" si="674"/>
        <v>2023</v>
      </c>
      <c r="D1974" s="88" t="s">
        <v>1808</v>
      </c>
      <c r="E1974" s="5" t="str">
        <f>VLOOKUP(F1974,'Set up'!$A$2:$C$48,2,FALSE)</f>
        <v>C00000034</v>
      </c>
      <c r="F1974" s="1" t="s">
        <v>1197</v>
      </c>
      <c r="G1974" s="99" t="s">
        <v>1352</v>
      </c>
      <c r="H1974" s="5">
        <v>5</v>
      </c>
      <c r="I1974" s="5" t="str">
        <f>VLOOKUP(F1974,'Set up'!$A$2:$C$48,3,FALSE)</f>
        <v>Cash</v>
      </c>
      <c r="J1974" s="5">
        <f>VLOOKUP(F1974,'Set up'!$A$2:$D$48,4,FALSE)</f>
        <v>0</v>
      </c>
      <c r="K1974" s="4">
        <f t="shared" si="675"/>
        <v>45145</v>
      </c>
      <c r="L1974" s="5">
        <f t="shared" si="676"/>
        <v>8</v>
      </c>
      <c r="M1974" s="5">
        <f t="shared" si="677"/>
        <v>2023</v>
      </c>
      <c r="N1974" s="96">
        <v>695</v>
      </c>
      <c r="O1974" s="6">
        <f>-79.7-615.3</f>
        <v>-695</v>
      </c>
      <c r="P1974" s="6">
        <f t="shared" si="678"/>
        <v>0</v>
      </c>
      <c r="Q1974" s="7">
        <f t="shared" si="679"/>
        <v>3456006.6500000008</v>
      </c>
      <c r="R1974" s="44" t="str">
        <f>VLOOKUP(F1974,'Set up'!$A$2:$E$48,5,FALSE)</f>
        <v>Trsf</v>
      </c>
      <c r="S1974" s="1" t="s">
        <v>1875</v>
      </c>
    </row>
    <row r="1975" spans="1:19" ht="15" hidden="1" customHeight="1" x14ac:dyDescent="0.3">
      <c r="A1975" s="4">
        <v>45146</v>
      </c>
      <c r="B1975" s="5">
        <f t="shared" si="673"/>
        <v>8</v>
      </c>
      <c r="C1975" s="5">
        <f t="shared" si="674"/>
        <v>2023</v>
      </c>
      <c r="D1975" s="88" t="s">
        <v>1809</v>
      </c>
      <c r="E1975" s="5" t="str">
        <f>VLOOKUP(F1975,'Set up'!$A$2:$C$48,2,FALSE)</f>
        <v>C00000037</v>
      </c>
      <c r="F1975" s="1" t="s">
        <v>1310</v>
      </c>
      <c r="G1975" s="99" t="s">
        <v>708</v>
      </c>
      <c r="H1975" s="5">
        <v>1</v>
      </c>
      <c r="I1975" s="5">
        <f>VLOOKUP(F1975,'Set up'!$A$2:$C$48,3,FALSE)</f>
        <v>30</v>
      </c>
      <c r="J1975" s="5">
        <f>VLOOKUP(F1975,'Set up'!$A$2:$D$48,4,FALSE)</f>
        <v>30</v>
      </c>
      <c r="K1975" s="4">
        <f t="shared" si="675"/>
        <v>45176</v>
      </c>
      <c r="L1975" s="5">
        <f t="shared" si="676"/>
        <v>9</v>
      </c>
      <c r="M1975" s="5">
        <f t="shared" si="677"/>
        <v>2023</v>
      </c>
      <c r="N1975" s="96">
        <v>421.2</v>
      </c>
      <c r="O1975" s="6">
        <f t="shared" ref="O1975:O1977" si="684">-N1975</f>
        <v>-421.2</v>
      </c>
      <c r="P1975" s="6">
        <f t="shared" si="678"/>
        <v>0</v>
      </c>
      <c r="Q1975" s="7">
        <f t="shared" si="679"/>
        <v>3456427.850000001</v>
      </c>
      <c r="R1975" s="44" t="str">
        <f>VLOOKUP(F1975,'Set up'!$A$2:$E$48,5,FALSE)</f>
        <v>Chq</v>
      </c>
      <c r="S1975" s="1" t="s">
        <v>1858</v>
      </c>
    </row>
    <row r="1976" spans="1:19" ht="15" hidden="1" customHeight="1" x14ac:dyDescent="0.3">
      <c r="A1976" s="4">
        <v>45146</v>
      </c>
      <c r="B1976" s="5">
        <f t="shared" si="673"/>
        <v>8</v>
      </c>
      <c r="C1976" s="5">
        <f t="shared" si="674"/>
        <v>2023</v>
      </c>
      <c r="D1976" s="88" t="s">
        <v>1809</v>
      </c>
      <c r="E1976" s="5" t="str">
        <f>VLOOKUP(F1976,'Set up'!$A$2:$C$48,2,FALSE)</f>
        <v>C00000037</v>
      </c>
      <c r="F1976" s="1" t="s">
        <v>1310</v>
      </c>
      <c r="G1976" s="99" t="s">
        <v>1406</v>
      </c>
      <c r="H1976" s="5">
        <v>3</v>
      </c>
      <c r="I1976" s="5">
        <f>VLOOKUP(F1976,'Set up'!$A$2:$C$48,3,FALSE)</f>
        <v>30</v>
      </c>
      <c r="J1976" s="5">
        <f>VLOOKUP(F1976,'Set up'!$A$2:$D$48,4,FALSE)</f>
        <v>30</v>
      </c>
      <c r="K1976" s="4">
        <f t="shared" si="675"/>
        <v>45176</v>
      </c>
      <c r="L1976" s="5">
        <f t="shared" si="676"/>
        <v>9</v>
      </c>
      <c r="M1976" s="5">
        <f t="shared" si="677"/>
        <v>2023</v>
      </c>
      <c r="N1976" s="96">
        <v>144</v>
      </c>
      <c r="O1976" s="6">
        <f t="shared" si="684"/>
        <v>-144</v>
      </c>
      <c r="P1976" s="6">
        <f t="shared" si="678"/>
        <v>0</v>
      </c>
      <c r="Q1976" s="7">
        <f t="shared" si="679"/>
        <v>3456571.850000001</v>
      </c>
      <c r="R1976" s="44" t="str">
        <f>VLOOKUP(F1976,'Set up'!$A$2:$E$48,5,FALSE)</f>
        <v>Chq</v>
      </c>
      <c r="S1976" s="1" t="s">
        <v>1858</v>
      </c>
    </row>
    <row r="1977" spans="1:19" ht="15" hidden="1" customHeight="1" x14ac:dyDescent="0.3">
      <c r="A1977" s="4">
        <v>45147</v>
      </c>
      <c r="B1977" s="5">
        <f t="shared" si="673"/>
        <v>8</v>
      </c>
      <c r="C1977" s="5">
        <f t="shared" si="674"/>
        <v>2023</v>
      </c>
      <c r="D1977" s="88" t="s">
        <v>1810</v>
      </c>
      <c r="E1977" s="5" t="str">
        <f>VLOOKUP(F1977,'Set up'!$A$2:$C$48,2,FALSE)</f>
        <v>C00000009</v>
      </c>
      <c r="F1977" s="1" t="s">
        <v>58</v>
      </c>
      <c r="G1977" s="99" t="s">
        <v>46</v>
      </c>
      <c r="H1977" s="5">
        <v>2</v>
      </c>
      <c r="I1977" s="5">
        <f>VLOOKUP(F1977,'Set up'!$A$2:$C$48,3,FALSE)</f>
        <v>60</v>
      </c>
      <c r="J1977" s="5">
        <f>VLOOKUP(F1977,'Set up'!$A$2:$D$48,4,FALSE)</f>
        <v>60</v>
      </c>
      <c r="K1977" s="4">
        <f t="shared" si="675"/>
        <v>45207</v>
      </c>
      <c r="L1977" s="5">
        <f t="shared" si="676"/>
        <v>10</v>
      </c>
      <c r="M1977" s="5">
        <f t="shared" si="677"/>
        <v>2023</v>
      </c>
      <c r="N1977" s="96">
        <v>220</v>
      </c>
      <c r="O1977" s="6">
        <f t="shared" si="684"/>
        <v>-220</v>
      </c>
      <c r="P1977" s="6">
        <f t="shared" si="678"/>
        <v>0</v>
      </c>
      <c r="Q1977" s="7">
        <f t="shared" si="679"/>
        <v>3456791.850000001</v>
      </c>
      <c r="R1977" s="44" t="str">
        <f>VLOOKUP(F1977,'Set up'!$A$2:$E$48,5,FALSE)</f>
        <v>Chq</v>
      </c>
      <c r="S1977" s="1" t="s">
        <v>2332</v>
      </c>
    </row>
    <row r="1978" spans="1:19" ht="15" hidden="1" customHeight="1" x14ac:dyDescent="0.3">
      <c r="A1978" s="4">
        <v>45152</v>
      </c>
      <c r="B1978" s="5">
        <f t="shared" si="673"/>
        <v>8</v>
      </c>
      <c r="C1978" s="5">
        <f t="shared" si="674"/>
        <v>2023</v>
      </c>
      <c r="D1978" s="88" t="s">
        <v>1811</v>
      </c>
      <c r="E1978" s="5" t="str">
        <f>VLOOKUP(F1978,'Set up'!$A$2:$C$48,2,FALSE)</f>
        <v>C00000034</v>
      </c>
      <c r="F1978" s="1" t="s">
        <v>1197</v>
      </c>
      <c r="G1978" s="99" t="s">
        <v>1406</v>
      </c>
      <c r="H1978" s="5">
        <v>3</v>
      </c>
      <c r="I1978" s="5" t="str">
        <f>VLOOKUP(F1978,'Set up'!$A$2:$C$48,3,FALSE)</f>
        <v>Cash</v>
      </c>
      <c r="J1978" s="5">
        <f>VLOOKUP(F1978,'Set up'!$A$2:$D$48,4,FALSE)</f>
        <v>0</v>
      </c>
      <c r="K1978" s="4">
        <f t="shared" si="675"/>
        <v>45152</v>
      </c>
      <c r="L1978" s="5">
        <f t="shared" si="676"/>
        <v>8</v>
      </c>
      <c r="M1978" s="5">
        <f t="shared" si="677"/>
        <v>2023</v>
      </c>
      <c r="N1978" s="96">
        <v>150</v>
      </c>
      <c r="O1978" s="6">
        <f t="shared" ref="O1978:O1983" si="685">-N1978</f>
        <v>-150</v>
      </c>
      <c r="P1978" s="6">
        <f t="shared" si="678"/>
        <v>0</v>
      </c>
      <c r="Q1978" s="7">
        <f t="shared" si="679"/>
        <v>3456941.850000001</v>
      </c>
      <c r="R1978" s="44" t="str">
        <f>VLOOKUP(F1978,'Set up'!$A$2:$E$48,5,FALSE)</f>
        <v>Trsf</v>
      </c>
      <c r="S1978" s="1" t="s">
        <v>1851</v>
      </c>
    </row>
    <row r="1979" spans="1:19" ht="15" hidden="1" customHeight="1" x14ac:dyDescent="0.3">
      <c r="A1979" s="4">
        <v>45152</v>
      </c>
      <c r="B1979" s="5">
        <f t="shared" si="673"/>
        <v>8</v>
      </c>
      <c r="C1979" s="5">
        <f t="shared" si="674"/>
        <v>2023</v>
      </c>
      <c r="D1979" s="88" t="s">
        <v>1811</v>
      </c>
      <c r="E1979" s="5" t="str">
        <f>VLOOKUP(F1979,'Set up'!$A$2:$C$48,2,FALSE)</f>
        <v>C00000034</v>
      </c>
      <c r="F1979" s="1" t="s">
        <v>1197</v>
      </c>
      <c r="G1979" s="99" t="s">
        <v>1352</v>
      </c>
      <c r="H1979" s="5">
        <v>6</v>
      </c>
      <c r="I1979" s="5" t="str">
        <f>VLOOKUP(F1979,'Set up'!$A$2:$C$48,3,FALSE)</f>
        <v>Cash</v>
      </c>
      <c r="J1979" s="5">
        <f>VLOOKUP(F1979,'Set up'!$A$2:$D$48,4,FALSE)</f>
        <v>0</v>
      </c>
      <c r="K1979" s="4">
        <f t="shared" si="675"/>
        <v>45152</v>
      </c>
      <c r="L1979" s="5">
        <f t="shared" si="676"/>
        <v>8</v>
      </c>
      <c r="M1979" s="5">
        <f t="shared" si="677"/>
        <v>2023</v>
      </c>
      <c r="N1979" s="96">
        <v>834</v>
      </c>
      <c r="O1979" s="6">
        <f t="shared" si="685"/>
        <v>-834</v>
      </c>
      <c r="P1979" s="6">
        <f t="shared" si="678"/>
        <v>0</v>
      </c>
      <c r="Q1979" s="7">
        <f t="shared" si="679"/>
        <v>3457775.850000001</v>
      </c>
      <c r="R1979" s="44" t="str">
        <f>VLOOKUP(F1979,'Set up'!$A$2:$E$48,5,FALSE)</f>
        <v>Trsf</v>
      </c>
      <c r="S1979" s="1" t="s">
        <v>1852</v>
      </c>
    </row>
    <row r="1980" spans="1:19" ht="15" hidden="1" customHeight="1" x14ac:dyDescent="0.3">
      <c r="A1980" s="4">
        <v>45153</v>
      </c>
      <c r="B1980" s="5">
        <f t="shared" si="673"/>
        <v>8</v>
      </c>
      <c r="C1980" s="5">
        <f t="shared" si="674"/>
        <v>2023</v>
      </c>
      <c r="D1980" s="88" t="s">
        <v>1812</v>
      </c>
      <c r="E1980" s="5" t="str">
        <f>VLOOKUP(F1980,'Set up'!$A$2:$C$48,2,FALSE)</f>
        <v>C00000039</v>
      </c>
      <c r="F1980" s="1" t="s">
        <v>1621</v>
      </c>
      <c r="G1980" s="99" t="s">
        <v>709</v>
      </c>
      <c r="H1980" s="5">
        <v>1</v>
      </c>
      <c r="I1980" s="5" t="str">
        <f>VLOOKUP(F1980,'Set up'!$A$2:$C$48,3,FALSE)</f>
        <v>Cash</v>
      </c>
      <c r="J1980" s="5">
        <f>VLOOKUP(F1980,'Set up'!$A$2:$D$48,4,FALSE)</f>
        <v>0</v>
      </c>
      <c r="K1980" s="4">
        <f t="shared" si="675"/>
        <v>45153</v>
      </c>
      <c r="L1980" s="5">
        <f t="shared" si="676"/>
        <v>8</v>
      </c>
      <c r="M1980" s="5">
        <f t="shared" si="677"/>
        <v>2023</v>
      </c>
      <c r="N1980" s="96">
        <v>1562</v>
      </c>
      <c r="O1980" s="6">
        <f t="shared" si="685"/>
        <v>-1562</v>
      </c>
      <c r="P1980" s="6">
        <f t="shared" si="678"/>
        <v>0</v>
      </c>
      <c r="Q1980" s="7">
        <f t="shared" si="679"/>
        <v>3459337.850000001</v>
      </c>
      <c r="R1980" s="44" t="str">
        <f>VLOOKUP(F1980,'Set up'!$A$2:$E$48,5,FALSE)</f>
        <v>Trsf</v>
      </c>
      <c r="S1980" s="1" t="s">
        <v>1856</v>
      </c>
    </row>
    <row r="1981" spans="1:19" ht="15" hidden="1" customHeight="1" x14ac:dyDescent="0.3">
      <c r="A1981" s="4">
        <v>45153</v>
      </c>
      <c r="B1981" s="5">
        <f t="shared" si="673"/>
        <v>8</v>
      </c>
      <c r="C1981" s="5">
        <f t="shared" si="674"/>
        <v>2023</v>
      </c>
      <c r="D1981" s="88" t="s">
        <v>1812</v>
      </c>
      <c r="E1981" s="5" t="str">
        <f>VLOOKUP(F1981,'Set up'!$A$2:$C$48,2,FALSE)</f>
        <v>C00000039</v>
      </c>
      <c r="F1981" s="1" t="s">
        <v>1621</v>
      </c>
      <c r="G1981" s="99" t="s">
        <v>914</v>
      </c>
      <c r="H1981" s="5">
        <v>2</v>
      </c>
      <c r="I1981" s="5" t="str">
        <f>VLOOKUP(F1981,'Set up'!$A$2:$C$48,3,FALSE)</f>
        <v>Cash</v>
      </c>
      <c r="J1981" s="5">
        <f>VLOOKUP(F1981,'Set up'!$A$2:$D$48,4,FALSE)</f>
        <v>0</v>
      </c>
      <c r="K1981" s="4">
        <f t="shared" si="675"/>
        <v>45153</v>
      </c>
      <c r="L1981" s="5">
        <f t="shared" si="676"/>
        <v>8</v>
      </c>
      <c r="M1981" s="5">
        <f t="shared" si="677"/>
        <v>2023</v>
      </c>
      <c r="N1981" s="96">
        <v>378</v>
      </c>
      <c r="O1981" s="6">
        <f t="shared" si="685"/>
        <v>-378</v>
      </c>
      <c r="P1981" s="6">
        <f t="shared" si="678"/>
        <v>0</v>
      </c>
      <c r="Q1981" s="7">
        <f t="shared" si="679"/>
        <v>3459715.850000001</v>
      </c>
      <c r="R1981" s="44" t="str">
        <f>VLOOKUP(F1981,'Set up'!$A$2:$E$48,5,FALSE)</f>
        <v>Trsf</v>
      </c>
      <c r="S1981" s="1" t="s">
        <v>1856</v>
      </c>
    </row>
    <row r="1982" spans="1:19" ht="15" hidden="1" customHeight="1" x14ac:dyDescent="0.3">
      <c r="A1982" s="4">
        <v>45153</v>
      </c>
      <c r="B1982" s="5">
        <f t="shared" si="673"/>
        <v>8</v>
      </c>
      <c r="C1982" s="5">
        <f t="shared" si="674"/>
        <v>2023</v>
      </c>
      <c r="D1982" s="88" t="s">
        <v>1812</v>
      </c>
      <c r="E1982" s="5" t="str">
        <f>VLOOKUP(F1982,'Set up'!$A$2:$C$48,2,FALSE)</f>
        <v>C00000039</v>
      </c>
      <c r="F1982" s="1" t="s">
        <v>1621</v>
      </c>
      <c r="G1982" s="99" t="s">
        <v>1111</v>
      </c>
      <c r="H1982" s="5">
        <v>1</v>
      </c>
      <c r="I1982" s="5" t="str">
        <f>VLOOKUP(F1982,'Set up'!$A$2:$C$48,3,FALSE)</f>
        <v>Cash</v>
      </c>
      <c r="J1982" s="5">
        <f>VLOOKUP(F1982,'Set up'!$A$2:$D$48,4,FALSE)</f>
        <v>0</v>
      </c>
      <c r="K1982" s="4">
        <f t="shared" si="675"/>
        <v>45153</v>
      </c>
      <c r="L1982" s="5">
        <f t="shared" si="676"/>
        <v>8</v>
      </c>
      <c r="M1982" s="5">
        <f t="shared" si="677"/>
        <v>2023</v>
      </c>
      <c r="N1982" s="96">
        <v>62.5</v>
      </c>
      <c r="O1982" s="6">
        <f t="shared" si="685"/>
        <v>-62.5</v>
      </c>
      <c r="P1982" s="6">
        <f t="shared" si="678"/>
        <v>0</v>
      </c>
      <c r="Q1982" s="7">
        <f t="shared" si="679"/>
        <v>3459778.350000001</v>
      </c>
      <c r="R1982" s="44" t="str">
        <f>VLOOKUP(F1982,'Set up'!$A$2:$E$48,5,FALSE)</f>
        <v>Trsf</v>
      </c>
      <c r="S1982" s="1" t="s">
        <v>1856</v>
      </c>
    </row>
    <row r="1983" spans="1:19" ht="15" hidden="1" customHeight="1" x14ac:dyDescent="0.3">
      <c r="A1983" s="4">
        <v>45153</v>
      </c>
      <c r="B1983" s="5">
        <f t="shared" si="673"/>
        <v>8</v>
      </c>
      <c r="C1983" s="5">
        <f t="shared" si="674"/>
        <v>2023</v>
      </c>
      <c r="D1983" s="88" t="s">
        <v>1812</v>
      </c>
      <c r="E1983" s="5" t="str">
        <f>VLOOKUP(F1983,'Set up'!$A$2:$C$48,2,FALSE)</f>
        <v>C00000039</v>
      </c>
      <c r="F1983" s="1" t="s">
        <v>1621</v>
      </c>
      <c r="G1983" s="99" t="s">
        <v>1062</v>
      </c>
      <c r="H1983" s="5">
        <v>4</v>
      </c>
      <c r="I1983" s="5" t="str">
        <f>VLOOKUP(F1983,'Set up'!$A$2:$C$48,3,FALSE)</f>
        <v>Cash</v>
      </c>
      <c r="J1983" s="5">
        <f>VLOOKUP(F1983,'Set up'!$A$2:$D$48,4,FALSE)</f>
        <v>0</v>
      </c>
      <c r="K1983" s="4">
        <f t="shared" si="675"/>
        <v>45153</v>
      </c>
      <c r="L1983" s="5">
        <f t="shared" si="676"/>
        <v>8</v>
      </c>
      <c r="M1983" s="5">
        <f t="shared" si="677"/>
        <v>2023</v>
      </c>
      <c r="N1983" s="96">
        <v>380</v>
      </c>
      <c r="O1983" s="6">
        <f t="shared" si="685"/>
        <v>-380</v>
      </c>
      <c r="P1983" s="6">
        <f t="shared" si="678"/>
        <v>0</v>
      </c>
      <c r="Q1983" s="7">
        <f t="shared" si="679"/>
        <v>3460158.350000001</v>
      </c>
      <c r="R1983" s="44" t="str">
        <f>VLOOKUP(F1983,'Set up'!$A$2:$E$48,5,FALSE)</f>
        <v>Trsf</v>
      </c>
      <c r="S1983" s="1" t="s">
        <v>1856</v>
      </c>
    </row>
    <row r="1984" spans="1:19" ht="15" hidden="1" customHeight="1" x14ac:dyDescent="0.3">
      <c r="A1984" s="4">
        <v>45153</v>
      </c>
      <c r="B1984" s="5">
        <f t="shared" si="673"/>
        <v>8</v>
      </c>
      <c r="C1984" s="5">
        <f t="shared" si="674"/>
        <v>2023</v>
      </c>
      <c r="D1984" s="88" t="s">
        <v>1813</v>
      </c>
      <c r="E1984" s="5" t="str">
        <f>VLOOKUP(F1984,'Set up'!$A$2:$C$48,2,FALSE)</f>
        <v>C00000019</v>
      </c>
      <c r="F1984" s="1" t="s">
        <v>401</v>
      </c>
      <c r="G1984" s="90" t="s">
        <v>95</v>
      </c>
      <c r="H1984" s="5">
        <v>1</v>
      </c>
      <c r="I1984" s="5" t="str">
        <f>VLOOKUP(F1984,'Set up'!$A$2:$C$48,3,FALSE)</f>
        <v>Cash</v>
      </c>
      <c r="J1984" s="5">
        <f>VLOOKUP(F1984,'Set up'!$A$2:$D$48,4,FALSE)</f>
        <v>0</v>
      </c>
      <c r="K1984" s="4">
        <f t="shared" si="675"/>
        <v>45153</v>
      </c>
      <c r="L1984" s="5">
        <f t="shared" si="676"/>
        <v>8</v>
      </c>
      <c r="M1984" s="5">
        <f t="shared" si="677"/>
        <v>2023</v>
      </c>
      <c r="N1984" s="96">
        <v>1738</v>
      </c>
      <c r="P1984" s="6">
        <f t="shared" si="678"/>
        <v>1738</v>
      </c>
      <c r="Q1984" s="7">
        <f t="shared" si="679"/>
        <v>3461896.350000001</v>
      </c>
      <c r="R1984" s="44" t="str">
        <f>VLOOKUP(F1984,'Set up'!$A$2:$E$48,5,FALSE)</f>
        <v>Trsf</v>
      </c>
    </row>
    <row r="1985" spans="1:19" ht="15" customHeight="1" x14ac:dyDescent="0.3">
      <c r="A1985" s="4" t="s">
        <v>1816</v>
      </c>
      <c r="B1985" s="5">
        <f t="shared" si="673"/>
        <v>8</v>
      </c>
      <c r="C1985" s="5">
        <f t="shared" si="674"/>
        <v>2023</v>
      </c>
      <c r="D1985" s="88" t="s">
        <v>1814</v>
      </c>
      <c r="E1985" s="5" t="str">
        <f>VLOOKUP(F1985,'Set up'!$A$2:$C$48,2,FALSE)</f>
        <v>C00000020</v>
      </c>
      <c r="F1985" s="1" t="s">
        <v>410</v>
      </c>
      <c r="G1985" s="99" t="s">
        <v>1111</v>
      </c>
      <c r="H1985" s="5">
        <v>2</v>
      </c>
      <c r="I1985" s="5" t="str">
        <f>VLOOKUP(F1985,'Set up'!$A$2:$C$48,3,FALSE)</f>
        <v>Cash</v>
      </c>
      <c r="J1985" s="5">
        <f>VLOOKUP(F1985,'Set up'!$A$2:$D$48,4,FALSE)</f>
        <v>0</v>
      </c>
      <c r="K1985" s="4">
        <f t="shared" si="675"/>
        <v>45153</v>
      </c>
      <c r="L1985" s="5">
        <f t="shared" si="676"/>
        <v>8</v>
      </c>
      <c r="M1985" s="5">
        <f t="shared" si="677"/>
        <v>2023</v>
      </c>
      <c r="N1985" s="96">
        <v>125</v>
      </c>
      <c r="P1985" s="6">
        <f t="shared" si="678"/>
        <v>125</v>
      </c>
      <c r="Q1985" s="7">
        <f t="shared" si="679"/>
        <v>3462021.350000001</v>
      </c>
      <c r="R1985" s="44" t="str">
        <f>VLOOKUP(F1985,'Set up'!$A$2:$E$48,5,FALSE)</f>
        <v>Trsf</v>
      </c>
    </row>
    <row r="1986" spans="1:19" ht="15" customHeight="1" x14ac:dyDescent="0.3">
      <c r="A1986" s="4" t="s">
        <v>1816</v>
      </c>
      <c r="B1986" s="5">
        <f t="shared" si="673"/>
        <v>8</v>
      </c>
      <c r="C1986" s="5">
        <f t="shared" si="674"/>
        <v>2023</v>
      </c>
      <c r="D1986" s="88" t="s">
        <v>1815</v>
      </c>
      <c r="E1986" s="5" t="str">
        <f>VLOOKUP(F1986,'Set up'!$A$2:$C$48,2,FALSE)</f>
        <v>C00000020</v>
      </c>
      <c r="F1986" s="1" t="s">
        <v>410</v>
      </c>
      <c r="G1986" s="99" t="s">
        <v>1734</v>
      </c>
      <c r="H1986" s="5">
        <v>2</v>
      </c>
      <c r="I1986" s="5" t="str">
        <f>VLOOKUP(F1986,'Set up'!$A$2:$C$48,3,FALSE)</f>
        <v>Cash</v>
      </c>
      <c r="J1986" s="5">
        <f>VLOOKUP(F1986,'Set up'!$A$2:$D$48,4,FALSE)</f>
        <v>0</v>
      </c>
      <c r="K1986" s="4">
        <f t="shared" si="675"/>
        <v>45153</v>
      </c>
      <c r="L1986" s="5">
        <f t="shared" si="676"/>
        <v>8</v>
      </c>
      <c r="M1986" s="5">
        <f t="shared" si="677"/>
        <v>2023</v>
      </c>
      <c r="N1986" s="96">
        <v>3124</v>
      </c>
      <c r="P1986" s="6">
        <f t="shared" si="678"/>
        <v>3124</v>
      </c>
      <c r="Q1986" s="7">
        <f t="shared" si="679"/>
        <v>3465145.350000001</v>
      </c>
      <c r="R1986" s="44" t="str">
        <f>VLOOKUP(F1986,'Set up'!$A$2:$E$48,5,FALSE)</f>
        <v>Trsf</v>
      </c>
    </row>
    <row r="1987" spans="1:19" ht="15" customHeight="1" x14ac:dyDescent="0.3">
      <c r="A1987" s="4" t="s">
        <v>1816</v>
      </c>
      <c r="B1987" s="5">
        <f t="shared" si="673"/>
        <v>8</v>
      </c>
      <c r="C1987" s="5">
        <f t="shared" si="674"/>
        <v>2023</v>
      </c>
      <c r="D1987" s="88" t="s">
        <v>1815</v>
      </c>
      <c r="E1987" s="5" t="str">
        <f>VLOOKUP(F1987,'Set up'!$A$2:$C$48,2,FALSE)</f>
        <v>C00000020</v>
      </c>
      <c r="F1987" s="1" t="s">
        <v>410</v>
      </c>
      <c r="G1987" s="99" t="s">
        <v>914</v>
      </c>
      <c r="H1987" s="5">
        <v>7</v>
      </c>
      <c r="I1987" s="5" t="str">
        <f>VLOOKUP(F1987,'Set up'!$A$2:$C$48,3,FALSE)</f>
        <v>Cash</v>
      </c>
      <c r="J1987" s="5">
        <f>VLOOKUP(F1987,'Set up'!$A$2:$D$48,4,FALSE)</f>
        <v>0</v>
      </c>
      <c r="K1987" s="4">
        <f t="shared" si="675"/>
        <v>45153</v>
      </c>
      <c r="L1987" s="5">
        <f t="shared" si="676"/>
        <v>8</v>
      </c>
      <c r="M1987" s="5">
        <f t="shared" si="677"/>
        <v>2023</v>
      </c>
      <c r="N1987" s="96">
        <v>1323</v>
      </c>
      <c r="P1987" s="6">
        <f t="shared" si="678"/>
        <v>1323</v>
      </c>
      <c r="Q1987" s="7">
        <f t="shared" si="679"/>
        <v>3466468.350000001</v>
      </c>
      <c r="R1987" s="44" t="str">
        <f>VLOOKUP(F1987,'Set up'!$A$2:$E$48,5,FALSE)</f>
        <v>Trsf</v>
      </c>
    </row>
    <row r="1988" spans="1:19" ht="15" customHeight="1" x14ac:dyDescent="0.3">
      <c r="A1988" s="4" t="s">
        <v>1816</v>
      </c>
      <c r="B1988" s="5">
        <f t="shared" si="673"/>
        <v>8</v>
      </c>
      <c r="C1988" s="5">
        <f t="shared" si="674"/>
        <v>2023</v>
      </c>
      <c r="D1988" s="88" t="s">
        <v>1815</v>
      </c>
      <c r="E1988" s="5" t="str">
        <f>VLOOKUP(F1988,'Set up'!$A$2:$C$48,2,FALSE)</f>
        <v>C00000020</v>
      </c>
      <c r="F1988" s="1" t="s">
        <v>410</v>
      </c>
      <c r="G1988" s="99" t="s">
        <v>779</v>
      </c>
      <c r="H1988" s="5">
        <v>3</v>
      </c>
      <c r="I1988" s="5" t="str">
        <f>VLOOKUP(F1988,'Set up'!$A$2:$C$48,3,FALSE)</f>
        <v>Cash</v>
      </c>
      <c r="J1988" s="5">
        <f>VLOOKUP(F1988,'Set up'!$A$2:$D$48,4,FALSE)</f>
        <v>0</v>
      </c>
      <c r="K1988" s="4">
        <f t="shared" si="675"/>
        <v>45153</v>
      </c>
      <c r="L1988" s="5">
        <f t="shared" si="676"/>
        <v>8</v>
      </c>
      <c r="M1988" s="5">
        <f t="shared" si="677"/>
        <v>2023</v>
      </c>
      <c r="N1988" s="96">
        <v>600</v>
      </c>
      <c r="P1988" s="6">
        <f t="shared" si="678"/>
        <v>600</v>
      </c>
      <c r="Q1988" s="7">
        <f t="shared" si="679"/>
        <v>3467068.350000001</v>
      </c>
      <c r="R1988" s="44" t="str">
        <f>VLOOKUP(F1988,'Set up'!$A$2:$E$48,5,FALSE)</f>
        <v>Trsf</v>
      </c>
    </row>
    <row r="1989" spans="1:19" ht="15" customHeight="1" x14ac:dyDescent="0.3">
      <c r="A1989" s="4" t="s">
        <v>1816</v>
      </c>
      <c r="B1989" s="5">
        <f t="shared" si="673"/>
        <v>8</v>
      </c>
      <c r="C1989" s="5">
        <f t="shared" si="674"/>
        <v>2023</v>
      </c>
      <c r="D1989" s="88" t="s">
        <v>1815</v>
      </c>
      <c r="E1989" s="5" t="str">
        <f>VLOOKUP(F1989,'Set up'!$A$2:$C$48,2,FALSE)</f>
        <v>C00000020</v>
      </c>
      <c r="F1989" s="1" t="s">
        <v>410</v>
      </c>
      <c r="G1989" s="99" t="s">
        <v>1062</v>
      </c>
      <c r="H1989" s="5">
        <v>4</v>
      </c>
      <c r="I1989" s="5" t="str">
        <f>VLOOKUP(F1989,'Set up'!$A$2:$C$48,3,FALSE)</f>
        <v>Cash</v>
      </c>
      <c r="J1989" s="5">
        <f>VLOOKUP(F1989,'Set up'!$A$2:$D$48,4,FALSE)</f>
        <v>0</v>
      </c>
      <c r="K1989" s="4">
        <f t="shared" si="675"/>
        <v>45153</v>
      </c>
      <c r="L1989" s="5">
        <f t="shared" si="676"/>
        <v>8</v>
      </c>
      <c r="M1989" s="5">
        <f t="shared" si="677"/>
        <v>2023</v>
      </c>
      <c r="N1989" s="96">
        <v>380</v>
      </c>
      <c r="P1989" s="6">
        <f t="shared" si="678"/>
        <v>380</v>
      </c>
      <c r="Q1989" s="7">
        <f t="shared" si="679"/>
        <v>3467448.350000001</v>
      </c>
      <c r="R1989" s="44" t="str">
        <f>VLOOKUP(F1989,'Set up'!$A$2:$E$48,5,FALSE)</f>
        <v>Trsf</v>
      </c>
    </row>
    <row r="1990" spans="1:19" ht="15" hidden="1" customHeight="1" x14ac:dyDescent="0.3">
      <c r="A1990" s="4">
        <v>45154</v>
      </c>
      <c r="B1990" s="5">
        <f t="shared" si="673"/>
        <v>8</v>
      </c>
      <c r="C1990" s="5">
        <f t="shared" si="674"/>
        <v>2023</v>
      </c>
      <c r="D1990" s="88" t="s">
        <v>1817</v>
      </c>
      <c r="E1990" s="5" t="str">
        <f>VLOOKUP(F1990,'Set up'!$A$2:$C$48,2,FALSE)</f>
        <v>C00000034</v>
      </c>
      <c r="F1990" s="1" t="s">
        <v>1197</v>
      </c>
      <c r="G1990" s="99" t="s">
        <v>1357</v>
      </c>
      <c r="H1990" s="5">
        <v>2</v>
      </c>
      <c r="I1990" s="5" t="str">
        <f>VLOOKUP(F1990,'Set up'!$A$2:$C$48,3,FALSE)</f>
        <v>Cash</v>
      </c>
      <c r="J1990" s="5">
        <f>VLOOKUP(F1990,'Set up'!$A$2:$D$48,4,FALSE)</f>
        <v>0</v>
      </c>
      <c r="K1990" s="4">
        <f t="shared" si="675"/>
        <v>45154</v>
      </c>
      <c r="L1990" s="5">
        <f t="shared" si="676"/>
        <v>8</v>
      </c>
      <c r="M1990" s="5">
        <f t="shared" si="677"/>
        <v>2023</v>
      </c>
      <c r="N1990" s="96">
        <v>3476</v>
      </c>
      <c r="O1990" s="6">
        <f>-2400.7-1075.3</f>
        <v>-3476</v>
      </c>
      <c r="P1990" s="6">
        <f t="shared" si="678"/>
        <v>0</v>
      </c>
      <c r="Q1990" s="7">
        <f t="shared" si="679"/>
        <v>3470924.350000001</v>
      </c>
      <c r="R1990" s="44" t="str">
        <f>VLOOKUP(F1990,'Set up'!$A$2:$E$48,5,FALSE)</f>
        <v>Trsf</v>
      </c>
      <c r="S1990" s="1" t="s">
        <v>1876</v>
      </c>
    </row>
    <row r="1991" spans="1:19" ht="15" hidden="1" customHeight="1" x14ac:dyDescent="0.3">
      <c r="A1991" s="4">
        <v>45154</v>
      </c>
      <c r="B1991" s="5">
        <f t="shared" si="673"/>
        <v>8</v>
      </c>
      <c r="C1991" s="5">
        <f t="shared" si="674"/>
        <v>2023</v>
      </c>
      <c r="D1991" s="88" t="s">
        <v>1817</v>
      </c>
      <c r="E1991" s="5" t="str">
        <f>VLOOKUP(F1991,'Set up'!$A$2:$C$48,2,FALSE)</f>
        <v>C00000034</v>
      </c>
      <c r="F1991" s="1" t="s">
        <v>1197</v>
      </c>
      <c r="G1991" s="99" t="s">
        <v>1432</v>
      </c>
      <c r="H1991" s="5">
        <v>4</v>
      </c>
      <c r="I1991" s="5" t="str">
        <f>VLOOKUP(F1991,'Set up'!$A$2:$C$48,3,FALSE)</f>
        <v>Cash</v>
      </c>
      <c r="J1991" s="5">
        <f>VLOOKUP(F1991,'Set up'!$A$2:$D$48,4,FALSE)</f>
        <v>0</v>
      </c>
      <c r="K1991" s="4">
        <f t="shared" si="675"/>
        <v>45154</v>
      </c>
      <c r="L1991" s="5">
        <f t="shared" si="676"/>
        <v>8</v>
      </c>
      <c r="M1991" s="5">
        <f t="shared" si="677"/>
        <v>2023</v>
      </c>
      <c r="N1991" s="96">
        <v>876</v>
      </c>
      <c r="O1991" s="6">
        <f t="shared" ref="O1991:O1998" si="686">-N1991</f>
        <v>-876</v>
      </c>
      <c r="P1991" s="6">
        <f t="shared" si="678"/>
        <v>0</v>
      </c>
      <c r="Q1991" s="7">
        <f t="shared" si="679"/>
        <v>3471800.350000001</v>
      </c>
      <c r="R1991" s="44" t="str">
        <f>VLOOKUP(F1991,'Set up'!$A$2:$E$48,5,FALSE)</f>
        <v>Trsf</v>
      </c>
      <c r="S1991" s="1" t="s">
        <v>1853</v>
      </c>
    </row>
    <row r="1992" spans="1:19" ht="15" hidden="1" customHeight="1" x14ac:dyDescent="0.3">
      <c r="A1992" s="4">
        <v>45154</v>
      </c>
      <c r="B1992" s="5">
        <f t="shared" si="673"/>
        <v>8</v>
      </c>
      <c r="C1992" s="5">
        <f t="shared" si="674"/>
        <v>2023</v>
      </c>
      <c r="D1992" s="88" t="s">
        <v>1817</v>
      </c>
      <c r="E1992" s="5" t="str">
        <f>VLOOKUP(F1992,'Set up'!$A$2:$C$48,2,FALSE)</f>
        <v>C00000034</v>
      </c>
      <c r="F1992" s="1" t="s">
        <v>1197</v>
      </c>
      <c r="G1992" s="99" t="s">
        <v>1353</v>
      </c>
      <c r="H1992" s="5">
        <v>5</v>
      </c>
      <c r="I1992" s="5" t="str">
        <f>VLOOKUP(F1992,'Set up'!$A$2:$C$48,3,FALSE)</f>
        <v>Cash</v>
      </c>
      <c r="J1992" s="5">
        <f>VLOOKUP(F1992,'Set up'!$A$2:$D$48,4,FALSE)</f>
        <v>0</v>
      </c>
      <c r="K1992" s="4">
        <f t="shared" si="675"/>
        <v>45154</v>
      </c>
      <c r="L1992" s="5">
        <f t="shared" si="676"/>
        <v>8</v>
      </c>
      <c r="M1992" s="5">
        <f t="shared" si="677"/>
        <v>2023</v>
      </c>
      <c r="N1992" s="96">
        <v>1095</v>
      </c>
      <c r="O1992" s="6">
        <f t="shared" si="686"/>
        <v>-1095</v>
      </c>
      <c r="P1992" s="6">
        <f t="shared" si="678"/>
        <v>0</v>
      </c>
      <c r="Q1992" s="7">
        <f t="shared" si="679"/>
        <v>3472895.350000001</v>
      </c>
      <c r="R1992" s="44" t="str">
        <f>VLOOKUP(F1992,'Set up'!$A$2:$E$48,5,FALSE)</f>
        <v>Trsf</v>
      </c>
      <c r="S1992" s="1" t="s">
        <v>1854</v>
      </c>
    </row>
    <row r="1993" spans="1:19" ht="15" hidden="1" customHeight="1" x14ac:dyDescent="0.3">
      <c r="A1993" s="4">
        <v>45154</v>
      </c>
      <c r="B1993" s="5">
        <f t="shared" si="673"/>
        <v>8</v>
      </c>
      <c r="C1993" s="5">
        <f t="shared" si="674"/>
        <v>2023</v>
      </c>
      <c r="D1993" s="88" t="s">
        <v>1817</v>
      </c>
      <c r="E1993" s="5" t="str">
        <f>VLOOKUP(F1993,'Set up'!$A$2:$C$48,2,FALSE)</f>
        <v>C00000034</v>
      </c>
      <c r="F1993" s="1" t="s">
        <v>1197</v>
      </c>
      <c r="G1993" s="99" t="s">
        <v>1818</v>
      </c>
      <c r="H1993" s="5">
        <v>3</v>
      </c>
      <c r="I1993" s="5" t="str">
        <f>VLOOKUP(F1993,'Set up'!$A$2:$C$48,3,FALSE)</f>
        <v>Cash</v>
      </c>
      <c r="J1993" s="5">
        <f>VLOOKUP(F1993,'Set up'!$A$2:$D$48,4,FALSE)</f>
        <v>0</v>
      </c>
      <c r="K1993" s="4">
        <f t="shared" si="675"/>
        <v>45154</v>
      </c>
      <c r="L1993" s="5">
        <f t="shared" si="676"/>
        <v>8</v>
      </c>
      <c r="M1993" s="5">
        <f t="shared" si="677"/>
        <v>2023</v>
      </c>
      <c r="N1993" s="96">
        <v>708</v>
      </c>
      <c r="O1993" s="6">
        <f t="shared" si="686"/>
        <v>-708</v>
      </c>
      <c r="P1993" s="6">
        <f t="shared" si="678"/>
        <v>0</v>
      </c>
      <c r="Q1993" s="7">
        <f t="shared" si="679"/>
        <v>3473603.350000001</v>
      </c>
      <c r="R1993" s="44" t="str">
        <f>VLOOKUP(F1993,'Set up'!$A$2:$E$48,5,FALSE)</f>
        <v>Trsf</v>
      </c>
      <c r="S1993" s="1" t="s">
        <v>1855</v>
      </c>
    </row>
    <row r="1994" spans="1:19" ht="15" hidden="1" customHeight="1" x14ac:dyDescent="0.3">
      <c r="A1994" s="4">
        <v>45154</v>
      </c>
      <c r="B1994" s="5">
        <f t="shared" si="673"/>
        <v>8</v>
      </c>
      <c r="C1994" s="5">
        <f t="shared" si="674"/>
        <v>2023</v>
      </c>
      <c r="D1994" s="88" t="s">
        <v>1817</v>
      </c>
      <c r="E1994" s="5" t="str">
        <f>VLOOKUP(F1994,'Set up'!$A$2:$C$48,2,FALSE)</f>
        <v>C00000034</v>
      </c>
      <c r="F1994" s="1" t="s">
        <v>1197</v>
      </c>
      <c r="G1994" s="99" t="s">
        <v>1062</v>
      </c>
      <c r="H1994" s="5">
        <v>3</v>
      </c>
      <c r="I1994" s="5" t="str">
        <f>VLOOKUP(F1994,'Set up'!$A$2:$C$48,3,FALSE)</f>
        <v>Cash</v>
      </c>
      <c r="J1994" s="5">
        <f>VLOOKUP(F1994,'Set up'!$A$2:$D$48,4,FALSE)</f>
        <v>0</v>
      </c>
      <c r="K1994" s="4">
        <f t="shared" si="675"/>
        <v>45154</v>
      </c>
      <c r="L1994" s="5">
        <f t="shared" si="676"/>
        <v>8</v>
      </c>
      <c r="M1994" s="5">
        <f t="shared" si="677"/>
        <v>2023</v>
      </c>
      <c r="N1994" s="96">
        <v>285</v>
      </c>
      <c r="O1994" s="6">
        <f>-245.7-39.3</f>
        <v>-285</v>
      </c>
      <c r="P1994" s="6">
        <f t="shared" si="678"/>
        <v>0</v>
      </c>
      <c r="Q1994" s="7">
        <f t="shared" si="679"/>
        <v>3473888.350000001</v>
      </c>
      <c r="R1994" s="44" t="str">
        <f>VLOOKUP(F1994,'Set up'!$A$2:$E$48,5,FALSE)</f>
        <v>Trsf</v>
      </c>
      <c r="S1994" s="1" t="s">
        <v>1948</v>
      </c>
    </row>
    <row r="1995" spans="1:19" ht="15" hidden="1" customHeight="1" x14ac:dyDescent="0.3">
      <c r="A1995" s="4">
        <v>45154</v>
      </c>
      <c r="B1995" s="5">
        <f t="shared" si="673"/>
        <v>8</v>
      </c>
      <c r="C1995" s="5">
        <f t="shared" si="674"/>
        <v>2023</v>
      </c>
      <c r="D1995" s="88" t="s">
        <v>1817</v>
      </c>
      <c r="E1995" s="5" t="str">
        <f>VLOOKUP(F1995,'Set up'!$A$2:$C$48,2,FALSE)</f>
        <v>C00000034</v>
      </c>
      <c r="F1995" s="1" t="s">
        <v>1197</v>
      </c>
      <c r="G1995" s="99" t="s">
        <v>1111</v>
      </c>
      <c r="H1995" s="5">
        <v>3</v>
      </c>
      <c r="I1995" s="5" t="str">
        <f>VLOOKUP(F1995,'Set up'!$A$2:$C$48,3,FALSE)</f>
        <v>Cash</v>
      </c>
      <c r="J1995" s="5">
        <f>VLOOKUP(F1995,'Set up'!$A$2:$D$48,4,FALSE)</f>
        <v>0</v>
      </c>
      <c r="K1995" s="4">
        <f t="shared" si="675"/>
        <v>45154</v>
      </c>
      <c r="L1995" s="5">
        <f t="shared" si="676"/>
        <v>8</v>
      </c>
      <c r="M1995" s="5">
        <f t="shared" si="677"/>
        <v>2023</v>
      </c>
      <c r="N1995" s="96">
        <v>187.5</v>
      </c>
      <c r="O1995" s="6">
        <f t="shared" si="686"/>
        <v>-187.5</v>
      </c>
      <c r="P1995" s="6">
        <f t="shared" si="678"/>
        <v>0</v>
      </c>
      <c r="Q1995" s="7">
        <f t="shared" si="679"/>
        <v>3474075.850000001</v>
      </c>
      <c r="R1995" s="44" t="str">
        <f>VLOOKUP(F1995,'Set up'!$A$2:$E$48,5,FALSE)</f>
        <v>Trsf</v>
      </c>
      <c r="S1995" s="1" t="s">
        <v>1949</v>
      </c>
    </row>
    <row r="1996" spans="1:19" ht="15" hidden="1" customHeight="1" x14ac:dyDescent="0.3">
      <c r="A1996" s="4">
        <v>45154</v>
      </c>
      <c r="B1996" s="5">
        <f t="shared" si="673"/>
        <v>8</v>
      </c>
      <c r="C1996" s="5">
        <f t="shared" si="674"/>
        <v>2023</v>
      </c>
      <c r="D1996" s="88" t="s">
        <v>1817</v>
      </c>
      <c r="E1996" s="5" t="str">
        <f>VLOOKUP(F1996,'Set up'!$A$2:$C$48,2,FALSE)</f>
        <v>C00000034</v>
      </c>
      <c r="F1996" s="1" t="s">
        <v>1197</v>
      </c>
      <c r="G1996" s="99" t="s">
        <v>1406</v>
      </c>
      <c r="H1996" s="5">
        <v>2</v>
      </c>
      <c r="I1996" s="5" t="str">
        <f>VLOOKUP(F1996,'Set up'!$A$2:$C$48,3,FALSE)</f>
        <v>Cash</v>
      </c>
      <c r="J1996" s="5">
        <f>VLOOKUP(F1996,'Set up'!$A$2:$D$48,4,FALSE)</f>
        <v>0</v>
      </c>
      <c r="K1996" s="4">
        <f t="shared" si="675"/>
        <v>45154</v>
      </c>
      <c r="L1996" s="5">
        <f t="shared" si="676"/>
        <v>8</v>
      </c>
      <c r="M1996" s="5">
        <f t="shared" si="677"/>
        <v>2023</v>
      </c>
      <c r="N1996" s="96">
        <v>100</v>
      </c>
      <c r="O1996" s="6">
        <f t="shared" si="686"/>
        <v>-100</v>
      </c>
      <c r="P1996" s="6">
        <f t="shared" si="678"/>
        <v>0</v>
      </c>
      <c r="Q1996" s="7">
        <f t="shared" si="679"/>
        <v>3474175.850000001</v>
      </c>
      <c r="R1996" s="44" t="str">
        <f>VLOOKUP(F1996,'Set up'!$A$2:$E$48,5,FALSE)</f>
        <v>Trsf</v>
      </c>
      <c r="S1996" s="1" t="s">
        <v>1950</v>
      </c>
    </row>
    <row r="1997" spans="1:19" ht="15" hidden="1" customHeight="1" x14ac:dyDescent="0.3">
      <c r="A1997" s="4">
        <v>45154</v>
      </c>
      <c r="B1997" s="5">
        <f t="shared" si="673"/>
        <v>8</v>
      </c>
      <c r="C1997" s="5">
        <f t="shared" si="674"/>
        <v>2023</v>
      </c>
      <c r="D1997" s="88" t="s">
        <v>1817</v>
      </c>
      <c r="E1997" s="5" t="str">
        <f>VLOOKUP(F1997,'Set up'!$A$2:$C$48,2,FALSE)</f>
        <v>C00000034</v>
      </c>
      <c r="F1997" s="1" t="s">
        <v>1197</v>
      </c>
      <c r="G1997" s="99" t="s">
        <v>1819</v>
      </c>
      <c r="H1997" s="5">
        <v>1</v>
      </c>
      <c r="I1997" s="5" t="str">
        <f>VLOOKUP(F1997,'Set up'!$A$2:$C$48,3,FALSE)</f>
        <v>Cash</v>
      </c>
      <c r="J1997" s="5">
        <f>VLOOKUP(F1997,'Set up'!$A$2:$D$48,4,FALSE)</f>
        <v>0</v>
      </c>
      <c r="K1997" s="4">
        <f t="shared" si="675"/>
        <v>45154</v>
      </c>
      <c r="L1997" s="5">
        <f t="shared" si="676"/>
        <v>8</v>
      </c>
      <c r="M1997" s="5">
        <f t="shared" si="677"/>
        <v>2023</v>
      </c>
      <c r="N1997" s="96">
        <v>160</v>
      </c>
      <c r="O1997" s="6">
        <f t="shared" si="686"/>
        <v>-160</v>
      </c>
      <c r="P1997" s="6">
        <f t="shared" si="678"/>
        <v>0</v>
      </c>
      <c r="Q1997" s="7">
        <f t="shared" si="679"/>
        <v>3474335.850000001</v>
      </c>
      <c r="R1997" s="44" t="str">
        <f>VLOOKUP(F1997,'Set up'!$A$2:$E$48,5,FALSE)</f>
        <v>Trsf</v>
      </c>
      <c r="S1997" s="1" t="s">
        <v>1951</v>
      </c>
    </row>
    <row r="1998" spans="1:19" ht="15" hidden="1" customHeight="1" x14ac:dyDescent="0.3">
      <c r="A1998" s="4">
        <v>45154</v>
      </c>
      <c r="B1998" s="5">
        <f t="shared" si="673"/>
        <v>8</v>
      </c>
      <c r="C1998" s="5">
        <f t="shared" si="674"/>
        <v>2023</v>
      </c>
      <c r="D1998" s="88" t="s">
        <v>1817</v>
      </c>
      <c r="E1998" s="5" t="str">
        <f>VLOOKUP(F1998,'Set up'!$A$2:$C$48,2,FALSE)</f>
        <v>C00000034</v>
      </c>
      <c r="F1998" s="1" t="s">
        <v>1197</v>
      </c>
      <c r="G1998" s="99" t="s">
        <v>1661</v>
      </c>
      <c r="H1998" s="5">
        <v>1</v>
      </c>
      <c r="I1998" s="5" t="str">
        <f>VLOOKUP(F1998,'Set up'!$A$2:$C$48,3,FALSE)</f>
        <v>Cash</v>
      </c>
      <c r="J1998" s="5">
        <f>VLOOKUP(F1998,'Set up'!$A$2:$D$48,4,FALSE)</f>
        <v>0</v>
      </c>
      <c r="K1998" s="4">
        <f t="shared" si="675"/>
        <v>45154</v>
      </c>
      <c r="L1998" s="5">
        <f t="shared" si="676"/>
        <v>8</v>
      </c>
      <c r="M1998" s="5">
        <f t="shared" si="677"/>
        <v>2023</v>
      </c>
      <c r="N1998" s="96">
        <v>165</v>
      </c>
      <c r="O1998" s="6">
        <f t="shared" si="686"/>
        <v>-165</v>
      </c>
      <c r="P1998" s="6">
        <f t="shared" si="678"/>
        <v>0</v>
      </c>
      <c r="Q1998" s="7">
        <f t="shared" si="679"/>
        <v>3474500.850000001</v>
      </c>
      <c r="R1998" s="44" t="str">
        <f>VLOOKUP(F1998,'Set up'!$A$2:$E$48,5,FALSE)</f>
        <v>Trsf</v>
      </c>
      <c r="S1998" s="1" t="s">
        <v>1952</v>
      </c>
    </row>
    <row r="1999" spans="1:19" ht="15" hidden="1" customHeight="1" x14ac:dyDescent="0.3">
      <c r="A1999" s="4">
        <v>45154</v>
      </c>
      <c r="B1999" s="5">
        <f t="shared" si="673"/>
        <v>8</v>
      </c>
      <c r="C1999" s="5">
        <f t="shared" si="674"/>
        <v>2023</v>
      </c>
      <c r="D1999" s="88" t="s">
        <v>1820</v>
      </c>
      <c r="E1999" s="5" t="str">
        <f>VLOOKUP(F1999,'Set up'!$A$2:$C$48,2,FALSE)</f>
        <v>C00000003</v>
      </c>
      <c r="F1999" s="1" t="s">
        <v>20</v>
      </c>
      <c r="G1999" s="99" t="s">
        <v>1432</v>
      </c>
      <c r="H1999" s="5">
        <v>1</v>
      </c>
      <c r="I1999" s="5">
        <f>VLOOKUP(F1999,'Set up'!$A$2:$C$48,3,FALSE)</f>
        <v>45</v>
      </c>
      <c r="J1999" s="5">
        <f>VLOOKUP(F1999,'Set up'!$A$2:$D$48,4,FALSE)</f>
        <v>45</v>
      </c>
      <c r="K1999" s="4">
        <f t="shared" si="675"/>
        <v>45199</v>
      </c>
      <c r="L1999" s="5">
        <f t="shared" si="676"/>
        <v>9</v>
      </c>
      <c r="M1999" s="5">
        <f t="shared" si="677"/>
        <v>2023</v>
      </c>
      <c r="N1999" s="96">
        <v>255</v>
      </c>
      <c r="O1999" s="6">
        <f>-N1999</f>
        <v>-255</v>
      </c>
      <c r="P1999" s="6">
        <f t="shared" si="678"/>
        <v>0</v>
      </c>
      <c r="Q1999" s="7">
        <f t="shared" si="679"/>
        <v>3474755.850000001</v>
      </c>
      <c r="R1999" s="44" t="str">
        <f>VLOOKUP(F1999,'Set up'!$A$2:$E$48,5,FALSE)</f>
        <v>PD Chq</v>
      </c>
      <c r="S1999" s="1" t="s">
        <v>2082</v>
      </c>
    </row>
    <row r="2000" spans="1:19" ht="15" hidden="1" customHeight="1" x14ac:dyDescent="0.3">
      <c r="A2000" s="4">
        <v>45154</v>
      </c>
      <c r="B2000" s="5">
        <f t="shared" ref="B2000:B2029" si="687">MONTH(A2000)</f>
        <v>8</v>
      </c>
      <c r="C2000" s="5">
        <f t="shared" ref="C2000:C2029" si="688">YEAR(A2000)</f>
        <v>2023</v>
      </c>
      <c r="D2000" s="88" t="s">
        <v>1820</v>
      </c>
      <c r="E2000" s="5" t="str">
        <f>VLOOKUP(F2000,'Set up'!$A$2:$C$48,2,FALSE)</f>
        <v>C00000003</v>
      </c>
      <c r="F2000" s="1" t="s">
        <v>20</v>
      </c>
      <c r="G2000" s="99" t="s">
        <v>792</v>
      </c>
      <c r="H2000" s="5">
        <v>5</v>
      </c>
      <c r="I2000" s="5">
        <f>VLOOKUP(F2000,'Set up'!$A$2:$C$48,3,FALSE)</f>
        <v>45</v>
      </c>
      <c r="J2000" s="5">
        <f>VLOOKUP(F2000,'Set up'!$A$2:$D$48,4,FALSE)</f>
        <v>45</v>
      </c>
      <c r="K2000" s="4">
        <f t="shared" ref="K2000:K2027" si="689">A2000+J2000</f>
        <v>45199</v>
      </c>
      <c r="L2000" s="5">
        <f t="shared" ref="L2000:L2027" si="690">MONTH(K2000)</f>
        <v>9</v>
      </c>
      <c r="M2000" s="5">
        <f t="shared" ref="M2000:M2027" si="691">YEAR(K2000)</f>
        <v>2023</v>
      </c>
      <c r="N2000" s="96">
        <v>325</v>
      </c>
      <c r="O2000" s="6">
        <f>-N2000</f>
        <v>-325</v>
      </c>
      <c r="P2000" s="6">
        <f t="shared" ref="P2000:P2029" si="692">SUM(N2000+O2000)</f>
        <v>0</v>
      </c>
      <c r="Q2000" s="7">
        <f t="shared" ref="Q2000:Q2029" si="693">SUM(Q1999+N2000)</f>
        <v>3475080.850000001</v>
      </c>
      <c r="R2000" s="44" t="str">
        <f>VLOOKUP(F2000,'Set up'!$A$2:$E$48,5,FALSE)</f>
        <v>PD Chq</v>
      </c>
      <c r="S2000" s="1" t="s">
        <v>2083</v>
      </c>
    </row>
    <row r="2001" spans="1:19" ht="15" hidden="1" customHeight="1" x14ac:dyDescent="0.3">
      <c r="A2001" s="4">
        <v>45154</v>
      </c>
      <c r="B2001" s="5">
        <f t="shared" si="687"/>
        <v>8</v>
      </c>
      <c r="C2001" s="5">
        <f t="shared" si="688"/>
        <v>2023</v>
      </c>
      <c r="D2001" s="88" t="s">
        <v>1820</v>
      </c>
      <c r="E2001" s="5" t="str">
        <f>VLOOKUP(F2001,'Set up'!$A$2:$C$48,2,FALSE)</f>
        <v>C00000003</v>
      </c>
      <c r="F2001" s="1" t="s">
        <v>20</v>
      </c>
      <c r="G2001" s="99" t="s">
        <v>1406</v>
      </c>
      <c r="H2001" s="5">
        <v>1</v>
      </c>
      <c r="I2001" s="5">
        <f>VLOOKUP(F2001,'Set up'!$A$2:$C$48,3,FALSE)</f>
        <v>45</v>
      </c>
      <c r="J2001" s="5">
        <f>VLOOKUP(F2001,'Set up'!$A$2:$D$48,4,FALSE)</f>
        <v>45</v>
      </c>
      <c r="K2001" s="4">
        <f t="shared" si="689"/>
        <v>45199</v>
      </c>
      <c r="L2001" s="5">
        <f t="shared" si="690"/>
        <v>9</v>
      </c>
      <c r="M2001" s="5">
        <f t="shared" si="691"/>
        <v>2023</v>
      </c>
      <c r="N2001" s="96">
        <v>50</v>
      </c>
      <c r="O2001" s="6">
        <f>-N2001</f>
        <v>-50</v>
      </c>
      <c r="P2001" s="6">
        <f t="shared" si="692"/>
        <v>0</v>
      </c>
      <c r="Q2001" s="7">
        <f t="shared" si="693"/>
        <v>3475130.850000001</v>
      </c>
      <c r="R2001" s="44" t="str">
        <f>VLOOKUP(F2001,'Set up'!$A$2:$E$48,5,FALSE)</f>
        <v>PD Chq</v>
      </c>
      <c r="S2001" s="1" t="s">
        <v>2084</v>
      </c>
    </row>
    <row r="2002" spans="1:19" ht="15" hidden="1" customHeight="1" x14ac:dyDescent="0.3">
      <c r="A2002" s="4">
        <v>45155</v>
      </c>
      <c r="B2002" s="5">
        <f t="shared" si="687"/>
        <v>8</v>
      </c>
      <c r="C2002" s="5">
        <f t="shared" si="688"/>
        <v>2023</v>
      </c>
      <c r="D2002" s="88" t="s">
        <v>1821</v>
      </c>
      <c r="E2002" s="5" t="str">
        <f>VLOOKUP(F2002,'Set up'!$A$2:$C$48,2,FALSE)</f>
        <v>C00000014</v>
      </c>
      <c r="F2002" s="1" t="s">
        <v>263</v>
      </c>
      <c r="G2002" s="99" t="s">
        <v>304</v>
      </c>
      <c r="H2002" s="5">
        <v>1</v>
      </c>
      <c r="I2002" s="5" t="str">
        <f>VLOOKUP(F2002,'Set up'!$A$2:$C$48,3,FALSE)</f>
        <v>Cash</v>
      </c>
      <c r="J2002" s="5">
        <f>VLOOKUP(F2002,'Set up'!$A$2:$D$48,4,FALSE)</f>
        <v>0</v>
      </c>
      <c r="K2002" s="4">
        <f t="shared" si="689"/>
        <v>45155</v>
      </c>
      <c r="L2002" s="5">
        <f t="shared" si="690"/>
        <v>8</v>
      </c>
      <c r="M2002" s="5">
        <f t="shared" si="691"/>
        <v>2023</v>
      </c>
      <c r="N2002" s="96">
        <v>1694</v>
      </c>
      <c r="O2002" s="6">
        <f t="shared" ref="O2002:O2005" si="694">-N2002</f>
        <v>-1694</v>
      </c>
      <c r="P2002" s="6">
        <f t="shared" si="692"/>
        <v>0</v>
      </c>
      <c r="Q2002" s="7">
        <f t="shared" si="693"/>
        <v>3476824.850000001</v>
      </c>
      <c r="R2002" s="44" t="str">
        <f>VLOOKUP(F2002,'Set up'!$A$2:$E$48,5,FALSE)</f>
        <v>Cash</v>
      </c>
      <c r="S2002" s="1" t="s">
        <v>1845</v>
      </c>
    </row>
    <row r="2003" spans="1:19" ht="15" hidden="1" customHeight="1" x14ac:dyDescent="0.3">
      <c r="A2003" s="4">
        <v>45155</v>
      </c>
      <c r="B2003" s="5">
        <f t="shared" si="687"/>
        <v>8</v>
      </c>
      <c r="C2003" s="5">
        <f t="shared" si="688"/>
        <v>2023</v>
      </c>
      <c r="D2003" s="88" t="s">
        <v>1821</v>
      </c>
      <c r="E2003" s="5" t="str">
        <f>VLOOKUP(F2003,'Set up'!$A$2:$C$48,2,FALSE)</f>
        <v>C00000014</v>
      </c>
      <c r="F2003" s="1" t="s">
        <v>263</v>
      </c>
      <c r="G2003" s="99" t="s">
        <v>989</v>
      </c>
      <c r="H2003" s="5">
        <v>3</v>
      </c>
      <c r="I2003" s="5" t="str">
        <f>VLOOKUP(F2003,'Set up'!$A$2:$C$48,3,FALSE)</f>
        <v>Cash</v>
      </c>
      <c r="J2003" s="5">
        <f>VLOOKUP(F2003,'Set up'!$A$2:$D$48,4,FALSE)</f>
        <v>0</v>
      </c>
      <c r="K2003" s="4">
        <f t="shared" si="689"/>
        <v>45155</v>
      </c>
      <c r="L2003" s="5">
        <f t="shared" si="690"/>
        <v>8</v>
      </c>
      <c r="M2003" s="5">
        <f t="shared" si="691"/>
        <v>2023</v>
      </c>
      <c r="N2003" s="96">
        <v>702</v>
      </c>
      <c r="O2003" s="6">
        <f t="shared" si="694"/>
        <v>-702</v>
      </c>
      <c r="P2003" s="6">
        <f t="shared" si="692"/>
        <v>0</v>
      </c>
      <c r="Q2003" s="7">
        <f t="shared" si="693"/>
        <v>3477526.850000001</v>
      </c>
      <c r="R2003" s="44" t="str">
        <f>VLOOKUP(F2003,'Set up'!$A$2:$E$48,5,FALSE)</f>
        <v>Cash</v>
      </c>
      <c r="S2003" s="1" t="s">
        <v>1845</v>
      </c>
    </row>
    <row r="2004" spans="1:19" ht="15" hidden="1" customHeight="1" x14ac:dyDescent="0.3">
      <c r="A2004" s="4">
        <v>45155</v>
      </c>
      <c r="B2004" s="5">
        <f t="shared" si="687"/>
        <v>8</v>
      </c>
      <c r="C2004" s="5">
        <f t="shared" si="688"/>
        <v>2023</v>
      </c>
      <c r="D2004" s="88" t="s">
        <v>1821</v>
      </c>
      <c r="E2004" s="5" t="str">
        <f>VLOOKUP(F2004,'Set up'!$A$2:$C$48,2,FALSE)</f>
        <v>C00000014</v>
      </c>
      <c r="F2004" s="1" t="s">
        <v>263</v>
      </c>
      <c r="G2004" s="99" t="s">
        <v>1469</v>
      </c>
      <c r="H2004" s="5">
        <v>1</v>
      </c>
      <c r="I2004" s="5" t="str">
        <f>VLOOKUP(F2004,'Set up'!$A$2:$C$48,3,FALSE)</f>
        <v>Cash</v>
      </c>
      <c r="J2004" s="5">
        <f>VLOOKUP(F2004,'Set up'!$A$2:$D$48,4,FALSE)</f>
        <v>0</v>
      </c>
      <c r="K2004" s="4">
        <f t="shared" si="689"/>
        <v>45155</v>
      </c>
      <c r="L2004" s="5">
        <f t="shared" si="690"/>
        <v>8</v>
      </c>
      <c r="M2004" s="5">
        <f t="shared" si="691"/>
        <v>2023</v>
      </c>
      <c r="N2004" s="96">
        <v>322.5</v>
      </c>
      <c r="O2004" s="6">
        <f t="shared" si="694"/>
        <v>-322.5</v>
      </c>
      <c r="P2004" s="6">
        <f t="shared" si="692"/>
        <v>0</v>
      </c>
      <c r="Q2004" s="7">
        <f t="shared" si="693"/>
        <v>3477849.350000001</v>
      </c>
      <c r="R2004" s="44" t="str">
        <f>VLOOKUP(F2004,'Set up'!$A$2:$E$48,5,FALSE)</f>
        <v>Cash</v>
      </c>
      <c r="S2004" s="1" t="s">
        <v>1845</v>
      </c>
    </row>
    <row r="2005" spans="1:19" ht="15" hidden="1" customHeight="1" x14ac:dyDescent="0.3">
      <c r="A2005" s="4">
        <v>45155</v>
      </c>
      <c r="B2005" s="5">
        <f t="shared" si="687"/>
        <v>8</v>
      </c>
      <c r="C2005" s="5">
        <f t="shared" si="688"/>
        <v>2023</v>
      </c>
      <c r="D2005" s="88" t="s">
        <v>1821</v>
      </c>
      <c r="E2005" s="5" t="str">
        <f>VLOOKUP(F2005,'Set up'!$A$2:$C$48,2,FALSE)</f>
        <v>C00000014</v>
      </c>
      <c r="F2005" s="1" t="s">
        <v>263</v>
      </c>
      <c r="G2005" s="99" t="s">
        <v>895</v>
      </c>
      <c r="H2005" s="5">
        <v>1</v>
      </c>
      <c r="I2005" s="5" t="str">
        <f>VLOOKUP(F2005,'Set up'!$A$2:$C$48,3,FALSE)</f>
        <v>Cash</v>
      </c>
      <c r="J2005" s="5">
        <f>VLOOKUP(F2005,'Set up'!$A$2:$D$48,4,FALSE)</f>
        <v>0</v>
      </c>
      <c r="K2005" s="4">
        <f t="shared" si="689"/>
        <v>45155</v>
      </c>
      <c r="L2005" s="5">
        <f t="shared" si="690"/>
        <v>8</v>
      </c>
      <c r="M2005" s="5">
        <f t="shared" si="691"/>
        <v>2023</v>
      </c>
      <c r="N2005" s="96">
        <v>160</v>
      </c>
      <c r="O2005" s="6">
        <f t="shared" si="694"/>
        <v>-160</v>
      </c>
      <c r="P2005" s="6">
        <f t="shared" si="692"/>
        <v>0</v>
      </c>
      <c r="Q2005" s="7">
        <f t="shared" si="693"/>
        <v>3478009.350000001</v>
      </c>
      <c r="R2005" s="44" t="str">
        <f>VLOOKUP(F2005,'Set up'!$A$2:$E$48,5,FALSE)</f>
        <v>Cash</v>
      </c>
      <c r="S2005" s="1" t="s">
        <v>1845</v>
      </c>
    </row>
    <row r="2006" spans="1:19" ht="15" hidden="1" customHeight="1" x14ac:dyDescent="0.3">
      <c r="A2006" s="4">
        <v>45155</v>
      </c>
      <c r="B2006" s="5">
        <f t="shared" si="687"/>
        <v>8</v>
      </c>
      <c r="C2006" s="5">
        <f t="shared" si="688"/>
        <v>2023</v>
      </c>
      <c r="D2006" s="88" t="s">
        <v>1822</v>
      </c>
      <c r="E2006" s="5" t="str">
        <f>VLOOKUP(F2006,'Set up'!$A$2:$C$48,2,FALSE)</f>
        <v>C00000019</v>
      </c>
      <c r="F2006" s="1" t="s">
        <v>401</v>
      </c>
      <c r="G2006" s="99" t="s">
        <v>792</v>
      </c>
      <c r="H2006" s="5">
        <v>4</v>
      </c>
      <c r="I2006" s="5" t="str">
        <f>VLOOKUP(F2006,'Set up'!$A$2:$C$48,3,FALSE)</f>
        <v>Cash</v>
      </c>
      <c r="J2006" s="5">
        <f>VLOOKUP(F2006,'Set up'!$A$2:$D$48,4,FALSE)</f>
        <v>0</v>
      </c>
      <c r="K2006" s="4">
        <f t="shared" si="689"/>
        <v>45155</v>
      </c>
      <c r="L2006" s="5">
        <f t="shared" si="690"/>
        <v>8</v>
      </c>
      <c r="M2006" s="5">
        <f t="shared" si="691"/>
        <v>2023</v>
      </c>
      <c r="N2006" s="96">
        <v>250</v>
      </c>
      <c r="P2006" s="6">
        <f t="shared" si="692"/>
        <v>250</v>
      </c>
      <c r="Q2006" s="7">
        <f t="shared" si="693"/>
        <v>3478259.350000001</v>
      </c>
      <c r="R2006" s="44" t="str">
        <f>VLOOKUP(F2006,'Set up'!$A$2:$E$48,5,FALSE)</f>
        <v>Trsf</v>
      </c>
    </row>
    <row r="2007" spans="1:19" ht="15" hidden="1" customHeight="1" x14ac:dyDescent="0.3">
      <c r="A2007" s="4">
        <v>45159</v>
      </c>
      <c r="B2007" s="5">
        <f t="shared" si="687"/>
        <v>8</v>
      </c>
      <c r="C2007" s="5">
        <f t="shared" si="688"/>
        <v>2023</v>
      </c>
      <c r="D2007" s="88" t="s">
        <v>1823</v>
      </c>
      <c r="E2007" s="5" t="str">
        <f>VLOOKUP(F2007,'Set up'!$A$2:$C$48,2,FALSE)</f>
        <v>C00000006</v>
      </c>
      <c r="F2007" s="1" t="s">
        <v>43</v>
      </c>
      <c r="G2007" s="99" t="s">
        <v>95</v>
      </c>
      <c r="H2007" s="5">
        <v>1</v>
      </c>
      <c r="I2007" s="5" t="str">
        <f>VLOOKUP(F2007,'Set up'!$A$2:$C$48,3,FALSE)</f>
        <v>Cash</v>
      </c>
      <c r="J2007" s="5">
        <f>VLOOKUP(F2007,'Set up'!$A$2:$D$48,4,FALSE)</f>
        <v>0</v>
      </c>
      <c r="K2007" s="4">
        <f t="shared" si="689"/>
        <v>45159</v>
      </c>
      <c r="L2007" s="5">
        <f t="shared" si="690"/>
        <v>8</v>
      </c>
      <c r="M2007" s="5">
        <f t="shared" si="691"/>
        <v>2023</v>
      </c>
      <c r="N2007" s="96">
        <v>1738</v>
      </c>
      <c r="O2007" s="6">
        <f>-N2007</f>
        <v>-1738</v>
      </c>
      <c r="P2007" s="6">
        <f t="shared" si="692"/>
        <v>0</v>
      </c>
      <c r="Q2007" s="7">
        <f t="shared" si="693"/>
        <v>3479997.350000001</v>
      </c>
      <c r="R2007" s="44" t="str">
        <f>VLOOKUP(F2007,'Set up'!$A$2:$E$48,5,FALSE)</f>
        <v>Chq</v>
      </c>
      <c r="S2007" s="1" t="s">
        <v>2091</v>
      </c>
    </row>
    <row r="2008" spans="1:19" ht="15" hidden="1" customHeight="1" x14ac:dyDescent="0.3">
      <c r="A2008" s="4">
        <v>45159</v>
      </c>
      <c r="B2008" s="5">
        <f t="shared" si="687"/>
        <v>8</v>
      </c>
      <c r="C2008" s="5">
        <f t="shared" si="688"/>
        <v>2023</v>
      </c>
      <c r="D2008" s="88" t="s">
        <v>1823</v>
      </c>
      <c r="E2008" s="5" t="str">
        <f>VLOOKUP(F2008,'Set up'!$A$2:$C$48,2,FALSE)</f>
        <v>C00000006</v>
      </c>
      <c r="F2008" s="1" t="s">
        <v>43</v>
      </c>
      <c r="G2008" s="99" t="s">
        <v>1797</v>
      </c>
      <c r="H2008" s="5">
        <v>3</v>
      </c>
      <c r="I2008" s="5" t="str">
        <f>VLOOKUP(F2008,'Set up'!$A$2:$C$48,3,FALSE)</f>
        <v>Cash</v>
      </c>
      <c r="J2008" s="5">
        <f>VLOOKUP(F2008,'Set up'!$A$2:$D$48,4,FALSE)</f>
        <v>0</v>
      </c>
      <c r="K2008" s="4">
        <f t="shared" si="689"/>
        <v>45159</v>
      </c>
      <c r="L2008" s="5">
        <f t="shared" si="690"/>
        <v>8</v>
      </c>
      <c r="M2008" s="5">
        <f t="shared" si="691"/>
        <v>2023</v>
      </c>
      <c r="N2008" s="96">
        <v>702</v>
      </c>
      <c r="O2008" s="6">
        <f>-N2008</f>
        <v>-702</v>
      </c>
      <c r="P2008" s="6">
        <f t="shared" si="692"/>
        <v>0</v>
      </c>
      <c r="Q2008" s="7">
        <f t="shared" si="693"/>
        <v>3480699.350000001</v>
      </c>
      <c r="R2008" s="44" t="str">
        <f>VLOOKUP(F2008,'Set up'!$A$2:$E$48,5,FALSE)</f>
        <v>Chq</v>
      </c>
      <c r="S2008" s="1" t="s">
        <v>2091</v>
      </c>
    </row>
    <row r="2009" spans="1:19" ht="15" hidden="1" customHeight="1" x14ac:dyDescent="0.3">
      <c r="A2009" s="4">
        <v>45160</v>
      </c>
      <c r="B2009" s="5">
        <f t="shared" si="687"/>
        <v>8</v>
      </c>
      <c r="C2009" s="5">
        <f t="shared" si="688"/>
        <v>2023</v>
      </c>
      <c r="D2009" s="88" t="s">
        <v>1824</v>
      </c>
      <c r="E2009" s="5" t="str">
        <f>VLOOKUP(F2009,'Set up'!$A$2:$C$48,2,FALSE)</f>
        <v>C00000037</v>
      </c>
      <c r="F2009" s="1" t="s">
        <v>1310</v>
      </c>
      <c r="G2009" s="99" t="s">
        <v>720</v>
      </c>
      <c r="H2009" s="5">
        <v>4</v>
      </c>
      <c r="I2009" s="5">
        <f>VLOOKUP(F2009,'Set up'!$A$2:$C$48,3,FALSE)</f>
        <v>30</v>
      </c>
      <c r="J2009" s="5">
        <f>VLOOKUP(F2009,'Set up'!$A$2:$D$48,4,FALSE)</f>
        <v>30</v>
      </c>
      <c r="K2009" s="4">
        <f t="shared" si="689"/>
        <v>45190</v>
      </c>
      <c r="L2009" s="5">
        <f t="shared" si="690"/>
        <v>9</v>
      </c>
      <c r="M2009" s="5">
        <f t="shared" si="691"/>
        <v>2023</v>
      </c>
      <c r="N2009" s="96">
        <v>6952</v>
      </c>
      <c r="O2009" s="6">
        <f t="shared" ref="O2009:O2014" si="695">-N2009</f>
        <v>-6952</v>
      </c>
      <c r="P2009" s="6">
        <f t="shared" si="692"/>
        <v>0</v>
      </c>
      <c r="Q2009" s="7">
        <f t="shared" si="693"/>
        <v>3487651.350000001</v>
      </c>
      <c r="R2009" s="44" t="str">
        <f>VLOOKUP(F2009,'Set up'!$A$2:$E$48,5,FALSE)</f>
        <v>Chq</v>
      </c>
      <c r="S2009" s="1" t="s">
        <v>1983</v>
      </c>
    </row>
    <row r="2010" spans="1:19" ht="15" hidden="1" customHeight="1" x14ac:dyDescent="0.3">
      <c r="A2010" s="4">
        <v>45160</v>
      </c>
      <c r="B2010" s="5">
        <f t="shared" si="687"/>
        <v>8</v>
      </c>
      <c r="C2010" s="5">
        <f t="shared" si="688"/>
        <v>2023</v>
      </c>
      <c r="D2010" s="88" t="s">
        <v>1824</v>
      </c>
      <c r="E2010" s="5" t="str">
        <f>VLOOKUP(F2010,'Set up'!$A$2:$C$48,2,FALSE)</f>
        <v>C00000037</v>
      </c>
      <c r="F2010" s="1" t="s">
        <v>1310</v>
      </c>
      <c r="G2010" s="99" t="s">
        <v>708</v>
      </c>
      <c r="H2010" s="5">
        <v>5</v>
      </c>
      <c r="I2010" s="5">
        <f>VLOOKUP(F2010,'Set up'!$A$2:$C$48,3,FALSE)</f>
        <v>30</v>
      </c>
      <c r="J2010" s="5">
        <f>VLOOKUP(F2010,'Set up'!$A$2:$D$48,4,FALSE)</f>
        <v>30</v>
      </c>
      <c r="K2010" s="4">
        <f t="shared" si="689"/>
        <v>45190</v>
      </c>
      <c r="L2010" s="5">
        <f t="shared" si="690"/>
        <v>9</v>
      </c>
      <c r="M2010" s="5">
        <f t="shared" si="691"/>
        <v>2023</v>
      </c>
      <c r="N2010" s="96">
        <v>2106</v>
      </c>
      <c r="O2010" s="6">
        <f t="shared" si="695"/>
        <v>-2106</v>
      </c>
      <c r="P2010" s="6">
        <f t="shared" si="692"/>
        <v>0</v>
      </c>
      <c r="Q2010" s="7">
        <f t="shared" si="693"/>
        <v>3489757.350000001</v>
      </c>
      <c r="R2010" s="44" t="str">
        <f>VLOOKUP(F2010,'Set up'!$A$2:$E$48,5,FALSE)</f>
        <v>Chq</v>
      </c>
      <c r="S2010" s="1" t="s">
        <v>1983</v>
      </c>
    </row>
    <row r="2011" spans="1:19" ht="15" hidden="1" customHeight="1" x14ac:dyDescent="0.3">
      <c r="A2011" s="4">
        <v>45160</v>
      </c>
      <c r="B2011" s="5">
        <f t="shared" si="687"/>
        <v>8</v>
      </c>
      <c r="C2011" s="5">
        <f t="shared" si="688"/>
        <v>2023</v>
      </c>
      <c r="D2011" s="88" t="s">
        <v>1824</v>
      </c>
      <c r="E2011" s="5" t="str">
        <f>VLOOKUP(F2011,'Set up'!$A$2:$C$48,2,FALSE)</f>
        <v>C00000037</v>
      </c>
      <c r="F2011" s="1" t="s">
        <v>1310</v>
      </c>
      <c r="G2011" s="99" t="s">
        <v>1406</v>
      </c>
      <c r="H2011" s="5">
        <v>3</v>
      </c>
      <c r="I2011" s="5">
        <f>VLOOKUP(F2011,'Set up'!$A$2:$C$48,3,FALSE)</f>
        <v>30</v>
      </c>
      <c r="J2011" s="5">
        <f>VLOOKUP(F2011,'Set up'!$A$2:$D$48,4,FALSE)</f>
        <v>30</v>
      </c>
      <c r="K2011" s="4">
        <f t="shared" si="689"/>
        <v>45190</v>
      </c>
      <c r="L2011" s="5">
        <f t="shared" si="690"/>
        <v>9</v>
      </c>
      <c r="M2011" s="5">
        <f t="shared" si="691"/>
        <v>2023</v>
      </c>
      <c r="N2011" s="96">
        <v>144</v>
      </c>
      <c r="O2011" s="6">
        <f t="shared" si="695"/>
        <v>-144</v>
      </c>
      <c r="P2011" s="6">
        <f t="shared" si="692"/>
        <v>0</v>
      </c>
      <c r="Q2011" s="7">
        <f t="shared" si="693"/>
        <v>3489901.350000001</v>
      </c>
      <c r="R2011" s="44" t="str">
        <f>VLOOKUP(F2011,'Set up'!$A$2:$E$48,5,FALSE)</f>
        <v>Chq</v>
      </c>
      <c r="S2011" s="1" t="s">
        <v>1983</v>
      </c>
    </row>
    <row r="2012" spans="1:19" ht="15" hidden="1" customHeight="1" x14ac:dyDescent="0.3">
      <c r="A2012" s="4">
        <v>45160</v>
      </c>
      <c r="B2012" s="5">
        <f t="shared" si="687"/>
        <v>8</v>
      </c>
      <c r="C2012" s="5">
        <f t="shared" si="688"/>
        <v>2023</v>
      </c>
      <c r="D2012" s="88" t="s">
        <v>1824</v>
      </c>
      <c r="E2012" s="5" t="str">
        <f>VLOOKUP(F2012,'Set up'!$A$2:$C$48,2,FALSE)</f>
        <v>C00000037</v>
      </c>
      <c r="F2012" s="1" t="s">
        <v>1310</v>
      </c>
      <c r="G2012" s="99" t="s">
        <v>1111</v>
      </c>
      <c r="H2012" s="5">
        <v>3</v>
      </c>
      <c r="I2012" s="5">
        <f>VLOOKUP(F2012,'Set up'!$A$2:$C$48,3,FALSE)</f>
        <v>30</v>
      </c>
      <c r="J2012" s="5">
        <f>VLOOKUP(F2012,'Set up'!$A$2:$D$48,4,FALSE)</f>
        <v>30</v>
      </c>
      <c r="K2012" s="4">
        <f t="shared" si="689"/>
        <v>45190</v>
      </c>
      <c r="L2012" s="5">
        <f t="shared" si="690"/>
        <v>9</v>
      </c>
      <c r="M2012" s="5">
        <f t="shared" si="691"/>
        <v>2023</v>
      </c>
      <c r="N2012" s="96">
        <v>187.5</v>
      </c>
      <c r="O2012" s="6">
        <f t="shared" si="695"/>
        <v>-187.5</v>
      </c>
      <c r="P2012" s="6">
        <f t="shared" si="692"/>
        <v>0</v>
      </c>
      <c r="Q2012" s="7">
        <f t="shared" si="693"/>
        <v>3490088.850000001</v>
      </c>
      <c r="R2012" s="44" t="str">
        <f>VLOOKUP(F2012,'Set up'!$A$2:$E$48,5,FALSE)</f>
        <v>Chq</v>
      </c>
      <c r="S2012" s="1" t="s">
        <v>1983</v>
      </c>
    </row>
    <row r="2013" spans="1:19" ht="15" hidden="1" customHeight="1" x14ac:dyDescent="0.3">
      <c r="A2013" s="4">
        <v>45160</v>
      </c>
      <c r="B2013" s="5">
        <f t="shared" si="687"/>
        <v>8</v>
      </c>
      <c r="C2013" s="5">
        <f t="shared" si="688"/>
        <v>2023</v>
      </c>
      <c r="D2013" s="88" t="s">
        <v>1824</v>
      </c>
      <c r="E2013" s="5" t="str">
        <f>VLOOKUP(F2013,'Set up'!$A$2:$C$48,2,FALSE)</f>
        <v>C00000037</v>
      </c>
      <c r="F2013" s="1" t="s">
        <v>1310</v>
      </c>
      <c r="G2013" s="99" t="s">
        <v>1469</v>
      </c>
      <c r="H2013" s="5">
        <v>2</v>
      </c>
      <c r="I2013" s="5">
        <f>VLOOKUP(F2013,'Set up'!$A$2:$C$48,3,FALSE)</f>
        <v>30</v>
      </c>
      <c r="J2013" s="5">
        <f>VLOOKUP(F2013,'Set up'!$A$2:$D$48,4,FALSE)</f>
        <v>30</v>
      </c>
      <c r="K2013" s="4">
        <f t="shared" si="689"/>
        <v>45190</v>
      </c>
      <c r="L2013" s="5">
        <f t="shared" si="690"/>
        <v>9</v>
      </c>
      <c r="M2013" s="5">
        <f t="shared" si="691"/>
        <v>2023</v>
      </c>
      <c r="N2013" s="96">
        <v>650</v>
      </c>
      <c r="O2013" s="6">
        <f t="shared" si="695"/>
        <v>-650</v>
      </c>
      <c r="P2013" s="6">
        <f t="shared" si="692"/>
        <v>0</v>
      </c>
      <c r="Q2013" s="7">
        <f t="shared" si="693"/>
        <v>3490738.850000001</v>
      </c>
      <c r="R2013" s="44" t="str">
        <f>VLOOKUP(F2013,'Set up'!$A$2:$E$48,5,FALSE)</f>
        <v>Chq</v>
      </c>
      <c r="S2013" s="1" t="s">
        <v>1983</v>
      </c>
    </row>
    <row r="2014" spans="1:19" ht="15" hidden="1" customHeight="1" x14ac:dyDescent="0.3">
      <c r="A2014" s="4">
        <v>45160</v>
      </c>
      <c r="B2014" s="5">
        <f t="shared" si="687"/>
        <v>8</v>
      </c>
      <c r="C2014" s="5">
        <f t="shared" si="688"/>
        <v>2023</v>
      </c>
      <c r="D2014" s="88" t="s">
        <v>1824</v>
      </c>
      <c r="E2014" s="5" t="str">
        <f>VLOOKUP(F2014,'Set up'!$A$2:$C$48,2,FALSE)</f>
        <v>C00000037</v>
      </c>
      <c r="F2014" s="1" t="s">
        <v>1310</v>
      </c>
      <c r="G2014" s="99" t="s">
        <v>1547</v>
      </c>
      <c r="H2014" s="5">
        <v>1</v>
      </c>
      <c r="I2014" s="5">
        <f>VLOOKUP(F2014,'Set up'!$A$2:$C$48,3,FALSE)</f>
        <v>30</v>
      </c>
      <c r="J2014" s="5">
        <f>VLOOKUP(F2014,'Set up'!$A$2:$D$48,4,FALSE)</f>
        <v>30</v>
      </c>
      <c r="K2014" s="4">
        <f t="shared" si="689"/>
        <v>45190</v>
      </c>
      <c r="L2014" s="5">
        <f t="shared" si="690"/>
        <v>9</v>
      </c>
      <c r="M2014" s="5">
        <f t="shared" si="691"/>
        <v>2023</v>
      </c>
      <c r="N2014" s="96">
        <v>930</v>
      </c>
      <c r="O2014" s="6">
        <f t="shared" si="695"/>
        <v>-930</v>
      </c>
      <c r="P2014" s="6">
        <f t="shared" si="692"/>
        <v>0</v>
      </c>
      <c r="Q2014" s="7">
        <f t="shared" si="693"/>
        <v>3491668.850000001</v>
      </c>
      <c r="R2014" s="44" t="str">
        <f>VLOOKUP(F2014,'Set up'!$A$2:$E$48,5,FALSE)</f>
        <v>Chq</v>
      </c>
      <c r="S2014" s="1" t="s">
        <v>1983</v>
      </c>
    </row>
    <row r="2015" spans="1:19" ht="15" customHeight="1" x14ac:dyDescent="0.3">
      <c r="A2015" s="4">
        <v>45160</v>
      </c>
      <c r="B2015" s="5">
        <f t="shared" si="687"/>
        <v>8</v>
      </c>
      <c r="C2015" s="5">
        <f t="shared" si="688"/>
        <v>2023</v>
      </c>
      <c r="D2015" s="88" t="s">
        <v>1825</v>
      </c>
      <c r="E2015" s="5" t="str">
        <f>VLOOKUP(F2015,'Set up'!$A$2:$C$48,2,FALSE)</f>
        <v>C00000020</v>
      </c>
      <c r="F2015" s="1" t="s">
        <v>410</v>
      </c>
      <c r="G2015" s="99" t="s">
        <v>1111</v>
      </c>
      <c r="H2015" s="5">
        <v>3</v>
      </c>
      <c r="I2015" s="5" t="str">
        <f>VLOOKUP(F2015,'Set up'!$A$2:$C$48,3,FALSE)</f>
        <v>Cash</v>
      </c>
      <c r="J2015" s="5">
        <f>VLOOKUP(F2015,'Set up'!$A$2:$D$48,4,FALSE)</f>
        <v>0</v>
      </c>
      <c r="K2015" s="4">
        <f t="shared" si="689"/>
        <v>45160</v>
      </c>
      <c r="L2015" s="5">
        <f t="shared" si="690"/>
        <v>8</v>
      </c>
      <c r="M2015" s="5">
        <f t="shared" si="691"/>
        <v>2023</v>
      </c>
      <c r="N2015" s="96">
        <v>187.5</v>
      </c>
      <c r="P2015" s="6">
        <f t="shared" si="692"/>
        <v>187.5</v>
      </c>
      <c r="Q2015" s="7">
        <f t="shared" si="693"/>
        <v>3491856.350000001</v>
      </c>
      <c r="R2015" s="44" t="str">
        <f>VLOOKUP(F2015,'Set up'!$A$2:$E$48,5,FALSE)</f>
        <v>Trsf</v>
      </c>
    </row>
    <row r="2016" spans="1:19" ht="15" customHeight="1" x14ac:dyDescent="0.3">
      <c r="A2016" s="4">
        <v>45160</v>
      </c>
      <c r="B2016" s="5">
        <f t="shared" si="687"/>
        <v>8</v>
      </c>
      <c r="C2016" s="5">
        <f t="shared" si="688"/>
        <v>2023</v>
      </c>
      <c r="D2016" s="88" t="s">
        <v>1826</v>
      </c>
      <c r="E2016" s="5" t="str">
        <f>VLOOKUP(F2016,'Set up'!$A$2:$C$48,2,FALSE)</f>
        <v>C00000020</v>
      </c>
      <c r="F2016" s="1" t="s">
        <v>410</v>
      </c>
      <c r="G2016" s="99" t="s">
        <v>1734</v>
      </c>
      <c r="H2016" s="5">
        <v>3</v>
      </c>
      <c r="I2016" s="5" t="str">
        <f>VLOOKUP(F2016,'Set up'!$A$2:$C$48,3,FALSE)</f>
        <v>Cash</v>
      </c>
      <c r="J2016" s="5">
        <f>VLOOKUP(F2016,'Set up'!$A$2:$D$48,4,FALSE)</f>
        <v>0</v>
      </c>
      <c r="K2016" s="4">
        <f t="shared" si="689"/>
        <v>45160</v>
      </c>
      <c r="L2016" s="5">
        <f t="shared" si="690"/>
        <v>8</v>
      </c>
      <c r="M2016" s="5">
        <f t="shared" si="691"/>
        <v>2023</v>
      </c>
      <c r="N2016" s="96">
        <v>4686</v>
      </c>
      <c r="P2016" s="6">
        <f t="shared" si="692"/>
        <v>4686</v>
      </c>
      <c r="Q2016" s="7">
        <f t="shared" si="693"/>
        <v>3496542.350000001</v>
      </c>
      <c r="R2016" s="44" t="str">
        <f>VLOOKUP(F2016,'Set up'!$A$2:$E$48,5,FALSE)</f>
        <v>Trsf</v>
      </c>
    </row>
    <row r="2017" spans="1:19" ht="15" customHeight="1" x14ac:dyDescent="0.3">
      <c r="A2017" s="4">
        <v>45160</v>
      </c>
      <c r="B2017" s="5">
        <f t="shared" si="687"/>
        <v>8</v>
      </c>
      <c r="C2017" s="5">
        <f t="shared" si="688"/>
        <v>2023</v>
      </c>
      <c r="D2017" s="88" t="s">
        <v>1826</v>
      </c>
      <c r="E2017" s="5" t="str">
        <f>VLOOKUP(F2017,'Set up'!$A$2:$C$48,2,FALSE)</f>
        <v>C00000020</v>
      </c>
      <c r="F2017" s="1" t="s">
        <v>410</v>
      </c>
      <c r="G2017" s="99" t="s">
        <v>914</v>
      </c>
      <c r="H2017" s="5">
        <v>9</v>
      </c>
      <c r="I2017" s="5" t="str">
        <f>VLOOKUP(F2017,'Set up'!$A$2:$C$48,3,FALSE)</f>
        <v>Cash</v>
      </c>
      <c r="J2017" s="5">
        <f>VLOOKUP(F2017,'Set up'!$A$2:$D$48,4,FALSE)</f>
        <v>0</v>
      </c>
      <c r="K2017" s="4">
        <f t="shared" si="689"/>
        <v>45160</v>
      </c>
      <c r="L2017" s="5">
        <f t="shared" si="690"/>
        <v>8</v>
      </c>
      <c r="M2017" s="5">
        <f t="shared" si="691"/>
        <v>2023</v>
      </c>
      <c r="N2017" s="96">
        <v>1701</v>
      </c>
      <c r="P2017" s="6">
        <f t="shared" si="692"/>
        <v>1701</v>
      </c>
      <c r="Q2017" s="7">
        <f t="shared" si="693"/>
        <v>3498243.350000001</v>
      </c>
      <c r="R2017" s="44" t="str">
        <f>VLOOKUP(F2017,'Set up'!$A$2:$E$48,5,FALSE)</f>
        <v>Trsf</v>
      </c>
    </row>
    <row r="2018" spans="1:19" ht="15" customHeight="1" x14ac:dyDescent="0.3">
      <c r="A2018" s="4">
        <v>45160</v>
      </c>
      <c r="B2018" s="5">
        <f t="shared" si="687"/>
        <v>8</v>
      </c>
      <c r="C2018" s="5">
        <f t="shared" si="688"/>
        <v>2023</v>
      </c>
      <c r="D2018" s="88" t="s">
        <v>1826</v>
      </c>
      <c r="E2018" s="5" t="str">
        <f>VLOOKUP(F2018,'Set up'!$A$2:$C$48,2,FALSE)</f>
        <v>C00000020</v>
      </c>
      <c r="F2018" s="1" t="s">
        <v>410</v>
      </c>
      <c r="G2018" s="99" t="s">
        <v>779</v>
      </c>
      <c r="H2018" s="5">
        <v>1</v>
      </c>
      <c r="I2018" s="5" t="str">
        <f>VLOOKUP(F2018,'Set up'!$A$2:$C$48,3,FALSE)</f>
        <v>Cash</v>
      </c>
      <c r="J2018" s="5">
        <f>VLOOKUP(F2018,'Set up'!$A$2:$D$48,4,FALSE)</f>
        <v>0</v>
      </c>
      <c r="K2018" s="4">
        <f t="shared" si="689"/>
        <v>45160</v>
      </c>
      <c r="L2018" s="5">
        <f t="shared" si="690"/>
        <v>8</v>
      </c>
      <c r="M2018" s="5">
        <f t="shared" si="691"/>
        <v>2023</v>
      </c>
      <c r="N2018" s="96">
        <v>200</v>
      </c>
      <c r="P2018" s="6">
        <f t="shared" si="692"/>
        <v>200</v>
      </c>
      <c r="Q2018" s="7">
        <f t="shared" si="693"/>
        <v>3498443.350000001</v>
      </c>
      <c r="R2018" s="44" t="str">
        <f>VLOOKUP(F2018,'Set up'!$A$2:$E$48,5,FALSE)</f>
        <v>Trsf</v>
      </c>
    </row>
    <row r="2019" spans="1:19" ht="15" hidden="1" customHeight="1" x14ac:dyDescent="0.3">
      <c r="A2019" s="4">
        <v>45160</v>
      </c>
      <c r="B2019" s="5">
        <f t="shared" si="687"/>
        <v>8</v>
      </c>
      <c r="C2019" s="5">
        <f t="shared" si="688"/>
        <v>2023</v>
      </c>
      <c r="D2019" s="88" t="s">
        <v>1827</v>
      </c>
      <c r="E2019" s="5" t="str">
        <f>VLOOKUP(F2019,'Set up'!$A$2:$C$48,2,FALSE)</f>
        <v>C00000019</v>
      </c>
      <c r="F2019" s="1" t="s">
        <v>401</v>
      </c>
      <c r="G2019" s="99" t="s">
        <v>95</v>
      </c>
      <c r="H2019" s="5">
        <v>1</v>
      </c>
      <c r="I2019" s="5" t="str">
        <f>VLOOKUP(F2019,'Set up'!$A$2:$C$48,3,FALSE)</f>
        <v>Cash</v>
      </c>
      <c r="J2019" s="5">
        <f>VLOOKUP(F2019,'Set up'!$A$2:$D$48,4,FALSE)</f>
        <v>0</v>
      </c>
      <c r="K2019" s="4">
        <f t="shared" si="689"/>
        <v>45160</v>
      </c>
      <c r="L2019" s="5">
        <f t="shared" si="690"/>
        <v>8</v>
      </c>
      <c r="M2019" s="5">
        <f t="shared" si="691"/>
        <v>2023</v>
      </c>
      <c r="N2019" s="96">
        <v>1738</v>
      </c>
      <c r="P2019" s="6">
        <f t="shared" si="692"/>
        <v>1738</v>
      </c>
      <c r="Q2019" s="7">
        <f t="shared" si="693"/>
        <v>3500181.350000001</v>
      </c>
      <c r="R2019" s="44" t="str">
        <f>VLOOKUP(F2019,'Set up'!$A$2:$E$48,5,FALSE)</f>
        <v>Trsf</v>
      </c>
    </row>
    <row r="2020" spans="1:19" ht="15" hidden="1" customHeight="1" x14ac:dyDescent="0.3">
      <c r="A2020" s="4">
        <v>45161</v>
      </c>
      <c r="B2020" s="5">
        <f t="shared" si="687"/>
        <v>8</v>
      </c>
      <c r="C2020" s="5">
        <f t="shared" si="688"/>
        <v>2023</v>
      </c>
      <c r="D2020" s="88" t="s">
        <v>1828</v>
      </c>
      <c r="E2020" s="5" t="str">
        <f>VLOOKUP(F2020,'Set up'!$A$2:$C$48,2,FALSE)</f>
        <v>C00000034</v>
      </c>
      <c r="F2020" s="1" t="s">
        <v>1197</v>
      </c>
      <c r="G2020" s="11" t="s">
        <v>1357</v>
      </c>
      <c r="H2020" s="5">
        <v>1</v>
      </c>
      <c r="I2020" s="5" t="str">
        <f>VLOOKUP(F2020,'Set up'!$A$2:$C$48,3,FALSE)</f>
        <v>Cash</v>
      </c>
      <c r="J2020" s="5">
        <f>VLOOKUP(F2020,'Set up'!$A$2:$D$48,4,FALSE)</f>
        <v>0</v>
      </c>
      <c r="K2020" s="4">
        <f t="shared" si="689"/>
        <v>45161</v>
      </c>
      <c r="L2020" s="5">
        <f t="shared" si="690"/>
        <v>8</v>
      </c>
      <c r="M2020" s="5">
        <f t="shared" si="691"/>
        <v>2023</v>
      </c>
      <c r="N2020" s="96">
        <v>1738</v>
      </c>
      <c r="O2020" s="6">
        <f t="shared" ref="O2020:O2026" si="696">-N2020</f>
        <v>-1738</v>
      </c>
      <c r="P2020" s="6">
        <f t="shared" si="692"/>
        <v>0</v>
      </c>
      <c r="Q2020" s="7">
        <f t="shared" si="693"/>
        <v>3501919.350000001</v>
      </c>
      <c r="R2020" s="44" t="str">
        <f>VLOOKUP(F2020,'Set up'!$A$2:$E$48,5,FALSE)</f>
        <v>Trsf</v>
      </c>
      <c r="S2020" s="1" t="s">
        <v>1953</v>
      </c>
    </row>
    <row r="2021" spans="1:19" ht="15" hidden="1" customHeight="1" x14ac:dyDescent="0.3">
      <c r="A2021" s="4">
        <v>45162</v>
      </c>
      <c r="B2021" s="5">
        <f t="shared" si="687"/>
        <v>8</v>
      </c>
      <c r="C2021" s="5">
        <f t="shared" si="688"/>
        <v>2023</v>
      </c>
      <c r="D2021" s="88" t="s">
        <v>1829</v>
      </c>
      <c r="E2021" s="5" t="str">
        <f>VLOOKUP(F2021,'Set up'!$A$2:$C$48,2,FALSE)</f>
        <v>C00000034</v>
      </c>
      <c r="F2021" s="1" t="s">
        <v>1197</v>
      </c>
      <c r="G2021" s="99" t="s">
        <v>1357</v>
      </c>
      <c r="H2021" s="5">
        <v>1</v>
      </c>
      <c r="I2021" s="5" t="str">
        <f>VLOOKUP(F2021,'Set up'!$A$2:$C$48,3,FALSE)</f>
        <v>Cash</v>
      </c>
      <c r="J2021" s="5">
        <f>VLOOKUP(F2021,'Set up'!$A$2:$D$48,4,FALSE)</f>
        <v>0</v>
      </c>
      <c r="K2021" s="4">
        <f t="shared" si="689"/>
        <v>45162</v>
      </c>
      <c r="L2021" s="5">
        <f t="shared" si="690"/>
        <v>8</v>
      </c>
      <c r="M2021" s="5">
        <f t="shared" si="691"/>
        <v>2023</v>
      </c>
      <c r="N2021" s="96">
        <v>1738</v>
      </c>
      <c r="O2021" s="6">
        <f t="shared" si="696"/>
        <v>-1738</v>
      </c>
      <c r="P2021" s="6">
        <f t="shared" si="692"/>
        <v>0</v>
      </c>
      <c r="Q2021" s="7">
        <f t="shared" si="693"/>
        <v>3503657.350000001</v>
      </c>
      <c r="R2021" s="44" t="str">
        <f>VLOOKUP(F2021,'Set up'!$A$2:$E$48,5,FALSE)</f>
        <v>Trsf</v>
      </c>
      <c r="S2021" s="1" t="s">
        <v>1954</v>
      </c>
    </row>
    <row r="2022" spans="1:19" ht="15" hidden="1" customHeight="1" x14ac:dyDescent="0.3">
      <c r="A2022" s="4">
        <v>45162</v>
      </c>
      <c r="B2022" s="5">
        <f t="shared" si="687"/>
        <v>8</v>
      </c>
      <c r="C2022" s="5">
        <f t="shared" si="688"/>
        <v>2023</v>
      </c>
      <c r="D2022" s="88" t="s">
        <v>1829</v>
      </c>
      <c r="E2022" s="5" t="str">
        <f>VLOOKUP(F2022,'Set up'!$A$2:$C$48,2,FALSE)</f>
        <v>C00000034</v>
      </c>
      <c r="F2022" s="1" t="s">
        <v>1197</v>
      </c>
      <c r="G2022" s="99" t="s">
        <v>1818</v>
      </c>
      <c r="H2022" s="5">
        <v>2</v>
      </c>
      <c r="I2022" s="5" t="str">
        <f>VLOOKUP(F2022,'Set up'!$A$2:$C$48,3,FALSE)</f>
        <v>Cash</v>
      </c>
      <c r="J2022" s="5">
        <f>VLOOKUP(F2022,'Set up'!$A$2:$D$48,4,FALSE)</f>
        <v>0</v>
      </c>
      <c r="K2022" s="4">
        <f t="shared" si="689"/>
        <v>45162</v>
      </c>
      <c r="L2022" s="5">
        <f t="shared" si="690"/>
        <v>8</v>
      </c>
      <c r="M2022" s="5">
        <f t="shared" si="691"/>
        <v>2023</v>
      </c>
      <c r="N2022" s="96">
        <v>472</v>
      </c>
      <c r="O2022" s="6">
        <f t="shared" si="696"/>
        <v>-472</v>
      </c>
      <c r="P2022" s="6">
        <f t="shared" si="692"/>
        <v>0</v>
      </c>
      <c r="Q2022" s="7">
        <f t="shared" si="693"/>
        <v>3504129.350000001</v>
      </c>
      <c r="R2022" s="44" t="str">
        <f>VLOOKUP(F2022,'Set up'!$A$2:$E$48,5,FALSE)</f>
        <v>Trsf</v>
      </c>
      <c r="S2022" s="1" t="s">
        <v>1955</v>
      </c>
    </row>
    <row r="2023" spans="1:19" ht="15" hidden="1" customHeight="1" x14ac:dyDescent="0.3">
      <c r="A2023" s="4">
        <v>45163</v>
      </c>
      <c r="B2023" s="5">
        <f t="shared" si="687"/>
        <v>8</v>
      </c>
      <c r="C2023" s="5">
        <f t="shared" si="688"/>
        <v>2023</v>
      </c>
      <c r="D2023" s="88" t="s">
        <v>1830</v>
      </c>
      <c r="E2023" s="5" t="str">
        <f>VLOOKUP(F2023,'Set up'!$A$2:$C$48,2,FALSE)</f>
        <v>C00000021</v>
      </c>
      <c r="F2023" s="1" t="s">
        <v>492</v>
      </c>
      <c r="G2023" s="99" t="s">
        <v>717</v>
      </c>
      <c r="H2023" s="5">
        <v>1</v>
      </c>
      <c r="I2023" s="5" t="str">
        <f>VLOOKUP(F2023,'Set up'!$A$2:$C$48,3,FALSE)</f>
        <v>Cash</v>
      </c>
      <c r="J2023" s="5">
        <f>VLOOKUP(F2023,'Set up'!$A$2:$D$48,4,FALSE)</f>
        <v>0</v>
      </c>
      <c r="K2023" s="4">
        <f t="shared" si="689"/>
        <v>45163</v>
      </c>
      <c r="L2023" s="5">
        <f t="shared" si="690"/>
        <v>8</v>
      </c>
      <c r="M2023" s="5">
        <f t="shared" si="691"/>
        <v>2023</v>
      </c>
      <c r="N2023" s="96">
        <v>1738</v>
      </c>
      <c r="O2023" s="6">
        <f t="shared" si="696"/>
        <v>-1738</v>
      </c>
      <c r="P2023" s="6">
        <f t="shared" si="692"/>
        <v>0</v>
      </c>
      <c r="Q2023" s="7">
        <f t="shared" si="693"/>
        <v>3505867.350000001</v>
      </c>
      <c r="R2023" s="44" t="str">
        <f>VLOOKUP(F2023,'Set up'!$A$2:$E$48,5,FALSE)</f>
        <v>PD Chq</v>
      </c>
      <c r="S2023" s="1" t="s">
        <v>1980</v>
      </c>
    </row>
    <row r="2024" spans="1:19" ht="15" hidden="1" customHeight="1" x14ac:dyDescent="0.3">
      <c r="A2024" s="4">
        <v>45163</v>
      </c>
      <c r="B2024" s="5">
        <f t="shared" si="687"/>
        <v>8</v>
      </c>
      <c r="C2024" s="5">
        <f t="shared" si="688"/>
        <v>2023</v>
      </c>
      <c r="D2024" s="88" t="s">
        <v>1830</v>
      </c>
      <c r="E2024" s="5" t="str">
        <f>VLOOKUP(F2024,'Set up'!$A$2:$C$48,2,FALSE)</f>
        <v>C00000021</v>
      </c>
      <c r="F2024" s="1" t="s">
        <v>492</v>
      </c>
      <c r="G2024" s="99" t="s">
        <v>655</v>
      </c>
      <c r="H2024" s="5">
        <v>3</v>
      </c>
      <c r="I2024" s="5" t="str">
        <f>VLOOKUP(F2024,'Set up'!$A$2:$C$48,3,FALSE)</f>
        <v>Cash</v>
      </c>
      <c r="J2024" s="5">
        <f>VLOOKUP(F2024,'Set up'!$A$2:$D$48,4,FALSE)</f>
        <v>0</v>
      </c>
      <c r="K2024" s="4">
        <f t="shared" si="689"/>
        <v>45163</v>
      </c>
      <c r="L2024" s="5">
        <f t="shared" si="690"/>
        <v>8</v>
      </c>
      <c r="M2024" s="5">
        <f t="shared" si="691"/>
        <v>2023</v>
      </c>
      <c r="N2024" s="96">
        <v>702</v>
      </c>
      <c r="O2024" s="6">
        <f t="shared" si="696"/>
        <v>-702</v>
      </c>
      <c r="P2024" s="6">
        <f t="shared" si="692"/>
        <v>0</v>
      </c>
      <c r="Q2024" s="7">
        <f t="shared" si="693"/>
        <v>3506569.350000001</v>
      </c>
      <c r="R2024" s="44" t="str">
        <f>VLOOKUP(F2024,'Set up'!$A$2:$E$48,5,FALSE)</f>
        <v>PD Chq</v>
      </c>
      <c r="S2024" s="1" t="s">
        <v>1980</v>
      </c>
    </row>
    <row r="2025" spans="1:19" ht="15" hidden="1" customHeight="1" x14ac:dyDescent="0.3">
      <c r="A2025" s="4">
        <v>45163</v>
      </c>
      <c r="B2025" s="5">
        <f t="shared" si="687"/>
        <v>8</v>
      </c>
      <c r="C2025" s="5">
        <f t="shared" si="688"/>
        <v>2023</v>
      </c>
      <c r="D2025" s="88" t="s">
        <v>1830</v>
      </c>
      <c r="E2025" s="5" t="str">
        <f>VLOOKUP(F2025,'Set up'!$A$2:$C$48,2,FALSE)</f>
        <v>C00000021</v>
      </c>
      <c r="F2025" s="1" t="s">
        <v>492</v>
      </c>
      <c r="G2025" s="99" t="s">
        <v>1062</v>
      </c>
      <c r="H2025" s="5">
        <v>1</v>
      </c>
      <c r="I2025" s="5" t="str">
        <f>VLOOKUP(F2025,'Set up'!$A$2:$C$48,3,FALSE)</f>
        <v>Cash</v>
      </c>
      <c r="J2025" s="5">
        <f>VLOOKUP(F2025,'Set up'!$A$2:$D$48,4,FALSE)</f>
        <v>0</v>
      </c>
      <c r="K2025" s="4">
        <f t="shared" si="689"/>
        <v>45163</v>
      </c>
      <c r="L2025" s="5">
        <f t="shared" si="690"/>
        <v>8</v>
      </c>
      <c r="M2025" s="5">
        <f t="shared" si="691"/>
        <v>2023</v>
      </c>
      <c r="N2025" s="96">
        <v>95</v>
      </c>
      <c r="O2025" s="6">
        <f t="shared" si="696"/>
        <v>-95</v>
      </c>
      <c r="P2025" s="6">
        <f t="shared" si="692"/>
        <v>0</v>
      </c>
      <c r="Q2025" s="7">
        <f t="shared" si="693"/>
        <v>3506664.350000001</v>
      </c>
      <c r="R2025" s="44" t="str">
        <f>VLOOKUP(F2025,'Set up'!$A$2:$E$48,5,FALSE)</f>
        <v>PD Chq</v>
      </c>
      <c r="S2025" s="1" t="s">
        <v>1980</v>
      </c>
    </row>
    <row r="2026" spans="1:19" ht="15" hidden="1" customHeight="1" x14ac:dyDescent="0.3">
      <c r="A2026" s="4">
        <v>45163</v>
      </c>
      <c r="B2026" s="5">
        <f t="shared" si="687"/>
        <v>8</v>
      </c>
      <c r="C2026" s="5">
        <f t="shared" si="688"/>
        <v>2023</v>
      </c>
      <c r="D2026" s="88" t="s">
        <v>1830</v>
      </c>
      <c r="E2026" s="5" t="str">
        <f>VLOOKUP(F2026,'Set up'!$A$2:$C$48,2,FALSE)</f>
        <v>C00000021</v>
      </c>
      <c r="F2026" s="1" t="s">
        <v>492</v>
      </c>
      <c r="G2026" s="99" t="s">
        <v>1111</v>
      </c>
      <c r="H2026" s="5">
        <v>5</v>
      </c>
      <c r="I2026" s="5" t="str">
        <f>VLOOKUP(F2026,'Set up'!$A$2:$C$48,3,FALSE)</f>
        <v>Cash</v>
      </c>
      <c r="J2026" s="5">
        <f>VLOOKUP(F2026,'Set up'!$A$2:$D$48,4,FALSE)</f>
        <v>0</v>
      </c>
      <c r="K2026" s="4">
        <f t="shared" si="689"/>
        <v>45163</v>
      </c>
      <c r="L2026" s="5">
        <f t="shared" si="690"/>
        <v>8</v>
      </c>
      <c r="M2026" s="5">
        <f t="shared" si="691"/>
        <v>2023</v>
      </c>
      <c r="N2026" s="96">
        <v>312.5</v>
      </c>
      <c r="O2026" s="6">
        <f t="shared" si="696"/>
        <v>-312.5</v>
      </c>
      <c r="P2026" s="6">
        <f t="shared" si="692"/>
        <v>0</v>
      </c>
      <c r="Q2026" s="7">
        <f t="shared" si="693"/>
        <v>3506976.850000001</v>
      </c>
      <c r="R2026" s="44" t="str">
        <f>VLOOKUP(F2026,'Set up'!$A$2:$E$48,5,FALSE)</f>
        <v>PD Chq</v>
      </c>
      <c r="S2026" s="1" t="s">
        <v>1980</v>
      </c>
    </row>
    <row r="2027" spans="1:19" ht="15" hidden="1" customHeight="1" x14ac:dyDescent="0.3">
      <c r="A2027" s="4">
        <v>45164</v>
      </c>
      <c r="B2027" s="5">
        <f t="shared" si="687"/>
        <v>8</v>
      </c>
      <c r="C2027" s="5">
        <f t="shared" si="688"/>
        <v>2023</v>
      </c>
      <c r="D2027" s="88" t="s">
        <v>1831</v>
      </c>
      <c r="E2027" s="5" t="str">
        <f>VLOOKUP(F2027,'Set up'!$A$2:$C$48,2,FALSE)</f>
        <v>C00000019</v>
      </c>
      <c r="F2027" s="1" t="s">
        <v>401</v>
      </c>
      <c r="G2027" s="99" t="s">
        <v>1412</v>
      </c>
      <c r="H2027" s="5">
        <v>1</v>
      </c>
      <c r="I2027" s="5" t="str">
        <f>VLOOKUP(F2027,'Set up'!$A$2:$C$48,3,FALSE)</f>
        <v>Cash</v>
      </c>
      <c r="J2027" s="5">
        <f>VLOOKUP(F2027,'Set up'!$A$2:$D$48,4,FALSE)</f>
        <v>0</v>
      </c>
      <c r="K2027" s="4">
        <f t="shared" si="689"/>
        <v>45164</v>
      </c>
      <c r="L2027" s="5">
        <f t="shared" si="690"/>
        <v>8</v>
      </c>
      <c r="M2027" s="5">
        <f t="shared" si="691"/>
        <v>2023</v>
      </c>
      <c r="N2027" s="96">
        <v>421.2</v>
      </c>
      <c r="P2027" s="6">
        <f t="shared" si="692"/>
        <v>421.2</v>
      </c>
      <c r="Q2027" s="7">
        <f t="shared" si="693"/>
        <v>3507398.0500000012</v>
      </c>
      <c r="R2027" s="44" t="str">
        <f>VLOOKUP(F2027,'Set up'!$A$2:$E$48,5,FALSE)</f>
        <v>Trsf</v>
      </c>
    </row>
    <row r="2028" spans="1:19" ht="15" hidden="1" customHeight="1" x14ac:dyDescent="0.3">
      <c r="A2028" s="4">
        <v>45164</v>
      </c>
      <c r="B2028" s="5">
        <f t="shared" si="687"/>
        <v>8</v>
      </c>
      <c r="C2028" s="5">
        <f t="shared" si="688"/>
        <v>2023</v>
      </c>
      <c r="D2028" s="88" t="s">
        <v>1831</v>
      </c>
      <c r="E2028" s="5" t="str">
        <f>VLOOKUP(F2028,'Set up'!$A$2:$C$48,2,FALSE)</f>
        <v>C00000019</v>
      </c>
      <c r="F2028" s="1" t="s">
        <v>401</v>
      </c>
      <c r="G2028" s="99" t="s">
        <v>1470</v>
      </c>
      <c r="H2028" s="5">
        <v>1</v>
      </c>
      <c r="I2028" s="5" t="str">
        <f>VLOOKUP(F2028,'Set up'!$A$2:$C$48,3,FALSE)</f>
        <v>Cash</v>
      </c>
      <c r="J2028" s="5">
        <f>VLOOKUP(F2028,'Set up'!$A$2:$D$48,4,FALSE)</f>
        <v>0</v>
      </c>
      <c r="K2028" s="4">
        <f t="shared" ref="K2028:K2043" si="697">A2028+J2028</f>
        <v>45164</v>
      </c>
      <c r="L2028" s="5">
        <f t="shared" ref="L2028:L2043" si="698">MONTH(K2028)</f>
        <v>8</v>
      </c>
      <c r="M2028" s="5">
        <f t="shared" ref="M2028:M2043" si="699">YEAR(K2028)</f>
        <v>2023</v>
      </c>
      <c r="N2028" s="96">
        <v>390</v>
      </c>
      <c r="P2028" s="6">
        <f t="shared" si="692"/>
        <v>390</v>
      </c>
      <c r="Q2028" s="7">
        <f t="shared" si="693"/>
        <v>3507788.0500000012</v>
      </c>
      <c r="R2028" s="44" t="str">
        <f>VLOOKUP(F2028,'Set up'!$A$2:$E$48,5,FALSE)</f>
        <v>Trsf</v>
      </c>
    </row>
    <row r="2029" spans="1:19" ht="15" hidden="1" customHeight="1" x14ac:dyDescent="0.3">
      <c r="A2029" s="4">
        <v>45166</v>
      </c>
      <c r="B2029" s="5">
        <f t="shared" si="687"/>
        <v>8</v>
      </c>
      <c r="C2029" s="5">
        <f t="shared" si="688"/>
        <v>2023</v>
      </c>
      <c r="D2029" s="88" t="s">
        <v>1833</v>
      </c>
      <c r="E2029" s="5" t="str">
        <f>VLOOKUP(F2029,'Set up'!$A$2:$C$48,2,FALSE)</f>
        <v>C00000034</v>
      </c>
      <c r="F2029" s="1" t="s">
        <v>1197</v>
      </c>
      <c r="G2029" s="99" t="s">
        <v>1198</v>
      </c>
      <c r="H2029" s="5">
        <v>2</v>
      </c>
      <c r="I2029" s="5" t="str">
        <f>VLOOKUP(F2029,'Set up'!$A$2:$C$48,3,FALSE)</f>
        <v>Cash</v>
      </c>
      <c r="J2029" s="5">
        <f>VLOOKUP(F2029,'Set up'!$A$2:$D$48,4,FALSE)</f>
        <v>0</v>
      </c>
      <c r="K2029" s="4">
        <f t="shared" si="697"/>
        <v>45166</v>
      </c>
      <c r="L2029" s="5">
        <f t="shared" si="698"/>
        <v>8</v>
      </c>
      <c r="M2029" s="5">
        <f t="shared" si="699"/>
        <v>2023</v>
      </c>
      <c r="N2029" s="96">
        <v>3476</v>
      </c>
      <c r="O2029" s="6">
        <f t="shared" ref="O2029:O2037" si="700">-N2029</f>
        <v>-3476</v>
      </c>
      <c r="P2029" s="6">
        <f t="shared" si="692"/>
        <v>0</v>
      </c>
      <c r="Q2029" s="7">
        <f t="shared" si="693"/>
        <v>3511264.0500000012</v>
      </c>
      <c r="R2029" s="44" t="str">
        <f>VLOOKUP(F2029,'Set up'!$A$2:$E$48,5,FALSE)</f>
        <v>Trsf</v>
      </c>
      <c r="S2029" s="1" t="s">
        <v>1956</v>
      </c>
    </row>
    <row r="2030" spans="1:19" ht="15" hidden="1" customHeight="1" x14ac:dyDescent="0.3">
      <c r="A2030" s="4">
        <v>45166</v>
      </c>
      <c r="B2030" s="5">
        <f t="shared" ref="B2030:B2043" si="701">MONTH(A2030)</f>
        <v>8</v>
      </c>
      <c r="C2030" s="5">
        <f t="shared" ref="C2030:C2043" si="702">YEAR(A2030)</f>
        <v>2023</v>
      </c>
      <c r="D2030" s="88" t="s">
        <v>1833</v>
      </c>
      <c r="E2030" s="5" t="str">
        <f>VLOOKUP(F2030,'Set up'!$A$2:$C$48,2,FALSE)</f>
        <v>C00000034</v>
      </c>
      <c r="F2030" s="1" t="s">
        <v>1197</v>
      </c>
      <c r="G2030" s="99" t="s">
        <v>1832</v>
      </c>
      <c r="H2030" s="5">
        <v>2</v>
      </c>
      <c r="I2030" s="5" t="str">
        <f>VLOOKUP(F2030,'Set up'!$A$2:$C$48,3,FALSE)</f>
        <v>Cash</v>
      </c>
      <c r="J2030" s="5">
        <f>VLOOKUP(F2030,'Set up'!$A$2:$D$48,4,FALSE)</f>
        <v>0</v>
      </c>
      <c r="K2030" s="4">
        <f t="shared" si="697"/>
        <v>45166</v>
      </c>
      <c r="L2030" s="5">
        <f t="shared" si="698"/>
        <v>8</v>
      </c>
      <c r="M2030" s="5">
        <f t="shared" si="699"/>
        <v>2023</v>
      </c>
      <c r="N2030" s="96">
        <v>438</v>
      </c>
      <c r="O2030" s="6">
        <f t="shared" si="700"/>
        <v>-438</v>
      </c>
      <c r="P2030" s="6">
        <f t="shared" ref="P2030:P2093" si="703">SUM(N2030+O2030)</f>
        <v>0</v>
      </c>
      <c r="Q2030" s="7">
        <f t="shared" ref="Q2030:Q2043" si="704">SUM(Q2029+N2030)</f>
        <v>3511702.0500000012</v>
      </c>
      <c r="R2030" s="44" t="str">
        <f>VLOOKUP(F2030,'Set up'!$A$2:$E$48,5,FALSE)</f>
        <v>Trsf</v>
      </c>
      <c r="S2030" s="1" t="s">
        <v>1957</v>
      </c>
    </row>
    <row r="2031" spans="1:19" ht="15" hidden="1" customHeight="1" x14ac:dyDescent="0.3">
      <c r="A2031" s="4">
        <v>45166</v>
      </c>
      <c r="B2031" s="5">
        <f t="shared" si="701"/>
        <v>8</v>
      </c>
      <c r="C2031" s="5">
        <f t="shared" si="702"/>
        <v>2023</v>
      </c>
      <c r="D2031" s="88" t="s">
        <v>1833</v>
      </c>
      <c r="E2031" s="5" t="str">
        <f>VLOOKUP(F2031,'Set up'!$A$2:$C$48,2,FALSE)</f>
        <v>C00000034</v>
      </c>
      <c r="F2031" s="1" t="s">
        <v>1197</v>
      </c>
      <c r="G2031" s="99" t="s">
        <v>1818</v>
      </c>
      <c r="H2031" s="5">
        <v>2</v>
      </c>
      <c r="I2031" s="5" t="str">
        <f>VLOOKUP(F2031,'Set up'!$A$2:$C$48,3,FALSE)</f>
        <v>Cash</v>
      </c>
      <c r="J2031" s="5">
        <f>VLOOKUP(F2031,'Set up'!$A$2:$D$48,4,FALSE)</f>
        <v>0</v>
      </c>
      <c r="K2031" s="4">
        <f t="shared" si="697"/>
        <v>45166</v>
      </c>
      <c r="L2031" s="5">
        <f t="shared" si="698"/>
        <v>8</v>
      </c>
      <c r="M2031" s="5">
        <f t="shared" si="699"/>
        <v>2023</v>
      </c>
      <c r="N2031" s="96">
        <v>472</v>
      </c>
      <c r="O2031" s="6">
        <f t="shared" si="700"/>
        <v>-472</v>
      </c>
      <c r="P2031" s="6">
        <f t="shared" si="703"/>
        <v>0</v>
      </c>
      <c r="Q2031" s="7">
        <f t="shared" si="704"/>
        <v>3512174.0500000012</v>
      </c>
      <c r="R2031" s="44" t="str">
        <f>VLOOKUP(F2031,'Set up'!$A$2:$E$48,5,FALSE)</f>
        <v>Trsf</v>
      </c>
      <c r="S2031" s="1" t="s">
        <v>1958</v>
      </c>
    </row>
    <row r="2032" spans="1:19" ht="15" hidden="1" customHeight="1" x14ac:dyDescent="0.3">
      <c r="A2032" s="4">
        <v>45166</v>
      </c>
      <c r="B2032" s="5">
        <f t="shared" si="701"/>
        <v>8</v>
      </c>
      <c r="C2032" s="5">
        <f t="shared" si="702"/>
        <v>2023</v>
      </c>
      <c r="D2032" s="88" t="s">
        <v>1833</v>
      </c>
      <c r="E2032" s="5" t="str">
        <f>VLOOKUP(F2032,'Set up'!$A$2:$C$48,2,FALSE)</f>
        <v>C00000034</v>
      </c>
      <c r="F2032" s="1" t="s">
        <v>1197</v>
      </c>
      <c r="G2032" s="99" t="s">
        <v>1062</v>
      </c>
      <c r="H2032" s="5">
        <v>2</v>
      </c>
      <c r="I2032" s="5" t="str">
        <f>VLOOKUP(F2032,'Set up'!$A$2:$C$48,3,FALSE)</f>
        <v>Cash</v>
      </c>
      <c r="J2032" s="5">
        <f>VLOOKUP(F2032,'Set up'!$A$2:$D$48,4,FALSE)</f>
        <v>0</v>
      </c>
      <c r="K2032" s="4">
        <f t="shared" si="697"/>
        <v>45166</v>
      </c>
      <c r="L2032" s="5">
        <f t="shared" si="698"/>
        <v>8</v>
      </c>
      <c r="M2032" s="5">
        <f t="shared" si="699"/>
        <v>2023</v>
      </c>
      <c r="N2032" s="96">
        <v>190</v>
      </c>
      <c r="O2032" s="6">
        <f t="shared" si="700"/>
        <v>-190</v>
      </c>
      <c r="P2032" s="6">
        <f t="shared" si="703"/>
        <v>0</v>
      </c>
      <c r="Q2032" s="7">
        <f t="shared" si="704"/>
        <v>3512364.0500000012</v>
      </c>
      <c r="R2032" s="44" t="str">
        <f>VLOOKUP(F2032,'Set up'!$A$2:$E$48,5,FALSE)</f>
        <v>Trsf</v>
      </c>
      <c r="S2032" s="1" t="s">
        <v>1959</v>
      </c>
    </row>
    <row r="2033" spans="1:19" ht="15" hidden="1" customHeight="1" x14ac:dyDescent="0.3">
      <c r="A2033" s="4">
        <v>45166</v>
      </c>
      <c r="B2033" s="5">
        <f t="shared" si="701"/>
        <v>8</v>
      </c>
      <c r="C2033" s="5">
        <f t="shared" si="702"/>
        <v>2023</v>
      </c>
      <c r="D2033" s="88" t="s">
        <v>1833</v>
      </c>
      <c r="E2033" s="5" t="str">
        <f>VLOOKUP(F2033,'Set up'!$A$2:$C$48,2,FALSE)</f>
        <v>C00000034</v>
      </c>
      <c r="F2033" s="1" t="s">
        <v>1197</v>
      </c>
      <c r="G2033" s="99" t="s">
        <v>1111</v>
      </c>
      <c r="H2033" s="5">
        <v>2</v>
      </c>
      <c r="I2033" s="5" t="str">
        <f>VLOOKUP(F2033,'Set up'!$A$2:$C$48,3,FALSE)</f>
        <v>Cash</v>
      </c>
      <c r="J2033" s="5">
        <f>VLOOKUP(F2033,'Set up'!$A$2:$D$48,4,FALSE)</f>
        <v>0</v>
      </c>
      <c r="K2033" s="4">
        <f t="shared" si="697"/>
        <v>45166</v>
      </c>
      <c r="L2033" s="5">
        <f t="shared" si="698"/>
        <v>8</v>
      </c>
      <c r="M2033" s="5">
        <f t="shared" si="699"/>
        <v>2023</v>
      </c>
      <c r="N2033" s="96">
        <v>125</v>
      </c>
      <c r="O2033" s="6">
        <f t="shared" si="700"/>
        <v>-125</v>
      </c>
      <c r="P2033" s="6">
        <f t="shared" si="703"/>
        <v>0</v>
      </c>
      <c r="Q2033" s="7">
        <f t="shared" si="704"/>
        <v>3512489.0500000012</v>
      </c>
      <c r="R2033" s="44" t="str">
        <f>VLOOKUP(F2033,'Set up'!$A$2:$E$48,5,FALSE)</f>
        <v>Trsf</v>
      </c>
      <c r="S2033" s="1" t="s">
        <v>1960</v>
      </c>
    </row>
    <row r="2034" spans="1:19" ht="15" hidden="1" customHeight="1" x14ac:dyDescent="0.3">
      <c r="A2034" s="4">
        <v>45166</v>
      </c>
      <c r="B2034" s="5">
        <f t="shared" si="701"/>
        <v>8</v>
      </c>
      <c r="C2034" s="5">
        <f t="shared" si="702"/>
        <v>2023</v>
      </c>
      <c r="D2034" s="88" t="s">
        <v>1833</v>
      </c>
      <c r="E2034" s="5" t="str">
        <f>VLOOKUP(F2034,'Set up'!$A$2:$C$48,2,FALSE)</f>
        <v>C00000034</v>
      </c>
      <c r="F2034" s="1" t="s">
        <v>1197</v>
      </c>
      <c r="G2034" s="99" t="s">
        <v>945</v>
      </c>
      <c r="H2034" s="5">
        <v>1</v>
      </c>
      <c r="I2034" s="5" t="str">
        <f>VLOOKUP(F2034,'Set up'!$A$2:$C$48,3,FALSE)</f>
        <v>Cash</v>
      </c>
      <c r="J2034" s="5">
        <f>VLOOKUP(F2034,'Set up'!$A$2:$D$48,4,FALSE)</f>
        <v>0</v>
      </c>
      <c r="K2034" s="4">
        <f t="shared" si="697"/>
        <v>45166</v>
      </c>
      <c r="L2034" s="5">
        <f t="shared" si="698"/>
        <v>8</v>
      </c>
      <c r="M2034" s="5">
        <f t="shared" si="699"/>
        <v>2023</v>
      </c>
      <c r="N2034" s="96">
        <v>420</v>
      </c>
      <c r="O2034" s="6">
        <f t="shared" si="700"/>
        <v>-420</v>
      </c>
      <c r="P2034" s="6">
        <f t="shared" si="703"/>
        <v>0</v>
      </c>
      <c r="Q2034" s="7">
        <f t="shared" si="704"/>
        <v>3512909.0500000012</v>
      </c>
      <c r="R2034" s="44" t="str">
        <f>VLOOKUP(F2034,'Set up'!$A$2:$E$48,5,FALSE)</f>
        <v>Trsf</v>
      </c>
      <c r="S2034" s="1" t="s">
        <v>1961</v>
      </c>
    </row>
    <row r="2035" spans="1:19" ht="15" hidden="1" customHeight="1" x14ac:dyDescent="0.3">
      <c r="A2035" s="4">
        <v>45166</v>
      </c>
      <c r="B2035" s="5">
        <f t="shared" si="701"/>
        <v>8</v>
      </c>
      <c r="C2035" s="5">
        <f t="shared" si="702"/>
        <v>2023</v>
      </c>
      <c r="D2035" s="88" t="s">
        <v>1833</v>
      </c>
      <c r="E2035" s="5" t="str">
        <f>VLOOKUP(F2035,'Set up'!$A$2:$C$48,2,FALSE)</f>
        <v>C00000034</v>
      </c>
      <c r="F2035" s="1" t="s">
        <v>1197</v>
      </c>
      <c r="G2035" s="99" t="s">
        <v>1819</v>
      </c>
      <c r="H2035" s="5">
        <v>1</v>
      </c>
      <c r="I2035" s="5" t="str">
        <f>VLOOKUP(F2035,'Set up'!$A$2:$C$48,3,FALSE)</f>
        <v>Cash</v>
      </c>
      <c r="J2035" s="5">
        <f>VLOOKUP(F2035,'Set up'!$A$2:$D$48,4,FALSE)</f>
        <v>0</v>
      </c>
      <c r="K2035" s="4">
        <f t="shared" si="697"/>
        <v>45166</v>
      </c>
      <c r="L2035" s="5">
        <f t="shared" si="698"/>
        <v>8</v>
      </c>
      <c r="M2035" s="5">
        <f t="shared" si="699"/>
        <v>2023</v>
      </c>
      <c r="N2035" s="96">
        <v>160</v>
      </c>
      <c r="O2035" s="6">
        <f t="shared" si="700"/>
        <v>-160</v>
      </c>
      <c r="P2035" s="6">
        <f t="shared" si="703"/>
        <v>0</v>
      </c>
      <c r="Q2035" s="7">
        <f t="shared" si="704"/>
        <v>3513069.0500000012</v>
      </c>
      <c r="R2035" s="44" t="str">
        <f>VLOOKUP(F2035,'Set up'!$A$2:$E$48,5,FALSE)</f>
        <v>Trsf</v>
      </c>
      <c r="S2035" s="1" t="s">
        <v>1962</v>
      </c>
    </row>
    <row r="2036" spans="1:19" ht="15" hidden="1" customHeight="1" x14ac:dyDescent="0.3">
      <c r="A2036" s="4">
        <v>45166</v>
      </c>
      <c r="B2036" s="5">
        <f t="shared" si="701"/>
        <v>8</v>
      </c>
      <c r="C2036" s="5">
        <f t="shared" si="702"/>
        <v>2023</v>
      </c>
      <c r="D2036" s="88" t="s">
        <v>1833</v>
      </c>
      <c r="E2036" s="5" t="str">
        <f>VLOOKUP(F2036,'Set up'!$A$2:$C$48,2,FALSE)</f>
        <v>C00000034</v>
      </c>
      <c r="F2036" s="1" t="s">
        <v>1197</v>
      </c>
      <c r="G2036" s="99" t="s">
        <v>1406</v>
      </c>
      <c r="H2036" s="5">
        <v>2</v>
      </c>
      <c r="I2036" s="5" t="str">
        <f>VLOOKUP(F2036,'Set up'!$A$2:$C$48,3,FALSE)</f>
        <v>Cash</v>
      </c>
      <c r="J2036" s="5">
        <f>VLOOKUP(F2036,'Set up'!$A$2:$D$48,4,FALSE)</f>
        <v>0</v>
      </c>
      <c r="K2036" s="4">
        <f t="shared" si="697"/>
        <v>45166</v>
      </c>
      <c r="L2036" s="5">
        <f t="shared" si="698"/>
        <v>8</v>
      </c>
      <c r="M2036" s="5">
        <f t="shared" si="699"/>
        <v>2023</v>
      </c>
      <c r="N2036" s="96">
        <v>100</v>
      </c>
      <c r="O2036" s="6">
        <f t="shared" si="700"/>
        <v>-100</v>
      </c>
      <c r="P2036" s="6">
        <f t="shared" si="703"/>
        <v>0</v>
      </c>
      <c r="Q2036" s="7">
        <f t="shared" si="704"/>
        <v>3513169.0500000012</v>
      </c>
      <c r="R2036" s="44" t="str">
        <f>VLOOKUP(F2036,'Set up'!$A$2:$E$48,5,FALSE)</f>
        <v>Trsf</v>
      </c>
      <c r="S2036" s="1" t="s">
        <v>1963</v>
      </c>
    </row>
    <row r="2037" spans="1:19" ht="15" hidden="1" customHeight="1" x14ac:dyDescent="0.3">
      <c r="A2037" s="4">
        <v>45166</v>
      </c>
      <c r="B2037" s="5">
        <f t="shared" si="701"/>
        <v>8</v>
      </c>
      <c r="C2037" s="5">
        <f t="shared" si="702"/>
        <v>2023</v>
      </c>
      <c r="D2037" s="88" t="s">
        <v>1833</v>
      </c>
      <c r="E2037" s="5" t="str">
        <f>VLOOKUP(F2037,'Set up'!$A$2:$C$48,2,FALSE)</f>
        <v>C00000034</v>
      </c>
      <c r="F2037" s="1" t="s">
        <v>1197</v>
      </c>
      <c r="G2037" s="99" t="s">
        <v>1243</v>
      </c>
      <c r="H2037" s="5">
        <v>16</v>
      </c>
      <c r="I2037" s="5" t="str">
        <f>VLOOKUP(F2037,'Set up'!$A$2:$C$48,3,FALSE)</f>
        <v>Cash</v>
      </c>
      <c r="J2037" s="5">
        <f>VLOOKUP(F2037,'Set up'!$A$2:$D$48,4,FALSE)</f>
        <v>0</v>
      </c>
      <c r="K2037" s="4">
        <f t="shared" si="697"/>
        <v>45166</v>
      </c>
      <c r="L2037" s="5">
        <f t="shared" si="698"/>
        <v>8</v>
      </c>
      <c r="M2037" s="5">
        <f t="shared" si="699"/>
        <v>2023</v>
      </c>
      <c r="N2037" s="96">
        <v>2224</v>
      </c>
      <c r="O2037" s="6">
        <f t="shared" si="700"/>
        <v>-2224</v>
      </c>
      <c r="P2037" s="6">
        <f t="shared" si="703"/>
        <v>0</v>
      </c>
      <c r="Q2037" s="7">
        <f t="shared" si="704"/>
        <v>3515393.0500000012</v>
      </c>
      <c r="R2037" s="44" t="str">
        <f>VLOOKUP(F2037,'Set up'!$A$2:$E$48,5,FALSE)</f>
        <v>Trsf</v>
      </c>
      <c r="S2037" s="1" t="s">
        <v>1964</v>
      </c>
    </row>
    <row r="2038" spans="1:19" ht="15" customHeight="1" x14ac:dyDescent="0.3">
      <c r="A2038" s="4">
        <v>45166</v>
      </c>
      <c r="B2038" s="5">
        <f t="shared" si="701"/>
        <v>8</v>
      </c>
      <c r="C2038" s="5">
        <f t="shared" si="702"/>
        <v>2023</v>
      </c>
      <c r="D2038" s="88" t="s">
        <v>1834</v>
      </c>
      <c r="E2038" s="5" t="str">
        <f>VLOOKUP(F2038,'Set up'!$A$2:$C$48,2,FALSE)</f>
        <v>C00000020</v>
      </c>
      <c r="F2038" s="1" t="s">
        <v>410</v>
      </c>
      <c r="G2038" s="99" t="s">
        <v>1111</v>
      </c>
      <c r="H2038" s="5">
        <v>2</v>
      </c>
      <c r="I2038" s="5" t="str">
        <f>VLOOKUP(F2038,'Set up'!$A$2:$C$48,3,FALSE)</f>
        <v>Cash</v>
      </c>
      <c r="J2038" s="5">
        <f>VLOOKUP(F2038,'Set up'!$A$2:$D$48,4,FALSE)</f>
        <v>0</v>
      </c>
      <c r="K2038" s="4">
        <f t="shared" si="697"/>
        <v>45166</v>
      </c>
      <c r="L2038" s="5">
        <f t="shared" si="698"/>
        <v>8</v>
      </c>
      <c r="M2038" s="5">
        <f t="shared" si="699"/>
        <v>2023</v>
      </c>
      <c r="N2038" s="96">
        <v>125</v>
      </c>
      <c r="P2038" s="6">
        <f t="shared" si="703"/>
        <v>125</v>
      </c>
      <c r="Q2038" s="7">
        <f t="shared" si="704"/>
        <v>3515518.0500000012</v>
      </c>
      <c r="R2038" s="44" t="str">
        <f>VLOOKUP(F2038,'Set up'!$A$2:$E$48,5,FALSE)</f>
        <v>Trsf</v>
      </c>
    </row>
    <row r="2039" spans="1:19" ht="15" customHeight="1" x14ac:dyDescent="0.3">
      <c r="A2039" s="4">
        <v>45166</v>
      </c>
      <c r="B2039" s="5">
        <f t="shared" si="701"/>
        <v>8</v>
      </c>
      <c r="C2039" s="5">
        <f t="shared" si="702"/>
        <v>2023</v>
      </c>
      <c r="D2039" s="88" t="s">
        <v>1835</v>
      </c>
      <c r="E2039" s="5" t="str">
        <f>VLOOKUP(F2039,'Set up'!$A$2:$C$48,2,FALSE)</f>
        <v>C00000020</v>
      </c>
      <c r="F2039" s="1" t="s">
        <v>410</v>
      </c>
      <c r="G2039" s="99" t="s">
        <v>1734</v>
      </c>
      <c r="H2039" s="5">
        <v>2</v>
      </c>
      <c r="I2039" s="5" t="str">
        <f>VLOOKUP(F2039,'Set up'!$A$2:$C$48,3,FALSE)</f>
        <v>Cash</v>
      </c>
      <c r="J2039" s="5">
        <f>VLOOKUP(F2039,'Set up'!$A$2:$D$48,4,FALSE)</f>
        <v>0</v>
      </c>
      <c r="K2039" s="4">
        <f t="shared" si="697"/>
        <v>45166</v>
      </c>
      <c r="L2039" s="5">
        <f t="shared" si="698"/>
        <v>8</v>
      </c>
      <c r="M2039" s="5">
        <f t="shared" si="699"/>
        <v>2023</v>
      </c>
      <c r="N2039" s="96">
        <v>3124</v>
      </c>
      <c r="P2039" s="6">
        <f t="shared" si="703"/>
        <v>3124</v>
      </c>
      <c r="Q2039" s="7">
        <f t="shared" si="704"/>
        <v>3518642.0500000012</v>
      </c>
      <c r="R2039" s="44" t="str">
        <f>VLOOKUP(F2039,'Set up'!$A$2:$E$48,5,FALSE)</f>
        <v>Trsf</v>
      </c>
    </row>
    <row r="2040" spans="1:19" ht="15" customHeight="1" x14ac:dyDescent="0.3">
      <c r="A2040" s="4">
        <v>45166</v>
      </c>
      <c r="B2040" s="5">
        <f t="shared" si="701"/>
        <v>8</v>
      </c>
      <c r="C2040" s="5">
        <f t="shared" si="702"/>
        <v>2023</v>
      </c>
      <c r="D2040" s="88" t="s">
        <v>1835</v>
      </c>
      <c r="E2040" s="5" t="str">
        <f>VLOOKUP(F2040,'Set up'!$A$2:$C$48,2,FALSE)</f>
        <v>C00000020</v>
      </c>
      <c r="F2040" s="1" t="s">
        <v>410</v>
      </c>
      <c r="G2040" s="99" t="s">
        <v>914</v>
      </c>
      <c r="H2040" s="5">
        <v>6</v>
      </c>
      <c r="I2040" s="5" t="str">
        <f>VLOOKUP(F2040,'Set up'!$A$2:$C$48,3,FALSE)</f>
        <v>Cash</v>
      </c>
      <c r="J2040" s="5">
        <f>VLOOKUP(F2040,'Set up'!$A$2:$D$48,4,FALSE)</f>
        <v>0</v>
      </c>
      <c r="K2040" s="4">
        <f t="shared" si="697"/>
        <v>45166</v>
      </c>
      <c r="L2040" s="5">
        <f t="shared" si="698"/>
        <v>8</v>
      </c>
      <c r="M2040" s="5">
        <f t="shared" si="699"/>
        <v>2023</v>
      </c>
      <c r="N2040" s="96">
        <v>1134</v>
      </c>
      <c r="P2040" s="6">
        <f t="shared" si="703"/>
        <v>1134</v>
      </c>
      <c r="Q2040" s="7">
        <f t="shared" si="704"/>
        <v>3519776.0500000012</v>
      </c>
      <c r="R2040" s="44" t="str">
        <f>VLOOKUP(F2040,'Set up'!$A$2:$E$48,5,FALSE)</f>
        <v>Trsf</v>
      </c>
    </row>
    <row r="2041" spans="1:19" ht="15" customHeight="1" x14ac:dyDescent="0.3">
      <c r="A2041" s="4">
        <v>45166</v>
      </c>
      <c r="B2041" s="5">
        <f t="shared" si="701"/>
        <v>8</v>
      </c>
      <c r="C2041" s="5">
        <f t="shared" si="702"/>
        <v>2023</v>
      </c>
      <c r="D2041" s="88" t="s">
        <v>1835</v>
      </c>
      <c r="E2041" s="5" t="str">
        <f>VLOOKUP(F2041,'Set up'!$A$2:$C$48,2,FALSE)</f>
        <v>C00000020</v>
      </c>
      <c r="F2041" s="1" t="s">
        <v>410</v>
      </c>
      <c r="G2041" s="99" t="s">
        <v>779</v>
      </c>
      <c r="H2041" s="5">
        <v>3</v>
      </c>
      <c r="I2041" s="5" t="str">
        <f>VLOOKUP(F2041,'Set up'!$A$2:$C$48,3,FALSE)</f>
        <v>Cash</v>
      </c>
      <c r="J2041" s="5">
        <f>VLOOKUP(F2041,'Set up'!$A$2:$D$48,4,FALSE)</f>
        <v>0</v>
      </c>
      <c r="K2041" s="4">
        <f t="shared" si="697"/>
        <v>45166</v>
      </c>
      <c r="L2041" s="5">
        <f t="shared" si="698"/>
        <v>8</v>
      </c>
      <c r="M2041" s="5">
        <f t="shared" si="699"/>
        <v>2023</v>
      </c>
      <c r="N2041" s="96">
        <v>600</v>
      </c>
      <c r="P2041" s="6">
        <f t="shared" si="703"/>
        <v>600</v>
      </c>
      <c r="Q2041" s="7">
        <f t="shared" si="704"/>
        <v>3520376.0500000012</v>
      </c>
      <c r="R2041" s="44" t="str">
        <f>VLOOKUP(F2041,'Set up'!$A$2:$E$48,5,FALSE)</f>
        <v>Trsf</v>
      </c>
    </row>
    <row r="2042" spans="1:19" ht="15" customHeight="1" x14ac:dyDescent="0.3">
      <c r="A2042" s="4">
        <v>45166</v>
      </c>
      <c r="B2042" s="5">
        <f t="shared" si="701"/>
        <v>8</v>
      </c>
      <c r="C2042" s="5">
        <f t="shared" si="702"/>
        <v>2023</v>
      </c>
      <c r="D2042" s="88" t="s">
        <v>1835</v>
      </c>
      <c r="E2042" s="5" t="str">
        <f>VLOOKUP(F2042,'Set up'!$A$2:$C$48,2,FALSE)</f>
        <v>C00000020</v>
      </c>
      <c r="F2042" s="1" t="s">
        <v>410</v>
      </c>
      <c r="G2042" s="99" t="s">
        <v>1074</v>
      </c>
      <c r="H2042" s="5">
        <v>1</v>
      </c>
      <c r="I2042" s="5" t="str">
        <f>VLOOKUP(F2042,'Set up'!$A$2:$C$48,3,FALSE)</f>
        <v>Cash</v>
      </c>
      <c r="J2042" s="5">
        <f>VLOOKUP(F2042,'Set up'!$A$2:$D$48,4,FALSE)</f>
        <v>0</v>
      </c>
      <c r="K2042" s="4">
        <f t="shared" si="697"/>
        <v>45166</v>
      </c>
      <c r="L2042" s="5">
        <f t="shared" si="698"/>
        <v>8</v>
      </c>
      <c r="M2042" s="5">
        <f t="shared" si="699"/>
        <v>2023</v>
      </c>
      <c r="N2042" s="96">
        <v>1000</v>
      </c>
      <c r="P2042" s="6">
        <f t="shared" si="703"/>
        <v>1000</v>
      </c>
      <c r="Q2042" s="7">
        <f t="shared" si="704"/>
        <v>3521376.0500000012</v>
      </c>
      <c r="R2042" s="44" t="str">
        <f>VLOOKUP(F2042,'Set up'!$A$2:$E$48,5,FALSE)</f>
        <v>Trsf</v>
      </c>
    </row>
    <row r="2043" spans="1:19" ht="15" hidden="1" customHeight="1" x14ac:dyDescent="0.3">
      <c r="A2043" s="4">
        <v>45168</v>
      </c>
      <c r="B2043" s="5">
        <f t="shared" si="701"/>
        <v>8</v>
      </c>
      <c r="C2043" s="5">
        <f t="shared" si="702"/>
        <v>2023</v>
      </c>
      <c r="D2043" s="88" t="s">
        <v>1836</v>
      </c>
      <c r="E2043" s="5" t="str">
        <f>VLOOKUP(F2043,'Set up'!$A$2:$C$48,2,FALSE)</f>
        <v>C00000019</v>
      </c>
      <c r="F2043" s="1" t="s">
        <v>401</v>
      </c>
      <c r="G2043" s="99" t="s">
        <v>95</v>
      </c>
      <c r="H2043" s="5">
        <v>1</v>
      </c>
      <c r="I2043" s="5" t="str">
        <f>VLOOKUP(F2043,'Set up'!$A$2:$C$48,3,FALSE)</f>
        <v>Cash</v>
      </c>
      <c r="J2043" s="5">
        <f>VLOOKUP(F2043,'Set up'!$A$2:$D$48,4,FALSE)</f>
        <v>0</v>
      </c>
      <c r="K2043" s="4">
        <f t="shared" si="697"/>
        <v>45168</v>
      </c>
      <c r="L2043" s="5">
        <f t="shared" si="698"/>
        <v>8</v>
      </c>
      <c r="M2043" s="5">
        <f t="shared" si="699"/>
        <v>2023</v>
      </c>
      <c r="N2043" s="96">
        <v>1738</v>
      </c>
      <c r="P2043" s="6">
        <f t="shared" si="703"/>
        <v>1738</v>
      </c>
      <c r="Q2043" s="7">
        <f t="shared" si="704"/>
        <v>3523114.0500000012</v>
      </c>
      <c r="R2043" s="44" t="str">
        <f>VLOOKUP(F2043,'Set up'!$A$2:$E$48,5,FALSE)</f>
        <v>Trsf</v>
      </c>
    </row>
    <row r="2044" spans="1:19" ht="15" customHeight="1" x14ac:dyDescent="0.3">
      <c r="A2044" s="4" t="s">
        <v>1879</v>
      </c>
      <c r="B2044" s="5">
        <f t="shared" ref="B2044:B2107" si="705">MONTH(A2044)</f>
        <v>9</v>
      </c>
      <c r="C2044" s="5">
        <f t="shared" ref="C2044:C2107" si="706">YEAR(A2044)</f>
        <v>2023</v>
      </c>
      <c r="D2044" s="88" t="s">
        <v>1877</v>
      </c>
      <c r="E2044" s="5" t="str">
        <f>VLOOKUP(F2044,'Set up'!$A$2:$C$48,2,FALSE)</f>
        <v>C00000020</v>
      </c>
      <c r="F2044" s="1" t="s">
        <v>410</v>
      </c>
      <c r="G2044" s="103" t="s">
        <v>1111</v>
      </c>
      <c r="H2044" s="5">
        <v>2</v>
      </c>
      <c r="I2044" s="5" t="str">
        <f>VLOOKUP(F2044,'Set up'!$A$2:$C$48,3,FALSE)</f>
        <v>Cash</v>
      </c>
      <c r="J2044" s="5">
        <f>VLOOKUP(F2044,'Set up'!$A$2:$D$48,4,FALSE)</f>
        <v>0</v>
      </c>
      <c r="K2044" s="4">
        <f t="shared" ref="K2044:K2107" si="707">A2044+J2044</f>
        <v>45170</v>
      </c>
      <c r="L2044" s="5">
        <f t="shared" ref="L2044:L2107" si="708">MONTH(K2044)</f>
        <v>9</v>
      </c>
      <c r="M2044" s="5">
        <f t="shared" ref="M2044:M2107" si="709">YEAR(K2044)</f>
        <v>2023</v>
      </c>
      <c r="N2044" s="96">
        <v>125</v>
      </c>
      <c r="P2044" s="6">
        <f t="shared" si="703"/>
        <v>125</v>
      </c>
      <c r="Q2044" s="7">
        <f t="shared" ref="Q2044:Q2107" si="710">SUM(Q2043+N2044)</f>
        <v>3523239.0500000012</v>
      </c>
      <c r="R2044" s="44" t="str">
        <f>VLOOKUP(F2044,'Set up'!$A$2:$E$48,5,FALSE)</f>
        <v>Trsf</v>
      </c>
    </row>
    <row r="2045" spans="1:19" ht="15" customHeight="1" x14ac:dyDescent="0.3">
      <c r="A2045" s="4" t="s">
        <v>1879</v>
      </c>
      <c r="B2045" s="5">
        <f t="shared" si="705"/>
        <v>9</v>
      </c>
      <c r="C2045" s="5">
        <f t="shared" si="706"/>
        <v>2023</v>
      </c>
      <c r="D2045" s="88" t="s">
        <v>1878</v>
      </c>
      <c r="E2045" s="5" t="str">
        <f>VLOOKUP(F2045,'Set up'!$A$2:$C$48,2,FALSE)</f>
        <v>C00000020</v>
      </c>
      <c r="F2045" s="1" t="s">
        <v>410</v>
      </c>
      <c r="G2045" s="99" t="s">
        <v>1734</v>
      </c>
      <c r="H2045" s="5">
        <v>2</v>
      </c>
      <c r="I2045" s="5" t="str">
        <f>VLOOKUP(F2045,'Set up'!$A$2:$C$48,3,FALSE)</f>
        <v>Cash</v>
      </c>
      <c r="J2045" s="5">
        <f>VLOOKUP(F2045,'Set up'!$A$2:$D$48,4,FALSE)</f>
        <v>0</v>
      </c>
      <c r="K2045" s="4">
        <f t="shared" si="707"/>
        <v>45170</v>
      </c>
      <c r="L2045" s="5">
        <f t="shared" si="708"/>
        <v>9</v>
      </c>
      <c r="M2045" s="5">
        <f t="shared" si="709"/>
        <v>2023</v>
      </c>
      <c r="N2045" s="96">
        <v>3124</v>
      </c>
      <c r="P2045" s="6">
        <f t="shared" si="703"/>
        <v>3124</v>
      </c>
      <c r="Q2045" s="7">
        <f t="shared" si="710"/>
        <v>3526363.0500000012</v>
      </c>
      <c r="R2045" s="44" t="str">
        <f>VLOOKUP(F2045,'Set up'!$A$2:$E$48,5,FALSE)</f>
        <v>Trsf</v>
      </c>
    </row>
    <row r="2046" spans="1:19" ht="15" customHeight="1" x14ac:dyDescent="0.3">
      <c r="A2046" s="4" t="s">
        <v>1879</v>
      </c>
      <c r="B2046" s="5">
        <f t="shared" si="705"/>
        <v>9</v>
      </c>
      <c r="C2046" s="5">
        <f t="shared" si="706"/>
        <v>2023</v>
      </c>
      <c r="D2046" s="88" t="s">
        <v>1878</v>
      </c>
      <c r="E2046" s="5" t="str">
        <f>VLOOKUP(F2046,'Set up'!$A$2:$C$48,2,FALSE)</f>
        <v>C00000020</v>
      </c>
      <c r="F2046" s="1" t="s">
        <v>410</v>
      </c>
      <c r="G2046" s="99" t="s">
        <v>914</v>
      </c>
      <c r="H2046" s="5">
        <v>6</v>
      </c>
      <c r="I2046" s="5" t="str">
        <f>VLOOKUP(F2046,'Set up'!$A$2:$C$48,3,FALSE)</f>
        <v>Cash</v>
      </c>
      <c r="J2046" s="5">
        <f>VLOOKUP(F2046,'Set up'!$A$2:$D$48,4,FALSE)</f>
        <v>0</v>
      </c>
      <c r="K2046" s="4">
        <f t="shared" si="707"/>
        <v>45170</v>
      </c>
      <c r="L2046" s="5">
        <f t="shared" si="708"/>
        <v>9</v>
      </c>
      <c r="M2046" s="5">
        <f t="shared" si="709"/>
        <v>2023</v>
      </c>
      <c r="N2046" s="96">
        <v>1134</v>
      </c>
      <c r="P2046" s="6">
        <f t="shared" si="703"/>
        <v>1134</v>
      </c>
      <c r="Q2046" s="7">
        <f t="shared" si="710"/>
        <v>3527497.0500000012</v>
      </c>
      <c r="R2046" s="44" t="str">
        <f>VLOOKUP(F2046,'Set up'!$A$2:$E$48,5,FALSE)</f>
        <v>Trsf</v>
      </c>
    </row>
    <row r="2047" spans="1:19" ht="15" customHeight="1" x14ac:dyDescent="0.3">
      <c r="A2047" s="4" t="s">
        <v>1879</v>
      </c>
      <c r="B2047" s="5">
        <f t="shared" si="705"/>
        <v>9</v>
      </c>
      <c r="C2047" s="5">
        <f t="shared" si="706"/>
        <v>2023</v>
      </c>
      <c r="D2047" s="88" t="s">
        <v>1878</v>
      </c>
      <c r="E2047" s="5" t="str">
        <f>VLOOKUP(F2047,'Set up'!$A$2:$C$48,2,FALSE)</f>
        <v>C00000020</v>
      </c>
      <c r="F2047" s="1" t="s">
        <v>410</v>
      </c>
      <c r="G2047" s="99" t="s">
        <v>779</v>
      </c>
      <c r="H2047" s="5">
        <v>3</v>
      </c>
      <c r="I2047" s="5" t="str">
        <f>VLOOKUP(F2047,'Set up'!$A$2:$C$48,3,FALSE)</f>
        <v>Cash</v>
      </c>
      <c r="J2047" s="5">
        <f>VLOOKUP(F2047,'Set up'!$A$2:$D$48,4,FALSE)</f>
        <v>0</v>
      </c>
      <c r="K2047" s="4">
        <f t="shared" si="707"/>
        <v>45170</v>
      </c>
      <c r="L2047" s="5">
        <f t="shared" si="708"/>
        <v>9</v>
      </c>
      <c r="M2047" s="5">
        <f t="shared" si="709"/>
        <v>2023</v>
      </c>
      <c r="N2047" s="96">
        <v>600</v>
      </c>
      <c r="P2047" s="6">
        <f t="shared" si="703"/>
        <v>600</v>
      </c>
      <c r="Q2047" s="7">
        <f t="shared" si="710"/>
        <v>3528097.0500000012</v>
      </c>
      <c r="R2047" s="44" t="str">
        <f>VLOOKUP(F2047,'Set up'!$A$2:$E$48,5,FALSE)</f>
        <v>Trsf</v>
      </c>
    </row>
    <row r="2048" spans="1:19" ht="15" hidden="1" customHeight="1" x14ac:dyDescent="0.3">
      <c r="A2048" s="4" t="s">
        <v>1879</v>
      </c>
      <c r="B2048" s="5">
        <f t="shared" si="705"/>
        <v>9</v>
      </c>
      <c r="C2048" s="5">
        <f t="shared" si="706"/>
        <v>2023</v>
      </c>
      <c r="D2048" s="88" t="s">
        <v>1880</v>
      </c>
      <c r="E2048" s="5" t="str">
        <f>VLOOKUP(F2048,'Set up'!$A$2:$C$48,2,FALSE)</f>
        <v>C00000034</v>
      </c>
      <c r="F2048" s="1" t="s">
        <v>1197</v>
      </c>
      <c r="G2048" s="11" t="s">
        <v>1198</v>
      </c>
      <c r="H2048" s="5">
        <v>1</v>
      </c>
      <c r="I2048" s="5" t="str">
        <f>VLOOKUP(F2048,'Set up'!$A$2:$C$48,3,FALSE)</f>
        <v>Cash</v>
      </c>
      <c r="J2048" s="5">
        <f>VLOOKUP(F2048,'Set up'!$A$2:$D$48,4,FALSE)</f>
        <v>0</v>
      </c>
      <c r="K2048" s="4">
        <f t="shared" si="707"/>
        <v>45170</v>
      </c>
      <c r="L2048" s="5">
        <f t="shared" si="708"/>
        <v>9</v>
      </c>
      <c r="M2048" s="5">
        <f t="shared" si="709"/>
        <v>2023</v>
      </c>
      <c r="N2048" s="96">
        <v>1738</v>
      </c>
      <c r="O2048" s="6">
        <f t="shared" ref="O2048:O2057" si="711">-N2048</f>
        <v>-1738</v>
      </c>
      <c r="P2048" s="6">
        <f t="shared" si="703"/>
        <v>0</v>
      </c>
      <c r="Q2048" s="7">
        <f t="shared" si="710"/>
        <v>3529835.0500000012</v>
      </c>
      <c r="R2048" s="44" t="str">
        <f>VLOOKUP(F2048,'Set up'!$A$2:$E$48,5,FALSE)</f>
        <v>Trsf</v>
      </c>
      <c r="S2048" s="1" t="s">
        <v>1965</v>
      </c>
    </row>
    <row r="2049" spans="1:19" ht="15" hidden="1" customHeight="1" x14ac:dyDescent="0.3">
      <c r="A2049" s="4" t="s">
        <v>1879</v>
      </c>
      <c r="B2049" s="5">
        <f t="shared" si="705"/>
        <v>9</v>
      </c>
      <c r="C2049" s="5">
        <f t="shared" si="706"/>
        <v>2023</v>
      </c>
      <c r="D2049" s="88" t="s">
        <v>1880</v>
      </c>
      <c r="E2049" s="5" t="str">
        <f>VLOOKUP(F2049,'Set up'!$A$2:$C$48,2,FALSE)</f>
        <v>C00000034</v>
      </c>
      <c r="F2049" s="1" t="s">
        <v>1197</v>
      </c>
      <c r="G2049" s="90" t="s">
        <v>1111</v>
      </c>
      <c r="H2049" s="5">
        <v>1</v>
      </c>
      <c r="I2049" s="5" t="str">
        <f>VLOOKUP(F2049,'Set up'!$A$2:$C$48,3,FALSE)</f>
        <v>Cash</v>
      </c>
      <c r="J2049" s="5">
        <f>VLOOKUP(F2049,'Set up'!$A$2:$D$48,4,FALSE)</f>
        <v>0</v>
      </c>
      <c r="K2049" s="4">
        <f t="shared" si="707"/>
        <v>45170</v>
      </c>
      <c r="L2049" s="5">
        <f t="shared" si="708"/>
        <v>9</v>
      </c>
      <c r="M2049" s="5">
        <f t="shared" si="709"/>
        <v>2023</v>
      </c>
      <c r="N2049" s="96">
        <v>62.5</v>
      </c>
      <c r="O2049" s="6">
        <f t="shared" si="711"/>
        <v>-62.5</v>
      </c>
      <c r="P2049" s="6">
        <f t="shared" si="703"/>
        <v>0</v>
      </c>
      <c r="Q2049" s="7">
        <f t="shared" si="710"/>
        <v>3529897.5500000012</v>
      </c>
      <c r="R2049" s="44" t="str">
        <f>VLOOKUP(F2049,'Set up'!$A$2:$E$48,5,FALSE)</f>
        <v>Trsf</v>
      </c>
      <c r="S2049" s="1" t="s">
        <v>1966</v>
      </c>
    </row>
    <row r="2050" spans="1:19" ht="15" hidden="1" customHeight="1" x14ac:dyDescent="0.3">
      <c r="A2050" s="4" t="s">
        <v>1879</v>
      </c>
      <c r="B2050" s="5">
        <f t="shared" si="705"/>
        <v>9</v>
      </c>
      <c r="C2050" s="5">
        <f t="shared" si="706"/>
        <v>2023</v>
      </c>
      <c r="D2050" s="88" t="s">
        <v>1881</v>
      </c>
      <c r="E2050" s="5" t="str">
        <f>VLOOKUP(F2050,'Set up'!$A$2:$C$48,2,FALSE)</f>
        <v>C00000013</v>
      </c>
      <c r="F2050" s="1" t="s">
        <v>1454</v>
      </c>
      <c r="G2050" s="99" t="s">
        <v>1739</v>
      </c>
      <c r="H2050" s="5">
        <v>5</v>
      </c>
      <c r="I2050" s="5" t="str">
        <f>VLOOKUP(F2050,'Set up'!$A$2:$C$48,3,FALSE)</f>
        <v>Cash</v>
      </c>
      <c r="J2050" s="5">
        <f>VLOOKUP(F2050,'Set up'!$A$2:$D$48,4,FALSE)</f>
        <v>0</v>
      </c>
      <c r="K2050" s="4">
        <f t="shared" si="707"/>
        <v>45170</v>
      </c>
      <c r="L2050" s="5">
        <f t="shared" si="708"/>
        <v>9</v>
      </c>
      <c r="M2050" s="5">
        <f t="shared" si="709"/>
        <v>2023</v>
      </c>
      <c r="N2050" s="96">
        <v>9130</v>
      </c>
      <c r="O2050" s="6">
        <f t="shared" si="711"/>
        <v>-9130</v>
      </c>
      <c r="P2050" s="6">
        <f t="shared" si="703"/>
        <v>0</v>
      </c>
      <c r="Q2050" s="7">
        <f t="shared" si="710"/>
        <v>3539027.5500000012</v>
      </c>
      <c r="R2050" s="44" t="str">
        <f>VLOOKUP(F2050,'Set up'!$A$2:$E$48,5,FALSE)</f>
        <v>Chq</v>
      </c>
      <c r="S2050" s="1" t="s">
        <v>1981</v>
      </c>
    </row>
    <row r="2051" spans="1:19" ht="15" hidden="1" customHeight="1" x14ac:dyDescent="0.3">
      <c r="A2051" s="4" t="s">
        <v>1879</v>
      </c>
      <c r="B2051" s="5">
        <f t="shared" si="705"/>
        <v>9</v>
      </c>
      <c r="C2051" s="5">
        <f t="shared" si="706"/>
        <v>2023</v>
      </c>
      <c r="D2051" s="88" t="s">
        <v>1881</v>
      </c>
      <c r="E2051" s="5" t="str">
        <f>VLOOKUP(F2051,'Set up'!$A$2:$C$48,2,FALSE)</f>
        <v>C00000013</v>
      </c>
      <c r="F2051" s="1" t="s">
        <v>1454</v>
      </c>
      <c r="G2051" s="99" t="s">
        <v>1740</v>
      </c>
      <c r="H2051" s="5">
        <v>7</v>
      </c>
      <c r="I2051" s="5" t="str">
        <f>VLOOKUP(F2051,'Set up'!$A$2:$C$48,3,FALSE)</f>
        <v>Cash</v>
      </c>
      <c r="J2051" s="5">
        <f>VLOOKUP(F2051,'Set up'!$A$2:$D$48,4,FALSE)</f>
        <v>0</v>
      </c>
      <c r="K2051" s="4">
        <f t="shared" si="707"/>
        <v>45170</v>
      </c>
      <c r="L2051" s="5">
        <f t="shared" si="708"/>
        <v>9</v>
      </c>
      <c r="M2051" s="5">
        <f t="shared" si="709"/>
        <v>2023</v>
      </c>
      <c r="N2051" s="96">
        <v>2986.2000000000003</v>
      </c>
      <c r="O2051" s="6">
        <f t="shared" si="711"/>
        <v>-2986.2000000000003</v>
      </c>
      <c r="P2051" s="6">
        <f t="shared" si="703"/>
        <v>0</v>
      </c>
      <c r="Q2051" s="7">
        <f t="shared" si="710"/>
        <v>3542013.7500000014</v>
      </c>
      <c r="R2051" s="44" t="str">
        <f>VLOOKUP(F2051,'Set up'!$A$2:$E$48,5,FALSE)</f>
        <v>Chq</v>
      </c>
      <c r="S2051" s="1" t="s">
        <v>1981</v>
      </c>
    </row>
    <row r="2052" spans="1:19" ht="15" hidden="1" customHeight="1" x14ac:dyDescent="0.3">
      <c r="A2052" s="4" t="s">
        <v>1879</v>
      </c>
      <c r="B2052" s="5">
        <f t="shared" si="705"/>
        <v>9</v>
      </c>
      <c r="C2052" s="5">
        <f t="shared" si="706"/>
        <v>2023</v>
      </c>
      <c r="D2052" s="88" t="s">
        <v>1881</v>
      </c>
      <c r="E2052" s="5" t="str">
        <f>VLOOKUP(F2052,'Set up'!$A$2:$C$48,2,FALSE)</f>
        <v>C00000013</v>
      </c>
      <c r="F2052" s="1" t="s">
        <v>1454</v>
      </c>
      <c r="G2052" s="99" t="s">
        <v>44</v>
      </c>
      <c r="H2052" s="5">
        <v>10</v>
      </c>
      <c r="I2052" s="5" t="str">
        <f>VLOOKUP(F2052,'Set up'!$A$2:$C$48,3,FALSE)</f>
        <v>Cash</v>
      </c>
      <c r="J2052" s="5">
        <f>VLOOKUP(F2052,'Set up'!$A$2:$D$48,4,FALSE)</f>
        <v>0</v>
      </c>
      <c r="K2052" s="4">
        <f t="shared" si="707"/>
        <v>45170</v>
      </c>
      <c r="L2052" s="5">
        <f t="shared" si="708"/>
        <v>9</v>
      </c>
      <c r="M2052" s="5">
        <f t="shared" si="709"/>
        <v>2023</v>
      </c>
      <c r="N2052" s="96">
        <v>2580</v>
      </c>
      <c r="O2052" s="6">
        <f t="shared" si="711"/>
        <v>-2580</v>
      </c>
      <c r="P2052" s="6">
        <f t="shared" si="703"/>
        <v>0</v>
      </c>
      <c r="Q2052" s="7">
        <f t="shared" si="710"/>
        <v>3544593.7500000014</v>
      </c>
      <c r="R2052" s="44" t="str">
        <f>VLOOKUP(F2052,'Set up'!$A$2:$E$48,5,FALSE)</f>
        <v>Chq</v>
      </c>
      <c r="S2052" s="1" t="s">
        <v>1981</v>
      </c>
    </row>
    <row r="2053" spans="1:19" ht="15" hidden="1" customHeight="1" x14ac:dyDescent="0.3">
      <c r="A2053" s="4" t="s">
        <v>1879</v>
      </c>
      <c r="B2053" s="5">
        <f t="shared" si="705"/>
        <v>9</v>
      </c>
      <c r="C2053" s="5">
        <f t="shared" si="706"/>
        <v>2023</v>
      </c>
      <c r="D2053" s="88" t="s">
        <v>1881</v>
      </c>
      <c r="E2053" s="5" t="str">
        <f>VLOOKUP(F2053,'Set up'!$A$2:$C$48,2,FALSE)</f>
        <v>C00000013</v>
      </c>
      <c r="F2053" s="1" t="s">
        <v>1454</v>
      </c>
      <c r="G2053" s="99" t="s">
        <v>17</v>
      </c>
      <c r="H2053" s="5">
        <v>4</v>
      </c>
      <c r="I2053" s="5" t="str">
        <f>VLOOKUP(F2053,'Set up'!$A$2:$C$48,3,FALSE)</f>
        <v>Cash</v>
      </c>
      <c r="J2053" s="5">
        <f>VLOOKUP(F2053,'Set up'!$A$2:$D$48,4,FALSE)</f>
        <v>0</v>
      </c>
      <c r="K2053" s="4">
        <f t="shared" si="707"/>
        <v>45170</v>
      </c>
      <c r="L2053" s="5">
        <f t="shared" si="708"/>
        <v>9</v>
      </c>
      <c r="M2053" s="5">
        <f t="shared" si="709"/>
        <v>2023</v>
      </c>
      <c r="N2053" s="96">
        <v>440</v>
      </c>
      <c r="O2053" s="6">
        <f t="shared" si="711"/>
        <v>-440</v>
      </c>
      <c r="P2053" s="6">
        <f t="shared" si="703"/>
        <v>0</v>
      </c>
      <c r="Q2053" s="7">
        <f t="shared" si="710"/>
        <v>3545033.7500000014</v>
      </c>
      <c r="R2053" s="44" t="str">
        <f>VLOOKUP(F2053,'Set up'!$A$2:$E$48,5,FALSE)</f>
        <v>Chq</v>
      </c>
      <c r="S2053" s="1" t="s">
        <v>1981</v>
      </c>
    </row>
    <row r="2054" spans="1:19" ht="15" hidden="1" customHeight="1" x14ac:dyDescent="0.3">
      <c r="A2054" s="4" t="s">
        <v>1879</v>
      </c>
      <c r="B2054" s="5">
        <f t="shared" si="705"/>
        <v>9</v>
      </c>
      <c r="C2054" s="5">
        <f t="shared" si="706"/>
        <v>2023</v>
      </c>
      <c r="D2054" s="88" t="s">
        <v>1881</v>
      </c>
      <c r="E2054" s="5" t="str">
        <f>VLOOKUP(F2054,'Set up'!$A$2:$C$48,2,FALSE)</f>
        <v>C00000013</v>
      </c>
      <c r="F2054" s="1" t="s">
        <v>1454</v>
      </c>
      <c r="G2054" s="99" t="s">
        <v>1743</v>
      </c>
      <c r="H2054" s="5">
        <v>1</v>
      </c>
      <c r="I2054" s="5" t="str">
        <f>VLOOKUP(F2054,'Set up'!$A$2:$C$48,3,FALSE)</f>
        <v>Cash</v>
      </c>
      <c r="J2054" s="5">
        <f>VLOOKUP(F2054,'Set up'!$A$2:$D$48,4,FALSE)</f>
        <v>0</v>
      </c>
      <c r="K2054" s="4">
        <f t="shared" si="707"/>
        <v>45170</v>
      </c>
      <c r="L2054" s="5">
        <f t="shared" si="708"/>
        <v>9</v>
      </c>
      <c r="M2054" s="5">
        <f t="shared" si="709"/>
        <v>2023</v>
      </c>
      <c r="N2054" s="96">
        <v>60</v>
      </c>
      <c r="O2054" s="6">
        <f t="shared" si="711"/>
        <v>-60</v>
      </c>
      <c r="P2054" s="6">
        <f t="shared" si="703"/>
        <v>0</v>
      </c>
      <c r="Q2054" s="7">
        <f t="shared" si="710"/>
        <v>3545093.7500000014</v>
      </c>
      <c r="R2054" s="44" t="str">
        <f>VLOOKUP(F2054,'Set up'!$A$2:$E$48,5,FALSE)</f>
        <v>Chq</v>
      </c>
      <c r="S2054" s="1" t="s">
        <v>1981</v>
      </c>
    </row>
    <row r="2055" spans="1:19" ht="15" hidden="1" customHeight="1" x14ac:dyDescent="0.3">
      <c r="A2055" s="4" t="s">
        <v>1879</v>
      </c>
      <c r="B2055" s="5">
        <f t="shared" si="705"/>
        <v>9</v>
      </c>
      <c r="C2055" s="5">
        <f t="shared" si="706"/>
        <v>2023</v>
      </c>
      <c r="D2055" s="88" t="s">
        <v>1881</v>
      </c>
      <c r="E2055" s="5" t="str">
        <f>VLOOKUP(F2055,'Set up'!$A$2:$C$48,2,FALSE)</f>
        <v>C00000013</v>
      </c>
      <c r="F2055" s="1" t="s">
        <v>1454</v>
      </c>
      <c r="G2055" s="99" t="s">
        <v>1744</v>
      </c>
      <c r="H2055" s="5">
        <v>1</v>
      </c>
      <c r="I2055" s="5" t="str">
        <f>VLOOKUP(F2055,'Set up'!$A$2:$C$48,3,FALSE)</f>
        <v>Cash</v>
      </c>
      <c r="J2055" s="5">
        <f>VLOOKUP(F2055,'Set up'!$A$2:$D$48,4,FALSE)</f>
        <v>0</v>
      </c>
      <c r="K2055" s="4">
        <f t="shared" si="707"/>
        <v>45170</v>
      </c>
      <c r="L2055" s="5">
        <f t="shared" si="708"/>
        <v>9</v>
      </c>
      <c r="M2055" s="5">
        <f t="shared" si="709"/>
        <v>2023</v>
      </c>
      <c r="N2055" s="96">
        <v>55.2</v>
      </c>
      <c r="O2055" s="6">
        <f t="shared" si="711"/>
        <v>-55.2</v>
      </c>
      <c r="P2055" s="6">
        <f t="shared" si="703"/>
        <v>0</v>
      </c>
      <c r="Q2055" s="7">
        <f t="shared" si="710"/>
        <v>3545148.9500000016</v>
      </c>
      <c r="R2055" s="44" t="str">
        <f>VLOOKUP(F2055,'Set up'!$A$2:$E$48,5,FALSE)</f>
        <v>Chq</v>
      </c>
      <c r="S2055" s="1" t="s">
        <v>1981</v>
      </c>
    </row>
    <row r="2056" spans="1:19" ht="15" hidden="1" customHeight="1" x14ac:dyDescent="0.3">
      <c r="A2056" s="4" t="s">
        <v>1879</v>
      </c>
      <c r="B2056" s="5">
        <f t="shared" si="705"/>
        <v>9</v>
      </c>
      <c r="C2056" s="5">
        <f t="shared" si="706"/>
        <v>2023</v>
      </c>
      <c r="D2056" s="88" t="s">
        <v>1881</v>
      </c>
      <c r="E2056" s="5" t="str">
        <f>VLOOKUP(F2056,'Set up'!$A$2:$C$48,2,FALSE)</f>
        <v>C00000013</v>
      </c>
      <c r="F2056" s="1" t="s">
        <v>1454</v>
      </c>
      <c r="G2056" s="99" t="s">
        <v>1119</v>
      </c>
      <c r="H2056" s="5">
        <v>2</v>
      </c>
      <c r="I2056" s="5" t="str">
        <f>VLOOKUP(F2056,'Set up'!$A$2:$C$48,3,FALSE)</f>
        <v>Cash</v>
      </c>
      <c r="J2056" s="5">
        <f>VLOOKUP(F2056,'Set up'!$A$2:$D$48,4,FALSE)</f>
        <v>0</v>
      </c>
      <c r="K2056" s="4">
        <f t="shared" si="707"/>
        <v>45170</v>
      </c>
      <c r="L2056" s="5">
        <f t="shared" si="708"/>
        <v>9</v>
      </c>
      <c r="M2056" s="5">
        <f t="shared" si="709"/>
        <v>2023</v>
      </c>
      <c r="N2056" s="96">
        <v>100</v>
      </c>
      <c r="O2056" s="6">
        <f t="shared" si="711"/>
        <v>-100</v>
      </c>
      <c r="P2056" s="6">
        <f t="shared" si="703"/>
        <v>0</v>
      </c>
      <c r="Q2056" s="7">
        <f t="shared" si="710"/>
        <v>3545248.9500000016</v>
      </c>
      <c r="R2056" s="44" t="str">
        <f>VLOOKUP(F2056,'Set up'!$A$2:$E$48,5,FALSE)</f>
        <v>Chq</v>
      </c>
      <c r="S2056" s="1" t="s">
        <v>1981</v>
      </c>
    </row>
    <row r="2057" spans="1:19" ht="15" hidden="1" customHeight="1" x14ac:dyDescent="0.3">
      <c r="A2057" s="4" t="s">
        <v>1879</v>
      </c>
      <c r="B2057" s="5">
        <f t="shared" si="705"/>
        <v>9</v>
      </c>
      <c r="C2057" s="5">
        <f t="shared" si="706"/>
        <v>2023</v>
      </c>
      <c r="D2057" s="88" t="s">
        <v>1881</v>
      </c>
      <c r="E2057" s="5" t="str">
        <f>VLOOKUP(F2057,'Set up'!$A$2:$C$48,2,FALSE)</f>
        <v>C00000013</v>
      </c>
      <c r="F2057" s="1" t="s">
        <v>1454</v>
      </c>
      <c r="G2057" s="99" t="s">
        <v>615</v>
      </c>
      <c r="H2057" s="5">
        <v>1</v>
      </c>
      <c r="I2057" s="5" t="str">
        <f>VLOOKUP(F2057,'Set up'!$A$2:$C$48,3,FALSE)</f>
        <v>Cash</v>
      </c>
      <c r="J2057" s="5">
        <f>VLOOKUP(F2057,'Set up'!$A$2:$D$48,4,FALSE)</f>
        <v>0</v>
      </c>
      <c r="K2057" s="4">
        <f t="shared" si="707"/>
        <v>45170</v>
      </c>
      <c r="L2057" s="5">
        <f t="shared" si="708"/>
        <v>9</v>
      </c>
      <c r="M2057" s="5">
        <f t="shared" si="709"/>
        <v>2023</v>
      </c>
      <c r="N2057" s="96">
        <v>430</v>
      </c>
      <c r="O2057" s="6">
        <f t="shared" si="711"/>
        <v>-430</v>
      </c>
      <c r="P2057" s="6">
        <f t="shared" si="703"/>
        <v>0</v>
      </c>
      <c r="Q2057" s="7">
        <f t="shared" si="710"/>
        <v>3545678.9500000016</v>
      </c>
      <c r="R2057" s="44" t="str">
        <f>VLOOKUP(F2057,'Set up'!$A$2:$E$48,5,FALSE)</f>
        <v>Chq</v>
      </c>
      <c r="S2057" s="1" t="s">
        <v>1981</v>
      </c>
    </row>
    <row r="2058" spans="1:19" ht="15" customHeight="1" x14ac:dyDescent="0.3">
      <c r="A2058" s="4" t="s">
        <v>1879</v>
      </c>
      <c r="B2058" s="5">
        <f t="shared" si="705"/>
        <v>9</v>
      </c>
      <c r="C2058" s="5">
        <f t="shared" si="706"/>
        <v>2023</v>
      </c>
      <c r="D2058" s="88" t="s">
        <v>1882</v>
      </c>
      <c r="E2058" s="5" t="str">
        <f>VLOOKUP(F2058,'Set up'!$A$2:$C$48,2,FALSE)</f>
        <v>C00000020</v>
      </c>
      <c r="F2058" s="1" t="s">
        <v>410</v>
      </c>
      <c r="G2058" s="103" t="s">
        <v>1111</v>
      </c>
      <c r="H2058" s="5">
        <v>2</v>
      </c>
      <c r="I2058" s="5" t="str">
        <f>VLOOKUP(F2058,'Set up'!$A$2:$C$48,3,FALSE)</f>
        <v>Cash</v>
      </c>
      <c r="J2058" s="5">
        <f>VLOOKUP(F2058,'Set up'!$A$2:$D$48,4,FALSE)</f>
        <v>0</v>
      </c>
      <c r="K2058" s="4">
        <f t="shared" si="707"/>
        <v>45170</v>
      </c>
      <c r="L2058" s="5">
        <f t="shared" si="708"/>
        <v>9</v>
      </c>
      <c r="M2058" s="5">
        <f t="shared" si="709"/>
        <v>2023</v>
      </c>
      <c r="N2058" s="96">
        <v>125</v>
      </c>
      <c r="P2058" s="6">
        <f t="shared" si="703"/>
        <v>125</v>
      </c>
      <c r="Q2058" s="7">
        <f t="shared" si="710"/>
        <v>3545803.9500000016</v>
      </c>
      <c r="R2058" s="44" t="str">
        <f>VLOOKUP(F2058,'Set up'!$A$2:$E$48,5,FALSE)</f>
        <v>Trsf</v>
      </c>
    </row>
    <row r="2059" spans="1:19" ht="15" customHeight="1" x14ac:dyDescent="0.3">
      <c r="A2059" s="4" t="s">
        <v>1879</v>
      </c>
      <c r="B2059" s="5">
        <f t="shared" si="705"/>
        <v>9</v>
      </c>
      <c r="C2059" s="5">
        <f t="shared" si="706"/>
        <v>2023</v>
      </c>
      <c r="D2059" s="88" t="s">
        <v>1883</v>
      </c>
      <c r="E2059" s="5" t="str">
        <f>VLOOKUP(F2059,'Set up'!$A$2:$C$48,2,FALSE)</f>
        <v>C00000020</v>
      </c>
      <c r="F2059" s="1" t="s">
        <v>410</v>
      </c>
      <c r="G2059" s="103" t="s">
        <v>1734</v>
      </c>
      <c r="H2059" s="5">
        <v>2</v>
      </c>
      <c r="I2059" s="5" t="str">
        <f>VLOOKUP(F2059,'Set up'!$A$2:$C$48,3,FALSE)</f>
        <v>Cash</v>
      </c>
      <c r="J2059" s="5">
        <f>VLOOKUP(F2059,'Set up'!$A$2:$D$48,4,FALSE)</f>
        <v>0</v>
      </c>
      <c r="K2059" s="4">
        <f t="shared" si="707"/>
        <v>45170</v>
      </c>
      <c r="L2059" s="5">
        <f t="shared" si="708"/>
        <v>9</v>
      </c>
      <c r="M2059" s="5">
        <f t="shared" si="709"/>
        <v>2023</v>
      </c>
      <c r="N2059" s="96">
        <v>3212</v>
      </c>
      <c r="P2059" s="6">
        <f t="shared" si="703"/>
        <v>3212</v>
      </c>
      <c r="Q2059" s="7">
        <f t="shared" si="710"/>
        <v>3549015.9500000016</v>
      </c>
      <c r="R2059" s="44" t="str">
        <f>VLOOKUP(F2059,'Set up'!$A$2:$E$48,5,FALSE)</f>
        <v>Trsf</v>
      </c>
    </row>
    <row r="2060" spans="1:19" ht="15" customHeight="1" x14ac:dyDescent="0.3">
      <c r="A2060" s="4" t="s">
        <v>1879</v>
      </c>
      <c r="B2060" s="5">
        <f t="shared" si="705"/>
        <v>9</v>
      </c>
      <c r="C2060" s="5">
        <f t="shared" si="706"/>
        <v>2023</v>
      </c>
      <c r="D2060" s="88" t="s">
        <v>1883</v>
      </c>
      <c r="E2060" s="5" t="str">
        <f>VLOOKUP(F2060,'Set up'!$A$2:$C$48,2,FALSE)</f>
        <v>C00000020</v>
      </c>
      <c r="F2060" s="1" t="s">
        <v>410</v>
      </c>
      <c r="G2060" s="90" t="s">
        <v>914</v>
      </c>
      <c r="H2060" s="5">
        <v>6</v>
      </c>
      <c r="I2060" s="5" t="str">
        <f>VLOOKUP(F2060,'Set up'!$A$2:$C$48,3,FALSE)</f>
        <v>Cash</v>
      </c>
      <c r="J2060" s="5">
        <f>VLOOKUP(F2060,'Set up'!$A$2:$D$48,4,FALSE)</f>
        <v>0</v>
      </c>
      <c r="K2060" s="4">
        <f t="shared" si="707"/>
        <v>45170</v>
      </c>
      <c r="L2060" s="5">
        <f t="shared" si="708"/>
        <v>9</v>
      </c>
      <c r="M2060" s="5">
        <f t="shared" si="709"/>
        <v>2023</v>
      </c>
      <c r="N2060" s="96">
        <v>1134</v>
      </c>
      <c r="P2060" s="6">
        <f t="shared" si="703"/>
        <v>1134</v>
      </c>
      <c r="Q2060" s="7">
        <f t="shared" si="710"/>
        <v>3550149.9500000016</v>
      </c>
      <c r="R2060" s="44" t="str">
        <f>VLOOKUP(F2060,'Set up'!$A$2:$E$48,5,FALSE)</f>
        <v>Trsf</v>
      </c>
    </row>
    <row r="2061" spans="1:19" ht="15" customHeight="1" x14ac:dyDescent="0.3">
      <c r="A2061" s="4" t="s">
        <v>1879</v>
      </c>
      <c r="B2061" s="5">
        <f t="shared" si="705"/>
        <v>9</v>
      </c>
      <c r="C2061" s="5">
        <f t="shared" si="706"/>
        <v>2023</v>
      </c>
      <c r="D2061" s="88" t="s">
        <v>1883</v>
      </c>
      <c r="E2061" s="5" t="str">
        <f>VLOOKUP(F2061,'Set up'!$A$2:$C$48,2,FALSE)</f>
        <v>C00000020</v>
      </c>
      <c r="F2061" s="1" t="s">
        <v>410</v>
      </c>
      <c r="G2061" s="90" t="s">
        <v>779</v>
      </c>
      <c r="H2061" s="5">
        <v>3</v>
      </c>
      <c r="I2061" s="5" t="str">
        <f>VLOOKUP(F2061,'Set up'!$A$2:$C$48,3,FALSE)</f>
        <v>Cash</v>
      </c>
      <c r="J2061" s="5">
        <f>VLOOKUP(F2061,'Set up'!$A$2:$D$48,4,FALSE)</f>
        <v>0</v>
      </c>
      <c r="K2061" s="4">
        <f t="shared" si="707"/>
        <v>45170</v>
      </c>
      <c r="L2061" s="5">
        <f t="shared" si="708"/>
        <v>9</v>
      </c>
      <c r="M2061" s="5">
        <f t="shared" si="709"/>
        <v>2023</v>
      </c>
      <c r="N2061" s="96">
        <v>600</v>
      </c>
      <c r="P2061" s="6">
        <f t="shared" si="703"/>
        <v>600</v>
      </c>
      <c r="Q2061" s="7">
        <f t="shared" si="710"/>
        <v>3550749.9500000016</v>
      </c>
      <c r="R2061" s="44" t="str">
        <f>VLOOKUP(F2061,'Set up'!$A$2:$E$48,5,FALSE)</f>
        <v>Trsf</v>
      </c>
    </row>
    <row r="2062" spans="1:19" ht="15" customHeight="1" x14ac:dyDescent="0.3">
      <c r="A2062" s="4" t="s">
        <v>1879</v>
      </c>
      <c r="B2062" s="5">
        <f t="shared" si="705"/>
        <v>9</v>
      </c>
      <c r="C2062" s="5">
        <f t="shared" si="706"/>
        <v>2023</v>
      </c>
      <c r="D2062" s="88" t="s">
        <v>1883</v>
      </c>
      <c r="E2062" s="5" t="str">
        <f>VLOOKUP(F2062,'Set up'!$A$2:$C$48,2,FALSE)</f>
        <v>C00000020</v>
      </c>
      <c r="F2062" s="1" t="s">
        <v>410</v>
      </c>
      <c r="G2062" s="90" t="s">
        <v>1074</v>
      </c>
      <c r="H2062" s="5">
        <v>1</v>
      </c>
      <c r="I2062" s="5" t="str">
        <f>VLOOKUP(F2062,'Set up'!$A$2:$C$48,3,FALSE)</f>
        <v>Cash</v>
      </c>
      <c r="J2062" s="5">
        <f>VLOOKUP(F2062,'Set up'!$A$2:$D$48,4,FALSE)</f>
        <v>0</v>
      </c>
      <c r="K2062" s="4">
        <f t="shared" si="707"/>
        <v>45170</v>
      </c>
      <c r="L2062" s="5">
        <f t="shared" si="708"/>
        <v>9</v>
      </c>
      <c r="M2062" s="5">
        <f t="shared" si="709"/>
        <v>2023</v>
      </c>
      <c r="N2062" s="96">
        <v>1000</v>
      </c>
      <c r="P2062" s="6">
        <f t="shared" si="703"/>
        <v>1000</v>
      </c>
      <c r="Q2062" s="7">
        <f t="shared" si="710"/>
        <v>3551749.9500000016</v>
      </c>
      <c r="R2062" s="44" t="str">
        <f>VLOOKUP(F2062,'Set up'!$A$2:$E$48,5,FALSE)</f>
        <v>Trsf</v>
      </c>
    </row>
    <row r="2063" spans="1:19" ht="15" hidden="1" customHeight="1" x14ac:dyDescent="0.3">
      <c r="A2063" s="4">
        <v>45174</v>
      </c>
      <c r="B2063" s="5">
        <f t="shared" si="705"/>
        <v>9</v>
      </c>
      <c r="C2063" s="5">
        <f t="shared" si="706"/>
        <v>2023</v>
      </c>
      <c r="D2063" s="88" t="s">
        <v>1884</v>
      </c>
      <c r="E2063" s="5" t="str">
        <f>VLOOKUP(F2063,'Set up'!$A$2:$C$48,2,FALSE)</f>
        <v>C00000010</v>
      </c>
      <c r="F2063" s="1" t="s">
        <v>62</v>
      </c>
      <c r="G2063" s="99" t="s">
        <v>1179</v>
      </c>
      <c r="H2063" s="5">
        <v>6</v>
      </c>
      <c r="I2063" s="5">
        <f>VLOOKUP(F2063,'Set up'!$A$2:$C$48,3,FALSE)</f>
        <v>120</v>
      </c>
      <c r="J2063" s="5">
        <f>VLOOKUP(F2063,'Set up'!$A$2:$D$48,4,FALSE)</f>
        <v>120</v>
      </c>
      <c r="K2063" s="4">
        <f t="shared" si="707"/>
        <v>45294</v>
      </c>
      <c r="L2063" s="5">
        <f t="shared" si="708"/>
        <v>1</v>
      </c>
      <c r="M2063" s="5">
        <f t="shared" si="709"/>
        <v>2024</v>
      </c>
      <c r="N2063" s="96">
        <v>9372</v>
      </c>
      <c r="P2063" s="6">
        <f t="shared" si="703"/>
        <v>9372</v>
      </c>
      <c r="Q2063" s="7">
        <f t="shared" si="710"/>
        <v>3561121.9500000016</v>
      </c>
      <c r="R2063" s="44" t="str">
        <f>VLOOKUP(F2063,'Set up'!$A$2:$E$48,5,FALSE)</f>
        <v>Trsf</v>
      </c>
    </row>
    <row r="2064" spans="1:19" ht="15" hidden="1" customHeight="1" x14ac:dyDescent="0.3">
      <c r="A2064" s="4">
        <v>45174</v>
      </c>
      <c r="B2064" s="5">
        <f t="shared" si="705"/>
        <v>9</v>
      </c>
      <c r="C2064" s="5">
        <f t="shared" si="706"/>
        <v>2023</v>
      </c>
      <c r="D2064" s="88" t="s">
        <v>1884</v>
      </c>
      <c r="E2064" s="5" t="str">
        <f>VLOOKUP(F2064,'Set up'!$A$2:$C$48,2,FALSE)</f>
        <v>C00000010</v>
      </c>
      <c r="F2064" s="1" t="s">
        <v>62</v>
      </c>
      <c r="G2064" s="99" t="s">
        <v>1544</v>
      </c>
      <c r="H2064" s="5">
        <v>10</v>
      </c>
      <c r="I2064" s="5">
        <f>VLOOKUP(F2064,'Set up'!$A$2:$C$48,3,FALSE)</f>
        <v>120</v>
      </c>
      <c r="J2064" s="5">
        <f>VLOOKUP(F2064,'Set up'!$A$2:$D$48,4,FALSE)</f>
        <v>120</v>
      </c>
      <c r="K2064" s="4">
        <f t="shared" si="707"/>
        <v>45294</v>
      </c>
      <c r="L2064" s="5">
        <f t="shared" si="708"/>
        <v>1</v>
      </c>
      <c r="M2064" s="5">
        <f t="shared" si="709"/>
        <v>2024</v>
      </c>
      <c r="N2064" s="96">
        <v>1800</v>
      </c>
      <c r="P2064" s="6">
        <f t="shared" si="703"/>
        <v>1800</v>
      </c>
      <c r="Q2064" s="7">
        <f t="shared" si="710"/>
        <v>3562921.9500000016</v>
      </c>
      <c r="R2064" s="44" t="str">
        <f>VLOOKUP(F2064,'Set up'!$A$2:$E$48,5,FALSE)</f>
        <v>Trsf</v>
      </c>
    </row>
    <row r="2065" spans="1:19" ht="15" hidden="1" customHeight="1" x14ac:dyDescent="0.3">
      <c r="A2065" s="4">
        <v>45174</v>
      </c>
      <c r="B2065" s="5">
        <f t="shared" si="705"/>
        <v>9</v>
      </c>
      <c r="C2065" s="5">
        <f t="shared" si="706"/>
        <v>2023</v>
      </c>
      <c r="D2065" s="88" t="s">
        <v>1884</v>
      </c>
      <c r="E2065" s="5" t="str">
        <f>VLOOKUP(F2065,'Set up'!$A$2:$C$48,2,FALSE)</f>
        <v>C00000010</v>
      </c>
      <c r="F2065" s="1" t="s">
        <v>62</v>
      </c>
      <c r="G2065" s="99" t="s">
        <v>792</v>
      </c>
      <c r="H2065" s="5">
        <v>10</v>
      </c>
      <c r="I2065" s="5">
        <f>VLOOKUP(F2065,'Set up'!$A$2:$C$48,3,FALSE)</f>
        <v>120</v>
      </c>
      <c r="J2065" s="5">
        <f>VLOOKUP(F2065,'Set up'!$A$2:$D$48,4,FALSE)</f>
        <v>120</v>
      </c>
      <c r="K2065" s="4">
        <f t="shared" si="707"/>
        <v>45294</v>
      </c>
      <c r="L2065" s="5">
        <f t="shared" si="708"/>
        <v>1</v>
      </c>
      <c r="M2065" s="5">
        <f t="shared" si="709"/>
        <v>2024</v>
      </c>
      <c r="N2065" s="96">
        <v>575</v>
      </c>
      <c r="P2065" s="6">
        <f t="shared" si="703"/>
        <v>575</v>
      </c>
      <c r="Q2065" s="7">
        <f t="shared" si="710"/>
        <v>3563496.9500000016</v>
      </c>
      <c r="R2065" s="44" t="str">
        <f>VLOOKUP(F2065,'Set up'!$A$2:$E$48,5,FALSE)</f>
        <v>Trsf</v>
      </c>
    </row>
    <row r="2066" spans="1:19" ht="15" hidden="1" customHeight="1" x14ac:dyDescent="0.3">
      <c r="A2066" s="4">
        <v>45174</v>
      </c>
      <c r="B2066" s="5">
        <f t="shared" si="705"/>
        <v>9</v>
      </c>
      <c r="C2066" s="5">
        <f t="shared" si="706"/>
        <v>2023</v>
      </c>
      <c r="D2066" s="88" t="s">
        <v>1884</v>
      </c>
      <c r="E2066" s="5" t="str">
        <f>VLOOKUP(F2066,'Set up'!$A$2:$C$48,2,FALSE)</f>
        <v>C00000010</v>
      </c>
      <c r="F2066" s="1" t="s">
        <v>62</v>
      </c>
      <c r="G2066" s="99" t="s">
        <v>46</v>
      </c>
      <c r="H2066" s="5">
        <v>4</v>
      </c>
      <c r="I2066" s="5">
        <f>VLOOKUP(F2066,'Set up'!$A$2:$C$48,3,FALSE)</f>
        <v>120</v>
      </c>
      <c r="J2066" s="5">
        <f>VLOOKUP(F2066,'Set up'!$A$2:$D$48,4,FALSE)</f>
        <v>120</v>
      </c>
      <c r="K2066" s="4">
        <f t="shared" si="707"/>
        <v>45294</v>
      </c>
      <c r="L2066" s="5">
        <f t="shared" si="708"/>
        <v>1</v>
      </c>
      <c r="M2066" s="5">
        <f t="shared" si="709"/>
        <v>2024</v>
      </c>
      <c r="N2066" s="96">
        <v>420</v>
      </c>
      <c r="P2066" s="6">
        <f t="shared" si="703"/>
        <v>420</v>
      </c>
      <c r="Q2066" s="7">
        <f t="shared" si="710"/>
        <v>3563916.9500000016</v>
      </c>
      <c r="R2066" s="44" t="str">
        <f>VLOOKUP(F2066,'Set up'!$A$2:$E$48,5,FALSE)</f>
        <v>Trsf</v>
      </c>
    </row>
    <row r="2067" spans="1:19" ht="15" hidden="1" customHeight="1" x14ac:dyDescent="0.3">
      <c r="A2067" s="4">
        <v>45174</v>
      </c>
      <c r="B2067" s="5">
        <f t="shared" si="705"/>
        <v>9</v>
      </c>
      <c r="C2067" s="5">
        <f t="shared" si="706"/>
        <v>2023</v>
      </c>
      <c r="D2067" s="88" t="s">
        <v>1885</v>
      </c>
      <c r="E2067" s="5" t="str">
        <f>VLOOKUP(F2067,'Set up'!$A$2:$C$48,2,FALSE)</f>
        <v>C00000034</v>
      </c>
      <c r="F2067" s="1" t="s">
        <v>1197</v>
      </c>
      <c r="G2067" s="11" t="s">
        <v>1198</v>
      </c>
      <c r="H2067" s="5">
        <v>1</v>
      </c>
      <c r="I2067" s="5" t="str">
        <f>VLOOKUP(F2067,'Set up'!$A$2:$C$48,3,FALSE)</f>
        <v>Cash</v>
      </c>
      <c r="J2067" s="5">
        <f>VLOOKUP(F2067,'Set up'!$A$2:$D$48,4,FALSE)</f>
        <v>0</v>
      </c>
      <c r="K2067" s="4">
        <f t="shared" si="707"/>
        <v>45174</v>
      </c>
      <c r="L2067" s="5">
        <f t="shared" si="708"/>
        <v>9</v>
      </c>
      <c r="M2067" s="5">
        <f t="shared" si="709"/>
        <v>2023</v>
      </c>
      <c r="N2067" s="96">
        <v>1738</v>
      </c>
      <c r="O2067" s="6">
        <f t="shared" ref="O2067:O2074" si="712">-N2067</f>
        <v>-1738</v>
      </c>
      <c r="P2067" s="6">
        <f t="shared" si="703"/>
        <v>0</v>
      </c>
      <c r="Q2067" s="7">
        <f t="shared" si="710"/>
        <v>3565654.9500000016</v>
      </c>
      <c r="R2067" s="44" t="str">
        <f>VLOOKUP(F2067,'Set up'!$A$2:$E$48,5,FALSE)</f>
        <v>Trsf</v>
      </c>
      <c r="S2067" s="1" t="s">
        <v>1967</v>
      </c>
    </row>
    <row r="2068" spans="1:19" ht="15" hidden="1" customHeight="1" x14ac:dyDescent="0.3">
      <c r="A2068" s="4">
        <v>45175</v>
      </c>
      <c r="B2068" s="5">
        <f t="shared" si="705"/>
        <v>9</v>
      </c>
      <c r="C2068" s="5">
        <f t="shared" si="706"/>
        <v>2023</v>
      </c>
      <c r="D2068" s="88" t="s">
        <v>1886</v>
      </c>
      <c r="E2068" s="5" t="str">
        <f>VLOOKUP(F2068,'Set up'!$A$2:$C$48,2,FALSE)</f>
        <v>C00000014</v>
      </c>
      <c r="F2068" s="1" t="s">
        <v>263</v>
      </c>
      <c r="G2068" s="99" t="s">
        <v>304</v>
      </c>
      <c r="H2068" s="5">
        <v>2</v>
      </c>
      <c r="I2068" s="5" t="str">
        <f>VLOOKUP(F2068,'Set up'!$A$2:$C$48,3,FALSE)</f>
        <v>Cash</v>
      </c>
      <c r="J2068" s="5">
        <f>VLOOKUP(F2068,'Set up'!$A$2:$D$48,4,FALSE)</f>
        <v>0</v>
      </c>
      <c r="K2068" s="4">
        <f t="shared" si="707"/>
        <v>45175</v>
      </c>
      <c r="L2068" s="5">
        <f t="shared" si="708"/>
        <v>9</v>
      </c>
      <c r="M2068" s="5">
        <f t="shared" si="709"/>
        <v>2023</v>
      </c>
      <c r="N2068" s="96">
        <v>3388</v>
      </c>
      <c r="O2068" s="6">
        <f t="shared" si="712"/>
        <v>-3388</v>
      </c>
      <c r="P2068" s="6">
        <f t="shared" si="703"/>
        <v>0</v>
      </c>
      <c r="Q2068" s="7">
        <f t="shared" si="710"/>
        <v>3569042.9500000016</v>
      </c>
      <c r="R2068" s="44" t="str">
        <f>VLOOKUP(F2068,'Set up'!$A$2:$E$48,5,FALSE)</f>
        <v>Cash</v>
      </c>
      <c r="S2068" s="1" t="s">
        <v>1973</v>
      </c>
    </row>
    <row r="2069" spans="1:19" ht="15" hidden="1" customHeight="1" x14ac:dyDescent="0.3">
      <c r="A2069" s="4">
        <v>45175</v>
      </c>
      <c r="B2069" s="5">
        <f t="shared" si="705"/>
        <v>9</v>
      </c>
      <c r="C2069" s="5">
        <f t="shared" si="706"/>
        <v>2023</v>
      </c>
      <c r="D2069" s="88" t="s">
        <v>1886</v>
      </c>
      <c r="E2069" s="5" t="str">
        <f>VLOOKUP(F2069,'Set up'!$A$2:$C$48,2,FALSE)</f>
        <v>C00000014</v>
      </c>
      <c r="F2069" s="1" t="s">
        <v>263</v>
      </c>
      <c r="G2069" s="99" t="s">
        <v>989</v>
      </c>
      <c r="H2069" s="5">
        <v>6</v>
      </c>
      <c r="I2069" s="5" t="str">
        <f>VLOOKUP(F2069,'Set up'!$A$2:$C$48,3,FALSE)</f>
        <v>Cash</v>
      </c>
      <c r="J2069" s="5">
        <f>VLOOKUP(F2069,'Set up'!$A$2:$D$48,4,FALSE)</f>
        <v>0</v>
      </c>
      <c r="K2069" s="4">
        <f t="shared" si="707"/>
        <v>45175</v>
      </c>
      <c r="L2069" s="5">
        <f t="shared" si="708"/>
        <v>9</v>
      </c>
      <c r="M2069" s="5">
        <f t="shared" si="709"/>
        <v>2023</v>
      </c>
      <c r="N2069" s="96">
        <v>1404</v>
      </c>
      <c r="O2069" s="6">
        <f t="shared" si="712"/>
        <v>-1404</v>
      </c>
      <c r="P2069" s="6">
        <f t="shared" si="703"/>
        <v>0</v>
      </c>
      <c r="Q2069" s="7">
        <f t="shared" si="710"/>
        <v>3570446.9500000016</v>
      </c>
      <c r="R2069" s="44" t="str">
        <f>VLOOKUP(F2069,'Set up'!$A$2:$E$48,5,FALSE)</f>
        <v>Cash</v>
      </c>
      <c r="S2069" s="1" t="s">
        <v>1973</v>
      </c>
    </row>
    <row r="2070" spans="1:19" ht="15" hidden="1" customHeight="1" x14ac:dyDescent="0.3">
      <c r="A2070" s="4">
        <v>45175</v>
      </c>
      <c r="B2070" s="5">
        <f t="shared" si="705"/>
        <v>9</v>
      </c>
      <c r="C2070" s="5">
        <f t="shared" si="706"/>
        <v>2023</v>
      </c>
      <c r="D2070" s="88" t="s">
        <v>1886</v>
      </c>
      <c r="E2070" s="5" t="str">
        <f>VLOOKUP(F2070,'Set up'!$A$2:$C$48,2,FALSE)</f>
        <v>C00000014</v>
      </c>
      <c r="F2070" s="1" t="s">
        <v>263</v>
      </c>
      <c r="G2070" s="99" t="s">
        <v>1469</v>
      </c>
      <c r="H2070" s="5">
        <v>2</v>
      </c>
      <c r="I2070" s="5" t="str">
        <f>VLOOKUP(F2070,'Set up'!$A$2:$C$48,3,FALSE)</f>
        <v>Cash</v>
      </c>
      <c r="J2070" s="5">
        <f>VLOOKUP(F2070,'Set up'!$A$2:$D$48,4,FALSE)</f>
        <v>0</v>
      </c>
      <c r="K2070" s="4">
        <f t="shared" si="707"/>
        <v>45175</v>
      </c>
      <c r="L2070" s="5">
        <f t="shared" si="708"/>
        <v>9</v>
      </c>
      <c r="M2070" s="5">
        <f t="shared" si="709"/>
        <v>2023</v>
      </c>
      <c r="N2070" s="96">
        <v>645</v>
      </c>
      <c r="O2070" s="6">
        <f t="shared" si="712"/>
        <v>-645</v>
      </c>
      <c r="P2070" s="6">
        <f t="shared" si="703"/>
        <v>0</v>
      </c>
      <c r="Q2070" s="7">
        <f t="shared" si="710"/>
        <v>3571091.9500000016</v>
      </c>
      <c r="R2070" s="44" t="str">
        <f>VLOOKUP(F2070,'Set up'!$A$2:$E$48,5,FALSE)</f>
        <v>Cash</v>
      </c>
      <c r="S2070" s="1" t="s">
        <v>1973</v>
      </c>
    </row>
    <row r="2071" spans="1:19" ht="15" hidden="1" customHeight="1" x14ac:dyDescent="0.3">
      <c r="A2071" s="4">
        <v>45175</v>
      </c>
      <c r="B2071" s="5">
        <f t="shared" si="705"/>
        <v>9</v>
      </c>
      <c r="C2071" s="5">
        <f t="shared" si="706"/>
        <v>2023</v>
      </c>
      <c r="D2071" s="88" t="s">
        <v>1886</v>
      </c>
      <c r="E2071" s="5" t="str">
        <f>VLOOKUP(F2071,'Set up'!$A$2:$C$48,2,FALSE)</f>
        <v>C00000014</v>
      </c>
      <c r="F2071" s="1" t="s">
        <v>263</v>
      </c>
      <c r="G2071" s="99" t="s">
        <v>1887</v>
      </c>
      <c r="H2071" s="5">
        <v>2</v>
      </c>
      <c r="I2071" s="5" t="str">
        <f>VLOOKUP(F2071,'Set up'!$A$2:$C$48,3,FALSE)</f>
        <v>Cash</v>
      </c>
      <c r="J2071" s="5">
        <f>VLOOKUP(F2071,'Set up'!$A$2:$D$48,4,FALSE)</f>
        <v>0</v>
      </c>
      <c r="K2071" s="4">
        <f t="shared" si="707"/>
        <v>45175</v>
      </c>
      <c r="L2071" s="5">
        <f t="shared" si="708"/>
        <v>9</v>
      </c>
      <c r="M2071" s="5">
        <f t="shared" si="709"/>
        <v>2023</v>
      </c>
      <c r="N2071" s="96">
        <v>320</v>
      </c>
      <c r="O2071" s="6">
        <f t="shared" si="712"/>
        <v>-320</v>
      </c>
      <c r="P2071" s="6">
        <f t="shared" si="703"/>
        <v>0</v>
      </c>
      <c r="Q2071" s="7">
        <f t="shared" si="710"/>
        <v>3571411.9500000016</v>
      </c>
      <c r="R2071" s="44" t="str">
        <f>VLOOKUP(F2071,'Set up'!$A$2:$E$48,5,FALSE)</f>
        <v>Cash</v>
      </c>
      <c r="S2071" s="1" t="s">
        <v>1973</v>
      </c>
    </row>
    <row r="2072" spans="1:19" ht="15" hidden="1" customHeight="1" x14ac:dyDescent="0.3">
      <c r="A2072" s="4">
        <v>45175</v>
      </c>
      <c r="B2072" s="5">
        <f t="shared" si="705"/>
        <v>9</v>
      </c>
      <c r="C2072" s="5">
        <f t="shared" si="706"/>
        <v>2023</v>
      </c>
      <c r="D2072" s="88" t="s">
        <v>1886</v>
      </c>
      <c r="E2072" s="5" t="str">
        <f>VLOOKUP(F2072,'Set up'!$A$2:$C$48,2,FALSE)</f>
        <v>C00000014</v>
      </c>
      <c r="F2072" s="1" t="s">
        <v>263</v>
      </c>
      <c r="G2072" s="99" t="s">
        <v>1716</v>
      </c>
      <c r="H2072" s="5">
        <v>1</v>
      </c>
      <c r="I2072" s="5" t="str">
        <f>VLOOKUP(F2072,'Set up'!$A$2:$C$48,3,FALSE)</f>
        <v>Cash</v>
      </c>
      <c r="J2072" s="5">
        <f>VLOOKUP(F2072,'Set up'!$A$2:$D$48,4,FALSE)</f>
        <v>0</v>
      </c>
      <c r="K2072" s="4">
        <f t="shared" si="707"/>
        <v>45175</v>
      </c>
      <c r="L2072" s="5">
        <f t="shared" si="708"/>
        <v>9</v>
      </c>
      <c r="M2072" s="5">
        <f t="shared" si="709"/>
        <v>2023</v>
      </c>
      <c r="N2072" s="96">
        <v>165</v>
      </c>
      <c r="O2072" s="6">
        <f t="shared" si="712"/>
        <v>-165</v>
      </c>
      <c r="P2072" s="6">
        <f t="shared" si="703"/>
        <v>0</v>
      </c>
      <c r="Q2072" s="7">
        <f t="shared" si="710"/>
        <v>3571576.9500000016</v>
      </c>
      <c r="R2072" s="44" t="str">
        <f>VLOOKUP(F2072,'Set up'!$A$2:$E$48,5,FALSE)</f>
        <v>Cash</v>
      </c>
      <c r="S2072" s="1" t="s">
        <v>1973</v>
      </c>
    </row>
    <row r="2073" spans="1:19" ht="15" hidden="1" customHeight="1" x14ac:dyDescent="0.3">
      <c r="A2073" s="4">
        <v>45175</v>
      </c>
      <c r="B2073" s="5">
        <f t="shared" si="705"/>
        <v>9</v>
      </c>
      <c r="C2073" s="5">
        <f t="shared" si="706"/>
        <v>2023</v>
      </c>
      <c r="D2073" s="88" t="s">
        <v>1886</v>
      </c>
      <c r="E2073" s="5" t="str">
        <f>VLOOKUP(F2073,'Set up'!$A$2:$C$48,2,FALSE)</f>
        <v>C00000014</v>
      </c>
      <c r="F2073" s="1" t="s">
        <v>263</v>
      </c>
      <c r="G2073" s="99" t="s">
        <v>1062</v>
      </c>
      <c r="H2073" s="5">
        <v>1</v>
      </c>
      <c r="I2073" s="5" t="str">
        <f>VLOOKUP(F2073,'Set up'!$A$2:$C$48,3,FALSE)</f>
        <v>Cash</v>
      </c>
      <c r="J2073" s="5">
        <f>VLOOKUP(F2073,'Set up'!$A$2:$D$48,4,FALSE)</f>
        <v>0</v>
      </c>
      <c r="K2073" s="4">
        <f t="shared" si="707"/>
        <v>45175</v>
      </c>
      <c r="L2073" s="5">
        <f t="shared" si="708"/>
        <v>9</v>
      </c>
      <c r="M2073" s="5">
        <f t="shared" si="709"/>
        <v>2023</v>
      </c>
      <c r="N2073" s="96">
        <v>95</v>
      </c>
      <c r="O2073" s="6">
        <f t="shared" si="712"/>
        <v>-95</v>
      </c>
      <c r="P2073" s="6">
        <f t="shared" si="703"/>
        <v>0</v>
      </c>
      <c r="Q2073" s="7">
        <f t="shared" si="710"/>
        <v>3571671.9500000016</v>
      </c>
      <c r="R2073" s="44" t="str">
        <f>VLOOKUP(F2073,'Set up'!$A$2:$E$48,5,FALSE)</f>
        <v>Cash</v>
      </c>
      <c r="S2073" s="1" t="s">
        <v>1973</v>
      </c>
    </row>
    <row r="2074" spans="1:19" ht="15" hidden="1" customHeight="1" x14ac:dyDescent="0.3">
      <c r="A2074" s="4">
        <v>45175</v>
      </c>
      <c r="B2074" s="5">
        <f t="shared" si="705"/>
        <v>9</v>
      </c>
      <c r="C2074" s="5">
        <f t="shared" si="706"/>
        <v>2023</v>
      </c>
      <c r="D2074" s="88" t="s">
        <v>1888</v>
      </c>
      <c r="E2074" s="5" t="str">
        <f>VLOOKUP(F2074,'Set up'!$A$2:$C$48,2,FALSE)</f>
        <v>C00000014</v>
      </c>
      <c r="F2074" s="1" t="s">
        <v>263</v>
      </c>
      <c r="G2074" s="99" t="s">
        <v>1111</v>
      </c>
      <c r="H2074" s="5">
        <v>1</v>
      </c>
      <c r="I2074" s="5" t="str">
        <f>VLOOKUP(F2074,'Set up'!$A$2:$C$48,3,FALSE)</f>
        <v>Cash</v>
      </c>
      <c r="J2074" s="5">
        <f>VLOOKUP(F2074,'Set up'!$A$2:$D$48,4,FALSE)</f>
        <v>0</v>
      </c>
      <c r="K2074" s="4">
        <f t="shared" si="707"/>
        <v>45175</v>
      </c>
      <c r="L2074" s="5">
        <f t="shared" si="708"/>
        <v>9</v>
      </c>
      <c r="M2074" s="5">
        <f t="shared" si="709"/>
        <v>2023</v>
      </c>
      <c r="N2074" s="96">
        <v>62.5</v>
      </c>
      <c r="O2074" s="6">
        <f t="shared" si="712"/>
        <v>-62.5</v>
      </c>
      <c r="P2074" s="6">
        <f t="shared" si="703"/>
        <v>0</v>
      </c>
      <c r="Q2074" s="7">
        <f t="shared" si="710"/>
        <v>3571734.4500000016</v>
      </c>
      <c r="R2074" s="44" t="str">
        <f>VLOOKUP(F2074,'Set up'!$A$2:$E$48,5,FALSE)</f>
        <v>Cash</v>
      </c>
      <c r="S2074" s="1" t="s">
        <v>1973</v>
      </c>
    </row>
    <row r="2075" spans="1:19" ht="15" hidden="1" customHeight="1" x14ac:dyDescent="0.3">
      <c r="A2075" s="4">
        <v>45176</v>
      </c>
      <c r="B2075" s="5">
        <f t="shared" si="705"/>
        <v>9</v>
      </c>
      <c r="C2075" s="5">
        <f t="shared" si="706"/>
        <v>2023</v>
      </c>
      <c r="D2075" s="88" t="s">
        <v>1889</v>
      </c>
      <c r="E2075" s="5" t="str">
        <f>VLOOKUP(F2075,'Set up'!$A$2:$C$48,2,FALSE)</f>
        <v>C00000021</v>
      </c>
      <c r="F2075" s="1" t="s">
        <v>492</v>
      </c>
      <c r="G2075" s="107" t="s">
        <v>717</v>
      </c>
      <c r="H2075" s="5">
        <v>1</v>
      </c>
      <c r="I2075" s="5" t="str">
        <f>VLOOKUP(F2075,'Set up'!$A$2:$C$48,3,FALSE)</f>
        <v>Cash</v>
      </c>
      <c r="J2075" s="5">
        <f>VLOOKUP(F2075,'Set up'!$A$2:$D$48,4,FALSE)</f>
        <v>0</v>
      </c>
      <c r="K2075" s="4">
        <f t="shared" si="707"/>
        <v>45176</v>
      </c>
      <c r="L2075" s="5">
        <f t="shared" si="708"/>
        <v>9</v>
      </c>
      <c r="M2075" s="5">
        <f t="shared" si="709"/>
        <v>2023</v>
      </c>
      <c r="N2075" s="96">
        <v>1738</v>
      </c>
      <c r="P2075" s="6">
        <f t="shared" si="703"/>
        <v>1738</v>
      </c>
      <c r="Q2075" s="7">
        <f t="shared" si="710"/>
        <v>3573472.4500000016</v>
      </c>
      <c r="R2075" s="44" t="str">
        <f>VLOOKUP(F2075,'Set up'!$A$2:$E$48,5,FALSE)</f>
        <v>PD Chq</v>
      </c>
    </row>
    <row r="2076" spans="1:19" ht="15" hidden="1" customHeight="1" x14ac:dyDescent="0.3">
      <c r="A2076" s="4">
        <v>45176</v>
      </c>
      <c r="B2076" s="5">
        <f t="shared" si="705"/>
        <v>9</v>
      </c>
      <c r="C2076" s="5">
        <f t="shared" si="706"/>
        <v>2023</v>
      </c>
      <c r="D2076" s="88" t="s">
        <v>1889</v>
      </c>
      <c r="E2076" s="5" t="str">
        <f>VLOOKUP(F2076,'Set up'!$A$2:$C$48,2,FALSE)</f>
        <v>C00000021</v>
      </c>
      <c r="F2076" s="1" t="s">
        <v>492</v>
      </c>
      <c r="G2076" s="99" t="s">
        <v>655</v>
      </c>
      <c r="H2076" s="5">
        <v>2</v>
      </c>
      <c r="I2076" s="5" t="str">
        <f>VLOOKUP(F2076,'Set up'!$A$2:$C$48,3,FALSE)</f>
        <v>Cash</v>
      </c>
      <c r="J2076" s="5">
        <f>VLOOKUP(F2076,'Set up'!$A$2:$D$48,4,FALSE)</f>
        <v>0</v>
      </c>
      <c r="K2076" s="4">
        <f t="shared" si="707"/>
        <v>45176</v>
      </c>
      <c r="L2076" s="5">
        <f t="shared" si="708"/>
        <v>9</v>
      </c>
      <c r="M2076" s="5">
        <f t="shared" si="709"/>
        <v>2023</v>
      </c>
      <c r="N2076" s="96">
        <v>468</v>
      </c>
      <c r="P2076" s="6">
        <f t="shared" si="703"/>
        <v>468</v>
      </c>
      <c r="Q2076" s="7">
        <f t="shared" si="710"/>
        <v>3573940.4500000016</v>
      </c>
      <c r="R2076" s="44" t="str">
        <f>VLOOKUP(F2076,'Set up'!$A$2:$E$48,5,FALSE)</f>
        <v>PD Chq</v>
      </c>
    </row>
    <row r="2077" spans="1:19" ht="15" hidden="1" customHeight="1" x14ac:dyDescent="0.3">
      <c r="A2077" s="4">
        <v>45176</v>
      </c>
      <c r="B2077" s="5">
        <f t="shared" si="705"/>
        <v>9</v>
      </c>
      <c r="C2077" s="5">
        <f t="shared" si="706"/>
        <v>2023</v>
      </c>
      <c r="D2077" s="88" t="s">
        <v>1889</v>
      </c>
      <c r="E2077" s="5" t="str">
        <f>VLOOKUP(F2077,'Set up'!$A$2:$C$48,2,FALSE)</f>
        <v>C00000021</v>
      </c>
      <c r="F2077" s="1" t="s">
        <v>492</v>
      </c>
      <c r="G2077" s="99" t="s">
        <v>1062</v>
      </c>
      <c r="H2077" s="5">
        <v>1</v>
      </c>
      <c r="I2077" s="5" t="str">
        <f>VLOOKUP(F2077,'Set up'!$A$2:$C$48,3,FALSE)</f>
        <v>Cash</v>
      </c>
      <c r="J2077" s="5">
        <f>VLOOKUP(F2077,'Set up'!$A$2:$D$48,4,FALSE)</f>
        <v>0</v>
      </c>
      <c r="K2077" s="4">
        <f t="shared" si="707"/>
        <v>45176</v>
      </c>
      <c r="L2077" s="5">
        <f t="shared" si="708"/>
        <v>9</v>
      </c>
      <c r="M2077" s="5">
        <f t="shared" si="709"/>
        <v>2023</v>
      </c>
      <c r="N2077" s="96">
        <v>95</v>
      </c>
      <c r="P2077" s="6">
        <f t="shared" si="703"/>
        <v>95</v>
      </c>
      <c r="Q2077" s="7">
        <f t="shared" si="710"/>
        <v>3574035.4500000016</v>
      </c>
      <c r="R2077" s="44" t="str">
        <f>VLOOKUP(F2077,'Set up'!$A$2:$E$48,5,FALSE)</f>
        <v>PD Chq</v>
      </c>
    </row>
    <row r="2078" spans="1:19" ht="15" hidden="1" customHeight="1" x14ac:dyDescent="0.3">
      <c r="A2078" s="4">
        <v>45176</v>
      </c>
      <c r="B2078" s="5">
        <f t="shared" si="705"/>
        <v>9</v>
      </c>
      <c r="C2078" s="5">
        <f t="shared" si="706"/>
        <v>2023</v>
      </c>
      <c r="D2078" s="88" t="s">
        <v>1889</v>
      </c>
      <c r="E2078" s="5" t="str">
        <f>VLOOKUP(F2078,'Set up'!$A$2:$C$48,2,FALSE)</f>
        <v>C00000021</v>
      </c>
      <c r="F2078" s="1" t="s">
        <v>492</v>
      </c>
      <c r="G2078" s="99" t="s">
        <v>1111</v>
      </c>
      <c r="H2078" s="5">
        <v>5</v>
      </c>
      <c r="I2078" s="5" t="str">
        <f>VLOOKUP(F2078,'Set up'!$A$2:$C$48,3,FALSE)</f>
        <v>Cash</v>
      </c>
      <c r="J2078" s="5">
        <f>VLOOKUP(F2078,'Set up'!$A$2:$D$48,4,FALSE)</f>
        <v>0</v>
      </c>
      <c r="K2078" s="4">
        <f t="shared" si="707"/>
        <v>45176</v>
      </c>
      <c r="L2078" s="5">
        <f t="shared" si="708"/>
        <v>9</v>
      </c>
      <c r="M2078" s="5">
        <f t="shared" si="709"/>
        <v>2023</v>
      </c>
      <c r="N2078" s="96">
        <v>312.5</v>
      </c>
      <c r="P2078" s="6">
        <f t="shared" si="703"/>
        <v>312.5</v>
      </c>
      <c r="Q2078" s="7">
        <f t="shared" si="710"/>
        <v>3574347.9500000016</v>
      </c>
      <c r="R2078" s="44" t="str">
        <f>VLOOKUP(F2078,'Set up'!$A$2:$E$48,5,FALSE)</f>
        <v>PD Chq</v>
      </c>
    </row>
    <row r="2079" spans="1:19" ht="15" hidden="1" customHeight="1" x14ac:dyDescent="0.3">
      <c r="A2079" s="4">
        <v>45177</v>
      </c>
      <c r="B2079" s="5">
        <f t="shared" si="705"/>
        <v>9</v>
      </c>
      <c r="C2079" s="5">
        <f t="shared" si="706"/>
        <v>2023</v>
      </c>
      <c r="D2079" s="88" t="s">
        <v>1890</v>
      </c>
      <c r="E2079" s="5" t="str">
        <f>VLOOKUP(F2079,'Set up'!$A$2:$C$48,2,FALSE)</f>
        <v>C00000019</v>
      </c>
      <c r="F2079" s="1" t="s">
        <v>401</v>
      </c>
      <c r="G2079" s="99" t="s">
        <v>95</v>
      </c>
      <c r="H2079" s="5">
        <v>1</v>
      </c>
      <c r="I2079" s="5" t="str">
        <f>VLOOKUP(F2079,'Set up'!$A$2:$C$48,3,FALSE)</f>
        <v>Cash</v>
      </c>
      <c r="J2079" s="5">
        <f>VLOOKUP(F2079,'Set up'!$A$2:$D$48,4,FALSE)</f>
        <v>0</v>
      </c>
      <c r="K2079" s="4">
        <f t="shared" si="707"/>
        <v>45177</v>
      </c>
      <c r="L2079" s="5">
        <f t="shared" si="708"/>
        <v>9</v>
      </c>
      <c r="M2079" s="5">
        <f t="shared" si="709"/>
        <v>2023</v>
      </c>
      <c r="N2079" s="96">
        <v>1738</v>
      </c>
      <c r="P2079" s="6">
        <f t="shared" si="703"/>
        <v>1738</v>
      </c>
      <c r="Q2079" s="7">
        <f t="shared" si="710"/>
        <v>3576085.9500000016</v>
      </c>
      <c r="R2079" s="44" t="str">
        <f>VLOOKUP(F2079,'Set up'!$A$2:$E$48,5,FALSE)</f>
        <v>Trsf</v>
      </c>
    </row>
    <row r="2080" spans="1:19" ht="15" hidden="1" customHeight="1" x14ac:dyDescent="0.3">
      <c r="A2080" s="4">
        <v>45177</v>
      </c>
      <c r="B2080" s="5">
        <f t="shared" si="705"/>
        <v>9</v>
      </c>
      <c r="C2080" s="5">
        <f t="shared" si="706"/>
        <v>2023</v>
      </c>
      <c r="D2080" s="88" t="s">
        <v>1890</v>
      </c>
      <c r="E2080" s="5" t="str">
        <f>VLOOKUP(F2080,'Set up'!$A$2:$C$48,2,FALSE)</f>
        <v>C00000019</v>
      </c>
      <c r="F2080" s="1" t="s">
        <v>401</v>
      </c>
      <c r="G2080" s="99" t="s">
        <v>1613</v>
      </c>
      <c r="H2080" s="5">
        <v>1</v>
      </c>
      <c r="I2080" s="5" t="str">
        <f>VLOOKUP(F2080,'Set up'!$A$2:$C$48,3,FALSE)</f>
        <v>Cash</v>
      </c>
      <c r="J2080" s="5">
        <f>VLOOKUP(F2080,'Set up'!$A$2:$D$48,4,FALSE)</f>
        <v>0</v>
      </c>
      <c r="K2080" s="4">
        <f t="shared" si="707"/>
        <v>45177</v>
      </c>
      <c r="L2080" s="5">
        <f t="shared" si="708"/>
        <v>9</v>
      </c>
      <c r="M2080" s="5">
        <f t="shared" si="709"/>
        <v>2023</v>
      </c>
      <c r="N2080" s="96">
        <v>522.6</v>
      </c>
      <c r="P2080" s="6">
        <f t="shared" si="703"/>
        <v>522.6</v>
      </c>
      <c r="Q2080" s="7">
        <f t="shared" si="710"/>
        <v>3576608.5500000017</v>
      </c>
      <c r="R2080" s="44" t="str">
        <f>VLOOKUP(F2080,'Set up'!$A$2:$E$48,5,FALSE)</f>
        <v>Trsf</v>
      </c>
    </row>
    <row r="2081" spans="1:19" ht="15" hidden="1" customHeight="1" x14ac:dyDescent="0.3">
      <c r="A2081" s="4">
        <v>45177</v>
      </c>
      <c r="B2081" s="5">
        <f t="shared" si="705"/>
        <v>9</v>
      </c>
      <c r="C2081" s="5">
        <f t="shared" si="706"/>
        <v>2023</v>
      </c>
      <c r="D2081" s="88" t="s">
        <v>1890</v>
      </c>
      <c r="E2081" s="5" t="str">
        <f>VLOOKUP(F2081,'Set up'!$A$2:$C$48,2,FALSE)</f>
        <v>C00000019</v>
      </c>
      <c r="F2081" s="1" t="s">
        <v>401</v>
      </c>
      <c r="G2081" s="99" t="s">
        <v>792</v>
      </c>
      <c r="H2081" s="5">
        <v>4</v>
      </c>
      <c r="I2081" s="5" t="str">
        <f>VLOOKUP(F2081,'Set up'!$A$2:$C$48,3,FALSE)</f>
        <v>Cash</v>
      </c>
      <c r="J2081" s="5">
        <f>VLOOKUP(F2081,'Set up'!$A$2:$D$48,4,FALSE)</f>
        <v>0</v>
      </c>
      <c r="K2081" s="4">
        <f t="shared" si="707"/>
        <v>45177</v>
      </c>
      <c r="L2081" s="5">
        <f t="shared" si="708"/>
        <v>9</v>
      </c>
      <c r="M2081" s="5">
        <f t="shared" si="709"/>
        <v>2023</v>
      </c>
      <c r="N2081" s="96">
        <v>250</v>
      </c>
      <c r="P2081" s="6">
        <f t="shared" si="703"/>
        <v>250</v>
      </c>
      <c r="Q2081" s="7">
        <f t="shared" si="710"/>
        <v>3576858.5500000017</v>
      </c>
      <c r="R2081" s="44" t="str">
        <f>VLOOKUP(F2081,'Set up'!$A$2:$E$48,5,FALSE)</f>
        <v>Trsf</v>
      </c>
    </row>
    <row r="2082" spans="1:19" ht="15" hidden="1" customHeight="1" x14ac:dyDescent="0.3">
      <c r="A2082" s="4">
        <v>45177</v>
      </c>
      <c r="B2082" s="5">
        <f t="shared" si="705"/>
        <v>9</v>
      </c>
      <c r="C2082" s="5">
        <f t="shared" si="706"/>
        <v>2023</v>
      </c>
      <c r="D2082" s="88" t="s">
        <v>1890</v>
      </c>
      <c r="E2082" s="5" t="str">
        <f>VLOOKUP(F2082,'Set up'!$A$2:$C$48,2,FALSE)</f>
        <v>C00000019</v>
      </c>
      <c r="F2082" s="1" t="s">
        <v>401</v>
      </c>
      <c r="G2082" s="99" t="s">
        <v>46</v>
      </c>
      <c r="H2082" s="5">
        <v>1</v>
      </c>
      <c r="I2082" s="5" t="str">
        <f>VLOOKUP(F2082,'Set up'!$A$2:$C$48,3,FALSE)</f>
        <v>Cash</v>
      </c>
      <c r="J2082" s="5">
        <f>VLOOKUP(F2082,'Set up'!$A$2:$D$48,4,FALSE)</f>
        <v>0</v>
      </c>
      <c r="K2082" s="4">
        <f t="shared" si="707"/>
        <v>45177</v>
      </c>
      <c r="L2082" s="5">
        <f t="shared" si="708"/>
        <v>9</v>
      </c>
      <c r="M2082" s="5">
        <f t="shared" si="709"/>
        <v>2023</v>
      </c>
      <c r="N2082" s="96">
        <v>105</v>
      </c>
      <c r="P2082" s="6">
        <f t="shared" si="703"/>
        <v>105</v>
      </c>
      <c r="Q2082" s="7">
        <f t="shared" si="710"/>
        <v>3576963.5500000017</v>
      </c>
      <c r="R2082" s="44" t="str">
        <f>VLOOKUP(F2082,'Set up'!$A$2:$E$48,5,FALSE)</f>
        <v>Trsf</v>
      </c>
    </row>
    <row r="2083" spans="1:19" ht="15" hidden="1" customHeight="1" x14ac:dyDescent="0.3">
      <c r="A2083" s="4">
        <v>45177</v>
      </c>
      <c r="B2083" s="5">
        <f t="shared" si="705"/>
        <v>9</v>
      </c>
      <c r="C2083" s="5">
        <f t="shared" si="706"/>
        <v>2023</v>
      </c>
      <c r="D2083" s="88" t="s">
        <v>1890</v>
      </c>
      <c r="E2083" s="5" t="str">
        <f>VLOOKUP(F2083,'Set up'!$A$2:$C$48,2,FALSE)</f>
        <v>C00000019</v>
      </c>
      <c r="F2083" s="1" t="s">
        <v>401</v>
      </c>
      <c r="G2083" s="99" t="s">
        <v>1470</v>
      </c>
      <c r="H2083" s="5">
        <v>1</v>
      </c>
      <c r="I2083" s="5" t="str">
        <f>VLOOKUP(F2083,'Set up'!$A$2:$C$48,3,FALSE)</f>
        <v>Cash</v>
      </c>
      <c r="J2083" s="5">
        <f>VLOOKUP(F2083,'Set up'!$A$2:$D$48,4,FALSE)</f>
        <v>0</v>
      </c>
      <c r="K2083" s="4">
        <f t="shared" si="707"/>
        <v>45177</v>
      </c>
      <c r="L2083" s="5">
        <f t="shared" si="708"/>
        <v>9</v>
      </c>
      <c r="M2083" s="5">
        <f t="shared" si="709"/>
        <v>2023</v>
      </c>
      <c r="N2083" s="96">
        <v>390</v>
      </c>
      <c r="P2083" s="6">
        <f t="shared" si="703"/>
        <v>390</v>
      </c>
      <c r="Q2083" s="7">
        <f t="shared" si="710"/>
        <v>3577353.5500000017</v>
      </c>
      <c r="R2083" s="44" t="str">
        <f>VLOOKUP(F2083,'Set up'!$A$2:$E$48,5,FALSE)</f>
        <v>Trsf</v>
      </c>
    </row>
    <row r="2084" spans="1:19" ht="15" hidden="1" customHeight="1" x14ac:dyDescent="0.3">
      <c r="A2084" s="4">
        <v>45177</v>
      </c>
      <c r="B2084" s="5">
        <f t="shared" si="705"/>
        <v>9</v>
      </c>
      <c r="C2084" s="5">
        <f t="shared" si="706"/>
        <v>2023</v>
      </c>
      <c r="D2084" s="88" t="s">
        <v>1891</v>
      </c>
      <c r="E2084" s="5" t="str">
        <f>VLOOKUP(F2084,'Set up'!$A$2:$C$48,2,FALSE)</f>
        <v>C00000009</v>
      </c>
      <c r="F2084" s="1" t="s">
        <v>58</v>
      </c>
      <c r="G2084" s="11" t="s">
        <v>950</v>
      </c>
      <c r="H2084" s="5">
        <v>12</v>
      </c>
      <c r="I2084" s="5">
        <f>VLOOKUP(F2084,'Set up'!$A$2:$C$48,3,FALSE)</f>
        <v>60</v>
      </c>
      <c r="J2084" s="5">
        <f>VLOOKUP(F2084,'Set up'!$A$2:$D$48,4,FALSE)</f>
        <v>60</v>
      </c>
      <c r="K2084" s="4">
        <f t="shared" si="707"/>
        <v>45237</v>
      </c>
      <c r="L2084" s="5">
        <f t="shared" si="708"/>
        <v>11</v>
      </c>
      <c r="M2084" s="5">
        <f t="shared" si="709"/>
        <v>2023</v>
      </c>
      <c r="N2084" s="96">
        <v>540</v>
      </c>
      <c r="O2084" s="6">
        <f t="shared" ref="O2084" si="713">-N2084</f>
        <v>-540</v>
      </c>
      <c r="P2084" s="6">
        <f t="shared" si="703"/>
        <v>0</v>
      </c>
      <c r="Q2084" s="7">
        <f t="shared" si="710"/>
        <v>3577893.5500000017</v>
      </c>
      <c r="R2084" s="44" t="str">
        <f>VLOOKUP(F2084,'Set up'!$A$2:$E$48,5,FALSE)</f>
        <v>Chq</v>
      </c>
      <c r="S2084" s="1" t="s">
        <v>2332</v>
      </c>
    </row>
    <row r="2085" spans="1:19" ht="15" customHeight="1" x14ac:dyDescent="0.3">
      <c r="A2085" s="4">
        <v>45178</v>
      </c>
      <c r="B2085" s="5">
        <f t="shared" si="705"/>
        <v>9</v>
      </c>
      <c r="C2085" s="5">
        <f t="shared" si="706"/>
        <v>2023</v>
      </c>
      <c r="D2085" s="88" t="s">
        <v>1892</v>
      </c>
      <c r="E2085" s="5" t="str">
        <f>VLOOKUP(F2085,'Set up'!$A$2:$C$48,2,FALSE)</f>
        <v>C00000020</v>
      </c>
      <c r="F2085" s="1" t="s">
        <v>410</v>
      </c>
      <c r="G2085" s="103" t="s">
        <v>1111</v>
      </c>
      <c r="H2085" s="5">
        <v>2</v>
      </c>
      <c r="I2085" s="5" t="str">
        <f>VLOOKUP(F2085,'Set up'!$A$2:$C$48,3,FALSE)</f>
        <v>Cash</v>
      </c>
      <c r="J2085" s="5">
        <f>VLOOKUP(F2085,'Set up'!$A$2:$D$48,4,FALSE)</f>
        <v>0</v>
      </c>
      <c r="K2085" s="4">
        <f t="shared" si="707"/>
        <v>45178</v>
      </c>
      <c r="L2085" s="5">
        <f t="shared" si="708"/>
        <v>9</v>
      </c>
      <c r="M2085" s="5">
        <f t="shared" si="709"/>
        <v>2023</v>
      </c>
      <c r="N2085" s="96">
        <v>125</v>
      </c>
      <c r="P2085" s="6">
        <f t="shared" si="703"/>
        <v>125</v>
      </c>
      <c r="Q2085" s="7">
        <f t="shared" si="710"/>
        <v>3578018.5500000017</v>
      </c>
      <c r="R2085" s="44" t="str">
        <f>VLOOKUP(F2085,'Set up'!$A$2:$E$48,5,FALSE)</f>
        <v>Trsf</v>
      </c>
    </row>
    <row r="2086" spans="1:19" ht="15" customHeight="1" x14ac:dyDescent="0.3">
      <c r="A2086" s="4">
        <v>45178</v>
      </c>
      <c r="B2086" s="5">
        <f t="shared" si="705"/>
        <v>9</v>
      </c>
      <c r="C2086" s="5">
        <f t="shared" si="706"/>
        <v>2023</v>
      </c>
      <c r="D2086" s="88" t="s">
        <v>1893</v>
      </c>
      <c r="E2086" s="5" t="str">
        <f>VLOOKUP(F2086,'Set up'!$A$2:$C$48,2,FALSE)</f>
        <v>C00000020</v>
      </c>
      <c r="F2086" s="1" t="s">
        <v>410</v>
      </c>
      <c r="G2086" s="103" t="s">
        <v>1734</v>
      </c>
      <c r="H2086" s="5">
        <v>2</v>
      </c>
      <c r="I2086" s="5" t="str">
        <f>VLOOKUP(F2086,'Set up'!$A$2:$C$48,3,FALSE)</f>
        <v>Cash</v>
      </c>
      <c r="J2086" s="5">
        <f>VLOOKUP(F2086,'Set up'!$A$2:$D$48,4,FALSE)</f>
        <v>0</v>
      </c>
      <c r="K2086" s="4">
        <f t="shared" si="707"/>
        <v>45178</v>
      </c>
      <c r="L2086" s="5">
        <f t="shared" si="708"/>
        <v>9</v>
      </c>
      <c r="M2086" s="5">
        <f t="shared" si="709"/>
        <v>2023</v>
      </c>
      <c r="N2086" s="96">
        <v>3212</v>
      </c>
      <c r="P2086" s="6">
        <f t="shared" si="703"/>
        <v>3212</v>
      </c>
      <c r="Q2086" s="7">
        <f t="shared" si="710"/>
        <v>3581230.5500000017</v>
      </c>
      <c r="R2086" s="44" t="str">
        <f>VLOOKUP(F2086,'Set up'!$A$2:$E$48,5,FALSE)</f>
        <v>Trsf</v>
      </c>
    </row>
    <row r="2087" spans="1:19" ht="15" customHeight="1" x14ac:dyDescent="0.3">
      <c r="A2087" s="4">
        <v>45178</v>
      </c>
      <c r="B2087" s="5">
        <f t="shared" si="705"/>
        <v>9</v>
      </c>
      <c r="C2087" s="5">
        <f t="shared" si="706"/>
        <v>2023</v>
      </c>
      <c r="D2087" s="88" t="s">
        <v>1893</v>
      </c>
      <c r="E2087" s="5" t="str">
        <f>VLOOKUP(F2087,'Set up'!$A$2:$C$48,2,FALSE)</f>
        <v>C00000020</v>
      </c>
      <c r="F2087" s="1" t="s">
        <v>410</v>
      </c>
      <c r="G2087" s="90" t="s">
        <v>914</v>
      </c>
      <c r="H2087" s="5">
        <v>6</v>
      </c>
      <c r="I2087" s="5" t="str">
        <f>VLOOKUP(F2087,'Set up'!$A$2:$C$48,3,FALSE)</f>
        <v>Cash</v>
      </c>
      <c r="J2087" s="5">
        <f>VLOOKUP(F2087,'Set up'!$A$2:$D$48,4,FALSE)</f>
        <v>0</v>
      </c>
      <c r="K2087" s="4">
        <f t="shared" si="707"/>
        <v>45178</v>
      </c>
      <c r="L2087" s="5">
        <f t="shared" si="708"/>
        <v>9</v>
      </c>
      <c r="M2087" s="5">
        <f t="shared" si="709"/>
        <v>2023</v>
      </c>
      <c r="N2087" s="96">
        <v>1134</v>
      </c>
      <c r="P2087" s="6">
        <f t="shared" si="703"/>
        <v>1134</v>
      </c>
      <c r="Q2087" s="7">
        <f t="shared" si="710"/>
        <v>3582364.5500000017</v>
      </c>
      <c r="R2087" s="44" t="str">
        <f>VLOOKUP(F2087,'Set up'!$A$2:$E$48,5,FALSE)</f>
        <v>Trsf</v>
      </c>
    </row>
    <row r="2088" spans="1:19" ht="15" customHeight="1" x14ac:dyDescent="0.3">
      <c r="A2088" s="4">
        <v>45178</v>
      </c>
      <c r="B2088" s="5">
        <f t="shared" si="705"/>
        <v>9</v>
      </c>
      <c r="C2088" s="5">
        <f t="shared" si="706"/>
        <v>2023</v>
      </c>
      <c r="D2088" s="88" t="s">
        <v>1893</v>
      </c>
      <c r="E2088" s="5" t="str">
        <f>VLOOKUP(F2088,'Set up'!$A$2:$C$48,2,FALSE)</f>
        <v>C00000020</v>
      </c>
      <c r="F2088" s="1" t="s">
        <v>410</v>
      </c>
      <c r="G2088" s="90" t="s">
        <v>779</v>
      </c>
      <c r="H2088" s="5">
        <v>2</v>
      </c>
      <c r="I2088" s="5" t="str">
        <f>VLOOKUP(F2088,'Set up'!$A$2:$C$48,3,FALSE)</f>
        <v>Cash</v>
      </c>
      <c r="J2088" s="5">
        <f>VLOOKUP(F2088,'Set up'!$A$2:$D$48,4,FALSE)</f>
        <v>0</v>
      </c>
      <c r="K2088" s="4">
        <f t="shared" si="707"/>
        <v>45178</v>
      </c>
      <c r="L2088" s="5">
        <f t="shared" si="708"/>
        <v>9</v>
      </c>
      <c r="M2088" s="5">
        <f t="shared" si="709"/>
        <v>2023</v>
      </c>
      <c r="N2088" s="96">
        <v>400</v>
      </c>
      <c r="P2088" s="6">
        <f t="shared" si="703"/>
        <v>400</v>
      </c>
      <c r="Q2088" s="7">
        <f t="shared" si="710"/>
        <v>3582764.5500000017</v>
      </c>
      <c r="R2088" s="44" t="str">
        <f>VLOOKUP(F2088,'Set up'!$A$2:$E$48,5,FALSE)</f>
        <v>Trsf</v>
      </c>
    </row>
    <row r="2089" spans="1:19" ht="15" customHeight="1" x14ac:dyDescent="0.3">
      <c r="A2089" s="4">
        <v>45178</v>
      </c>
      <c r="B2089" s="5">
        <f t="shared" si="705"/>
        <v>9</v>
      </c>
      <c r="C2089" s="5">
        <f t="shared" si="706"/>
        <v>2023</v>
      </c>
      <c r="D2089" s="88" t="s">
        <v>1893</v>
      </c>
      <c r="E2089" s="5" t="str">
        <f>VLOOKUP(F2089,'Set up'!$A$2:$C$48,2,FALSE)</f>
        <v>C00000020</v>
      </c>
      <c r="F2089" s="1" t="s">
        <v>410</v>
      </c>
      <c r="G2089" s="90" t="s">
        <v>1074</v>
      </c>
      <c r="H2089" s="5">
        <v>1</v>
      </c>
      <c r="I2089" s="5" t="str">
        <f>VLOOKUP(F2089,'Set up'!$A$2:$C$48,3,FALSE)</f>
        <v>Cash</v>
      </c>
      <c r="J2089" s="5">
        <f>VLOOKUP(F2089,'Set up'!$A$2:$D$48,4,FALSE)</f>
        <v>0</v>
      </c>
      <c r="K2089" s="4">
        <f t="shared" si="707"/>
        <v>45178</v>
      </c>
      <c r="L2089" s="5">
        <f t="shared" si="708"/>
        <v>9</v>
      </c>
      <c r="M2089" s="5">
        <f t="shared" si="709"/>
        <v>2023</v>
      </c>
      <c r="N2089" s="96">
        <v>1000</v>
      </c>
      <c r="P2089" s="6">
        <f t="shared" si="703"/>
        <v>1000</v>
      </c>
      <c r="Q2089" s="7">
        <f t="shared" si="710"/>
        <v>3583764.5500000017</v>
      </c>
      <c r="R2089" s="44" t="str">
        <f>VLOOKUP(F2089,'Set up'!$A$2:$E$48,5,FALSE)</f>
        <v>Trsf</v>
      </c>
    </row>
    <row r="2090" spans="1:19" ht="15" hidden="1" customHeight="1" x14ac:dyDescent="0.3">
      <c r="A2090" s="4">
        <v>45178</v>
      </c>
      <c r="B2090" s="5">
        <f t="shared" si="705"/>
        <v>9</v>
      </c>
      <c r="C2090" s="5">
        <f t="shared" si="706"/>
        <v>2023</v>
      </c>
      <c r="D2090" s="88" t="s">
        <v>1894</v>
      </c>
      <c r="E2090" s="5" t="str">
        <f>VLOOKUP(F2090,'Set up'!$A$2:$C$48,2,FALSE)</f>
        <v>C00000040</v>
      </c>
      <c r="F2090" s="1" t="s">
        <v>1703</v>
      </c>
      <c r="G2090" s="99" t="s">
        <v>1119</v>
      </c>
      <c r="H2090" s="5">
        <v>1</v>
      </c>
      <c r="I2090" s="5" t="str">
        <f>VLOOKUP(F2090,'Set up'!$A$2:$C$48,3,FALSE)</f>
        <v>Cash</v>
      </c>
      <c r="J2090" s="5">
        <f>VLOOKUP(F2090,'Set up'!$A$2:$D$48,4,FALSE)</f>
        <v>0</v>
      </c>
      <c r="K2090" s="4">
        <f t="shared" si="707"/>
        <v>45178</v>
      </c>
      <c r="L2090" s="5">
        <f t="shared" si="708"/>
        <v>9</v>
      </c>
      <c r="M2090" s="5">
        <f t="shared" si="709"/>
        <v>2023</v>
      </c>
      <c r="N2090" s="96">
        <v>48</v>
      </c>
      <c r="O2090" s="6">
        <f t="shared" ref="O2090:O2093" si="714">-N2090</f>
        <v>-48</v>
      </c>
      <c r="P2090" s="6">
        <f t="shared" si="703"/>
        <v>0</v>
      </c>
      <c r="Q2090" s="7">
        <f t="shared" si="710"/>
        <v>3583812.5500000017</v>
      </c>
      <c r="R2090" s="44" t="str">
        <f>VLOOKUP(F2090,'Set up'!$A$2:$E$48,5,FALSE)</f>
        <v>Cash</v>
      </c>
      <c r="S2090" s="1" t="s">
        <v>1979</v>
      </c>
    </row>
    <row r="2091" spans="1:19" ht="15" hidden="1" customHeight="1" x14ac:dyDescent="0.3">
      <c r="A2091" s="4">
        <v>45180</v>
      </c>
      <c r="B2091" s="5">
        <f t="shared" si="705"/>
        <v>9</v>
      </c>
      <c r="C2091" s="5">
        <f t="shared" si="706"/>
        <v>2023</v>
      </c>
      <c r="D2091" s="88" t="s">
        <v>1897</v>
      </c>
      <c r="E2091" s="5" t="str">
        <f>VLOOKUP(F2091,'Set up'!$A$2:$C$48,2,FALSE)</f>
        <v>C00000041</v>
      </c>
      <c r="F2091" s="1" t="s">
        <v>1705</v>
      </c>
      <c r="G2091" s="99" t="s">
        <v>1895</v>
      </c>
      <c r="H2091" s="5">
        <v>1</v>
      </c>
      <c r="I2091" s="5" t="str">
        <f>VLOOKUP(F2091,'Set up'!$A$2:$C$48,3,FALSE)</f>
        <v>Cash</v>
      </c>
      <c r="J2091" s="5">
        <f>VLOOKUP(F2091,'Set up'!$A$2:$D$48,4,FALSE)</f>
        <v>0</v>
      </c>
      <c r="K2091" s="4">
        <f t="shared" si="707"/>
        <v>45180</v>
      </c>
      <c r="L2091" s="5">
        <f t="shared" si="708"/>
        <v>9</v>
      </c>
      <c r="M2091" s="5">
        <f t="shared" si="709"/>
        <v>2023</v>
      </c>
      <c r="N2091" s="96">
        <v>1738</v>
      </c>
      <c r="O2091" s="6">
        <f t="shared" si="714"/>
        <v>-1738</v>
      </c>
      <c r="P2091" s="6">
        <f t="shared" si="703"/>
        <v>0</v>
      </c>
      <c r="Q2091" s="7">
        <f t="shared" si="710"/>
        <v>3585550.5500000017</v>
      </c>
      <c r="R2091" s="44" t="str">
        <f>VLOOKUP(F2091,'Set up'!$A$2:$E$48,5,FALSE)</f>
        <v>Trsf</v>
      </c>
      <c r="S2091" s="1" t="s">
        <v>1978</v>
      </c>
    </row>
    <row r="2092" spans="1:19" ht="15" hidden="1" customHeight="1" x14ac:dyDescent="0.3">
      <c r="A2092" s="4">
        <v>45180</v>
      </c>
      <c r="B2092" s="5">
        <f t="shared" si="705"/>
        <v>9</v>
      </c>
      <c r="C2092" s="5">
        <f t="shared" si="706"/>
        <v>2023</v>
      </c>
      <c r="D2092" s="88" t="s">
        <v>1897</v>
      </c>
      <c r="E2092" s="5" t="str">
        <f>VLOOKUP(F2092,'Set up'!$A$2:$C$48,2,FALSE)</f>
        <v>C00000041</v>
      </c>
      <c r="F2092" s="1" t="s">
        <v>1705</v>
      </c>
      <c r="G2092" s="99" t="s">
        <v>1896</v>
      </c>
      <c r="H2092" s="5">
        <v>1</v>
      </c>
      <c r="I2092" s="5" t="str">
        <f>VLOOKUP(F2092,'Set up'!$A$2:$C$48,3,FALSE)</f>
        <v>Cash</v>
      </c>
      <c r="J2092" s="5">
        <f>VLOOKUP(F2092,'Set up'!$A$2:$D$48,4,FALSE)</f>
        <v>0</v>
      </c>
      <c r="K2092" s="4">
        <f t="shared" si="707"/>
        <v>45180</v>
      </c>
      <c r="L2092" s="5">
        <f t="shared" si="708"/>
        <v>9</v>
      </c>
      <c r="M2092" s="5">
        <f t="shared" si="709"/>
        <v>2023</v>
      </c>
      <c r="N2092" s="96">
        <v>48</v>
      </c>
      <c r="O2092" s="6">
        <f t="shared" si="714"/>
        <v>-48</v>
      </c>
      <c r="P2092" s="6">
        <f t="shared" si="703"/>
        <v>0</v>
      </c>
      <c r="Q2092" s="7">
        <f t="shared" si="710"/>
        <v>3585598.5500000017</v>
      </c>
      <c r="R2092" s="44" t="str">
        <f>VLOOKUP(F2092,'Set up'!$A$2:$E$48,5,FALSE)</f>
        <v>Trsf</v>
      </c>
      <c r="S2092" s="1" t="s">
        <v>1978</v>
      </c>
    </row>
    <row r="2093" spans="1:19" ht="15" hidden="1" customHeight="1" x14ac:dyDescent="0.3">
      <c r="A2093" s="4">
        <v>45180</v>
      </c>
      <c r="B2093" s="5">
        <f t="shared" si="705"/>
        <v>9</v>
      </c>
      <c r="C2093" s="5">
        <f t="shared" si="706"/>
        <v>2023</v>
      </c>
      <c r="D2093" s="88" t="s">
        <v>1897</v>
      </c>
      <c r="E2093" s="5" t="str">
        <f>VLOOKUP(F2093,'Set up'!$A$2:$C$48,2,FALSE)</f>
        <v>C00000041</v>
      </c>
      <c r="F2093" s="1" t="s">
        <v>1705</v>
      </c>
      <c r="G2093" s="99" t="s">
        <v>865</v>
      </c>
      <c r="H2093" s="5">
        <v>2</v>
      </c>
      <c r="I2093" s="5" t="str">
        <f>VLOOKUP(F2093,'Set up'!$A$2:$C$48,3,FALSE)</f>
        <v>Cash</v>
      </c>
      <c r="J2093" s="5">
        <f>VLOOKUP(F2093,'Set up'!$A$2:$D$48,4,FALSE)</f>
        <v>0</v>
      </c>
      <c r="K2093" s="4">
        <f t="shared" si="707"/>
        <v>45180</v>
      </c>
      <c r="L2093" s="5">
        <f t="shared" si="708"/>
        <v>9</v>
      </c>
      <c r="M2093" s="5">
        <f t="shared" si="709"/>
        <v>2023</v>
      </c>
      <c r="N2093" s="96">
        <v>340</v>
      </c>
      <c r="O2093" s="6">
        <f t="shared" si="714"/>
        <v>-340</v>
      </c>
      <c r="P2093" s="6">
        <f t="shared" si="703"/>
        <v>0</v>
      </c>
      <c r="Q2093" s="7">
        <f t="shared" si="710"/>
        <v>3585938.5500000017</v>
      </c>
      <c r="R2093" s="44" t="str">
        <f>VLOOKUP(F2093,'Set up'!$A$2:$E$48,5,FALSE)</f>
        <v>Trsf</v>
      </c>
      <c r="S2093" s="1" t="s">
        <v>1978</v>
      </c>
    </row>
    <row r="2094" spans="1:19" ht="15" hidden="1" customHeight="1" x14ac:dyDescent="0.3">
      <c r="A2094" s="4">
        <v>45181</v>
      </c>
      <c r="B2094" s="5">
        <f t="shared" si="705"/>
        <v>9</v>
      </c>
      <c r="C2094" s="5">
        <f t="shared" si="706"/>
        <v>2023</v>
      </c>
      <c r="D2094" s="88" t="s">
        <v>1898</v>
      </c>
      <c r="E2094" s="5" t="str">
        <f>VLOOKUP(F2094,'Set up'!$A$2:$C$48,2,FALSE)</f>
        <v>C00000034</v>
      </c>
      <c r="F2094" s="1" t="s">
        <v>1197</v>
      </c>
      <c r="G2094" s="99" t="s">
        <v>1198</v>
      </c>
      <c r="H2094" s="5">
        <v>1</v>
      </c>
      <c r="I2094" s="5" t="str">
        <f>VLOOKUP(F2094,'Set up'!$A$2:$C$48,3,FALSE)</f>
        <v>Cash</v>
      </c>
      <c r="J2094" s="5">
        <f>VLOOKUP(F2094,'Set up'!$A$2:$D$48,4,FALSE)</f>
        <v>0</v>
      </c>
      <c r="K2094" s="4">
        <f t="shared" si="707"/>
        <v>45181</v>
      </c>
      <c r="L2094" s="5">
        <f t="shared" si="708"/>
        <v>9</v>
      </c>
      <c r="M2094" s="5">
        <f t="shared" si="709"/>
        <v>2023</v>
      </c>
      <c r="N2094" s="96">
        <v>1738</v>
      </c>
      <c r="O2094" s="6">
        <f>-6.7-1731.3</f>
        <v>-1738</v>
      </c>
      <c r="P2094" s="6">
        <f t="shared" ref="P2094:P2118" si="715">SUM(N2094+O2094)</f>
        <v>0</v>
      </c>
      <c r="Q2094" s="7">
        <f t="shared" si="710"/>
        <v>3587676.5500000017</v>
      </c>
      <c r="R2094" s="44" t="str">
        <f>VLOOKUP(F2094,'Set up'!$A$2:$E$48,5,FALSE)</f>
        <v>Trsf</v>
      </c>
      <c r="S2094" s="1" t="s">
        <v>2337</v>
      </c>
    </row>
    <row r="2095" spans="1:19" ht="15" hidden="1" customHeight="1" x14ac:dyDescent="0.3">
      <c r="A2095" s="4">
        <v>45181</v>
      </c>
      <c r="B2095" s="5">
        <f t="shared" si="705"/>
        <v>9</v>
      </c>
      <c r="C2095" s="5">
        <f t="shared" si="706"/>
        <v>2023</v>
      </c>
      <c r="D2095" s="88" t="s">
        <v>1898</v>
      </c>
      <c r="E2095" s="5" t="str">
        <f>VLOOKUP(F2095,'Set up'!$A$2:$C$48,2,FALSE)</f>
        <v>C00000034</v>
      </c>
      <c r="F2095" s="1" t="s">
        <v>1197</v>
      </c>
      <c r="G2095" s="99" t="s">
        <v>1432</v>
      </c>
      <c r="H2095" s="5">
        <v>1</v>
      </c>
      <c r="I2095" s="5" t="str">
        <f>VLOOKUP(F2095,'Set up'!$A$2:$C$48,3,FALSE)</f>
        <v>Cash</v>
      </c>
      <c r="J2095" s="5">
        <f>VLOOKUP(F2095,'Set up'!$A$2:$D$48,4,FALSE)</f>
        <v>0</v>
      </c>
      <c r="K2095" s="4">
        <f t="shared" si="707"/>
        <v>45181</v>
      </c>
      <c r="L2095" s="5">
        <f t="shared" si="708"/>
        <v>9</v>
      </c>
      <c r="M2095" s="5">
        <f t="shared" si="709"/>
        <v>2023</v>
      </c>
      <c r="N2095" s="96">
        <v>219</v>
      </c>
      <c r="O2095" s="6">
        <f t="shared" ref="O2095" si="716">-N2095</f>
        <v>-219</v>
      </c>
      <c r="P2095" s="6">
        <f t="shared" si="715"/>
        <v>0</v>
      </c>
      <c r="Q2095" s="7">
        <f t="shared" si="710"/>
        <v>3587895.5500000017</v>
      </c>
      <c r="R2095" s="44" t="str">
        <f>VLOOKUP(F2095,'Set up'!$A$2:$E$48,5,FALSE)</f>
        <v>Trsf</v>
      </c>
      <c r="S2095" s="1" t="s">
        <v>2338</v>
      </c>
    </row>
    <row r="2096" spans="1:19" ht="15" hidden="1" customHeight="1" x14ac:dyDescent="0.3">
      <c r="A2096" s="4">
        <v>45181</v>
      </c>
      <c r="B2096" s="5">
        <f t="shared" si="705"/>
        <v>9</v>
      </c>
      <c r="C2096" s="5">
        <f t="shared" si="706"/>
        <v>2023</v>
      </c>
      <c r="D2096" s="88" t="s">
        <v>1898</v>
      </c>
      <c r="E2096" s="5" t="str">
        <f>VLOOKUP(F2096,'Set up'!$A$2:$C$48,2,FALSE)</f>
        <v>C00000034</v>
      </c>
      <c r="F2096" s="1" t="s">
        <v>1197</v>
      </c>
      <c r="G2096" s="99" t="s">
        <v>1797</v>
      </c>
      <c r="H2096" s="5">
        <v>2</v>
      </c>
      <c r="I2096" s="5" t="str">
        <f>VLOOKUP(F2096,'Set up'!$A$2:$C$48,3,FALSE)</f>
        <v>Cash</v>
      </c>
      <c r="J2096" s="5">
        <f>VLOOKUP(F2096,'Set up'!$A$2:$D$48,4,FALSE)</f>
        <v>0</v>
      </c>
      <c r="K2096" s="4">
        <f t="shared" si="707"/>
        <v>45181</v>
      </c>
      <c r="L2096" s="5">
        <f t="shared" si="708"/>
        <v>9</v>
      </c>
      <c r="M2096" s="5">
        <f t="shared" si="709"/>
        <v>2023</v>
      </c>
      <c r="N2096" s="96">
        <v>438</v>
      </c>
      <c r="O2096" s="6">
        <f>-49.7</f>
        <v>-49.7</v>
      </c>
      <c r="P2096" s="6">
        <f t="shared" si="715"/>
        <v>388.3</v>
      </c>
      <c r="Q2096" s="7">
        <f t="shared" si="710"/>
        <v>3588333.5500000017</v>
      </c>
      <c r="R2096" s="44" t="str">
        <f>VLOOKUP(F2096,'Set up'!$A$2:$E$48,5,FALSE)</f>
        <v>Trsf</v>
      </c>
      <c r="S2096" s="1" t="s">
        <v>2339</v>
      </c>
    </row>
    <row r="2097" spans="1:19" ht="15" hidden="1" customHeight="1" x14ac:dyDescent="0.3">
      <c r="A2097" s="4">
        <v>45181</v>
      </c>
      <c r="B2097" s="5">
        <f t="shared" si="705"/>
        <v>9</v>
      </c>
      <c r="C2097" s="5">
        <f t="shared" si="706"/>
        <v>2023</v>
      </c>
      <c r="D2097" s="88" t="s">
        <v>1898</v>
      </c>
      <c r="E2097" s="5" t="str">
        <f>VLOOKUP(F2097,'Set up'!$A$2:$C$48,2,FALSE)</f>
        <v>C00000034</v>
      </c>
      <c r="F2097" s="1" t="s">
        <v>1197</v>
      </c>
      <c r="G2097" s="99" t="s">
        <v>1818</v>
      </c>
      <c r="H2097" s="5">
        <v>1</v>
      </c>
      <c r="I2097" s="5" t="str">
        <f>VLOOKUP(F2097,'Set up'!$A$2:$C$48,3,FALSE)</f>
        <v>Cash</v>
      </c>
      <c r="J2097" s="5">
        <f>VLOOKUP(F2097,'Set up'!$A$2:$D$48,4,FALSE)</f>
        <v>0</v>
      </c>
      <c r="K2097" s="4">
        <f t="shared" si="707"/>
        <v>45181</v>
      </c>
      <c r="L2097" s="5">
        <f t="shared" si="708"/>
        <v>9</v>
      </c>
      <c r="M2097" s="5">
        <f t="shared" si="709"/>
        <v>2023</v>
      </c>
      <c r="N2097" s="96">
        <v>236</v>
      </c>
      <c r="P2097" s="6">
        <f t="shared" si="715"/>
        <v>236</v>
      </c>
      <c r="Q2097" s="7">
        <f t="shared" si="710"/>
        <v>3588569.5500000017</v>
      </c>
      <c r="R2097" s="44" t="str">
        <f>VLOOKUP(F2097,'Set up'!$A$2:$E$48,5,FALSE)</f>
        <v>Trsf</v>
      </c>
    </row>
    <row r="2098" spans="1:19" ht="15" hidden="1" customHeight="1" x14ac:dyDescent="0.3">
      <c r="A2098" s="4">
        <v>45181</v>
      </c>
      <c r="B2098" s="5">
        <f t="shared" si="705"/>
        <v>9</v>
      </c>
      <c r="C2098" s="5">
        <f t="shared" si="706"/>
        <v>2023</v>
      </c>
      <c r="D2098" s="88" t="s">
        <v>1898</v>
      </c>
      <c r="E2098" s="5" t="str">
        <f>VLOOKUP(F2098,'Set up'!$A$2:$C$48,2,FALSE)</f>
        <v>C00000034</v>
      </c>
      <c r="F2098" s="1" t="s">
        <v>1197</v>
      </c>
      <c r="G2098" s="99" t="s">
        <v>1062</v>
      </c>
      <c r="H2098" s="5">
        <v>2</v>
      </c>
      <c r="I2098" s="5" t="str">
        <f>VLOOKUP(F2098,'Set up'!$A$2:$C$48,3,FALSE)</f>
        <v>Cash</v>
      </c>
      <c r="J2098" s="5">
        <f>VLOOKUP(F2098,'Set up'!$A$2:$D$48,4,FALSE)</f>
        <v>0</v>
      </c>
      <c r="K2098" s="4">
        <f t="shared" si="707"/>
        <v>45181</v>
      </c>
      <c r="L2098" s="5">
        <f t="shared" si="708"/>
        <v>9</v>
      </c>
      <c r="M2098" s="5">
        <f t="shared" si="709"/>
        <v>2023</v>
      </c>
      <c r="N2098" s="96">
        <v>190</v>
      </c>
      <c r="P2098" s="6">
        <f t="shared" si="715"/>
        <v>190</v>
      </c>
      <c r="Q2098" s="7">
        <f t="shared" si="710"/>
        <v>3588759.5500000017</v>
      </c>
      <c r="R2098" s="44" t="str">
        <f>VLOOKUP(F2098,'Set up'!$A$2:$E$48,5,FALSE)</f>
        <v>Trsf</v>
      </c>
    </row>
    <row r="2099" spans="1:19" ht="15" hidden="1" customHeight="1" x14ac:dyDescent="0.3">
      <c r="A2099" s="4">
        <v>45181</v>
      </c>
      <c r="B2099" s="5">
        <f t="shared" si="705"/>
        <v>9</v>
      </c>
      <c r="C2099" s="5">
        <f t="shared" si="706"/>
        <v>2023</v>
      </c>
      <c r="D2099" s="88" t="s">
        <v>1898</v>
      </c>
      <c r="E2099" s="5" t="str">
        <f>VLOOKUP(F2099,'Set up'!$A$2:$C$48,2,FALSE)</f>
        <v>C00000034</v>
      </c>
      <c r="F2099" s="1" t="s">
        <v>1197</v>
      </c>
      <c r="G2099" s="99" t="s">
        <v>1111</v>
      </c>
      <c r="H2099" s="5">
        <v>2</v>
      </c>
      <c r="I2099" s="5" t="str">
        <f>VLOOKUP(F2099,'Set up'!$A$2:$C$48,3,FALSE)</f>
        <v>Cash</v>
      </c>
      <c r="J2099" s="5">
        <f>VLOOKUP(F2099,'Set up'!$A$2:$D$48,4,FALSE)</f>
        <v>0</v>
      </c>
      <c r="K2099" s="4">
        <f t="shared" si="707"/>
        <v>45181</v>
      </c>
      <c r="L2099" s="5">
        <f t="shared" si="708"/>
        <v>9</v>
      </c>
      <c r="M2099" s="5">
        <f t="shared" si="709"/>
        <v>2023</v>
      </c>
      <c r="N2099" s="96">
        <v>125</v>
      </c>
      <c r="P2099" s="6">
        <f t="shared" si="715"/>
        <v>125</v>
      </c>
      <c r="Q2099" s="7">
        <f t="shared" si="710"/>
        <v>3588884.5500000017</v>
      </c>
      <c r="R2099" s="44" t="str">
        <f>VLOOKUP(F2099,'Set up'!$A$2:$E$48,5,FALSE)</f>
        <v>Trsf</v>
      </c>
    </row>
    <row r="2100" spans="1:19" ht="15" hidden="1" customHeight="1" x14ac:dyDescent="0.3">
      <c r="A2100" s="4">
        <v>45181</v>
      </c>
      <c r="B2100" s="5">
        <f t="shared" si="705"/>
        <v>9</v>
      </c>
      <c r="C2100" s="5">
        <f t="shared" si="706"/>
        <v>2023</v>
      </c>
      <c r="D2100" s="88" t="s">
        <v>1898</v>
      </c>
      <c r="E2100" s="5" t="str">
        <f>VLOOKUP(F2100,'Set up'!$A$2:$C$48,2,FALSE)</f>
        <v>C00000034</v>
      </c>
      <c r="F2100" s="1" t="s">
        <v>1197</v>
      </c>
      <c r="G2100" s="99" t="s">
        <v>1243</v>
      </c>
      <c r="H2100" s="5">
        <v>6</v>
      </c>
      <c r="I2100" s="5" t="str">
        <f>VLOOKUP(F2100,'Set up'!$A$2:$C$48,3,FALSE)</f>
        <v>Cash</v>
      </c>
      <c r="J2100" s="5">
        <f>VLOOKUP(F2100,'Set up'!$A$2:$D$48,4,FALSE)</f>
        <v>0</v>
      </c>
      <c r="K2100" s="4">
        <f t="shared" si="707"/>
        <v>45181</v>
      </c>
      <c r="L2100" s="5">
        <f t="shared" si="708"/>
        <v>9</v>
      </c>
      <c r="M2100" s="5">
        <f t="shared" si="709"/>
        <v>2023</v>
      </c>
      <c r="N2100" s="96">
        <v>834</v>
      </c>
      <c r="P2100" s="6">
        <f t="shared" si="715"/>
        <v>834</v>
      </c>
      <c r="Q2100" s="7">
        <f t="shared" si="710"/>
        <v>3589718.5500000017</v>
      </c>
      <c r="R2100" s="44" t="str">
        <f>VLOOKUP(F2100,'Set up'!$A$2:$E$48,5,FALSE)</f>
        <v>Trsf</v>
      </c>
    </row>
    <row r="2101" spans="1:19" ht="15" hidden="1" customHeight="1" x14ac:dyDescent="0.3">
      <c r="A2101" s="4">
        <v>45180</v>
      </c>
      <c r="B2101" s="5">
        <f t="shared" si="705"/>
        <v>9</v>
      </c>
      <c r="C2101" s="5">
        <f t="shared" si="706"/>
        <v>2023</v>
      </c>
      <c r="D2101" s="88" t="s">
        <v>1899</v>
      </c>
      <c r="E2101" s="5" t="str">
        <f>VLOOKUP(F2101,'Set up'!$A$2:$C$48,2,FALSE)</f>
        <v>C00000003</v>
      </c>
      <c r="F2101" s="1" t="s">
        <v>20</v>
      </c>
      <c r="G2101" s="99" t="s">
        <v>67</v>
      </c>
      <c r="H2101" s="5">
        <v>1</v>
      </c>
      <c r="I2101" s="5">
        <f>VLOOKUP(F2101,'Set up'!$A$2:$C$48,3,FALSE)</f>
        <v>45</v>
      </c>
      <c r="J2101" s="5">
        <f>VLOOKUP(F2101,'Set up'!$A$2:$D$48,4,FALSE)</f>
        <v>45</v>
      </c>
      <c r="K2101" s="4">
        <f t="shared" si="707"/>
        <v>45225</v>
      </c>
      <c r="L2101" s="5">
        <f t="shared" si="708"/>
        <v>10</v>
      </c>
      <c r="M2101" s="5">
        <f t="shared" si="709"/>
        <v>2023</v>
      </c>
      <c r="N2101" s="96">
        <v>1870</v>
      </c>
      <c r="O2101" s="6">
        <f>-N2101</f>
        <v>-1870</v>
      </c>
      <c r="P2101" s="6">
        <f t="shared" si="715"/>
        <v>0</v>
      </c>
      <c r="Q2101" s="7">
        <f t="shared" si="710"/>
        <v>3591588.5500000017</v>
      </c>
      <c r="R2101" s="44" t="str">
        <f>VLOOKUP(F2101,'Set up'!$A$2:$E$48,5,FALSE)</f>
        <v>PD Chq</v>
      </c>
      <c r="S2101" s="1" t="s">
        <v>2085</v>
      </c>
    </row>
    <row r="2102" spans="1:19" ht="15" hidden="1" customHeight="1" x14ac:dyDescent="0.3">
      <c r="A2102" s="4">
        <v>45180</v>
      </c>
      <c r="B2102" s="5">
        <f t="shared" si="705"/>
        <v>9</v>
      </c>
      <c r="C2102" s="5">
        <f t="shared" si="706"/>
        <v>2023</v>
      </c>
      <c r="D2102" s="88" t="s">
        <v>1899</v>
      </c>
      <c r="E2102" s="5" t="str">
        <f>VLOOKUP(F2102,'Set up'!$A$2:$C$48,2,FALSE)</f>
        <v>C00000003</v>
      </c>
      <c r="F2102" s="1" t="s">
        <v>20</v>
      </c>
      <c r="G2102" s="99" t="s">
        <v>17</v>
      </c>
      <c r="H2102" s="5">
        <v>2</v>
      </c>
      <c r="I2102" s="5">
        <f>VLOOKUP(F2102,'Set up'!$A$2:$C$48,3,FALSE)</f>
        <v>45</v>
      </c>
      <c r="J2102" s="5">
        <f>VLOOKUP(F2102,'Set up'!$A$2:$D$48,4,FALSE)</f>
        <v>45</v>
      </c>
      <c r="K2102" s="4">
        <f t="shared" si="707"/>
        <v>45225</v>
      </c>
      <c r="L2102" s="5">
        <f t="shared" si="708"/>
        <v>10</v>
      </c>
      <c r="M2102" s="5">
        <f t="shared" si="709"/>
        <v>2023</v>
      </c>
      <c r="N2102" s="96">
        <v>220</v>
      </c>
      <c r="O2102" s="6">
        <f>-N2102</f>
        <v>-220</v>
      </c>
      <c r="P2102" s="6">
        <f t="shared" si="715"/>
        <v>0</v>
      </c>
      <c r="Q2102" s="7">
        <f t="shared" si="710"/>
        <v>3591808.5500000017</v>
      </c>
      <c r="R2102" s="44" t="str">
        <f>VLOOKUP(F2102,'Set up'!$A$2:$E$48,5,FALSE)</f>
        <v>PD Chq</v>
      </c>
      <c r="S2102" s="1" t="s">
        <v>2086</v>
      </c>
    </row>
    <row r="2103" spans="1:19" ht="15" hidden="1" customHeight="1" x14ac:dyDescent="0.3">
      <c r="A2103" s="4">
        <v>45183</v>
      </c>
      <c r="B2103" s="5">
        <f t="shared" si="705"/>
        <v>9</v>
      </c>
      <c r="C2103" s="5">
        <f t="shared" si="706"/>
        <v>2023</v>
      </c>
      <c r="D2103" s="88" t="s">
        <v>1900</v>
      </c>
      <c r="E2103" s="5" t="str">
        <f>VLOOKUP(F2103,'Set up'!$A$2:$C$48,2,FALSE)</f>
        <v>C00000014</v>
      </c>
      <c r="F2103" s="1" t="s">
        <v>263</v>
      </c>
      <c r="G2103" s="95" t="s">
        <v>304</v>
      </c>
      <c r="H2103" s="5">
        <v>3</v>
      </c>
      <c r="I2103" s="5" t="str">
        <f>VLOOKUP(F2103,'Set up'!$A$2:$C$48,3,FALSE)</f>
        <v>Cash</v>
      </c>
      <c r="J2103" s="5">
        <f>VLOOKUP(F2103,'Set up'!$A$2:$D$48,4,FALSE)</f>
        <v>0</v>
      </c>
      <c r="K2103" s="4">
        <f t="shared" si="707"/>
        <v>45183</v>
      </c>
      <c r="L2103" s="5">
        <f t="shared" si="708"/>
        <v>9</v>
      </c>
      <c r="M2103" s="5">
        <f t="shared" si="709"/>
        <v>2023</v>
      </c>
      <c r="N2103" s="96">
        <v>5082</v>
      </c>
      <c r="O2103" s="6">
        <f t="shared" ref="O2103:O2108" si="717">-N2103</f>
        <v>-5082</v>
      </c>
      <c r="P2103" s="6">
        <f t="shared" si="715"/>
        <v>0</v>
      </c>
      <c r="Q2103" s="7">
        <f t="shared" si="710"/>
        <v>3596890.5500000017</v>
      </c>
      <c r="R2103" s="44" t="str">
        <f>VLOOKUP(F2103,'Set up'!$A$2:$E$48,5,FALSE)</f>
        <v>Cash</v>
      </c>
      <c r="S2103" s="1" t="s">
        <v>1974</v>
      </c>
    </row>
    <row r="2104" spans="1:19" ht="15" hidden="1" customHeight="1" x14ac:dyDescent="0.3">
      <c r="A2104" s="4">
        <v>45183</v>
      </c>
      <c r="B2104" s="5">
        <f t="shared" si="705"/>
        <v>9</v>
      </c>
      <c r="C2104" s="5">
        <f t="shared" si="706"/>
        <v>2023</v>
      </c>
      <c r="D2104" s="88" t="s">
        <v>1900</v>
      </c>
      <c r="E2104" s="5" t="str">
        <f>VLOOKUP(F2104,'Set up'!$A$2:$C$48,2,FALSE)</f>
        <v>C00000014</v>
      </c>
      <c r="F2104" s="1" t="s">
        <v>263</v>
      </c>
      <c r="G2104" s="90" t="s">
        <v>989</v>
      </c>
      <c r="H2104" s="5">
        <v>5</v>
      </c>
      <c r="I2104" s="5" t="str">
        <f>VLOOKUP(F2104,'Set up'!$A$2:$C$48,3,FALSE)</f>
        <v>Cash</v>
      </c>
      <c r="J2104" s="5">
        <f>VLOOKUP(F2104,'Set up'!$A$2:$D$48,4,FALSE)</f>
        <v>0</v>
      </c>
      <c r="K2104" s="4">
        <f t="shared" si="707"/>
        <v>45183</v>
      </c>
      <c r="L2104" s="5">
        <f t="shared" si="708"/>
        <v>9</v>
      </c>
      <c r="M2104" s="5">
        <f t="shared" si="709"/>
        <v>2023</v>
      </c>
      <c r="N2104" s="96">
        <v>1170</v>
      </c>
      <c r="O2104" s="6">
        <f t="shared" si="717"/>
        <v>-1170</v>
      </c>
      <c r="P2104" s="6">
        <f t="shared" si="715"/>
        <v>0</v>
      </c>
      <c r="Q2104" s="7">
        <f t="shared" si="710"/>
        <v>3598060.5500000017</v>
      </c>
      <c r="R2104" s="44" t="str">
        <f>VLOOKUP(F2104,'Set up'!$A$2:$E$48,5,FALSE)</f>
        <v>Cash</v>
      </c>
      <c r="S2104" s="1" t="s">
        <v>1974</v>
      </c>
    </row>
    <row r="2105" spans="1:19" ht="15" hidden="1" customHeight="1" x14ac:dyDescent="0.3">
      <c r="A2105" s="4">
        <v>45183</v>
      </c>
      <c r="B2105" s="5">
        <f t="shared" si="705"/>
        <v>9</v>
      </c>
      <c r="C2105" s="5">
        <f t="shared" si="706"/>
        <v>2023</v>
      </c>
      <c r="D2105" s="88" t="s">
        <v>1900</v>
      </c>
      <c r="E2105" s="5" t="str">
        <f>VLOOKUP(F2105,'Set up'!$A$2:$C$48,2,FALSE)</f>
        <v>C00000014</v>
      </c>
      <c r="F2105" s="1" t="s">
        <v>263</v>
      </c>
      <c r="G2105" s="1" t="s">
        <v>1469</v>
      </c>
      <c r="H2105" s="5">
        <v>2</v>
      </c>
      <c r="I2105" s="5" t="str">
        <f>VLOOKUP(F2105,'Set up'!$A$2:$C$48,3,FALSE)</f>
        <v>Cash</v>
      </c>
      <c r="J2105" s="5">
        <f>VLOOKUP(F2105,'Set up'!$A$2:$D$48,4,FALSE)</f>
        <v>0</v>
      </c>
      <c r="K2105" s="4">
        <f t="shared" si="707"/>
        <v>45183</v>
      </c>
      <c r="L2105" s="5">
        <f t="shared" si="708"/>
        <v>9</v>
      </c>
      <c r="M2105" s="5">
        <f t="shared" si="709"/>
        <v>2023</v>
      </c>
      <c r="N2105" s="96">
        <v>645</v>
      </c>
      <c r="O2105" s="6">
        <f t="shared" si="717"/>
        <v>-645</v>
      </c>
      <c r="P2105" s="6">
        <f t="shared" si="715"/>
        <v>0</v>
      </c>
      <c r="Q2105" s="7">
        <f t="shared" si="710"/>
        <v>3598705.5500000017</v>
      </c>
      <c r="R2105" s="44" t="str">
        <f>VLOOKUP(F2105,'Set up'!$A$2:$E$48,5,FALSE)</f>
        <v>Cash</v>
      </c>
      <c r="S2105" s="1" t="s">
        <v>1974</v>
      </c>
    </row>
    <row r="2106" spans="1:19" ht="15" hidden="1" customHeight="1" x14ac:dyDescent="0.3">
      <c r="A2106" s="4">
        <v>45183</v>
      </c>
      <c r="B2106" s="5">
        <f t="shared" si="705"/>
        <v>9</v>
      </c>
      <c r="C2106" s="5">
        <f t="shared" si="706"/>
        <v>2023</v>
      </c>
      <c r="D2106" s="88" t="s">
        <v>1900</v>
      </c>
      <c r="E2106" s="5" t="str">
        <f>VLOOKUP(F2106,'Set up'!$A$2:$C$48,2,FALSE)</f>
        <v>C00000014</v>
      </c>
      <c r="F2106" s="1" t="s">
        <v>263</v>
      </c>
      <c r="G2106" s="11" t="s">
        <v>1887</v>
      </c>
      <c r="H2106" s="5">
        <v>4</v>
      </c>
      <c r="I2106" s="5" t="str">
        <f>VLOOKUP(F2106,'Set up'!$A$2:$C$48,3,FALSE)</f>
        <v>Cash</v>
      </c>
      <c r="J2106" s="5">
        <f>VLOOKUP(F2106,'Set up'!$A$2:$D$48,4,FALSE)</f>
        <v>0</v>
      </c>
      <c r="K2106" s="4">
        <f t="shared" si="707"/>
        <v>45183</v>
      </c>
      <c r="L2106" s="5">
        <f t="shared" si="708"/>
        <v>9</v>
      </c>
      <c r="M2106" s="5">
        <f t="shared" si="709"/>
        <v>2023</v>
      </c>
      <c r="N2106" s="96">
        <v>640</v>
      </c>
      <c r="O2106" s="6">
        <f t="shared" si="717"/>
        <v>-640</v>
      </c>
      <c r="P2106" s="6">
        <f t="shared" si="715"/>
        <v>0</v>
      </c>
      <c r="Q2106" s="7">
        <f t="shared" si="710"/>
        <v>3599345.5500000017</v>
      </c>
      <c r="R2106" s="44" t="str">
        <f>VLOOKUP(F2106,'Set up'!$A$2:$E$48,5,FALSE)</f>
        <v>Cash</v>
      </c>
      <c r="S2106" s="1" t="s">
        <v>1974</v>
      </c>
    </row>
    <row r="2107" spans="1:19" ht="15" hidden="1" customHeight="1" x14ac:dyDescent="0.3">
      <c r="A2107" s="4">
        <v>45183</v>
      </c>
      <c r="B2107" s="5">
        <f t="shared" si="705"/>
        <v>9</v>
      </c>
      <c r="C2107" s="5">
        <f t="shared" si="706"/>
        <v>2023</v>
      </c>
      <c r="D2107" s="88" t="s">
        <v>1900</v>
      </c>
      <c r="E2107" s="5" t="str">
        <f>VLOOKUP(F2107,'Set up'!$A$2:$C$48,2,FALSE)</f>
        <v>C00000014</v>
      </c>
      <c r="F2107" s="1" t="s">
        <v>263</v>
      </c>
      <c r="G2107" s="90" t="s">
        <v>1716</v>
      </c>
      <c r="H2107" s="5">
        <v>2</v>
      </c>
      <c r="I2107" s="5" t="str">
        <f>VLOOKUP(F2107,'Set up'!$A$2:$C$48,3,FALSE)</f>
        <v>Cash</v>
      </c>
      <c r="J2107" s="5">
        <f>VLOOKUP(F2107,'Set up'!$A$2:$D$48,4,FALSE)</f>
        <v>0</v>
      </c>
      <c r="K2107" s="4">
        <f t="shared" si="707"/>
        <v>45183</v>
      </c>
      <c r="L2107" s="5">
        <f t="shared" si="708"/>
        <v>9</v>
      </c>
      <c r="M2107" s="5">
        <f t="shared" si="709"/>
        <v>2023</v>
      </c>
      <c r="N2107" s="96">
        <v>330</v>
      </c>
      <c r="O2107" s="6">
        <f t="shared" si="717"/>
        <v>-330</v>
      </c>
      <c r="P2107" s="6">
        <f t="shared" si="715"/>
        <v>0</v>
      </c>
      <c r="Q2107" s="7">
        <f t="shared" si="710"/>
        <v>3599675.5500000017</v>
      </c>
      <c r="R2107" s="44" t="str">
        <f>VLOOKUP(F2107,'Set up'!$A$2:$E$48,5,FALSE)</f>
        <v>Cash</v>
      </c>
      <c r="S2107" s="1" t="s">
        <v>1974</v>
      </c>
    </row>
    <row r="2108" spans="1:19" ht="15" hidden="1" customHeight="1" x14ac:dyDescent="0.3">
      <c r="A2108" s="4">
        <v>45183</v>
      </c>
      <c r="B2108" s="5">
        <f t="shared" ref="B2108:B2118" si="718">MONTH(A2108)</f>
        <v>9</v>
      </c>
      <c r="C2108" s="5">
        <f t="shared" ref="C2108:C2118" si="719">YEAR(A2108)</f>
        <v>2023</v>
      </c>
      <c r="D2108" s="88" t="s">
        <v>1900</v>
      </c>
      <c r="E2108" s="5" t="str">
        <f>VLOOKUP(F2108,'Set up'!$A$2:$C$48,2,FALSE)</f>
        <v>C00000014</v>
      </c>
      <c r="F2108" s="1" t="s">
        <v>263</v>
      </c>
      <c r="G2108" s="99" t="s">
        <v>1062</v>
      </c>
      <c r="H2108" s="5">
        <v>1</v>
      </c>
      <c r="I2108" s="5" t="str">
        <f>VLOOKUP(F2108,'Set up'!$A$2:$C$48,3,FALSE)</f>
        <v>Cash</v>
      </c>
      <c r="J2108" s="5">
        <f>VLOOKUP(F2108,'Set up'!$A$2:$D$48,4,FALSE)</f>
        <v>0</v>
      </c>
      <c r="K2108" s="4">
        <f t="shared" ref="K2108:K2118" si="720">A2108+J2108</f>
        <v>45183</v>
      </c>
      <c r="L2108" s="5">
        <f t="shared" ref="L2108:L2118" si="721">MONTH(K2108)</f>
        <v>9</v>
      </c>
      <c r="M2108" s="5">
        <f t="shared" ref="M2108:M2118" si="722">YEAR(K2108)</f>
        <v>2023</v>
      </c>
      <c r="N2108" s="96">
        <v>95</v>
      </c>
      <c r="O2108" s="6">
        <f t="shared" si="717"/>
        <v>-95</v>
      </c>
      <c r="P2108" s="6">
        <f t="shared" si="715"/>
        <v>0</v>
      </c>
      <c r="Q2108" s="7">
        <f t="shared" ref="Q2108:Q2118" si="723">SUM(Q2107+N2108)</f>
        <v>3599770.5500000017</v>
      </c>
      <c r="R2108" s="44" t="str">
        <f>VLOOKUP(F2108,'Set up'!$A$2:$E$48,5,FALSE)</f>
        <v>Cash</v>
      </c>
      <c r="S2108" s="1" t="s">
        <v>1974</v>
      </c>
    </row>
    <row r="2109" spans="1:19" ht="15" hidden="1" customHeight="1" x14ac:dyDescent="0.3">
      <c r="A2109" s="4">
        <v>45183</v>
      </c>
      <c r="B2109" s="5">
        <f t="shared" si="718"/>
        <v>9</v>
      </c>
      <c r="C2109" s="5">
        <f t="shared" si="719"/>
        <v>2023</v>
      </c>
      <c r="D2109" s="88" t="s">
        <v>1900</v>
      </c>
      <c r="E2109" s="5" t="str">
        <f>VLOOKUP(F2109,'Set up'!$A$2:$C$48,2,FALSE)</f>
        <v>C00000014</v>
      </c>
      <c r="F2109" s="1" t="s">
        <v>263</v>
      </c>
      <c r="G2109" s="99" t="s">
        <v>1111</v>
      </c>
      <c r="H2109" s="5">
        <v>2</v>
      </c>
      <c r="I2109" s="5" t="str">
        <f>VLOOKUP(F2109,'Set up'!$A$2:$C$48,3,FALSE)</f>
        <v>Cash</v>
      </c>
      <c r="J2109" s="5">
        <f>VLOOKUP(F2109,'Set up'!$A$2:$D$48,4,FALSE)</f>
        <v>0</v>
      </c>
      <c r="K2109" s="4">
        <f t="shared" si="720"/>
        <v>45183</v>
      </c>
      <c r="L2109" s="5">
        <f t="shared" si="721"/>
        <v>9</v>
      </c>
      <c r="M2109" s="5">
        <f t="shared" si="722"/>
        <v>2023</v>
      </c>
      <c r="N2109" s="96">
        <v>125</v>
      </c>
      <c r="O2109" s="6">
        <f t="shared" ref="O2109" si="724">-N2109</f>
        <v>-125</v>
      </c>
      <c r="P2109" s="6">
        <f t="shared" si="715"/>
        <v>0</v>
      </c>
      <c r="Q2109" s="7">
        <f t="shared" si="723"/>
        <v>3599895.5500000017</v>
      </c>
      <c r="R2109" s="44" t="str">
        <f>VLOOKUP(F2109,'Set up'!$A$2:$E$48,5,FALSE)</f>
        <v>Cash</v>
      </c>
      <c r="S2109" s="1" t="s">
        <v>1974</v>
      </c>
    </row>
    <row r="2110" spans="1:19" ht="15" customHeight="1" x14ac:dyDescent="0.3">
      <c r="A2110" s="4">
        <v>45182</v>
      </c>
      <c r="B2110" s="5">
        <f t="shared" si="718"/>
        <v>9</v>
      </c>
      <c r="C2110" s="5">
        <f t="shared" si="719"/>
        <v>2023</v>
      </c>
      <c r="D2110" s="88" t="s">
        <v>1901</v>
      </c>
      <c r="E2110" s="5" t="str">
        <f>VLOOKUP(F2110,'Set up'!$A$2:$C$48,2,FALSE)</f>
        <v>C00000020</v>
      </c>
      <c r="F2110" s="1" t="s">
        <v>410</v>
      </c>
      <c r="G2110" s="99" t="s">
        <v>1111</v>
      </c>
      <c r="H2110" s="5">
        <v>2</v>
      </c>
      <c r="I2110" s="5" t="str">
        <f>VLOOKUP(F2110,'Set up'!$A$2:$C$48,3,FALSE)</f>
        <v>Cash</v>
      </c>
      <c r="J2110" s="5">
        <f>VLOOKUP(F2110,'Set up'!$A$2:$D$48,4,FALSE)</f>
        <v>0</v>
      </c>
      <c r="K2110" s="4">
        <f t="shared" si="720"/>
        <v>45182</v>
      </c>
      <c r="L2110" s="5">
        <f t="shared" si="721"/>
        <v>9</v>
      </c>
      <c r="M2110" s="5">
        <f t="shared" si="722"/>
        <v>2023</v>
      </c>
      <c r="N2110" s="96">
        <v>125</v>
      </c>
      <c r="P2110" s="6">
        <f t="shared" si="715"/>
        <v>125</v>
      </c>
      <c r="Q2110" s="7">
        <f t="shared" si="723"/>
        <v>3600020.5500000017</v>
      </c>
      <c r="R2110" s="44" t="str">
        <f>VLOOKUP(F2110,'Set up'!$A$2:$E$48,5,FALSE)</f>
        <v>Trsf</v>
      </c>
    </row>
    <row r="2111" spans="1:19" ht="15" customHeight="1" x14ac:dyDescent="0.3">
      <c r="A2111" s="4">
        <v>45182</v>
      </c>
      <c r="B2111" s="5">
        <f t="shared" si="718"/>
        <v>9</v>
      </c>
      <c r="C2111" s="5">
        <f t="shared" si="719"/>
        <v>2023</v>
      </c>
      <c r="D2111" s="88" t="s">
        <v>1902</v>
      </c>
      <c r="E2111" s="5" t="str">
        <f>VLOOKUP(F2111,'Set up'!$A$2:$C$48,2,FALSE)</f>
        <v>C00000020</v>
      </c>
      <c r="F2111" s="1" t="s">
        <v>410</v>
      </c>
      <c r="G2111" s="103" t="s">
        <v>1734</v>
      </c>
      <c r="H2111" s="5">
        <v>2</v>
      </c>
      <c r="I2111" s="5" t="str">
        <f>VLOOKUP(F2111,'Set up'!$A$2:$C$48,3,FALSE)</f>
        <v>Cash</v>
      </c>
      <c r="J2111" s="5">
        <f>VLOOKUP(F2111,'Set up'!$A$2:$D$48,4,FALSE)</f>
        <v>0</v>
      </c>
      <c r="K2111" s="4">
        <f t="shared" si="720"/>
        <v>45182</v>
      </c>
      <c r="L2111" s="5">
        <f t="shared" si="721"/>
        <v>9</v>
      </c>
      <c r="M2111" s="5">
        <f t="shared" si="722"/>
        <v>2023</v>
      </c>
      <c r="N2111" s="96">
        <v>3212</v>
      </c>
      <c r="P2111" s="6">
        <f t="shared" si="715"/>
        <v>3212</v>
      </c>
      <c r="Q2111" s="7">
        <f t="shared" si="723"/>
        <v>3603232.5500000017</v>
      </c>
      <c r="R2111" s="44" t="str">
        <f>VLOOKUP(F2111,'Set up'!$A$2:$E$48,5,FALSE)</f>
        <v>Trsf</v>
      </c>
    </row>
    <row r="2112" spans="1:19" ht="15" customHeight="1" x14ac:dyDescent="0.3">
      <c r="A2112" s="4">
        <v>45182</v>
      </c>
      <c r="B2112" s="5">
        <f t="shared" si="718"/>
        <v>9</v>
      </c>
      <c r="C2112" s="5">
        <f t="shared" si="719"/>
        <v>2023</v>
      </c>
      <c r="D2112" s="88" t="s">
        <v>1902</v>
      </c>
      <c r="E2112" s="5" t="str">
        <f>VLOOKUP(F2112,'Set up'!$A$2:$C$48,2,FALSE)</f>
        <v>C00000020</v>
      </c>
      <c r="F2112" s="1" t="s">
        <v>410</v>
      </c>
      <c r="G2112" s="90" t="s">
        <v>914</v>
      </c>
      <c r="H2112" s="5">
        <v>6</v>
      </c>
      <c r="I2112" s="5" t="str">
        <f>VLOOKUP(F2112,'Set up'!$A$2:$C$48,3,FALSE)</f>
        <v>Cash</v>
      </c>
      <c r="J2112" s="5">
        <f>VLOOKUP(F2112,'Set up'!$A$2:$D$48,4,FALSE)</f>
        <v>0</v>
      </c>
      <c r="K2112" s="4">
        <f t="shared" si="720"/>
        <v>45182</v>
      </c>
      <c r="L2112" s="5">
        <f t="shared" si="721"/>
        <v>9</v>
      </c>
      <c r="M2112" s="5">
        <f t="shared" si="722"/>
        <v>2023</v>
      </c>
      <c r="N2112" s="96">
        <v>1134</v>
      </c>
      <c r="P2112" s="6">
        <f t="shared" si="715"/>
        <v>1134</v>
      </c>
      <c r="Q2112" s="7">
        <f t="shared" si="723"/>
        <v>3604366.5500000017</v>
      </c>
      <c r="R2112" s="44" t="str">
        <f>VLOOKUP(F2112,'Set up'!$A$2:$E$48,5,FALSE)</f>
        <v>Trsf</v>
      </c>
    </row>
    <row r="2113" spans="1:19" ht="15" customHeight="1" x14ac:dyDescent="0.3">
      <c r="A2113" s="4">
        <v>45182</v>
      </c>
      <c r="B2113" s="5">
        <f t="shared" si="718"/>
        <v>9</v>
      </c>
      <c r="C2113" s="5">
        <f t="shared" si="719"/>
        <v>2023</v>
      </c>
      <c r="D2113" s="88" t="s">
        <v>1902</v>
      </c>
      <c r="E2113" s="5" t="str">
        <f>VLOOKUP(F2113,'Set up'!$A$2:$C$48,2,FALSE)</f>
        <v>C00000020</v>
      </c>
      <c r="F2113" s="1" t="s">
        <v>410</v>
      </c>
      <c r="G2113" s="90" t="s">
        <v>779</v>
      </c>
      <c r="H2113" s="5">
        <v>3</v>
      </c>
      <c r="I2113" s="5" t="str">
        <f>VLOOKUP(F2113,'Set up'!$A$2:$C$48,3,FALSE)</f>
        <v>Cash</v>
      </c>
      <c r="J2113" s="5">
        <f>VLOOKUP(F2113,'Set up'!$A$2:$D$48,4,FALSE)</f>
        <v>0</v>
      </c>
      <c r="K2113" s="4">
        <f t="shared" si="720"/>
        <v>45182</v>
      </c>
      <c r="L2113" s="5">
        <f t="shared" si="721"/>
        <v>9</v>
      </c>
      <c r="M2113" s="5">
        <f t="shared" si="722"/>
        <v>2023</v>
      </c>
      <c r="N2113" s="96">
        <v>600</v>
      </c>
      <c r="P2113" s="6">
        <f t="shared" si="715"/>
        <v>600</v>
      </c>
      <c r="Q2113" s="7">
        <f t="shared" si="723"/>
        <v>3604966.5500000017</v>
      </c>
      <c r="R2113" s="44" t="str">
        <f>VLOOKUP(F2113,'Set up'!$A$2:$E$48,5,FALSE)</f>
        <v>Trsf</v>
      </c>
    </row>
    <row r="2114" spans="1:19" ht="15" customHeight="1" x14ac:dyDescent="0.3">
      <c r="A2114" s="4">
        <v>45182</v>
      </c>
      <c r="B2114" s="5">
        <f t="shared" si="718"/>
        <v>9</v>
      </c>
      <c r="C2114" s="5">
        <f t="shared" si="719"/>
        <v>2023</v>
      </c>
      <c r="D2114" s="88" t="s">
        <v>1902</v>
      </c>
      <c r="E2114" s="5" t="str">
        <f>VLOOKUP(F2114,'Set up'!$A$2:$C$48,2,FALSE)</f>
        <v>C00000020</v>
      </c>
      <c r="F2114" s="1" t="s">
        <v>410</v>
      </c>
      <c r="G2114" s="90" t="s">
        <v>1062</v>
      </c>
      <c r="H2114" s="5">
        <v>4</v>
      </c>
      <c r="I2114" s="5" t="str">
        <f>VLOOKUP(F2114,'Set up'!$A$2:$C$48,3,FALSE)</f>
        <v>Cash</v>
      </c>
      <c r="J2114" s="5">
        <f>VLOOKUP(F2114,'Set up'!$A$2:$D$48,4,FALSE)</f>
        <v>0</v>
      </c>
      <c r="K2114" s="4">
        <f t="shared" si="720"/>
        <v>45182</v>
      </c>
      <c r="L2114" s="5">
        <f t="shared" si="721"/>
        <v>9</v>
      </c>
      <c r="M2114" s="5">
        <f t="shared" si="722"/>
        <v>2023</v>
      </c>
      <c r="N2114" s="96">
        <v>380</v>
      </c>
      <c r="P2114" s="6">
        <f t="shared" si="715"/>
        <v>380</v>
      </c>
      <c r="Q2114" s="7">
        <f t="shared" si="723"/>
        <v>3605346.5500000017</v>
      </c>
      <c r="R2114" s="44" t="str">
        <f>VLOOKUP(F2114,'Set up'!$A$2:$E$48,5,FALSE)</f>
        <v>Trsf</v>
      </c>
    </row>
    <row r="2115" spans="1:19" ht="15" hidden="1" customHeight="1" x14ac:dyDescent="0.3">
      <c r="A2115" s="4">
        <v>45182</v>
      </c>
      <c r="B2115" s="5">
        <f t="shared" si="718"/>
        <v>9</v>
      </c>
      <c r="C2115" s="5">
        <f t="shared" si="719"/>
        <v>2023</v>
      </c>
      <c r="D2115" s="88" t="s">
        <v>1903</v>
      </c>
      <c r="E2115" s="5" t="str">
        <f>VLOOKUP(F2115,'Set up'!$A$2:$C$48,2,FALSE)</f>
        <v>C00000019</v>
      </c>
      <c r="F2115" s="1" t="s">
        <v>401</v>
      </c>
      <c r="G2115" s="99" t="s">
        <v>1469</v>
      </c>
      <c r="H2115" s="5">
        <v>1</v>
      </c>
      <c r="I2115" s="5" t="str">
        <f>VLOOKUP(F2115,'Set up'!$A$2:$C$48,3,FALSE)</f>
        <v>Cash</v>
      </c>
      <c r="J2115" s="5">
        <f>VLOOKUP(F2115,'Set up'!$A$2:$D$48,4,FALSE)</f>
        <v>0</v>
      </c>
      <c r="K2115" s="4">
        <f t="shared" si="720"/>
        <v>45182</v>
      </c>
      <c r="L2115" s="5">
        <f t="shared" si="721"/>
        <v>9</v>
      </c>
      <c r="M2115" s="5">
        <f t="shared" si="722"/>
        <v>2023</v>
      </c>
      <c r="N2115" s="96">
        <v>322.5</v>
      </c>
      <c r="P2115" s="6">
        <f t="shared" si="715"/>
        <v>322.5</v>
      </c>
      <c r="Q2115" s="7">
        <f t="shared" si="723"/>
        <v>3605669.0500000017</v>
      </c>
      <c r="R2115" s="44" t="str">
        <f>VLOOKUP(F2115,'Set up'!$A$2:$E$48,5,FALSE)</f>
        <v>Trsf</v>
      </c>
    </row>
    <row r="2116" spans="1:19" ht="15" customHeight="1" x14ac:dyDescent="0.3">
      <c r="A2116" s="4">
        <v>45184</v>
      </c>
      <c r="B2116" s="5">
        <f t="shared" si="718"/>
        <v>9</v>
      </c>
      <c r="C2116" s="5">
        <f t="shared" si="719"/>
        <v>2023</v>
      </c>
      <c r="D2116" s="88" t="s">
        <v>1904</v>
      </c>
      <c r="E2116" s="5" t="str">
        <f>VLOOKUP(F2116,'Set up'!$A$2:$C$48,2,FALSE)</f>
        <v>C00000020</v>
      </c>
      <c r="F2116" s="1" t="s">
        <v>410</v>
      </c>
      <c r="G2116" s="103" t="s">
        <v>1111</v>
      </c>
      <c r="H2116" s="5">
        <v>2</v>
      </c>
      <c r="I2116" s="5" t="str">
        <f>VLOOKUP(F2116,'Set up'!$A$2:$C$48,3,FALSE)</f>
        <v>Cash</v>
      </c>
      <c r="J2116" s="5">
        <f>VLOOKUP(F2116,'Set up'!$A$2:$D$48,4,FALSE)</f>
        <v>0</v>
      </c>
      <c r="K2116" s="4">
        <f t="shared" si="720"/>
        <v>45184</v>
      </c>
      <c r="L2116" s="5">
        <f t="shared" si="721"/>
        <v>9</v>
      </c>
      <c r="M2116" s="5">
        <f t="shared" si="722"/>
        <v>2023</v>
      </c>
      <c r="N2116" s="96">
        <v>125</v>
      </c>
      <c r="P2116" s="6">
        <f t="shared" si="715"/>
        <v>125</v>
      </c>
      <c r="Q2116" s="7">
        <f t="shared" si="723"/>
        <v>3605794.0500000017</v>
      </c>
      <c r="R2116" s="44" t="str">
        <f>VLOOKUP(F2116,'Set up'!$A$2:$E$48,5,FALSE)</f>
        <v>Trsf</v>
      </c>
    </row>
    <row r="2117" spans="1:19" ht="15" customHeight="1" x14ac:dyDescent="0.3">
      <c r="A2117" s="4">
        <v>45184</v>
      </c>
      <c r="B2117" s="5">
        <f t="shared" si="718"/>
        <v>9</v>
      </c>
      <c r="C2117" s="5">
        <f t="shared" si="719"/>
        <v>2023</v>
      </c>
      <c r="D2117" s="88" t="s">
        <v>1905</v>
      </c>
      <c r="E2117" s="5" t="str">
        <f>VLOOKUP(F2117,'Set up'!$A$2:$C$48,2,FALSE)</f>
        <v>C00000020</v>
      </c>
      <c r="F2117" s="1" t="s">
        <v>410</v>
      </c>
      <c r="G2117" s="103" t="s">
        <v>1734</v>
      </c>
      <c r="H2117" s="5">
        <v>2</v>
      </c>
      <c r="I2117" s="5" t="str">
        <f>VLOOKUP(F2117,'Set up'!$A$2:$C$48,3,FALSE)</f>
        <v>Cash</v>
      </c>
      <c r="J2117" s="5">
        <f>VLOOKUP(F2117,'Set up'!$A$2:$D$48,4,FALSE)</f>
        <v>0</v>
      </c>
      <c r="K2117" s="4">
        <f t="shared" si="720"/>
        <v>45184</v>
      </c>
      <c r="L2117" s="5">
        <f t="shared" si="721"/>
        <v>9</v>
      </c>
      <c r="M2117" s="5">
        <f t="shared" si="722"/>
        <v>2023</v>
      </c>
      <c r="N2117" s="96">
        <v>3212</v>
      </c>
      <c r="P2117" s="6">
        <f t="shared" si="715"/>
        <v>3212</v>
      </c>
      <c r="Q2117" s="7">
        <f t="shared" si="723"/>
        <v>3609006.0500000017</v>
      </c>
      <c r="R2117" s="44" t="str">
        <f>VLOOKUP(F2117,'Set up'!$A$2:$E$48,5,FALSE)</f>
        <v>Trsf</v>
      </c>
    </row>
    <row r="2118" spans="1:19" ht="15" customHeight="1" x14ac:dyDescent="0.3">
      <c r="A2118" s="4">
        <v>45184</v>
      </c>
      <c r="B2118" s="5">
        <f t="shared" si="718"/>
        <v>9</v>
      </c>
      <c r="C2118" s="5">
        <f t="shared" si="719"/>
        <v>2023</v>
      </c>
      <c r="D2118" s="88" t="s">
        <v>1905</v>
      </c>
      <c r="E2118" s="5" t="str">
        <f>VLOOKUP(F2118,'Set up'!$A$2:$C$48,2,FALSE)</f>
        <v>C00000020</v>
      </c>
      <c r="F2118" s="1" t="s">
        <v>410</v>
      </c>
      <c r="G2118" s="90" t="s">
        <v>914</v>
      </c>
      <c r="H2118" s="5">
        <v>10</v>
      </c>
      <c r="I2118" s="5" t="str">
        <f>VLOOKUP(F2118,'Set up'!$A$2:$C$48,3,FALSE)</f>
        <v>Cash</v>
      </c>
      <c r="J2118" s="5">
        <f>VLOOKUP(F2118,'Set up'!$A$2:$D$48,4,FALSE)</f>
        <v>0</v>
      </c>
      <c r="K2118" s="4">
        <f t="shared" si="720"/>
        <v>45184</v>
      </c>
      <c r="L2118" s="5">
        <f t="shared" si="721"/>
        <v>9</v>
      </c>
      <c r="M2118" s="5">
        <f t="shared" si="722"/>
        <v>2023</v>
      </c>
      <c r="N2118" s="96">
        <v>1890</v>
      </c>
      <c r="P2118" s="6">
        <f t="shared" si="715"/>
        <v>1890</v>
      </c>
      <c r="Q2118" s="7">
        <f t="shared" si="723"/>
        <v>3610896.0500000017</v>
      </c>
      <c r="R2118" s="44" t="str">
        <f>VLOOKUP(F2118,'Set up'!$A$2:$E$48,5,FALSE)</f>
        <v>Trsf</v>
      </c>
    </row>
    <row r="2119" spans="1:19" ht="15" customHeight="1" x14ac:dyDescent="0.3">
      <c r="A2119" s="4">
        <v>45184</v>
      </c>
      <c r="B2119" s="5">
        <f t="shared" ref="B2119:B2139" si="725">MONTH(A2119)</f>
        <v>9</v>
      </c>
      <c r="C2119" s="5">
        <f t="shared" ref="C2119:C2139" si="726">YEAR(A2119)</f>
        <v>2023</v>
      </c>
      <c r="D2119" s="88" t="s">
        <v>1905</v>
      </c>
      <c r="E2119" s="5" t="str">
        <f>VLOOKUP(F2119,'Set up'!$A$2:$C$48,2,FALSE)</f>
        <v>C00000020</v>
      </c>
      <c r="F2119" s="1" t="s">
        <v>410</v>
      </c>
      <c r="G2119" s="90" t="s">
        <v>779</v>
      </c>
      <c r="H2119" s="5">
        <v>2</v>
      </c>
      <c r="I2119" s="5" t="str">
        <f>VLOOKUP(F2119,'Set up'!$A$2:$C$48,3,FALSE)</f>
        <v>Cash</v>
      </c>
      <c r="J2119" s="5">
        <f>VLOOKUP(F2119,'Set up'!$A$2:$D$48,4,FALSE)</f>
        <v>0</v>
      </c>
      <c r="K2119" s="4">
        <f t="shared" ref="K2119:K2139" si="727">A2119+J2119</f>
        <v>45184</v>
      </c>
      <c r="L2119" s="5">
        <f t="shared" ref="L2119:L2139" si="728">MONTH(K2119)</f>
        <v>9</v>
      </c>
      <c r="M2119" s="5">
        <f t="shared" ref="M2119:M2139" si="729">YEAR(K2119)</f>
        <v>2023</v>
      </c>
      <c r="N2119" s="96">
        <v>400</v>
      </c>
      <c r="P2119" s="6">
        <f t="shared" ref="P2119:P2139" si="730">SUM(N2119+O2119)</f>
        <v>400</v>
      </c>
      <c r="Q2119" s="7">
        <f t="shared" ref="Q2119:Q2139" si="731">SUM(Q2118+N2119)</f>
        <v>3611296.0500000017</v>
      </c>
      <c r="R2119" s="44" t="str">
        <f>VLOOKUP(F2119,'Set up'!$A$2:$E$48,5,FALSE)</f>
        <v>Trsf</v>
      </c>
    </row>
    <row r="2120" spans="1:19" ht="15" hidden="1" customHeight="1" x14ac:dyDescent="0.3">
      <c r="A2120" s="4">
        <v>45187</v>
      </c>
      <c r="B2120" s="5">
        <f t="shared" si="725"/>
        <v>9</v>
      </c>
      <c r="C2120" s="5">
        <f t="shared" si="726"/>
        <v>2023</v>
      </c>
      <c r="D2120" s="88" t="s">
        <v>1906</v>
      </c>
      <c r="E2120" s="5" t="str">
        <f>VLOOKUP(F2120,'Set up'!$A$2:$C$48,2,FALSE)</f>
        <v>C00000022</v>
      </c>
      <c r="F2120" s="1" t="s">
        <v>638</v>
      </c>
      <c r="G2120" s="99" t="s">
        <v>95</v>
      </c>
      <c r="H2120" s="5">
        <v>1</v>
      </c>
      <c r="I2120" s="5" t="str">
        <f>VLOOKUP(F2120,'Set up'!$A$2:$C$48,3,FALSE)</f>
        <v>Cash</v>
      </c>
      <c r="J2120" s="5">
        <f>VLOOKUP(F2120,'Set up'!$A$2:$D$48,4,FALSE)</f>
        <v>0</v>
      </c>
      <c r="K2120" s="4">
        <f t="shared" si="727"/>
        <v>45187</v>
      </c>
      <c r="L2120" s="5">
        <f t="shared" si="728"/>
        <v>9</v>
      </c>
      <c r="M2120" s="5">
        <f t="shared" si="729"/>
        <v>2023</v>
      </c>
      <c r="N2120" s="96">
        <v>1738</v>
      </c>
      <c r="O2120" s="6">
        <f t="shared" ref="O2120" si="732">-N2120</f>
        <v>-1738</v>
      </c>
      <c r="P2120" s="6">
        <f t="shared" si="730"/>
        <v>0</v>
      </c>
      <c r="Q2120" s="7">
        <f t="shared" si="731"/>
        <v>3613034.0500000017</v>
      </c>
      <c r="R2120" s="44" t="str">
        <f>VLOOKUP(F2120,'Set up'!$A$2:$E$48,5,FALSE)</f>
        <v>Trsf</v>
      </c>
      <c r="S2120" s="1" t="s">
        <v>2322</v>
      </c>
    </row>
    <row r="2121" spans="1:19" ht="15" hidden="1" customHeight="1" x14ac:dyDescent="0.3">
      <c r="A2121" s="4">
        <v>45187</v>
      </c>
      <c r="B2121" s="5">
        <f t="shared" si="725"/>
        <v>9</v>
      </c>
      <c r="C2121" s="5">
        <f t="shared" si="726"/>
        <v>2023</v>
      </c>
      <c r="D2121" s="88" t="s">
        <v>1906</v>
      </c>
      <c r="E2121" s="5" t="str">
        <f>VLOOKUP(F2121,'Set up'!$A$2:$C$48,2,FALSE)</f>
        <v>C00000022</v>
      </c>
      <c r="F2121" s="1" t="s">
        <v>638</v>
      </c>
      <c r="G2121" s="99" t="s">
        <v>1907</v>
      </c>
      <c r="H2121" s="5">
        <v>1</v>
      </c>
      <c r="I2121" s="5" t="str">
        <f>VLOOKUP(F2121,'Set up'!$A$2:$C$48,3,FALSE)</f>
        <v>Cash</v>
      </c>
      <c r="J2121" s="5">
        <f>VLOOKUP(F2121,'Set up'!$A$2:$D$48,4,FALSE)</f>
        <v>0</v>
      </c>
      <c r="K2121" s="4">
        <f t="shared" si="727"/>
        <v>45187</v>
      </c>
      <c r="L2121" s="5">
        <f t="shared" si="728"/>
        <v>9</v>
      </c>
      <c r="M2121" s="5">
        <f t="shared" si="729"/>
        <v>2023</v>
      </c>
      <c r="N2121" s="96">
        <v>3600</v>
      </c>
      <c r="O2121" s="6">
        <f>-1644.8</f>
        <v>-1644.8</v>
      </c>
      <c r="P2121" s="6">
        <f t="shared" si="730"/>
        <v>1955.2</v>
      </c>
      <c r="Q2121" s="7">
        <f t="shared" si="731"/>
        <v>3616634.0500000017</v>
      </c>
      <c r="R2121" s="44" t="str">
        <f>VLOOKUP(F2121,'Set up'!$A$2:$E$48,5,FALSE)</f>
        <v>Trsf</v>
      </c>
      <c r="S2121" s="1" t="s">
        <v>2323</v>
      </c>
    </row>
    <row r="2122" spans="1:19" ht="15" hidden="1" customHeight="1" x14ac:dyDescent="0.3">
      <c r="A2122" s="4">
        <v>45187</v>
      </c>
      <c r="B2122" s="5">
        <f t="shared" si="725"/>
        <v>9</v>
      </c>
      <c r="C2122" s="5">
        <f t="shared" si="726"/>
        <v>2023</v>
      </c>
      <c r="D2122" s="88" t="s">
        <v>1906</v>
      </c>
      <c r="E2122" s="5" t="str">
        <f>VLOOKUP(F2122,'Set up'!$A$2:$C$48,2,FALSE)</f>
        <v>C00000022</v>
      </c>
      <c r="F2122" s="1" t="s">
        <v>638</v>
      </c>
      <c r="G2122" s="99" t="s">
        <v>914</v>
      </c>
      <c r="H2122" s="5">
        <v>3</v>
      </c>
      <c r="I2122" s="5" t="str">
        <f>VLOOKUP(F2122,'Set up'!$A$2:$C$48,3,FALSE)</f>
        <v>Cash</v>
      </c>
      <c r="J2122" s="5">
        <f>VLOOKUP(F2122,'Set up'!$A$2:$D$48,4,FALSE)</f>
        <v>0</v>
      </c>
      <c r="K2122" s="4">
        <f t="shared" si="727"/>
        <v>45187</v>
      </c>
      <c r="L2122" s="5">
        <f t="shared" si="728"/>
        <v>9</v>
      </c>
      <c r="M2122" s="5">
        <f t="shared" si="729"/>
        <v>2023</v>
      </c>
      <c r="N2122" s="96">
        <v>702</v>
      </c>
      <c r="P2122" s="6">
        <f t="shared" si="730"/>
        <v>702</v>
      </c>
      <c r="Q2122" s="7">
        <f t="shared" si="731"/>
        <v>3617336.0500000017</v>
      </c>
      <c r="R2122" s="44" t="str">
        <f>VLOOKUP(F2122,'Set up'!$A$2:$E$48,5,FALSE)</f>
        <v>Trsf</v>
      </c>
    </row>
    <row r="2123" spans="1:19" ht="15" hidden="1" customHeight="1" x14ac:dyDescent="0.3">
      <c r="A2123" s="4">
        <v>45187</v>
      </c>
      <c r="B2123" s="5">
        <f t="shared" si="725"/>
        <v>9</v>
      </c>
      <c r="C2123" s="5">
        <f t="shared" si="726"/>
        <v>2023</v>
      </c>
      <c r="D2123" s="88" t="s">
        <v>1906</v>
      </c>
      <c r="E2123" s="5" t="str">
        <f>VLOOKUP(F2123,'Set up'!$A$2:$C$48,2,FALSE)</f>
        <v>C00000022</v>
      </c>
      <c r="F2123" s="1" t="s">
        <v>638</v>
      </c>
      <c r="G2123" s="99" t="s">
        <v>1199</v>
      </c>
      <c r="H2123" s="5">
        <v>1</v>
      </c>
      <c r="I2123" s="5" t="str">
        <f>VLOOKUP(F2123,'Set up'!$A$2:$C$48,3,FALSE)</f>
        <v>Cash</v>
      </c>
      <c r="J2123" s="5">
        <f>VLOOKUP(F2123,'Set up'!$A$2:$D$48,4,FALSE)</f>
        <v>0</v>
      </c>
      <c r="K2123" s="4">
        <f t="shared" si="727"/>
        <v>45187</v>
      </c>
      <c r="L2123" s="5">
        <f t="shared" si="728"/>
        <v>9</v>
      </c>
      <c r="M2123" s="5">
        <f t="shared" si="729"/>
        <v>2023</v>
      </c>
      <c r="N2123" s="96">
        <v>234</v>
      </c>
      <c r="P2123" s="6">
        <f t="shared" si="730"/>
        <v>234</v>
      </c>
      <c r="Q2123" s="7">
        <f t="shared" si="731"/>
        <v>3617570.0500000017</v>
      </c>
      <c r="R2123" s="44" t="str">
        <f>VLOOKUP(F2123,'Set up'!$A$2:$E$48,5,FALSE)</f>
        <v>Trsf</v>
      </c>
    </row>
    <row r="2124" spans="1:19" ht="15" hidden="1" customHeight="1" x14ac:dyDescent="0.3">
      <c r="A2124" s="4">
        <v>45187</v>
      </c>
      <c r="B2124" s="5">
        <f t="shared" si="725"/>
        <v>9</v>
      </c>
      <c r="C2124" s="5">
        <f t="shared" si="726"/>
        <v>2023</v>
      </c>
      <c r="D2124" s="88" t="s">
        <v>1906</v>
      </c>
      <c r="E2124" s="5" t="str">
        <f>VLOOKUP(F2124,'Set up'!$A$2:$C$48,2,FALSE)</f>
        <v>C00000022</v>
      </c>
      <c r="F2124" s="1" t="s">
        <v>638</v>
      </c>
      <c r="G2124" s="99" t="s">
        <v>1908</v>
      </c>
      <c r="H2124" s="5">
        <v>1</v>
      </c>
      <c r="I2124" s="5" t="str">
        <f>VLOOKUP(F2124,'Set up'!$A$2:$C$48,3,FALSE)</f>
        <v>Cash</v>
      </c>
      <c r="J2124" s="5">
        <f>VLOOKUP(F2124,'Set up'!$A$2:$D$48,4,FALSE)</f>
        <v>0</v>
      </c>
      <c r="K2124" s="4">
        <f t="shared" si="727"/>
        <v>45187</v>
      </c>
      <c r="L2124" s="5">
        <f t="shared" si="728"/>
        <v>9</v>
      </c>
      <c r="M2124" s="5">
        <f t="shared" si="729"/>
        <v>2023</v>
      </c>
      <c r="N2124" s="96">
        <v>250</v>
      </c>
      <c r="P2124" s="6">
        <f t="shared" si="730"/>
        <v>250</v>
      </c>
      <c r="Q2124" s="7">
        <f t="shared" si="731"/>
        <v>3617820.0500000017</v>
      </c>
      <c r="R2124" s="44" t="str">
        <f>VLOOKUP(F2124,'Set up'!$A$2:$E$48,5,FALSE)</f>
        <v>Trsf</v>
      </c>
    </row>
    <row r="2125" spans="1:19" ht="15" hidden="1" customHeight="1" x14ac:dyDescent="0.3">
      <c r="A2125" s="4">
        <v>45187</v>
      </c>
      <c r="B2125" s="5">
        <f t="shared" si="725"/>
        <v>9</v>
      </c>
      <c r="C2125" s="5">
        <f t="shared" si="726"/>
        <v>2023</v>
      </c>
      <c r="D2125" s="88" t="s">
        <v>1906</v>
      </c>
      <c r="E2125" s="5" t="str">
        <f>VLOOKUP(F2125,'Set up'!$A$2:$C$48,2,FALSE)</f>
        <v>C00000022</v>
      </c>
      <c r="F2125" s="1" t="s">
        <v>638</v>
      </c>
      <c r="G2125" s="99" t="s">
        <v>1909</v>
      </c>
      <c r="H2125" s="5">
        <v>1</v>
      </c>
      <c r="I2125" s="5" t="str">
        <f>VLOOKUP(F2125,'Set up'!$A$2:$C$48,3,FALSE)</f>
        <v>Cash</v>
      </c>
      <c r="J2125" s="5">
        <f>VLOOKUP(F2125,'Set up'!$A$2:$D$48,4,FALSE)</f>
        <v>0</v>
      </c>
      <c r="K2125" s="4">
        <f t="shared" si="727"/>
        <v>45187</v>
      </c>
      <c r="L2125" s="5">
        <f t="shared" si="728"/>
        <v>9</v>
      </c>
      <c r="M2125" s="5">
        <f t="shared" si="729"/>
        <v>2023</v>
      </c>
      <c r="N2125" s="96">
        <v>175</v>
      </c>
      <c r="P2125" s="6">
        <f t="shared" si="730"/>
        <v>175</v>
      </c>
      <c r="Q2125" s="7">
        <f t="shared" si="731"/>
        <v>3617995.0500000017</v>
      </c>
      <c r="R2125" s="44" t="str">
        <f>VLOOKUP(F2125,'Set up'!$A$2:$E$48,5,FALSE)</f>
        <v>Trsf</v>
      </c>
    </row>
    <row r="2126" spans="1:19" ht="15" hidden="1" customHeight="1" x14ac:dyDescent="0.3">
      <c r="A2126" s="4">
        <v>45188</v>
      </c>
      <c r="B2126" s="5">
        <f t="shared" si="725"/>
        <v>9</v>
      </c>
      <c r="C2126" s="5">
        <f t="shared" si="726"/>
        <v>2023</v>
      </c>
      <c r="D2126" s="88" t="s">
        <v>1910</v>
      </c>
      <c r="E2126" s="5" t="str">
        <f>VLOOKUP(F2126,'Set up'!$A$2:$C$48,2,FALSE)</f>
        <v>C00000013</v>
      </c>
      <c r="F2126" s="1" t="s">
        <v>1454</v>
      </c>
      <c r="G2126" s="89" t="s">
        <v>1746</v>
      </c>
      <c r="H2126" s="5">
        <v>2</v>
      </c>
      <c r="I2126" s="5" t="str">
        <f>VLOOKUP(F2126,'Set up'!$A$2:$C$48,3,FALSE)</f>
        <v>Cash</v>
      </c>
      <c r="J2126" s="5">
        <f>VLOOKUP(F2126,'Set up'!$A$2:$D$48,4,FALSE)</f>
        <v>0</v>
      </c>
      <c r="K2126" s="4">
        <f t="shared" si="727"/>
        <v>45188</v>
      </c>
      <c r="L2126" s="5">
        <f t="shared" si="728"/>
        <v>9</v>
      </c>
      <c r="M2126" s="5">
        <f t="shared" si="729"/>
        <v>2023</v>
      </c>
      <c r="N2126" s="96">
        <v>560</v>
      </c>
      <c r="O2126" s="6">
        <f t="shared" ref="O2126" si="733">-N2126</f>
        <v>-560</v>
      </c>
      <c r="P2126" s="6">
        <f t="shared" si="730"/>
        <v>0</v>
      </c>
      <c r="Q2126" s="7">
        <f t="shared" si="731"/>
        <v>3618555.0500000017</v>
      </c>
      <c r="R2126" s="44" t="str">
        <f>VLOOKUP(F2126,'Set up'!$A$2:$E$48,5,FALSE)</f>
        <v>Chq</v>
      </c>
      <c r="S2126" s="1" t="s">
        <v>1982</v>
      </c>
    </row>
    <row r="2127" spans="1:19" ht="15" customHeight="1" x14ac:dyDescent="0.3">
      <c r="A2127" s="4">
        <v>45189</v>
      </c>
      <c r="B2127" s="5">
        <f t="shared" si="725"/>
        <v>9</v>
      </c>
      <c r="C2127" s="5">
        <f t="shared" si="726"/>
        <v>2023</v>
      </c>
      <c r="D2127" s="88" t="s">
        <v>1911</v>
      </c>
      <c r="E2127" s="5" t="str">
        <f>VLOOKUP(F2127,'Set up'!$A$2:$C$48,2,FALSE)</f>
        <v>C00000020</v>
      </c>
      <c r="F2127" s="1" t="s">
        <v>410</v>
      </c>
      <c r="G2127" s="99" t="s">
        <v>1111</v>
      </c>
      <c r="H2127" s="5">
        <v>2</v>
      </c>
      <c r="I2127" s="5" t="str">
        <f>VLOOKUP(F2127,'Set up'!$A$2:$C$48,3,FALSE)</f>
        <v>Cash</v>
      </c>
      <c r="J2127" s="5">
        <f>VLOOKUP(F2127,'Set up'!$A$2:$D$48,4,FALSE)</f>
        <v>0</v>
      </c>
      <c r="K2127" s="4">
        <f t="shared" si="727"/>
        <v>45189</v>
      </c>
      <c r="L2127" s="5">
        <f t="shared" si="728"/>
        <v>9</v>
      </c>
      <c r="M2127" s="5">
        <f t="shared" si="729"/>
        <v>2023</v>
      </c>
      <c r="N2127" s="96">
        <v>125</v>
      </c>
      <c r="P2127" s="6">
        <f t="shared" si="730"/>
        <v>125</v>
      </c>
      <c r="Q2127" s="7">
        <f t="shared" si="731"/>
        <v>3618680.0500000017</v>
      </c>
      <c r="R2127" s="44" t="str">
        <f>VLOOKUP(F2127,'Set up'!$A$2:$E$48,5,FALSE)</f>
        <v>Trsf</v>
      </c>
    </row>
    <row r="2128" spans="1:19" ht="15" customHeight="1" x14ac:dyDescent="0.3">
      <c r="A2128" s="4">
        <v>45189</v>
      </c>
      <c r="B2128" s="5">
        <f t="shared" si="725"/>
        <v>9</v>
      </c>
      <c r="C2128" s="5">
        <f t="shared" si="726"/>
        <v>2023</v>
      </c>
      <c r="D2128" s="88" t="s">
        <v>1912</v>
      </c>
      <c r="E2128" s="5" t="str">
        <f>VLOOKUP(F2128,'Set up'!$A$2:$C$48,2,FALSE)</f>
        <v>C00000020</v>
      </c>
      <c r="F2128" s="1" t="s">
        <v>410</v>
      </c>
      <c r="G2128" s="99" t="s">
        <v>1734</v>
      </c>
      <c r="H2128" s="5">
        <v>2</v>
      </c>
      <c r="I2128" s="5" t="str">
        <f>VLOOKUP(F2128,'Set up'!$A$2:$C$48,3,FALSE)</f>
        <v>Cash</v>
      </c>
      <c r="J2128" s="5">
        <f>VLOOKUP(F2128,'Set up'!$A$2:$D$48,4,FALSE)</f>
        <v>0</v>
      </c>
      <c r="K2128" s="4">
        <f t="shared" si="727"/>
        <v>45189</v>
      </c>
      <c r="L2128" s="5">
        <f t="shared" si="728"/>
        <v>9</v>
      </c>
      <c r="M2128" s="5">
        <f t="shared" si="729"/>
        <v>2023</v>
      </c>
      <c r="N2128" s="96">
        <v>3212</v>
      </c>
      <c r="P2128" s="6">
        <f t="shared" si="730"/>
        <v>3212</v>
      </c>
      <c r="Q2128" s="7">
        <f t="shared" si="731"/>
        <v>3621892.0500000017</v>
      </c>
      <c r="R2128" s="44" t="str">
        <f>VLOOKUP(F2128,'Set up'!$A$2:$E$48,5,FALSE)</f>
        <v>Trsf</v>
      </c>
    </row>
    <row r="2129" spans="1:19" ht="15" customHeight="1" x14ac:dyDescent="0.3">
      <c r="A2129" s="4">
        <v>45189</v>
      </c>
      <c r="B2129" s="5">
        <f t="shared" si="725"/>
        <v>9</v>
      </c>
      <c r="C2129" s="5">
        <f t="shared" si="726"/>
        <v>2023</v>
      </c>
      <c r="D2129" s="88" t="s">
        <v>1912</v>
      </c>
      <c r="E2129" s="5" t="str">
        <f>VLOOKUP(F2129,'Set up'!$A$2:$C$48,2,FALSE)</f>
        <v>C00000020</v>
      </c>
      <c r="F2129" s="1" t="s">
        <v>410</v>
      </c>
      <c r="G2129" s="99" t="s">
        <v>914</v>
      </c>
      <c r="H2129" s="5">
        <v>6</v>
      </c>
      <c r="I2129" s="5" t="str">
        <f>VLOOKUP(F2129,'Set up'!$A$2:$C$48,3,FALSE)</f>
        <v>Cash</v>
      </c>
      <c r="J2129" s="5">
        <f>VLOOKUP(F2129,'Set up'!$A$2:$D$48,4,FALSE)</f>
        <v>0</v>
      </c>
      <c r="K2129" s="4">
        <f t="shared" si="727"/>
        <v>45189</v>
      </c>
      <c r="L2129" s="5">
        <f t="shared" si="728"/>
        <v>9</v>
      </c>
      <c r="M2129" s="5">
        <f t="shared" si="729"/>
        <v>2023</v>
      </c>
      <c r="N2129" s="96">
        <v>1134</v>
      </c>
      <c r="P2129" s="6">
        <f t="shared" si="730"/>
        <v>1134</v>
      </c>
      <c r="Q2129" s="7">
        <f t="shared" si="731"/>
        <v>3623026.0500000017</v>
      </c>
      <c r="R2129" s="44" t="str">
        <f>VLOOKUP(F2129,'Set up'!$A$2:$E$48,5,FALSE)</f>
        <v>Trsf</v>
      </c>
    </row>
    <row r="2130" spans="1:19" ht="15" customHeight="1" x14ac:dyDescent="0.3">
      <c r="A2130" s="4">
        <v>45189</v>
      </c>
      <c r="B2130" s="5">
        <f t="shared" si="725"/>
        <v>9</v>
      </c>
      <c r="C2130" s="5">
        <f t="shared" si="726"/>
        <v>2023</v>
      </c>
      <c r="D2130" s="88" t="s">
        <v>1912</v>
      </c>
      <c r="E2130" s="5" t="str">
        <f>VLOOKUP(F2130,'Set up'!$A$2:$C$48,2,FALSE)</f>
        <v>C00000020</v>
      </c>
      <c r="F2130" s="1" t="s">
        <v>410</v>
      </c>
      <c r="G2130" s="99" t="s">
        <v>779</v>
      </c>
      <c r="H2130" s="5">
        <v>3</v>
      </c>
      <c r="I2130" s="5" t="str">
        <f>VLOOKUP(F2130,'Set up'!$A$2:$C$48,3,FALSE)</f>
        <v>Cash</v>
      </c>
      <c r="J2130" s="5">
        <f>VLOOKUP(F2130,'Set up'!$A$2:$D$48,4,FALSE)</f>
        <v>0</v>
      </c>
      <c r="K2130" s="4">
        <f t="shared" si="727"/>
        <v>45189</v>
      </c>
      <c r="L2130" s="5">
        <f t="shared" si="728"/>
        <v>9</v>
      </c>
      <c r="M2130" s="5">
        <f t="shared" si="729"/>
        <v>2023</v>
      </c>
      <c r="N2130" s="96">
        <v>600</v>
      </c>
      <c r="P2130" s="6">
        <f t="shared" si="730"/>
        <v>600</v>
      </c>
      <c r="Q2130" s="7">
        <f t="shared" si="731"/>
        <v>3623626.0500000017</v>
      </c>
      <c r="R2130" s="44" t="str">
        <f>VLOOKUP(F2130,'Set up'!$A$2:$E$48,5,FALSE)</f>
        <v>Trsf</v>
      </c>
    </row>
    <row r="2131" spans="1:19" ht="15" customHeight="1" x14ac:dyDescent="0.3">
      <c r="A2131" s="4">
        <v>45189</v>
      </c>
      <c r="B2131" s="5">
        <f t="shared" si="725"/>
        <v>9</v>
      </c>
      <c r="C2131" s="5">
        <f t="shared" si="726"/>
        <v>2023</v>
      </c>
      <c r="D2131" s="88" t="s">
        <v>1912</v>
      </c>
      <c r="E2131" s="5" t="str">
        <f>VLOOKUP(F2131,'Set up'!$A$2:$C$48,2,FALSE)</f>
        <v>C00000020</v>
      </c>
      <c r="F2131" s="1" t="s">
        <v>410</v>
      </c>
      <c r="G2131" s="99" t="s">
        <v>1074</v>
      </c>
      <c r="H2131" s="5">
        <v>1</v>
      </c>
      <c r="I2131" s="5" t="str">
        <f>VLOOKUP(F2131,'Set up'!$A$2:$C$48,3,FALSE)</f>
        <v>Cash</v>
      </c>
      <c r="J2131" s="5">
        <f>VLOOKUP(F2131,'Set up'!$A$2:$D$48,4,FALSE)</f>
        <v>0</v>
      </c>
      <c r="K2131" s="4">
        <f t="shared" si="727"/>
        <v>45189</v>
      </c>
      <c r="L2131" s="5">
        <f t="shared" si="728"/>
        <v>9</v>
      </c>
      <c r="M2131" s="5">
        <f t="shared" si="729"/>
        <v>2023</v>
      </c>
      <c r="N2131" s="96">
        <v>1000</v>
      </c>
      <c r="P2131" s="6">
        <f t="shared" si="730"/>
        <v>1000</v>
      </c>
      <c r="Q2131" s="7">
        <f t="shared" si="731"/>
        <v>3624626.0500000017</v>
      </c>
      <c r="R2131" s="44" t="str">
        <f>VLOOKUP(F2131,'Set up'!$A$2:$E$48,5,FALSE)</f>
        <v>Trsf</v>
      </c>
    </row>
    <row r="2132" spans="1:19" ht="15" customHeight="1" x14ac:dyDescent="0.3">
      <c r="A2132" s="4">
        <v>45189</v>
      </c>
      <c r="B2132" s="5">
        <f t="shared" si="725"/>
        <v>9</v>
      </c>
      <c r="C2132" s="5">
        <f t="shared" si="726"/>
        <v>2023</v>
      </c>
      <c r="D2132" s="88" t="s">
        <v>1912</v>
      </c>
      <c r="E2132" s="5" t="str">
        <f>VLOOKUP(F2132,'Set up'!$A$2:$C$48,2,FALSE)</f>
        <v>C00000020</v>
      </c>
      <c r="F2132" s="1" t="s">
        <v>410</v>
      </c>
      <c r="G2132" s="99" t="s">
        <v>1062</v>
      </c>
      <c r="H2132" s="5">
        <v>4</v>
      </c>
      <c r="I2132" s="5" t="str">
        <f>VLOOKUP(F2132,'Set up'!$A$2:$C$48,3,FALSE)</f>
        <v>Cash</v>
      </c>
      <c r="J2132" s="5">
        <f>VLOOKUP(F2132,'Set up'!$A$2:$D$48,4,FALSE)</f>
        <v>0</v>
      </c>
      <c r="K2132" s="4">
        <f t="shared" si="727"/>
        <v>45189</v>
      </c>
      <c r="L2132" s="5">
        <f t="shared" si="728"/>
        <v>9</v>
      </c>
      <c r="M2132" s="5">
        <f t="shared" si="729"/>
        <v>2023</v>
      </c>
      <c r="N2132" s="96">
        <v>380</v>
      </c>
      <c r="P2132" s="6">
        <f t="shared" si="730"/>
        <v>380</v>
      </c>
      <c r="Q2132" s="7">
        <f t="shared" si="731"/>
        <v>3625006.0500000017</v>
      </c>
      <c r="R2132" s="44" t="str">
        <f>VLOOKUP(F2132,'Set up'!$A$2:$E$48,5,FALSE)</f>
        <v>Trsf</v>
      </c>
    </row>
    <row r="2133" spans="1:19" ht="15" hidden="1" customHeight="1" x14ac:dyDescent="0.3">
      <c r="A2133" s="4">
        <v>45191</v>
      </c>
      <c r="B2133" s="5">
        <f t="shared" si="725"/>
        <v>9</v>
      </c>
      <c r="C2133" s="5">
        <f t="shared" si="726"/>
        <v>2023</v>
      </c>
      <c r="D2133" s="88" t="s">
        <v>1914</v>
      </c>
      <c r="E2133" s="5" t="str">
        <f>VLOOKUP(F2133,'Set up'!$A$2:$C$48,2,FALSE)</f>
        <v>C00000037</v>
      </c>
      <c r="F2133" s="1" t="s">
        <v>1310</v>
      </c>
      <c r="G2133" s="11" t="s">
        <v>1895</v>
      </c>
      <c r="H2133" s="5">
        <v>6</v>
      </c>
      <c r="I2133" s="5">
        <f>VLOOKUP(F2133,'Set up'!$A$2:$C$48,3,FALSE)</f>
        <v>30</v>
      </c>
      <c r="J2133" s="5">
        <f>VLOOKUP(F2133,'Set up'!$A$2:$D$48,4,FALSE)</f>
        <v>30</v>
      </c>
      <c r="K2133" s="4">
        <f t="shared" si="727"/>
        <v>45221</v>
      </c>
      <c r="L2133" s="5">
        <f t="shared" si="728"/>
        <v>10</v>
      </c>
      <c r="M2133" s="5">
        <f t="shared" si="729"/>
        <v>2023</v>
      </c>
      <c r="N2133" s="96">
        <v>10428</v>
      </c>
      <c r="O2133" s="6">
        <f t="shared" ref="O2133:O2139" si="734">-N2133</f>
        <v>-10428</v>
      </c>
      <c r="P2133" s="6">
        <f t="shared" si="730"/>
        <v>0</v>
      </c>
      <c r="Q2133" s="7">
        <f t="shared" si="731"/>
        <v>3635434.0500000017</v>
      </c>
      <c r="R2133" s="44" t="str">
        <f>VLOOKUP(F2133,'Set up'!$A$2:$E$48,5,FALSE)</f>
        <v>Chq</v>
      </c>
      <c r="S2133" s="1" t="s">
        <v>2075</v>
      </c>
    </row>
    <row r="2134" spans="1:19" ht="15" hidden="1" customHeight="1" x14ac:dyDescent="0.3">
      <c r="A2134" s="4">
        <v>45191</v>
      </c>
      <c r="B2134" s="5">
        <f t="shared" si="725"/>
        <v>9</v>
      </c>
      <c r="C2134" s="5">
        <f t="shared" si="726"/>
        <v>2023</v>
      </c>
      <c r="D2134" s="88" t="s">
        <v>1914</v>
      </c>
      <c r="E2134" s="5" t="str">
        <f>VLOOKUP(F2134,'Set up'!$A$2:$C$48,2,FALSE)</f>
        <v>C00000037</v>
      </c>
      <c r="F2134" s="1" t="s">
        <v>1310</v>
      </c>
      <c r="G2134" s="11" t="s">
        <v>1913</v>
      </c>
      <c r="H2134" s="5">
        <v>7</v>
      </c>
      <c r="I2134" s="5">
        <f>VLOOKUP(F2134,'Set up'!$A$2:$C$48,3,FALSE)</f>
        <v>30</v>
      </c>
      <c r="J2134" s="5">
        <f>VLOOKUP(F2134,'Set up'!$A$2:$D$48,4,FALSE)</f>
        <v>30</v>
      </c>
      <c r="K2134" s="4">
        <f t="shared" si="727"/>
        <v>45221</v>
      </c>
      <c r="L2134" s="5">
        <f t="shared" si="728"/>
        <v>10</v>
      </c>
      <c r="M2134" s="5">
        <f t="shared" si="729"/>
        <v>2023</v>
      </c>
      <c r="N2134" s="96">
        <v>2948.4</v>
      </c>
      <c r="O2134" s="6">
        <f t="shared" si="734"/>
        <v>-2948.4</v>
      </c>
      <c r="P2134" s="6">
        <f t="shared" si="730"/>
        <v>0</v>
      </c>
      <c r="Q2134" s="7">
        <f t="shared" si="731"/>
        <v>3638382.4500000016</v>
      </c>
      <c r="R2134" s="44" t="str">
        <f>VLOOKUP(F2134,'Set up'!$A$2:$E$48,5,FALSE)</f>
        <v>Chq</v>
      </c>
      <c r="S2134" s="1" t="s">
        <v>2076</v>
      </c>
    </row>
    <row r="2135" spans="1:19" ht="15" hidden="1" customHeight="1" x14ac:dyDescent="0.3">
      <c r="A2135" s="4">
        <v>45191</v>
      </c>
      <c r="B2135" s="5">
        <f t="shared" si="725"/>
        <v>9</v>
      </c>
      <c r="C2135" s="5">
        <f t="shared" si="726"/>
        <v>2023</v>
      </c>
      <c r="D2135" s="88" t="s">
        <v>1914</v>
      </c>
      <c r="E2135" s="5" t="str">
        <f>VLOOKUP(F2135,'Set up'!$A$2:$C$48,2,FALSE)</f>
        <v>C00000037</v>
      </c>
      <c r="F2135" s="1" t="s">
        <v>1310</v>
      </c>
      <c r="G2135" s="90" t="s">
        <v>1406</v>
      </c>
      <c r="H2135" s="5">
        <v>6</v>
      </c>
      <c r="I2135" s="5">
        <f>VLOOKUP(F2135,'Set up'!$A$2:$C$48,3,FALSE)</f>
        <v>30</v>
      </c>
      <c r="J2135" s="5">
        <f>VLOOKUP(F2135,'Set up'!$A$2:$D$48,4,FALSE)</f>
        <v>30</v>
      </c>
      <c r="K2135" s="4">
        <f t="shared" si="727"/>
        <v>45221</v>
      </c>
      <c r="L2135" s="5">
        <f t="shared" si="728"/>
        <v>10</v>
      </c>
      <c r="M2135" s="5">
        <f t="shared" si="729"/>
        <v>2023</v>
      </c>
      <c r="N2135" s="96">
        <v>288</v>
      </c>
      <c r="O2135" s="6">
        <f t="shared" si="734"/>
        <v>-288</v>
      </c>
      <c r="P2135" s="6">
        <f t="shared" si="730"/>
        <v>0</v>
      </c>
      <c r="Q2135" s="7">
        <f t="shared" si="731"/>
        <v>3638670.4500000016</v>
      </c>
      <c r="R2135" s="44" t="str">
        <f>VLOOKUP(F2135,'Set up'!$A$2:$E$48,5,FALSE)</f>
        <v>Chq</v>
      </c>
      <c r="S2135" s="1" t="s">
        <v>2077</v>
      </c>
    </row>
    <row r="2136" spans="1:19" ht="15" hidden="1" customHeight="1" x14ac:dyDescent="0.3">
      <c r="A2136" s="4">
        <v>45191</v>
      </c>
      <c r="B2136" s="5">
        <f t="shared" si="725"/>
        <v>9</v>
      </c>
      <c r="C2136" s="5">
        <f t="shared" si="726"/>
        <v>2023</v>
      </c>
      <c r="D2136" s="88" t="s">
        <v>1914</v>
      </c>
      <c r="E2136" s="5" t="str">
        <f>VLOOKUP(F2136,'Set up'!$A$2:$C$48,2,FALSE)</f>
        <v>C00000037</v>
      </c>
      <c r="F2136" s="1" t="s">
        <v>1310</v>
      </c>
      <c r="G2136" s="99" t="s">
        <v>1111</v>
      </c>
      <c r="H2136" s="5">
        <v>5</v>
      </c>
      <c r="I2136" s="5">
        <f>VLOOKUP(F2136,'Set up'!$A$2:$C$48,3,FALSE)</f>
        <v>30</v>
      </c>
      <c r="J2136" s="5">
        <f>VLOOKUP(F2136,'Set up'!$A$2:$D$48,4,FALSE)</f>
        <v>30</v>
      </c>
      <c r="K2136" s="4">
        <f t="shared" si="727"/>
        <v>45221</v>
      </c>
      <c r="L2136" s="5">
        <f t="shared" si="728"/>
        <v>10</v>
      </c>
      <c r="M2136" s="5">
        <f t="shared" si="729"/>
        <v>2023</v>
      </c>
      <c r="N2136" s="96">
        <v>312.5</v>
      </c>
      <c r="O2136" s="6">
        <f t="shared" si="734"/>
        <v>-312.5</v>
      </c>
      <c r="P2136" s="6">
        <f t="shared" si="730"/>
        <v>0</v>
      </c>
      <c r="Q2136" s="7">
        <f t="shared" si="731"/>
        <v>3638982.9500000016</v>
      </c>
      <c r="R2136" s="44" t="str">
        <f>VLOOKUP(F2136,'Set up'!$A$2:$E$48,5,FALSE)</f>
        <v>Chq</v>
      </c>
      <c r="S2136" s="1" t="s">
        <v>2078</v>
      </c>
    </row>
    <row r="2137" spans="1:19" ht="15" hidden="1" customHeight="1" x14ac:dyDescent="0.3">
      <c r="A2137" s="4">
        <v>45191</v>
      </c>
      <c r="B2137" s="5">
        <f t="shared" si="725"/>
        <v>9</v>
      </c>
      <c r="C2137" s="5">
        <f t="shared" si="726"/>
        <v>2023</v>
      </c>
      <c r="D2137" s="88" t="s">
        <v>1914</v>
      </c>
      <c r="E2137" s="5" t="str">
        <f>VLOOKUP(F2137,'Set up'!$A$2:$C$48,2,FALSE)</f>
        <v>C00000037</v>
      </c>
      <c r="F2137" s="1" t="s">
        <v>1310</v>
      </c>
      <c r="G2137" s="90" t="s">
        <v>44</v>
      </c>
      <c r="H2137" s="5">
        <v>2</v>
      </c>
      <c r="I2137" s="5">
        <f>VLOOKUP(F2137,'Set up'!$A$2:$C$48,3,FALSE)</f>
        <v>30</v>
      </c>
      <c r="J2137" s="5">
        <f>VLOOKUP(F2137,'Set up'!$A$2:$D$48,4,FALSE)</f>
        <v>30</v>
      </c>
      <c r="K2137" s="4">
        <f t="shared" si="727"/>
        <v>45221</v>
      </c>
      <c r="L2137" s="5">
        <f t="shared" si="728"/>
        <v>10</v>
      </c>
      <c r="M2137" s="5">
        <f t="shared" si="729"/>
        <v>2023</v>
      </c>
      <c r="N2137" s="96">
        <v>520</v>
      </c>
      <c r="O2137" s="6">
        <f t="shared" si="734"/>
        <v>-520</v>
      </c>
      <c r="P2137" s="6">
        <f t="shared" si="730"/>
        <v>0</v>
      </c>
      <c r="Q2137" s="7">
        <f t="shared" si="731"/>
        <v>3639502.9500000016</v>
      </c>
      <c r="R2137" s="44" t="str">
        <f>VLOOKUP(F2137,'Set up'!$A$2:$E$48,5,FALSE)</f>
        <v>Chq</v>
      </c>
      <c r="S2137" s="1" t="s">
        <v>2079</v>
      </c>
    </row>
    <row r="2138" spans="1:19" ht="15" hidden="1" customHeight="1" x14ac:dyDescent="0.3">
      <c r="A2138" s="4">
        <v>45191</v>
      </c>
      <c r="B2138" s="5">
        <f t="shared" si="725"/>
        <v>9</v>
      </c>
      <c r="C2138" s="5">
        <f t="shared" si="726"/>
        <v>2023</v>
      </c>
      <c r="D2138" s="88" t="s">
        <v>1914</v>
      </c>
      <c r="E2138" s="5" t="str">
        <f>VLOOKUP(F2138,'Set up'!$A$2:$C$48,2,FALSE)</f>
        <v>C00000037</v>
      </c>
      <c r="F2138" s="1" t="s">
        <v>1310</v>
      </c>
      <c r="G2138" s="99" t="s">
        <v>1547</v>
      </c>
      <c r="H2138" s="5">
        <v>1</v>
      </c>
      <c r="I2138" s="5">
        <f>VLOOKUP(F2138,'Set up'!$A$2:$C$48,3,FALSE)</f>
        <v>30</v>
      </c>
      <c r="J2138" s="5">
        <f>VLOOKUP(F2138,'Set up'!$A$2:$D$48,4,FALSE)</f>
        <v>30</v>
      </c>
      <c r="K2138" s="4">
        <f t="shared" si="727"/>
        <v>45221</v>
      </c>
      <c r="L2138" s="5">
        <f t="shared" si="728"/>
        <v>10</v>
      </c>
      <c r="M2138" s="5">
        <f t="shared" si="729"/>
        <v>2023</v>
      </c>
      <c r="N2138" s="96">
        <v>930</v>
      </c>
      <c r="O2138" s="6">
        <f t="shared" si="734"/>
        <v>-930</v>
      </c>
      <c r="P2138" s="6">
        <f t="shared" si="730"/>
        <v>0</v>
      </c>
      <c r="Q2138" s="7">
        <f t="shared" si="731"/>
        <v>3640432.9500000016</v>
      </c>
      <c r="R2138" s="44" t="str">
        <f>VLOOKUP(F2138,'Set up'!$A$2:$E$48,5,FALSE)</f>
        <v>Chq</v>
      </c>
      <c r="S2138" s="1" t="s">
        <v>2080</v>
      </c>
    </row>
    <row r="2139" spans="1:19" ht="15" hidden="1" customHeight="1" x14ac:dyDescent="0.3">
      <c r="A2139" s="4">
        <v>45191</v>
      </c>
      <c r="B2139" s="5">
        <f t="shared" si="725"/>
        <v>9</v>
      </c>
      <c r="C2139" s="5">
        <f t="shared" si="726"/>
        <v>2023</v>
      </c>
      <c r="D2139" s="88" t="s">
        <v>1914</v>
      </c>
      <c r="E2139" s="5" t="str">
        <f>VLOOKUP(F2139,'Set up'!$A$2:$C$48,2,FALSE)</f>
        <v>C00000037</v>
      </c>
      <c r="F2139" s="1" t="s">
        <v>1310</v>
      </c>
      <c r="G2139" s="99" t="s">
        <v>1062</v>
      </c>
      <c r="H2139" s="5">
        <v>2</v>
      </c>
      <c r="I2139" s="5">
        <f>VLOOKUP(F2139,'Set up'!$A$2:$C$48,3,FALSE)</f>
        <v>30</v>
      </c>
      <c r="J2139" s="5">
        <f>VLOOKUP(F2139,'Set up'!$A$2:$D$48,4,FALSE)</f>
        <v>30</v>
      </c>
      <c r="K2139" s="4">
        <f t="shared" si="727"/>
        <v>45221</v>
      </c>
      <c r="L2139" s="5">
        <f t="shared" si="728"/>
        <v>10</v>
      </c>
      <c r="M2139" s="5">
        <f t="shared" si="729"/>
        <v>2023</v>
      </c>
      <c r="N2139" s="96">
        <v>190</v>
      </c>
      <c r="O2139" s="6">
        <f t="shared" si="734"/>
        <v>-190</v>
      </c>
      <c r="P2139" s="6">
        <f t="shared" si="730"/>
        <v>0</v>
      </c>
      <c r="Q2139" s="7">
        <f t="shared" si="731"/>
        <v>3640622.9500000016</v>
      </c>
      <c r="R2139" s="44" t="str">
        <f>VLOOKUP(F2139,'Set up'!$A$2:$E$48,5,FALSE)</f>
        <v>Chq</v>
      </c>
      <c r="S2139" s="1" t="s">
        <v>2081</v>
      </c>
    </row>
    <row r="2140" spans="1:19" ht="15" hidden="1" customHeight="1" x14ac:dyDescent="0.3">
      <c r="A2140" s="4" t="s">
        <v>1916</v>
      </c>
      <c r="B2140" s="5">
        <f t="shared" ref="B2140:B2154" si="735">MONTH(A2140)</f>
        <v>9</v>
      </c>
      <c r="C2140" s="5">
        <f t="shared" ref="C2140:C2154" si="736">YEAR(A2140)</f>
        <v>2023</v>
      </c>
      <c r="D2140" s="88" t="s">
        <v>1915</v>
      </c>
      <c r="E2140" s="5" t="str">
        <f>VLOOKUP(F2140,'Set up'!$A$2:$C$48,2,FALSE)</f>
        <v>C00000014</v>
      </c>
      <c r="F2140" s="1" t="s">
        <v>263</v>
      </c>
      <c r="G2140" s="99" t="s">
        <v>304</v>
      </c>
      <c r="H2140" s="5">
        <v>2</v>
      </c>
      <c r="I2140" s="5" t="str">
        <f>VLOOKUP(F2140,'Set up'!$A$2:$C$48,3,FALSE)</f>
        <v>Cash</v>
      </c>
      <c r="J2140" s="5">
        <f>VLOOKUP(F2140,'Set up'!$A$2:$D$48,4,FALSE)</f>
        <v>0</v>
      </c>
      <c r="K2140" s="4">
        <f t="shared" ref="K2140:K2154" si="737">A2140+J2140</f>
        <v>45191</v>
      </c>
      <c r="L2140" s="5">
        <f t="shared" ref="L2140:L2154" si="738">MONTH(K2140)</f>
        <v>9</v>
      </c>
      <c r="M2140" s="5">
        <f t="shared" ref="M2140:M2154" si="739">YEAR(K2140)</f>
        <v>2023</v>
      </c>
      <c r="N2140" s="96">
        <v>3388</v>
      </c>
      <c r="O2140" s="6">
        <f t="shared" ref="O2140:O2146" si="740">-N2140</f>
        <v>-3388</v>
      </c>
      <c r="P2140" s="6">
        <f t="shared" ref="P2140:P2154" si="741">SUM(N2140+O2140)</f>
        <v>0</v>
      </c>
      <c r="Q2140" s="7">
        <f t="shared" ref="Q2140:Q2154" si="742">SUM(Q2139+N2140)</f>
        <v>3644010.9500000016</v>
      </c>
      <c r="R2140" s="44" t="str">
        <f>VLOOKUP(F2140,'Set up'!$A$2:$E$48,5,FALSE)</f>
        <v>Cash</v>
      </c>
      <c r="S2140" s="1" t="s">
        <v>1975</v>
      </c>
    </row>
    <row r="2141" spans="1:19" ht="15" hidden="1" customHeight="1" x14ac:dyDescent="0.3">
      <c r="A2141" s="4" t="s">
        <v>1916</v>
      </c>
      <c r="B2141" s="5">
        <f t="shared" si="735"/>
        <v>9</v>
      </c>
      <c r="C2141" s="5">
        <f t="shared" si="736"/>
        <v>2023</v>
      </c>
      <c r="D2141" s="88" t="s">
        <v>1915</v>
      </c>
      <c r="E2141" s="5" t="str">
        <f>VLOOKUP(F2141,'Set up'!$A$2:$C$48,2,FALSE)</f>
        <v>C00000014</v>
      </c>
      <c r="F2141" s="1" t="s">
        <v>263</v>
      </c>
      <c r="G2141" s="99" t="s">
        <v>989</v>
      </c>
      <c r="H2141" s="5">
        <v>4</v>
      </c>
      <c r="I2141" s="5" t="str">
        <f>VLOOKUP(F2141,'Set up'!$A$2:$C$48,3,FALSE)</f>
        <v>Cash</v>
      </c>
      <c r="J2141" s="5">
        <f>VLOOKUP(F2141,'Set up'!$A$2:$D$48,4,FALSE)</f>
        <v>0</v>
      </c>
      <c r="K2141" s="4">
        <f t="shared" si="737"/>
        <v>45191</v>
      </c>
      <c r="L2141" s="5">
        <f t="shared" si="738"/>
        <v>9</v>
      </c>
      <c r="M2141" s="5">
        <f t="shared" si="739"/>
        <v>2023</v>
      </c>
      <c r="N2141" s="96">
        <v>936</v>
      </c>
      <c r="O2141" s="6">
        <f t="shared" si="740"/>
        <v>-936</v>
      </c>
      <c r="P2141" s="6">
        <f t="shared" si="741"/>
        <v>0</v>
      </c>
      <c r="Q2141" s="7">
        <f t="shared" si="742"/>
        <v>3644946.9500000016</v>
      </c>
      <c r="R2141" s="44" t="str">
        <f>VLOOKUP(F2141,'Set up'!$A$2:$E$48,5,FALSE)</f>
        <v>Cash</v>
      </c>
      <c r="S2141" s="1" t="s">
        <v>1975</v>
      </c>
    </row>
    <row r="2142" spans="1:19" ht="15" hidden="1" customHeight="1" x14ac:dyDescent="0.3">
      <c r="A2142" s="4" t="s">
        <v>1916</v>
      </c>
      <c r="B2142" s="5">
        <f t="shared" si="735"/>
        <v>9</v>
      </c>
      <c r="C2142" s="5">
        <f t="shared" si="736"/>
        <v>2023</v>
      </c>
      <c r="D2142" s="88" t="s">
        <v>1915</v>
      </c>
      <c r="E2142" s="5" t="str">
        <f>VLOOKUP(F2142,'Set up'!$A$2:$C$48,2,FALSE)</f>
        <v>C00000014</v>
      </c>
      <c r="F2142" s="1" t="s">
        <v>263</v>
      </c>
      <c r="G2142" s="99" t="s">
        <v>1469</v>
      </c>
      <c r="H2142" s="5">
        <v>1</v>
      </c>
      <c r="I2142" s="5" t="str">
        <f>VLOOKUP(F2142,'Set up'!$A$2:$C$48,3,FALSE)</f>
        <v>Cash</v>
      </c>
      <c r="J2142" s="5">
        <f>VLOOKUP(F2142,'Set up'!$A$2:$D$48,4,FALSE)</f>
        <v>0</v>
      </c>
      <c r="K2142" s="4">
        <f t="shared" si="737"/>
        <v>45191</v>
      </c>
      <c r="L2142" s="5">
        <f t="shared" si="738"/>
        <v>9</v>
      </c>
      <c r="M2142" s="5">
        <f t="shared" si="739"/>
        <v>2023</v>
      </c>
      <c r="N2142" s="96">
        <v>322.5</v>
      </c>
      <c r="O2142" s="6">
        <f t="shared" si="740"/>
        <v>-322.5</v>
      </c>
      <c r="P2142" s="6">
        <f t="shared" si="741"/>
        <v>0</v>
      </c>
      <c r="Q2142" s="7">
        <f t="shared" si="742"/>
        <v>3645269.4500000016</v>
      </c>
      <c r="R2142" s="44" t="str">
        <f>VLOOKUP(F2142,'Set up'!$A$2:$E$48,5,FALSE)</f>
        <v>Cash</v>
      </c>
      <c r="S2142" s="1" t="s">
        <v>1975</v>
      </c>
    </row>
    <row r="2143" spans="1:19" ht="15" hidden="1" customHeight="1" x14ac:dyDescent="0.3">
      <c r="A2143" s="4" t="s">
        <v>1916</v>
      </c>
      <c r="B2143" s="5">
        <f t="shared" si="735"/>
        <v>9</v>
      </c>
      <c r="C2143" s="5">
        <f t="shared" si="736"/>
        <v>2023</v>
      </c>
      <c r="D2143" s="88" t="s">
        <v>1915</v>
      </c>
      <c r="E2143" s="5" t="str">
        <f>VLOOKUP(F2143,'Set up'!$A$2:$C$48,2,FALSE)</f>
        <v>C00000014</v>
      </c>
      <c r="F2143" s="1" t="s">
        <v>263</v>
      </c>
      <c r="G2143" s="99" t="s">
        <v>1887</v>
      </c>
      <c r="H2143" s="5">
        <v>1</v>
      </c>
      <c r="I2143" s="5" t="str">
        <f>VLOOKUP(F2143,'Set up'!$A$2:$C$48,3,FALSE)</f>
        <v>Cash</v>
      </c>
      <c r="J2143" s="5">
        <f>VLOOKUP(F2143,'Set up'!$A$2:$D$48,4,FALSE)</f>
        <v>0</v>
      </c>
      <c r="K2143" s="4">
        <f t="shared" si="737"/>
        <v>45191</v>
      </c>
      <c r="L2143" s="5">
        <f t="shared" si="738"/>
        <v>9</v>
      </c>
      <c r="M2143" s="5">
        <f t="shared" si="739"/>
        <v>2023</v>
      </c>
      <c r="N2143" s="96">
        <v>160</v>
      </c>
      <c r="O2143" s="6">
        <f t="shared" si="740"/>
        <v>-160</v>
      </c>
      <c r="P2143" s="6">
        <f t="shared" si="741"/>
        <v>0</v>
      </c>
      <c r="Q2143" s="7">
        <f t="shared" si="742"/>
        <v>3645429.4500000016</v>
      </c>
      <c r="R2143" s="44" t="str">
        <f>VLOOKUP(F2143,'Set up'!$A$2:$E$48,5,FALSE)</f>
        <v>Cash</v>
      </c>
      <c r="S2143" s="1" t="s">
        <v>1975</v>
      </c>
    </row>
    <row r="2144" spans="1:19" ht="15" hidden="1" customHeight="1" x14ac:dyDescent="0.3">
      <c r="A2144" s="4" t="s">
        <v>1916</v>
      </c>
      <c r="B2144" s="5">
        <f t="shared" si="735"/>
        <v>9</v>
      </c>
      <c r="C2144" s="5">
        <f t="shared" si="736"/>
        <v>2023</v>
      </c>
      <c r="D2144" s="88" t="s">
        <v>1915</v>
      </c>
      <c r="E2144" s="5" t="str">
        <f>VLOOKUP(F2144,'Set up'!$A$2:$C$48,2,FALSE)</f>
        <v>C00000014</v>
      </c>
      <c r="F2144" s="1" t="s">
        <v>263</v>
      </c>
      <c r="G2144" s="99" t="s">
        <v>1716</v>
      </c>
      <c r="H2144" s="5">
        <v>1</v>
      </c>
      <c r="I2144" s="5" t="str">
        <f>VLOOKUP(F2144,'Set up'!$A$2:$C$48,3,FALSE)</f>
        <v>Cash</v>
      </c>
      <c r="J2144" s="5">
        <f>VLOOKUP(F2144,'Set up'!$A$2:$D$48,4,FALSE)</f>
        <v>0</v>
      </c>
      <c r="K2144" s="4">
        <f t="shared" si="737"/>
        <v>45191</v>
      </c>
      <c r="L2144" s="5">
        <f t="shared" si="738"/>
        <v>9</v>
      </c>
      <c r="M2144" s="5">
        <f t="shared" si="739"/>
        <v>2023</v>
      </c>
      <c r="N2144" s="96">
        <v>165</v>
      </c>
      <c r="O2144" s="6">
        <f t="shared" si="740"/>
        <v>-165</v>
      </c>
      <c r="P2144" s="6">
        <f t="shared" si="741"/>
        <v>0</v>
      </c>
      <c r="Q2144" s="7">
        <f t="shared" si="742"/>
        <v>3645594.4500000016</v>
      </c>
      <c r="R2144" s="44" t="str">
        <f>VLOOKUP(F2144,'Set up'!$A$2:$E$48,5,FALSE)</f>
        <v>Cash</v>
      </c>
      <c r="S2144" s="1" t="s">
        <v>1975</v>
      </c>
    </row>
    <row r="2145" spans="1:19" ht="15" hidden="1" customHeight="1" x14ac:dyDescent="0.3">
      <c r="A2145" s="4" t="s">
        <v>1916</v>
      </c>
      <c r="B2145" s="5">
        <f t="shared" si="735"/>
        <v>9</v>
      </c>
      <c r="C2145" s="5">
        <f t="shared" si="736"/>
        <v>2023</v>
      </c>
      <c r="D2145" s="88" t="s">
        <v>1915</v>
      </c>
      <c r="E2145" s="5" t="str">
        <f>VLOOKUP(F2145,'Set up'!$A$2:$C$48,2,FALSE)</f>
        <v>C00000014</v>
      </c>
      <c r="F2145" s="1" t="s">
        <v>263</v>
      </c>
      <c r="G2145" s="99" t="s">
        <v>17</v>
      </c>
      <c r="H2145" s="5">
        <v>1</v>
      </c>
      <c r="I2145" s="5" t="str">
        <f>VLOOKUP(F2145,'Set up'!$A$2:$C$48,3,FALSE)</f>
        <v>Cash</v>
      </c>
      <c r="J2145" s="5">
        <f>VLOOKUP(F2145,'Set up'!$A$2:$D$48,4,FALSE)</f>
        <v>0</v>
      </c>
      <c r="K2145" s="4">
        <f t="shared" si="737"/>
        <v>45191</v>
      </c>
      <c r="L2145" s="5">
        <f t="shared" si="738"/>
        <v>9</v>
      </c>
      <c r="M2145" s="5">
        <f t="shared" si="739"/>
        <v>2023</v>
      </c>
      <c r="N2145" s="96">
        <v>105</v>
      </c>
      <c r="O2145" s="6">
        <f t="shared" si="740"/>
        <v>-105</v>
      </c>
      <c r="P2145" s="6">
        <f t="shared" si="741"/>
        <v>0</v>
      </c>
      <c r="Q2145" s="7">
        <f t="shared" si="742"/>
        <v>3645699.4500000016</v>
      </c>
      <c r="R2145" s="44" t="str">
        <f>VLOOKUP(F2145,'Set up'!$A$2:$E$48,5,FALSE)</f>
        <v>Cash</v>
      </c>
      <c r="S2145" s="1" t="s">
        <v>1975</v>
      </c>
    </row>
    <row r="2146" spans="1:19" ht="15" hidden="1" customHeight="1" x14ac:dyDescent="0.3">
      <c r="A2146" s="4" t="s">
        <v>1916</v>
      </c>
      <c r="B2146" s="5">
        <f t="shared" si="735"/>
        <v>9</v>
      </c>
      <c r="C2146" s="5">
        <f t="shared" si="736"/>
        <v>2023</v>
      </c>
      <c r="D2146" s="88" t="s">
        <v>1915</v>
      </c>
      <c r="E2146" s="5" t="str">
        <f>VLOOKUP(F2146,'Set up'!$A$2:$C$48,2,FALSE)</f>
        <v>C00000014</v>
      </c>
      <c r="F2146" s="1" t="s">
        <v>263</v>
      </c>
      <c r="G2146" s="99" t="s">
        <v>1111</v>
      </c>
      <c r="H2146" s="5">
        <v>3</v>
      </c>
      <c r="I2146" s="5" t="str">
        <f>VLOOKUP(F2146,'Set up'!$A$2:$C$48,3,FALSE)</f>
        <v>Cash</v>
      </c>
      <c r="J2146" s="5">
        <f>VLOOKUP(F2146,'Set up'!$A$2:$D$48,4,FALSE)</f>
        <v>0</v>
      </c>
      <c r="K2146" s="4">
        <f t="shared" si="737"/>
        <v>45191</v>
      </c>
      <c r="L2146" s="5">
        <f t="shared" si="738"/>
        <v>9</v>
      </c>
      <c r="M2146" s="5">
        <f t="shared" si="739"/>
        <v>2023</v>
      </c>
      <c r="N2146" s="96">
        <v>187.5</v>
      </c>
      <c r="O2146" s="6">
        <f t="shared" si="740"/>
        <v>-187.5</v>
      </c>
      <c r="P2146" s="6">
        <f t="shared" si="741"/>
        <v>0</v>
      </c>
      <c r="Q2146" s="7">
        <f t="shared" si="742"/>
        <v>3645886.9500000016</v>
      </c>
      <c r="R2146" s="44" t="str">
        <f>VLOOKUP(F2146,'Set up'!$A$2:$E$48,5,FALSE)</f>
        <v>Cash</v>
      </c>
      <c r="S2146" s="1" t="s">
        <v>1975</v>
      </c>
    </row>
    <row r="2147" spans="1:19" ht="15" hidden="1" customHeight="1" x14ac:dyDescent="0.3">
      <c r="A2147" s="4">
        <v>45192</v>
      </c>
      <c r="B2147" s="5">
        <f t="shared" si="735"/>
        <v>9</v>
      </c>
      <c r="C2147" s="5">
        <f t="shared" si="736"/>
        <v>2023</v>
      </c>
      <c r="D2147" s="88" t="s">
        <v>1917</v>
      </c>
      <c r="E2147" s="5" t="str">
        <f>VLOOKUP(F2147,'Set up'!$A$2:$C$48,2,FALSE)</f>
        <v>C00000019</v>
      </c>
      <c r="F2147" s="1" t="s">
        <v>401</v>
      </c>
      <c r="G2147" s="99" t="s">
        <v>95</v>
      </c>
      <c r="H2147" s="5">
        <v>1</v>
      </c>
      <c r="I2147" s="5" t="str">
        <f>VLOOKUP(F2147,'Set up'!$A$2:$C$48,3,FALSE)</f>
        <v>Cash</v>
      </c>
      <c r="J2147" s="5">
        <f>VLOOKUP(F2147,'Set up'!$A$2:$D$48,4,FALSE)</f>
        <v>0</v>
      </c>
      <c r="K2147" s="4">
        <f t="shared" si="737"/>
        <v>45192</v>
      </c>
      <c r="L2147" s="5">
        <f t="shared" si="738"/>
        <v>9</v>
      </c>
      <c r="M2147" s="5">
        <f t="shared" si="739"/>
        <v>2023</v>
      </c>
      <c r="N2147" s="96">
        <v>1738</v>
      </c>
      <c r="P2147" s="6">
        <f t="shared" si="741"/>
        <v>1738</v>
      </c>
      <c r="Q2147" s="7">
        <f t="shared" si="742"/>
        <v>3647624.9500000016</v>
      </c>
      <c r="R2147" s="44" t="str">
        <f>VLOOKUP(F2147,'Set up'!$A$2:$E$48,5,FALSE)</f>
        <v>Trsf</v>
      </c>
    </row>
    <row r="2148" spans="1:19" ht="15" hidden="1" customHeight="1" x14ac:dyDescent="0.3">
      <c r="A2148" s="4">
        <v>45192</v>
      </c>
      <c r="B2148" s="5">
        <f t="shared" si="735"/>
        <v>9</v>
      </c>
      <c r="C2148" s="5">
        <f t="shared" si="736"/>
        <v>2023</v>
      </c>
      <c r="D2148" s="88" t="s">
        <v>1917</v>
      </c>
      <c r="E2148" s="5" t="str">
        <f>VLOOKUP(F2148,'Set up'!$A$2:$C$48,2,FALSE)</f>
        <v>C00000019</v>
      </c>
      <c r="F2148" s="1" t="s">
        <v>401</v>
      </c>
      <c r="G2148" s="99" t="s">
        <v>1470</v>
      </c>
      <c r="H2148" s="5">
        <v>1</v>
      </c>
      <c r="I2148" s="5" t="str">
        <f>VLOOKUP(F2148,'Set up'!$A$2:$C$48,3,FALSE)</f>
        <v>Cash</v>
      </c>
      <c r="J2148" s="5">
        <f>VLOOKUP(F2148,'Set up'!$A$2:$D$48,4,FALSE)</f>
        <v>0</v>
      </c>
      <c r="K2148" s="4">
        <f t="shared" si="737"/>
        <v>45192</v>
      </c>
      <c r="L2148" s="5">
        <f t="shared" si="738"/>
        <v>9</v>
      </c>
      <c r="M2148" s="5">
        <f t="shared" si="739"/>
        <v>2023</v>
      </c>
      <c r="N2148" s="96">
        <v>390</v>
      </c>
      <c r="P2148" s="6">
        <f t="shared" si="741"/>
        <v>390</v>
      </c>
      <c r="Q2148" s="7">
        <f t="shared" si="742"/>
        <v>3648014.9500000016</v>
      </c>
      <c r="R2148" s="44" t="str">
        <f>VLOOKUP(F2148,'Set up'!$A$2:$E$48,5,FALSE)</f>
        <v>Trsf</v>
      </c>
    </row>
    <row r="2149" spans="1:19" ht="15" hidden="1" customHeight="1" x14ac:dyDescent="0.3">
      <c r="A2149" s="4">
        <v>45195</v>
      </c>
      <c r="B2149" s="5">
        <f t="shared" si="735"/>
        <v>9</v>
      </c>
      <c r="C2149" s="5">
        <f t="shared" si="736"/>
        <v>2023</v>
      </c>
      <c r="D2149" s="88" t="s">
        <v>1920</v>
      </c>
      <c r="E2149" s="5" t="str">
        <f>VLOOKUP(F2149,'Set up'!$A$2:$C$48,2,FALSE)</f>
        <v>C00000034</v>
      </c>
      <c r="F2149" s="1" t="s">
        <v>1197</v>
      </c>
      <c r="G2149" s="99" t="s">
        <v>1918</v>
      </c>
      <c r="H2149" s="5">
        <v>1</v>
      </c>
      <c r="I2149" s="5" t="str">
        <f>VLOOKUP(F2149,'Set up'!$A$2:$C$48,3,FALSE)</f>
        <v>Cash</v>
      </c>
      <c r="J2149" s="5">
        <f>VLOOKUP(F2149,'Set up'!$A$2:$D$48,4,FALSE)</f>
        <v>0</v>
      </c>
      <c r="K2149" s="4">
        <f t="shared" si="737"/>
        <v>45195</v>
      </c>
      <c r="L2149" s="5">
        <f t="shared" si="738"/>
        <v>9</v>
      </c>
      <c r="M2149" s="5">
        <f t="shared" si="739"/>
        <v>2023</v>
      </c>
      <c r="N2149" s="96">
        <v>390</v>
      </c>
      <c r="P2149" s="6">
        <f t="shared" si="741"/>
        <v>390</v>
      </c>
      <c r="Q2149" s="7">
        <f t="shared" si="742"/>
        <v>3648404.9500000016</v>
      </c>
      <c r="R2149" s="44" t="str">
        <f>VLOOKUP(F2149,'Set up'!$A$2:$E$48,5,FALSE)</f>
        <v>Trsf</v>
      </c>
    </row>
    <row r="2150" spans="1:19" ht="15" hidden="1" customHeight="1" x14ac:dyDescent="0.3">
      <c r="A2150" s="4">
        <v>45195</v>
      </c>
      <c r="B2150" s="5">
        <f t="shared" si="735"/>
        <v>9</v>
      </c>
      <c r="C2150" s="5">
        <f t="shared" si="736"/>
        <v>2023</v>
      </c>
      <c r="D2150" s="88" t="s">
        <v>1920</v>
      </c>
      <c r="E2150" s="5" t="str">
        <f>VLOOKUP(F2150,'Set up'!$A$2:$C$48,2,FALSE)</f>
        <v>C00000034</v>
      </c>
      <c r="F2150" s="1" t="s">
        <v>1197</v>
      </c>
      <c r="G2150" s="99" t="s">
        <v>1797</v>
      </c>
      <c r="H2150" s="5">
        <v>1</v>
      </c>
      <c r="I2150" s="5" t="str">
        <f>VLOOKUP(F2150,'Set up'!$A$2:$C$48,3,FALSE)</f>
        <v>Cash</v>
      </c>
      <c r="J2150" s="5">
        <f>VLOOKUP(F2150,'Set up'!$A$2:$D$48,4,FALSE)</f>
        <v>0</v>
      </c>
      <c r="K2150" s="4">
        <f t="shared" si="737"/>
        <v>45195</v>
      </c>
      <c r="L2150" s="5">
        <f t="shared" si="738"/>
        <v>9</v>
      </c>
      <c r="M2150" s="5">
        <f t="shared" si="739"/>
        <v>2023</v>
      </c>
      <c r="N2150" s="96">
        <v>219</v>
      </c>
      <c r="P2150" s="6">
        <f t="shared" si="741"/>
        <v>219</v>
      </c>
      <c r="Q2150" s="7">
        <f t="shared" si="742"/>
        <v>3648623.9500000016</v>
      </c>
      <c r="R2150" s="44" t="str">
        <f>VLOOKUP(F2150,'Set up'!$A$2:$E$48,5,FALSE)</f>
        <v>Trsf</v>
      </c>
    </row>
    <row r="2151" spans="1:19" ht="15" hidden="1" customHeight="1" x14ac:dyDescent="0.3">
      <c r="A2151" s="4">
        <v>45195</v>
      </c>
      <c r="B2151" s="5">
        <f t="shared" si="735"/>
        <v>9</v>
      </c>
      <c r="C2151" s="5">
        <f t="shared" si="736"/>
        <v>2023</v>
      </c>
      <c r="D2151" s="88" t="s">
        <v>1920</v>
      </c>
      <c r="E2151" s="5" t="str">
        <f>VLOOKUP(F2151,'Set up'!$A$2:$C$48,2,FALSE)</f>
        <v>C00000034</v>
      </c>
      <c r="F2151" s="1" t="s">
        <v>1197</v>
      </c>
      <c r="G2151" s="99" t="s">
        <v>1919</v>
      </c>
      <c r="H2151" s="5">
        <v>2</v>
      </c>
      <c r="I2151" s="5" t="str">
        <f>VLOOKUP(F2151,'Set up'!$A$2:$C$48,3,FALSE)</f>
        <v>Cash</v>
      </c>
      <c r="J2151" s="5">
        <f>VLOOKUP(F2151,'Set up'!$A$2:$D$48,4,FALSE)</f>
        <v>0</v>
      </c>
      <c r="K2151" s="4">
        <f t="shared" si="737"/>
        <v>45195</v>
      </c>
      <c r="L2151" s="5">
        <f t="shared" si="738"/>
        <v>9</v>
      </c>
      <c r="M2151" s="5">
        <f t="shared" si="739"/>
        <v>2023</v>
      </c>
      <c r="N2151" s="96">
        <v>531</v>
      </c>
      <c r="P2151" s="6">
        <f t="shared" si="741"/>
        <v>531</v>
      </c>
      <c r="Q2151" s="7">
        <f t="shared" si="742"/>
        <v>3649154.9500000016</v>
      </c>
      <c r="R2151" s="44" t="str">
        <f>VLOOKUP(F2151,'Set up'!$A$2:$E$48,5,FALSE)</f>
        <v>Trsf</v>
      </c>
    </row>
    <row r="2152" spans="1:19" ht="15" hidden="1" customHeight="1" x14ac:dyDescent="0.3">
      <c r="A2152" s="4">
        <v>45195</v>
      </c>
      <c r="B2152" s="5">
        <f t="shared" si="735"/>
        <v>9</v>
      </c>
      <c r="C2152" s="5">
        <f t="shared" si="736"/>
        <v>2023</v>
      </c>
      <c r="D2152" s="88" t="s">
        <v>1920</v>
      </c>
      <c r="E2152" s="5" t="str">
        <f>VLOOKUP(F2152,'Set up'!$A$2:$C$48,2,FALSE)</f>
        <v>C00000034</v>
      </c>
      <c r="F2152" s="1" t="s">
        <v>1197</v>
      </c>
      <c r="G2152" s="99" t="s">
        <v>1062</v>
      </c>
      <c r="H2152" s="5">
        <v>1</v>
      </c>
      <c r="I2152" s="5" t="str">
        <f>VLOOKUP(F2152,'Set up'!$A$2:$C$48,3,FALSE)</f>
        <v>Cash</v>
      </c>
      <c r="J2152" s="5">
        <f>VLOOKUP(F2152,'Set up'!$A$2:$D$48,4,FALSE)</f>
        <v>0</v>
      </c>
      <c r="K2152" s="4">
        <f t="shared" si="737"/>
        <v>45195</v>
      </c>
      <c r="L2152" s="5">
        <f t="shared" si="738"/>
        <v>9</v>
      </c>
      <c r="M2152" s="5">
        <f t="shared" si="739"/>
        <v>2023</v>
      </c>
      <c r="N2152" s="96">
        <v>95</v>
      </c>
      <c r="P2152" s="6">
        <f t="shared" si="741"/>
        <v>95</v>
      </c>
      <c r="Q2152" s="7">
        <f t="shared" si="742"/>
        <v>3649249.9500000016</v>
      </c>
      <c r="R2152" s="44" t="str">
        <f>VLOOKUP(F2152,'Set up'!$A$2:$E$48,5,FALSE)</f>
        <v>Trsf</v>
      </c>
    </row>
    <row r="2153" spans="1:19" ht="15" hidden="1" customHeight="1" x14ac:dyDescent="0.3">
      <c r="A2153" s="4">
        <v>45195</v>
      </c>
      <c r="B2153" s="5">
        <f t="shared" si="735"/>
        <v>9</v>
      </c>
      <c r="C2153" s="5">
        <f t="shared" si="736"/>
        <v>2023</v>
      </c>
      <c r="D2153" s="88" t="s">
        <v>1921</v>
      </c>
      <c r="E2153" s="5" t="str">
        <f>VLOOKUP(F2153,'Set up'!$A$2:$C$48,2,FALSE)</f>
        <v>C00000019</v>
      </c>
      <c r="F2153" s="1" t="s">
        <v>401</v>
      </c>
      <c r="G2153" s="99" t="s">
        <v>945</v>
      </c>
      <c r="H2153" s="5">
        <v>1</v>
      </c>
      <c r="I2153" s="5" t="str">
        <f>VLOOKUP(F2153,'Set up'!$A$2:$C$48,3,FALSE)</f>
        <v>Cash</v>
      </c>
      <c r="J2153" s="5">
        <f>VLOOKUP(F2153,'Set up'!$A$2:$D$48,4,FALSE)</f>
        <v>0</v>
      </c>
      <c r="K2153" s="4">
        <f t="shared" si="737"/>
        <v>45195</v>
      </c>
      <c r="L2153" s="5">
        <f t="shared" si="738"/>
        <v>9</v>
      </c>
      <c r="M2153" s="5">
        <f t="shared" si="739"/>
        <v>2023</v>
      </c>
      <c r="N2153" s="96">
        <v>420</v>
      </c>
      <c r="P2153" s="6">
        <f t="shared" si="741"/>
        <v>420</v>
      </c>
      <c r="Q2153" s="7">
        <f t="shared" si="742"/>
        <v>3649669.9500000016</v>
      </c>
      <c r="R2153" s="44" t="str">
        <f>VLOOKUP(F2153,'Set up'!$A$2:$E$48,5,FALSE)</f>
        <v>Trsf</v>
      </c>
    </row>
    <row r="2154" spans="1:19" ht="15" hidden="1" customHeight="1" x14ac:dyDescent="0.3">
      <c r="A2154" s="4">
        <v>45195</v>
      </c>
      <c r="B2154" s="5">
        <f t="shared" si="735"/>
        <v>9</v>
      </c>
      <c r="C2154" s="5">
        <f t="shared" si="736"/>
        <v>2023</v>
      </c>
      <c r="D2154" s="88" t="s">
        <v>1921</v>
      </c>
      <c r="E2154" s="5" t="str">
        <f>VLOOKUP(F2154,'Set up'!$A$2:$C$48,2,FALSE)</f>
        <v>C00000019</v>
      </c>
      <c r="F2154" s="1" t="s">
        <v>401</v>
      </c>
      <c r="G2154" s="99" t="s">
        <v>1412</v>
      </c>
      <c r="H2154" s="5">
        <v>1</v>
      </c>
      <c r="I2154" s="5" t="str">
        <f>VLOOKUP(F2154,'Set up'!$A$2:$C$48,3,FALSE)</f>
        <v>Cash</v>
      </c>
      <c r="J2154" s="5">
        <f>VLOOKUP(F2154,'Set up'!$A$2:$D$48,4,FALSE)</f>
        <v>0</v>
      </c>
      <c r="K2154" s="4">
        <f t="shared" si="737"/>
        <v>45195</v>
      </c>
      <c r="L2154" s="5">
        <f t="shared" si="738"/>
        <v>9</v>
      </c>
      <c r="M2154" s="5">
        <f t="shared" si="739"/>
        <v>2023</v>
      </c>
      <c r="N2154" s="96">
        <v>421.2</v>
      </c>
      <c r="P2154" s="6">
        <f t="shared" si="741"/>
        <v>421.2</v>
      </c>
      <c r="Q2154" s="7">
        <f t="shared" si="742"/>
        <v>3650091.1500000018</v>
      </c>
      <c r="R2154" s="44" t="str">
        <f>VLOOKUP(F2154,'Set up'!$A$2:$E$48,5,FALSE)</f>
        <v>Trsf</v>
      </c>
    </row>
    <row r="2155" spans="1:19" ht="15" hidden="1" customHeight="1" x14ac:dyDescent="0.3">
      <c r="A2155" s="4">
        <v>45195</v>
      </c>
      <c r="B2155" s="5">
        <f t="shared" ref="B2155:B2167" si="743">MONTH(A2155)</f>
        <v>9</v>
      </c>
      <c r="C2155" s="5">
        <f t="shared" ref="C2155:C2167" si="744">YEAR(A2155)</f>
        <v>2023</v>
      </c>
      <c r="D2155" s="88" t="s">
        <v>1921</v>
      </c>
      <c r="E2155" s="5" t="str">
        <f>VLOOKUP(F2155,'Set up'!$A$2:$C$48,2,FALSE)</f>
        <v>C00000019</v>
      </c>
      <c r="F2155" s="1" t="s">
        <v>401</v>
      </c>
      <c r="G2155" s="99" t="s">
        <v>792</v>
      </c>
      <c r="H2155" s="5">
        <v>4</v>
      </c>
      <c r="I2155" s="5" t="str">
        <f>VLOOKUP(F2155,'Set up'!$A$2:$C$48,3,FALSE)</f>
        <v>Cash</v>
      </c>
      <c r="J2155" s="5">
        <f>VLOOKUP(F2155,'Set up'!$A$2:$D$48,4,FALSE)</f>
        <v>0</v>
      </c>
      <c r="K2155" s="4">
        <f t="shared" ref="K2155:K2167" si="745">A2155+J2155</f>
        <v>45195</v>
      </c>
      <c r="L2155" s="5">
        <f t="shared" ref="L2155:L2167" si="746">MONTH(K2155)</f>
        <v>9</v>
      </c>
      <c r="M2155" s="5">
        <f t="shared" ref="M2155:M2167" si="747">YEAR(K2155)</f>
        <v>2023</v>
      </c>
      <c r="N2155" s="96">
        <v>250</v>
      </c>
      <c r="P2155" s="6">
        <f t="shared" ref="P2155:P2167" si="748">SUM(N2155+O2155)</f>
        <v>250</v>
      </c>
      <c r="Q2155" s="7">
        <f t="shared" ref="Q2155:Q2167" si="749">SUM(Q2154+N2155)</f>
        <v>3650341.1500000018</v>
      </c>
      <c r="R2155" s="44" t="str">
        <f>VLOOKUP(F2155,'Set up'!$A$2:$E$48,5,FALSE)</f>
        <v>Trsf</v>
      </c>
    </row>
    <row r="2156" spans="1:19" ht="15" hidden="1" customHeight="1" x14ac:dyDescent="0.3">
      <c r="A2156" s="4">
        <v>45195</v>
      </c>
      <c r="B2156" s="5">
        <f t="shared" si="743"/>
        <v>9</v>
      </c>
      <c r="C2156" s="5">
        <f t="shared" si="744"/>
        <v>2023</v>
      </c>
      <c r="D2156" s="88" t="s">
        <v>1921</v>
      </c>
      <c r="E2156" s="5" t="str">
        <f>VLOOKUP(F2156,'Set up'!$A$2:$C$48,2,FALSE)</f>
        <v>C00000019</v>
      </c>
      <c r="F2156" s="1" t="s">
        <v>401</v>
      </c>
      <c r="G2156" s="99" t="s">
        <v>46</v>
      </c>
      <c r="H2156" s="5">
        <v>1</v>
      </c>
      <c r="I2156" s="5" t="str">
        <f>VLOOKUP(F2156,'Set up'!$A$2:$C$48,3,FALSE)</f>
        <v>Cash</v>
      </c>
      <c r="J2156" s="5">
        <f>VLOOKUP(F2156,'Set up'!$A$2:$D$48,4,FALSE)</f>
        <v>0</v>
      </c>
      <c r="K2156" s="4">
        <f t="shared" si="745"/>
        <v>45195</v>
      </c>
      <c r="L2156" s="5">
        <f t="shared" si="746"/>
        <v>9</v>
      </c>
      <c r="M2156" s="5">
        <f t="shared" si="747"/>
        <v>2023</v>
      </c>
      <c r="N2156" s="96">
        <v>105</v>
      </c>
      <c r="P2156" s="6">
        <f t="shared" si="748"/>
        <v>105</v>
      </c>
      <c r="Q2156" s="7">
        <f t="shared" si="749"/>
        <v>3650446.1500000018</v>
      </c>
      <c r="R2156" s="44" t="str">
        <f>VLOOKUP(F2156,'Set up'!$A$2:$E$48,5,FALSE)</f>
        <v>Trsf</v>
      </c>
    </row>
    <row r="2157" spans="1:19" ht="15" customHeight="1" x14ac:dyDescent="0.3">
      <c r="A2157" s="4">
        <v>45196</v>
      </c>
      <c r="B2157" s="5">
        <f t="shared" si="743"/>
        <v>9</v>
      </c>
      <c r="C2157" s="5">
        <f t="shared" si="744"/>
        <v>2023</v>
      </c>
      <c r="D2157" s="88" t="s">
        <v>1922</v>
      </c>
      <c r="E2157" s="5" t="str">
        <f>VLOOKUP(F2157,'Set up'!$A$2:$C$48,2,FALSE)</f>
        <v>C00000020</v>
      </c>
      <c r="F2157" s="1" t="s">
        <v>410</v>
      </c>
      <c r="G2157" s="103" t="s">
        <v>1111</v>
      </c>
      <c r="H2157" s="5">
        <v>8</v>
      </c>
      <c r="I2157" s="5" t="str">
        <f>VLOOKUP(F2157,'Set up'!$A$2:$C$48,3,FALSE)</f>
        <v>Cash</v>
      </c>
      <c r="J2157" s="5">
        <f>VLOOKUP(F2157,'Set up'!$A$2:$D$48,4,FALSE)</f>
        <v>0</v>
      </c>
      <c r="K2157" s="4">
        <f t="shared" si="745"/>
        <v>45196</v>
      </c>
      <c r="L2157" s="5">
        <f t="shared" si="746"/>
        <v>9</v>
      </c>
      <c r="M2157" s="5">
        <f t="shared" si="747"/>
        <v>2023</v>
      </c>
      <c r="N2157" s="96">
        <v>500</v>
      </c>
      <c r="P2157" s="6">
        <f t="shared" si="748"/>
        <v>500</v>
      </c>
      <c r="Q2157" s="7">
        <f t="shared" si="749"/>
        <v>3650946.1500000018</v>
      </c>
      <c r="R2157" s="44" t="str">
        <f>VLOOKUP(F2157,'Set up'!$A$2:$E$48,5,FALSE)</f>
        <v>Trsf</v>
      </c>
    </row>
    <row r="2158" spans="1:19" ht="15" customHeight="1" x14ac:dyDescent="0.3">
      <c r="A2158" s="4">
        <v>45196</v>
      </c>
      <c r="B2158" s="5">
        <f t="shared" si="743"/>
        <v>9</v>
      </c>
      <c r="C2158" s="5">
        <f t="shared" si="744"/>
        <v>2023</v>
      </c>
      <c r="D2158" s="88" t="s">
        <v>1924</v>
      </c>
      <c r="E2158" s="5" t="str">
        <f>VLOOKUP(F2158,'Set up'!$A$2:$C$48,2,FALSE)</f>
        <v>C00000020</v>
      </c>
      <c r="F2158" s="1" t="s">
        <v>410</v>
      </c>
      <c r="G2158" s="99" t="s">
        <v>1734</v>
      </c>
      <c r="H2158" s="5">
        <v>8</v>
      </c>
      <c r="I2158" s="5" t="str">
        <f>VLOOKUP(F2158,'Set up'!$A$2:$C$48,3,FALSE)</f>
        <v>Cash</v>
      </c>
      <c r="J2158" s="5">
        <f>VLOOKUP(F2158,'Set up'!$A$2:$D$48,4,FALSE)</f>
        <v>0</v>
      </c>
      <c r="K2158" s="4">
        <f t="shared" si="745"/>
        <v>45196</v>
      </c>
      <c r="L2158" s="5">
        <f t="shared" si="746"/>
        <v>9</v>
      </c>
      <c r="M2158" s="5">
        <f t="shared" si="747"/>
        <v>2023</v>
      </c>
      <c r="N2158" s="96">
        <v>12848</v>
      </c>
      <c r="P2158" s="6">
        <f t="shared" si="748"/>
        <v>12848</v>
      </c>
      <c r="Q2158" s="7">
        <f t="shared" si="749"/>
        <v>3663794.1500000018</v>
      </c>
      <c r="R2158" s="44" t="str">
        <f>VLOOKUP(F2158,'Set up'!$A$2:$E$48,5,FALSE)</f>
        <v>Trsf</v>
      </c>
    </row>
    <row r="2159" spans="1:19" ht="15" customHeight="1" x14ac:dyDescent="0.3">
      <c r="A2159" s="4">
        <v>45196</v>
      </c>
      <c r="B2159" s="5">
        <f t="shared" si="743"/>
        <v>9</v>
      </c>
      <c r="C2159" s="5">
        <f t="shared" si="744"/>
        <v>2023</v>
      </c>
      <c r="D2159" s="88" t="s">
        <v>1924</v>
      </c>
      <c r="E2159" s="5" t="str">
        <f>VLOOKUP(F2159,'Set up'!$A$2:$C$48,2,FALSE)</f>
        <v>C00000020</v>
      </c>
      <c r="F2159" s="1" t="s">
        <v>410</v>
      </c>
      <c r="G2159" s="99" t="s">
        <v>914</v>
      </c>
      <c r="H2159" s="5">
        <v>24</v>
      </c>
      <c r="I2159" s="5" t="str">
        <f>VLOOKUP(F2159,'Set up'!$A$2:$C$48,3,FALSE)</f>
        <v>Cash</v>
      </c>
      <c r="J2159" s="5">
        <f>VLOOKUP(F2159,'Set up'!$A$2:$D$48,4,FALSE)</f>
        <v>0</v>
      </c>
      <c r="K2159" s="4">
        <f t="shared" si="745"/>
        <v>45196</v>
      </c>
      <c r="L2159" s="5">
        <f t="shared" si="746"/>
        <v>9</v>
      </c>
      <c r="M2159" s="5">
        <f t="shared" si="747"/>
        <v>2023</v>
      </c>
      <c r="N2159" s="96">
        <v>4536</v>
      </c>
      <c r="P2159" s="6">
        <f t="shared" si="748"/>
        <v>4536</v>
      </c>
      <c r="Q2159" s="7">
        <f t="shared" si="749"/>
        <v>3668330.1500000018</v>
      </c>
      <c r="R2159" s="44" t="str">
        <f>VLOOKUP(F2159,'Set up'!$A$2:$E$48,5,FALSE)</f>
        <v>Trsf</v>
      </c>
    </row>
    <row r="2160" spans="1:19" ht="15" customHeight="1" x14ac:dyDescent="0.3">
      <c r="A2160" s="4">
        <v>45196</v>
      </c>
      <c r="B2160" s="5">
        <f t="shared" si="743"/>
        <v>9</v>
      </c>
      <c r="C2160" s="5">
        <f t="shared" si="744"/>
        <v>2023</v>
      </c>
      <c r="D2160" s="88" t="s">
        <v>1924</v>
      </c>
      <c r="E2160" s="5" t="str">
        <f>VLOOKUP(F2160,'Set up'!$A$2:$C$48,2,FALSE)</f>
        <v>C00000020</v>
      </c>
      <c r="F2160" s="1" t="s">
        <v>410</v>
      </c>
      <c r="G2160" s="99" t="s">
        <v>1923</v>
      </c>
      <c r="H2160" s="5">
        <v>12</v>
      </c>
      <c r="I2160" s="5" t="str">
        <f>VLOOKUP(F2160,'Set up'!$A$2:$C$48,3,FALSE)</f>
        <v>Cash</v>
      </c>
      <c r="J2160" s="5">
        <f>VLOOKUP(F2160,'Set up'!$A$2:$D$48,4,FALSE)</f>
        <v>0</v>
      </c>
      <c r="K2160" s="4">
        <f t="shared" si="745"/>
        <v>45196</v>
      </c>
      <c r="L2160" s="5">
        <f t="shared" si="746"/>
        <v>9</v>
      </c>
      <c r="M2160" s="5">
        <f t="shared" si="747"/>
        <v>2023</v>
      </c>
      <c r="N2160" s="96">
        <v>2808</v>
      </c>
      <c r="P2160" s="6">
        <f t="shared" si="748"/>
        <v>2808</v>
      </c>
      <c r="Q2160" s="7">
        <f t="shared" si="749"/>
        <v>3671138.1500000018</v>
      </c>
      <c r="R2160" s="44" t="str">
        <f>VLOOKUP(F2160,'Set up'!$A$2:$E$48,5,FALSE)</f>
        <v>Trsf</v>
      </c>
    </row>
    <row r="2161" spans="1:19" ht="15" customHeight="1" x14ac:dyDescent="0.3">
      <c r="A2161" s="4">
        <v>45196</v>
      </c>
      <c r="B2161" s="5">
        <f t="shared" si="743"/>
        <v>9</v>
      </c>
      <c r="C2161" s="5">
        <f t="shared" si="744"/>
        <v>2023</v>
      </c>
      <c r="D2161" s="88" t="s">
        <v>1924</v>
      </c>
      <c r="E2161" s="5" t="str">
        <f>VLOOKUP(F2161,'Set up'!$A$2:$C$48,2,FALSE)</f>
        <v>C00000020</v>
      </c>
      <c r="F2161" s="1" t="s">
        <v>410</v>
      </c>
      <c r="G2161" s="99" t="s">
        <v>1074</v>
      </c>
      <c r="H2161" s="5">
        <v>1</v>
      </c>
      <c r="I2161" s="5" t="str">
        <f>VLOOKUP(F2161,'Set up'!$A$2:$C$48,3,FALSE)</f>
        <v>Cash</v>
      </c>
      <c r="J2161" s="5">
        <f>VLOOKUP(F2161,'Set up'!$A$2:$D$48,4,FALSE)</f>
        <v>0</v>
      </c>
      <c r="K2161" s="4">
        <f t="shared" si="745"/>
        <v>45196</v>
      </c>
      <c r="L2161" s="5">
        <f t="shared" si="746"/>
        <v>9</v>
      </c>
      <c r="M2161" s="5">
        <f t="shared" si="747"/>
        <v>2023</v>
      </c>
      <c r="N2161" s="96">
        <v>1000</v>
      </c>
      <c r="P2161" s="6">
        <f t="shared" si="748"/>
        <v>1000</v>
      </c>
      <c r="Q2161" s="7">
        <f t="shared" si="749"/>
        <v>3672138.1500000018</v>
      </c>
      <c r="R2161" s="44" t="str">
        <f>VLOOKUP(F2161,'Set up'!$A$2:$E$48,5,FALSE)</f>
        <v>Trsf</v>
      </c>
    </row>
    <row r="2162" spans="1:19" ht="15" customHeight="1" x14ac:dyDescent="0.3">
      <c r="A2162" s="4">
        <v>45196</v>
      </c>
      <c r="B2162" s="5">
        <f t="shared" si="743"/>
        <v>9</v>
      </c>
      <c r="C2162" s="5">
        <f t="shared" si="744"/>
        <v>2023</v>
      </c>
      <c r="D2162" s="88" t="s">
        <v>1924</v>
      </c>
      <c r="E2162" s="5" t="str">
        <f>VLOOKUP(F2162,'Set up'!$A$2:$C$48,2,FALSE)</f>
        <v>C00000020</v>
      </c>
      <c r="F2162" s="1" t="s">
        <v>410</v>
      </c>
      <c r="G2162" s="99" t="s">
        <v>1062</v>
      </c>
      <c r="H2162" s="5">
        <v>4</v>
      </c>
      <c r="I2162" s="5" t="str">
        <f>VLOOKUP(F2162,'Set up'!$A$2:$C$48,3,FALSE)</f>
        <v>Cash</v>
      </c>
      <c r="J2162" s="5">
        <f>VLOOKUP(F2162,'Set up'!$A$2:$D$48,4,FALSE)</f>
        <v>0</v>
      </c>
      <c r="K2162" s="4">
        <f t="shared" si="745"/>
        <v>45196</v>
      </c>
      <c r="L2162" s="5">
        <f t="shared" si="746"/>
        <v>9</v>
      </c>
      <c r="M2162" s="5">
        <f t="shared" si="747"/>
        <v>2023</v>
      </c>
      <c r="N2162" s="96">
        <v>380</v>
      </c>
      <c r="P2162" s="6">
        <f t="shared" si="748"/>
        <v>380</v>
      </c>
      <c r="Q2162" s="7">
        <f t="shared" si="749"/>
        <v>3672518.1500000018</v>
      </c>
      <c r="R2162" s="44" t="str">
        <f>VLOOKUP(F2162,'Set up'!$A$2:$E$48,5,FALSE)</f>
        <v>Trsf</v>
      </c>
    </row>
    <row r="2163" spans="1:19" ht="15" hidden="1" customHeight="1" x14ac:dyDescent="0.3">
      <c r="A2163" s="4">
        <v>45198</v>
      </c>
      <c r="B2163" s="5">
        <f t="shared" si="743"/>
        <v>9</v>
      </c>
      <c r="C2163" s="5">
        <f t="shared" si="744"/>
        <v>2023</v>
      </c>
      <c r="D2163" s="88" t="s">
        <v>1925</v>
      </c>
      <c r="E2163" s="5" t="str">
        <f>VLOOKUP(F2163,'Set up'!$A$2:$C$48,2,FALSE)</f>
        <v>C00000034</v>
      </c>
      <c r="F2163" s="1" t="s">
        <v>1197</v>
      </c>
      <c r="G2163" s="90" t="s">
        <v>1111</v>
      </c>
      <c r="H2163" s="5">
        <v>4</v>
      </c>
      <c r="I2163" s="5" t="str">
        <f>VLOOKUP(F2163,'Set up'!$A$2:$C$48,3,FALSE)</f>
        <v>Cash</v>
      </c>
      <c r="J2163" s="5">
        <f>VLOOKUP(F2163,'Set up'!$A$2:$D$48,4,FALSE)</f>
        <v>0</v>
      </c>
      <c r="K2163" s="4">
        <f t="shared" si="745"/>
        <v>45198</v>
      </c>
      <c r="L2163" s="5">
        <f t="shared" si="746"/>
        <v>9</v>
      </c>
      <c r="M2163" s="5">
        <f t="shared" si="747"/>
        <v>2023</v>
      </c>
      <c r="N2163" s="96">
        <v>250</v>
      </c>
      <c r="P2163" s="6">
        <f t="shared" si="748"/>
        <v>250</v>
      </c>
      <c r="Q2163" s="7">
        <f t="shared" si="749"/>
        <v>3672768.1500000018</v>
      </c>
      <c r="R2163" s="44" t="str">
        <f>VLOOKUP(F2163,'Set up'!$A$2:$E$48,5,FALSE)</f>
        <v>Trsf</v>
      </c>
    </row>
    <row r="2164" spans="1:19" ht="15" customHeight="1" x14ac:dyDescent="0.3">
      <c r="A2164" s="4">
        <v>45199</v>
      </c>
      <c r="B2164" s="5">
        <f t="shared" si="743"/>
        <v>9</v>
      </c>
      <c r="C2164" s="5">
        <f t="shared" si="744"/>
        <v>2023</v>
      </c>
      <c r="D2164" s="88" t="s">
        <v>1926</v>
      </c>
      <c r="E2164" s="5" t="str">
        <f>VLOOKUP(F2164,'Set up'!$A$2:$C$48,2,FALSE)</f>
        <v>C00000020</v>
      </c>
      <c r="F2164" s="1" t="s">
        <v>410</v>
      </c>
      <c r="G2164" s="99" t="s">
        <v>1111</v>
      </c>
      <c r="H2164" s="5">
        <v>5</v>
      </c>
      <c r="I2164" s="5" t="str">
        <f>VLOOKUP(F2164,'Set up'!$A$2:$C$48,3,FALSE)</f>
        <v>Cash</v>
      </c>
      <c r="J2164" s="5">
        <f>VLOOKUP(F2164,'Set up'!$A$2:$D$48,4,FALSE)</f>
        <v>0</v>
      </c>
      <c r="K2164" s="4">
        <f t="shared" si="745"/>
        <v>45199</v>
      </c>
      <c r="L2164" s="5">
        <f t="shared" si="746"/>
        <v>9</v>
      </c>
      <c r="M2164" s="5">
        <f t="shared" si="747"/>
        <v>2023</v>
      </c>
      <c r="N2164" s="96">
        <v>312.5</v>
      </c>
      <c r="P2164" s="6">
        <f t="shared" si="748"/>
        <v>312.5</v>
      </c>
      <c r="Q2164" s="7">
        <f t="shared" si="749"/>
        <v>3673080.6500000018</v>
      </c>
      <c r="R2164" s="44" t="str">
        <f>VLOOKUP(F2164,'Set up'!$A$2:$E$48,5,FALSE)</f>
        <v>Trsf</v>
      </c>
    </row>
    <row r="2165" spans="1:19" ht="15" customHeight="1" x14ac:dyDescent="0.3">
      <c r="A2165" s="4">
        <v>45199</v>
      </c>
      <c r="B2165" s="5">
        <f t="shared" si="743"/>
        <v>9</v>
      </c>
      <c r="C2165" s="5">
        <f t="shared" si="744"/>
        <v>2023</v>
      </c>
      <c r="D2165" s="88" t="s">
        <v>1927</v>
      </c>
      <c r="E2165" s="5" t="str">
        <f>VLOOKUP(F2165,'Set up'!$A$2:$C$48,2,FALSE)</f>
        <v>C00000020</v>
      </c>
      <c r="F2165" s="1" t="s">
        <v>410</v>
      </c>
      <c r="G2165" s="99" t="s">
        <v>1895</v>
      </c>
      <c r="H2165" s="5">
        <v>5</v>
      </c>
      <c r="I2165" s="5" t="str">
        <f>VLOOKUP(F2165,'Set up'!$A$2:$C$48,3,FALSE)</f>
        <v>Cash</v>
      </c>
      <c r="J2165" s="5">
        <f>VLOOKUP(F2165,'Set up'!$A$2:$D$48,4,FALSE)</f>
        <v>0</v>
      </c>
      <c r="K2165" s="4">
        <f t="shared" si="745"/>
        <v>45199</v>
      </c>
      <c r="L2165" s="5">
        <f t="shared" si="746"/>
        <v>9</v>
      </c>
      <c r="M2165" s="5">
        <f t="shared" si="747"/>
        <v>2023</v>
      </c>
      <c r="N2165" s="96">
        <v>8030</v>
      </c>
      <c r="P2165" s="6">
        <f t="shared" si="748"/>
        <v>8030</v>
      </c>
      <c r="Q2165" s="7">
        <f t="shared" si="749"/>
        <v>3681110.6500000018</v>
      </c>
      <c r="R2165" s="44" t="str">
        <f>VLOOKUP(F2165,'Set up'!$A$2:$E$48,5,FALSE)</f>
        <v>Trsf</v>
      </c>
    </row>
    <row r="2166" spans="1:19" ht="15" customHeight="1" x14ac:dyDescent="0.3">
      <c r="A2166" s="4">
        <v>45199</v>
      </c>
      <c r="B2166" s="5">
        <f t="shared" si="743"/>
        <v>9</v>
      </c>
      <c r="C2166" s="5">
        <f t="shared" si="744"/>
        <v>2023</v>
      </c>
      <c r="D2166" s="88" t="s">
        <v>1927</v>
      </c>
      <c r="E2166" s="5" t="str">
        <f>VLOOKUP(F2166,'Set up'!$A$2:$C$48,2,FALSE)</f>
        <v>C00000020</v>
      </c>
      <c r="F2166" s="1" t="s">
        <v>410</v>
      </c>
      <c r="G2166" s="99" t="s">
        <v>914</v>
      </c>
      <c r="H2166" s="5">
        <v>15</v>
      </c>
      <c r="I2166" s="5" t="str">
        <f>VLOOKUP(F2166,'Set up'!$A$2:$C$48,3,FALSE)</f>
        <v>Cash</v>
      </c>
      <c r="J2166" s="5">
        <f>VLOOKUP(F2166,'Set up'!$A$2:$D$48,4,FALSE)</f>
        <v>0</v>
      </c>
      <c r="K2166" s="4">
        <f t="shared" si="745"/>
        <v>45199</v>
      </c>
      <c r="L2166" s="5">
        <f t="shared" si="746"/>
        <v>9</v>
      </c>
      <c r="M2166" s="5">
        <f t="shared" si="747"/>
        <v>2023</v>
      </c>
      <c r="N2166" s="96">
        <v>2835</v>
      </c>
      <c r="P2166" s="6">
        <f t="shared" si="748"/>
        <v>2835</v>
      </c>
      <c r="Q2166" s="7">
        <f t="shared" si="749"/>
        <v>3683945.6500000018</v>
      </c>
      <c r="R2166" s="44" t="str">
        <f>VLOOKUP(F2166,'Set up'!$A$2:$E$48,5,FALSE)</f>
        <v>Trsf</v>
      </c>
    </row>
    <row r="2167" spans="1:19" ht="15" customHeight="1" x14ac:dyDescent="0.3">
      <c r="A2167" s="4">
        <v>45199</v>
      </c>
      <c r="B2167" s="5">
        <f t="shared" si="743"/>
        <v>9</v>
      </c>
      <c r="C2167" s="5">
        <f t="shared" si="744"/>
        <v>2023</v>
      </c>
      <c r="D2167" s="88" t="s">
        <v>1927</v>
      </c>
      <c r="E2167" s="5" t="str">
        <f>VLOOKUP(F2167,'Set up'!$A$2:$C$48,2,FALSE)</f>
        <v>C00000020</v>
      </c>
      <c r="F2167" s="1" t="s">
        <v>410</v>
      </c>
      <c r="G2167" s="99" t="s">
        <v>1923</v>
      </c>
      <c r="H2167" s="5">
        <v>8</v>
      </c>
      <c r="I2167" s="5" t="str">
        <f>VLOOKUP(F2167,'Set up'!$A$2:$C$48,3,FALSE)</f>
        <v>Cash</v>
      </c>
      <c r="J2167" s="5">
        <f>VLOOKUP(F2167,'Set up'!$A$2:$D$48,4,FALSE)</f>
        <v>0</v>
      </c>
      <c r="K2167" s="4">
        <f t="shared" si="745"/>
        <v>45199</v>
      </c>
      <c r="L2167" s="5">
        <f t="shared" si="746"/>
        <v>9</v>
      </c>
      <c r="M2167" s="5">
        <f t="shared" si="747"/>
        <v>2023</v>
      </c>
      <c r="N2167" s="96">
        <v>1872</v>
      </c>
      <c r="P2167" s="6">
        <f t="shared" si="748"/>
        <v>1872</v>
      </c>
      <c r="Q2167" s="7">
        <f t="shared" si="749"/>
        <v>3685817.6500000018</v>
      </c>
      <c r="R2167" s="44" t="str">
        <f>VLOOKUP(F2167,'Set up'!$A$2:$E$48,5,FALSE)</f>
        <v>Trsf</v>
      </c>
    </row>
    <row r="2168" spans="1:19" ht="15" customHeight="1" x14ac:dyDescent="0.3">
      <c r="A2168" s="4">
        <v>45199</v>
      </c>
      <c r="B2168" s="5">
        <f t="shared" ref="B2168:B2170" si="750">MONTH(A2168)</f>
        <v>9</v>
      </c>
      <c r="C2168" s="5">
        <f t="shared" ref="C2168:C2170" si="751">YEAR(A2168)</f>
        <v>2023</v>
      </c>
      <c r="D2168" s="88" t="s">
        <v>1927</v>
      </c>
      <c r="E2168" s="5" t="str">
        <f>VLOOKUP(F2168,'Set up'!$A$2:$C$48,2,FALSE)</f>
        <v>C00000020</v>
      </c>
      <c r="F2168" s="1" t="s">
        <v>410</v>
      </c>
      <c r="G2168" s="99" t="s">
        <v>1074</v>
      </c>
      <c r="H2168" s="5">
        <v>1</v>
      </c>
      <c r="I2168" s="5" t="str">
        <f>VLOOKUP(F2168,'Set up'!$A$2:$C$48,3,FALSE)</f>
        <v>Cash</v>
      </c>
      <c r="J2168" s="5">
        <f>VLOOKUP(F2168,'Set up'!$A$2:$D$48,4,FALSE)</f>
        <v>0</v>
      </c>
      <c r="K2168" s="4">
        <f t="shared" ref="K2168:K2169" si="752">A2168+J2168</f>
        <v>45199</v>
      </c>
      <c r="L2168" s="5">
        <f t="shared" ref="L2168:L2169" si="753">MONTH(K2168)</f>
        <v>9</v>
      </c>
      <c r="M2168" s="5">
        <f t="shared" ref="M2168:M2169" si="754">YEAR(K2168)</f>
        <v>2023</v>
      </c>
      <c r="N2168" s="96">
        <v>1000</v>
      </c>
      <c r="P2168" s="6">
        <f t="shared" ref="P2168:P2228" si="755">SUM(N2168+O2168)</f>
        <v>1000</v>
      </c>
      <c r="Q2168" s="7">
        <f t="shared" ref="Q2168:Q2169" si="756">SUM(Q2167+N2168)</f>
        <v>3686817.6500000018</v>
      </c>
      <c r="R2168" s="44" t="str">
        <f>VLOOKUP(F2168,'Set up'!$A$2:$E$48,5,FALSE)</f>
        <v>Trsf</v>
      </c>
    </row>
    <row r="2169" spans="1:19" ht="15" customHeight="1" x14ac:dyDescent="0.3">
      <c r="A2169" s="4">
        <v>45199</v>
      </c>
      <c r="B2169" s="5">
        <f t="shared" si="750"/>
        <v>9</v>
      </c>
      <c r="C2169" s="5">
        <f t="shared" si="751"/>
        <v>2023</v>
      </c>
      <c r="D2169" s="88" t="s">
        <v>1927</v>
      </c>
      <c r="E2169" s="5" t="str">
        <f>VLOOKUP(F2169,'Set up'!$A$2:$C$48,2,FALSE)</f>
        <v>C00000020</v>
      </c>
      <c r="F2169" s="1" t="s">
        <v>410</v>
      </c>
      <c r="G2169" s="99" t="s">
        <v>1062</v>
      </c>
      <c r="H2169" s="5">
        <v>4</v>
      </c>
      <c r="I2169" s="5" t="str">
        <f>VLOOKUP(F2169,'Set up'!$A$2:$C$48,3,FALSE)</f>
        <v>Cash</v>
      </c>
      <c r="J2169" s="5">
        <f>VLOOKUP(F2169,'Set up'!$A$2:$D$48,4,FALSE)</f>
        <v>0</v>
      </c>
      <c r="K2169" s="4">
        <f t="shared" si="752"/>
        <v>45199</v>
      </c>
      <c r="L2169" s="5">
        <f t="shared" si="753"/>
        <v>9</v>
      </c>
      <c r="M2169" s="5">
        <f t="shared" si="754"/>
        <v>2023</v>
      </c>
      <c r="N2169" s="96">
        <v>380</v>
      </c>
      <c r="P2169" s="6">
        <f t="shared" si="755"/>
        <v>380</v>
      </c>
      <c r="Q2169" s="7">
        <f t="shared" si="756"/>
        <v>3687197.6500000018</v>
      </c>
      <c r="R2169" s="44" t="str">
        <f>VLOOKUP(F2169,'Set up'!$A$2:$E$48,5,FALSE)</f>
        <v>Trsf</v>
      </c>
    </row>
    <row r="2170" spans="1:19" ht="15" hidden="1" customHeight="1" x14ac:dyDescent="0.3">
      <c r="A2170" s="4">
        <v>45201</v>
      </c>
      <c r="B2170" s="5">
        <f t="shared" si="750"/>
        <v>10</v>
      </c>
      <c r="C2170" s="5">
        <f t="shared" si="751"/>
        <v>2023</v>
      </c>
      <c r="D2170" s="88" t="s">
        <v>1990</v>
      </c>
      <c r="E2170" s="5" t="str">
        <f>VLOOKUP(F2170,'Set up'!$A$2:$C$48,2,FALSE)</f>
        <v>C00000014</v>
      </c>
      <c r="F2170" s="1" t="s">
        <v>263</v>
      </c>
      <c r="G2170" s="99" t="s">
        <v>304</v>
      </c>
      <c r="H2170" s="5">
        <v>2</v>
      </c>
      <c r="I2170" s="5" t="str">
        <f>VLOOKUP(F2170,'Set up'!$A$2:$C$48,3,FALSE)</f>
        <v>Cash</v>
      </c>
      <c r="J2170" s="5">
        <f>VLOOKUP(F2170,'Set up'!$A$2:$D$48,4,FALSE)</f>
        <v>0</v>
      </c>
      <c r="K2170" s="4">
        <f t="shared" ref="K2170:K2214" si="757">A2170+J2170</f>
        <v>45201</v>
      </c>
      <c r="L2170" s="5">
        <f t="shared" ref="L2170:L2214" si="758">MONTH(K2170)</f>
        <v>10</v>
      </c>
      <c r="M2170" s="5">
        <f t="shared" ref="M2170:M2214" si="759">YEAR(K2170)</f>
        <v>2023</v>
      </c>
      <c r="N2170" s="96">
        <v>3388</v>
      </c>
      <c r="O2170" s="6">
        <f t="shared" ref="O2170:O2178" si="760">-N2170</f>
        <v>-3388</v>
      </c>
      <c r="P2170" s="6">
        <f t="shared" si="755"/>
        <v>0</v>
      </c>
      <c r="Q2170" s="7">
        <f t="shared" ref="Q2170:Q2214" si="761">SUM(Q2169+N2170)</f>
        <v>3690585.6500000018</v>
      </c>
      <c r="R2170" s="44" t="str">
        <f>VLOOKUP(F2170,'Set up'!$A$2:$E$48,5,FALSE)</f>
        <v>Cash</v>
      </c>
      <c r="S2170" s="1" t="s">
        <v>2087</v>
      </c>
    </row>
    <row r="2171" spans="1:19" ht="15" hidden="1" customHeight="1" x14ac:dyDescent="0.3">
      <c r="A2171" s="4">
        <v>45201</v>
      </c>
      <c r="B2171" s="5">
        <f t="shared" ref="B2171:B2214" si="762">MONTH(A2171)</f>
        <v>10</v>
      </c>
      <c r="C2171" s="5">
        <f t="shared" ref="C2171:C2214" si="763">YEAR(A2171)</f>
        <v>2023</v>
      </c>
      <c r="D2171" s="88" t="s">
        <v>1990</v>
      </c>
      <c r="E2171" s="5" t="str">
        <f>VLOOKUP(F2171,'Set up'!$A$2:$C$48,2,FALSE)</f>
        <v>C00000014</v>
      </c>
      <c r="F2171" s="1" t="s">
        <v>263</v>
      </c>
      <c r="G2171" s="99" t="s">
        <v>989</v>
      </c>
      <c r="H2171" s="5">
        <v>3</v>
      </c>
      <c r="I2171" s="5" t="str">
        <f>VLOOKUP(F2171,'Set up'!$A$2:$C$48,3,FALSE)</f>
        <v>Cash</v>
      </c>
      <c r="J2171" s="5">
        <f>VLOOKUP(F2171,'Set up'!$A$2:$D$48,4,FALSE)</f>
        <v>0</v>
      </c>
      <c r="K2171" s="4">
        <f t="shared" si="757"/>
        <v>45201</v>
      </c>
      <c r="L2171" s="5">
        <f t="shared" si="758"/>
        <v>10</v>
      </c>
      <c r="M2171" s="5">
        <f t="shared" si="759"/>
        <v>2023</v>
      </c>
      <c r="N2171" s="96">
        <v>702</v>
      </c>
      <c r="O2171" s="6">
        <f t="shared" si="760"/>
        <v>-702</v>
      </c>
      <c r="P2171" s="6">
        <f t="shared" si="755"/>
        <v>0</v>
      </c>
      <c r="Q2171" s="7">
        <f t="shared" si="761"/>
        <v>3691287.6500000018</v>
      </c>
      <c r="R2171" s="44" t="str">
        <f>VLOOKUP(F2171,'Set up'!$A$2:$E$48,5,FALSE)</f>
        <v>Cash</v>
      </c>
      <c r="S2171" s="1" t="s">
        <v>2087</v>
      </c>
    </row>
    <row r="2172" spans="1:19" ht="15" hidden="1" customHeight="1" x14ac:dyDescent="0.3">
      <c r="A2172" s="4">
        <v>45201</v>
      </c>
      <c r="B2172" s="5">
        <f t="shared" si="762"/>
        <v>10</v>
      </c>
      <c r="C2172" s="5">
        <f t="shared" si="763"/>
        <v>2023</v>
      </c>
      <c r="D2172" s="88" t="s">
        <v>1990</v>
      </c>
      <c r="E2172" s="5" t="str">
        <f>VLOOKUP(F2172,'Set up'!$A$2:$C$48,2,FALSE)</f>
        <v>C00000014</v>
      </c>
      <c r="F2172" s="1" t="s">
        <v>263</v>
      </c>
      <c r="G2172" s="99" t="s">
        <v>44</v>
      </c>
      <c r="H2172" s="5">
        <v>2</v>
      </c>
      <c r="I2172" s="5" t="str">
        <f>VLOOKUP(F2172,'Set up'!$A$2:$C$48,3,FALSE)</f>
        <v>Cash</v>
      </c>
      <c r="J2172" s="5">
        <f>VLOOKUP(F2172,'Set up'!$A$2:$D$48,4,FALSE)</f>
        <v>0</v>
      </c>
      <c r="K2172" s="4">
        <f t="shared" si="757"/>
        <v>45201</v>
      </c>
      <c r="L2172" s="5">
        <f t="shared" si="758"/>
        <v>10</v>
      </c>
      <c r="M2172" s="5">
        <f t="shared" si="759"/>
        <v>2023</v>
      </c>
      <c r="N2172" s="96">
        <v>516</v>
      </c>
      <c r="O2172" s="6">
        <f t="shared" si="760"/>
        <v>-516</v>
      </c>
      <c r="P2172" s="6">
        <f t="shared" si="755"/>
        <v>0</v>
      </c>
      <c r="Q2172" s="7">
        <f t="shared" si="761"/>
        <v>3691803.6500000018</v>
      </c>
      <c r="R2172" s="44" t="str">
        <f>VLOOKUP(F2172,'Set up'!$A$2:$E$48,5,FALSE)</f>
        <v>Cash</v>
      </c>
      <c r="S2172" s="1" t="s">
        <v>2087</v>
      </c>
    </row>
    <row r="2173" spans="1:19" ht="15" hidden="1" customHeight="1" x14ac:dyDescent="0.3">
      <c r="A2173" s="4">
        <v>45201</v>
      </c>
      <c r="B2173" s="5">
        <f t="shared" si="762"/>
        <v>10</v>
      </c>
      <c r="C2173" s="5">
        <f t="shared" si="763"/>
        <v>2023</v>
      </c>
      <c r="D2173" s="88" t="s">
        <v>1990</v>
      </c>
      <c r="E2173" s="5" t="str">
        <f>VLOOKUP(F2173,'Set up'!$A$2:$C$48,2,FALSE)</f>
        <v>C00000014</v>
      </c>
      <c r="F2173" s="1" t="s">
        <v>263</v>
      </c>
      <c r="G2173" s="99" t="s">
        <v>1887</v>
      </c>
      <c r="H2173" s="5">
        <v>2</v>
      </c>
      <c r="I2173" s="5" t="str">
        <f>VLOOKUP(F2173,'Set up'!$A$2:$C$48,3,FALSE)</f>
        <v>Cash</v>
      </c>
      <c r="J2173" s="5">
        <f>VLOOKUP(F2173,'Set up'!$A$2:$D$48,4,FALSE)</f>
        <v>0</v>
      </c>
      <c r="K2173" s="4">
        <f t="shared" si="757"/>
        <v>45201</v>
      </c>
      <c r="L2173" s="5">
        <f t="shared" si="758"/>
        <v>10</v>
      </c>
      <c r="M2173" s="5">
        <f t="shared" si="759"/>
        <v>2023</v>
      </c>
      <c r="N2173" s="96">
        <v>320</v>
      </c>
      <c r="O2173" s="6">
        <f t="shared" si="760"/>
        <v>-320</v>
      </c>
      <c r="P2173" s="6">
        <f t="shared" si="755"/>
        <v>0</v>
      </c>
      <c r="Q2173" s="7">
        <f t="shared" si="761"/>
        <v>3692123.6500000018</v>
      </c>
      <c r="R2173" s="44" t="str">
        <f>VLOOKUP(F2173,'Set up'!$A$2:$E$48,5,FALSE)</f>
        <v>Cash</v>
      </c>
      <c r="S2173" s="1" t="s">
        <v>2087</v>
      </c>
    </row>
    <row r="2174" spans="1:19" ht="15" hidden="1" customHeight="1" x14ac:dyDescent="0.3">
      <c r="A2174" s="4">
        <v>45201</v>
      </c>
      <c r="B2174" s="5">
        <f t="shared" si="762"/>
        <v>10</v>
      </c>
      <c r="C2174" s="5">
        <f t="shared" si="763"/>
        <v>2023</v>
      </c>
      <c r="D2174" s="88" t="s">
        <v>1990</v>
      </c>
      <c r="E2174" s="5" t="str">
        <f>VLOOKUP(F2174,'Set up'!$A$2:$C$48,2,FALSE)</f>
        <v>C00000014</v>
      </c>
      <c r="F2174" s="1" t="s">
        <v>263</v>
      </c>
      <c r="G2174" s="99" t="s">
        <v>1716</v>
      </c>
      <c r="H2174" s="5">
        <v>1</v>
      </c>
      <c r="I2174" s="5" t="str">
        <f>VLOOKUP(F2174,'Set up'!$A$2:$C$48,3,FALSE)</f>
        <v>Cash</v>
      </c>
      <c r="J2174" s="5">
        <f>VLOOKUP(F2174,'Set up'!$A$2:$D$48,4,FALSE)</f>
        <v>0</v>
      </c>
      <c r="K2174" s="4">
        <f t="shared" si="757"/>
        <v>45201</v>
      </c>
      <c r="L2174" s="5">
        <f t="shared" si="758"/>
        <v>10</v>
      </c>
      <c r="M2174" s="5">
        <f t="shared" si="759"/>
        <v>2023</v>
      </c>
      <c r="N2174" s="96">
        <v>165</v>
      </c>
      <c r="O2174" s="6">
        <f t="shared" si="760"/>
        <v>-165</v>
      </c>
      <c r="P2174" s="6">
        <f t="shared" si="755"/>
        <v>0</v>
      </c>
      <c r="Q2174" s="7">
        <f t="shared" si="761"/>
        <v>3692288.6500000018</v>
      </c>
      <c r="R2174" s="44" t="str">
        <f>VLOOKUP(F2174,'Set up'!$A$2:$E$48,5,FALSE)</f>
        <v>Cash</v>
      </c>
      <c r="S2174" s="1" t="s">
        <v>2087</v>
      </c>
    </row>
    <row r="2175" spans="1:19" ht="15" hidden="1" customHeight="1" x14ac:dyDescent="0.3">
      <c r="A2175" s="4">
        <v>45201</v>
      </c>
      <c r="B2175" s="5">
        <f t="shared" si="762"/>
        <v>10</v>
      </c>
      <c r="C2175" s="5">
        <f t="shared" si="763"/>
        <v>2023</v>
      </c>
      <c r="D2175" s="88" t="s">
        <v>1990</v>
      </c>
      <c r="E2175" s="5" t="str">
        <f>VLOOKUP(F2175,'Set up'!$A$2:$C$48,2,FALSE)</f>
        <v>C00000014</v>
      </c>
      <c r="F2175" s="1" t="s">
        <v>263</v>
      </c>
      <c r="G2175" s="99" t="s">
        <v>17</v>
      </c>
      <c r="H2175" s="5">
        <v>1</v>
      </c>
      <c r="I2175" s="5" t="str">
        <f>VLOOKUP(F2175,'Set up'!$A$2:$C$48,3,FALSE)</f>
        <v>Cash</v>
      </c>
      <c r="J2175" s="5">
        <f>VLOOKUP(F2175,'Set up'!$A$2:$D$48,4,FALSE)</f>
        <v>0</v>
      </c>
      <c r="K2175" s="4">
        <f t="shared" si="757"/>
        <v>45201</v>
      </c>
      <c r="L2175" s="5">
        <f t="shared" si="758"/>
        <v>10</v>
      </c>
      <c r="M2175" s="5">
        <f t="shared" si="759"/>
        <v>2023</v>
      </c>
      <c r="N2175" s="96">
        <v>105</v>
      </c>
      <c r="O2175" s="6">
        <f t="shared" si="760"/>
        <v>-105</v>
      </c>
      <c r="P2175" s="6">
        <f t="shared" si="755"/>
        <v>0</v>
      </c>
      <c r="Q2175" s="7">
        <f t="shared" si="761"/>
        <v>3692393.6500000018</v>
      </c>
      <c r="R2175" s="44" t="str">
        <f>VLOOKUP(F2175,'Set up'!$A$2:$E$48,5,FALSE)</f>
        <v>Cash</v>
      </c>
      <c r="S2175" s="1" t="s">
        <v>2087</v>
      </c>
    </row>
    <row r="2176" spans="1:19" ht="15" hidden="1" customHeight="1" x14ac:dyDescent="0.3">
      <c r="A2176" s="4">
        <v>45201</v>
      </c>
      <c r="B2176" s="5">
        <f t="shared" si="762"/>
        <v>10</v>
      </c>
      <c r="C2176" s="5">
        <f t="shared" si="763"/>
        <v>2023</v>
      </c>
      <c r="D2176" s="88" t="s">
        <v>1990</v>
      </c>
      <c r="E2176" s="5" t="str">
        <f>VLOOKUP(F2176,'Set up'!$A$2:$C$48,2,FALSE)</f>
        <v>C00000014</v>
      </c>
      <c r="F2176" s="1" t="s">
        <v>263</v>
      </c>
      <c r="G2176" s="99" t="s">
        <v>1111</v>
      </c>
      <c r="H2176" s="5">
        <v>1</v>
      </c>
      <c r="I2176" s="5" t="str">
        <f>VLOOKUP(F2176,'Set up'!$A$2:$C$48,3,FALSE)</f>
        <v>Cash</v>
      </c>
      <c r="J2176" s="5">
        <f>VLOOKUP(F2176,'Set up'!$A$2:$D$48,4,FALSE)</f>
        <v>0</v>
      </c>
      <c r="K2176" s="4">
        <f t="shared" si="757"/>
        <v>45201</v>
      </c>
      <c r="L2176" s="5">
        <f t="shared" si="758"/>
        <v>10</v>
      </c>
      <c r="M2176" s="5">
        <f t="shared" si="759"/>
        <v>2023</v>
      </c>
      <c r="N2176" s="96">
        <v>62.5</v>
      </c>
      <c r="O2176" s="6">
        <f t="shared" si="760"/>
        <v>-62.5</v>
      </c>
      <c r="P2176" s="6">
        <f t="shared" si="755"/>
        <v>0</v>
      </c>
      <c r="Q2176" s="7">
        <f t="shared" si="761"/>
        <v>3692456.1500000018</v>
      </c>
      <c r="R2176" s="44" t="str">
        <f>VLOOKUP(F2176,'Set up'!$A$2:$E$48,5,FALSE)</f>
        <v>Cash</v>
      </c>
      <c r="S2176" s="1" t="s">
        <v>2087</v>
      </c>
    </row>
    <row r="2177" spans="1:19" ht="15" hidden="1" customHeight="1" x14ac:dyDescent="0.3">
      <c r="A2177" s="4">
        <v>45202</v>
      </c>
      <c r="B2177" s="5">
        <f t="shared" si="762"/>
        <v>10</v>
      </c>
      <c r="C2177" s="5">
        <f t="shared" si="763"/>
        <v>2023</v>
      </c>
      <c r="D2177" s="88" t="s">
        <v>1992</v>
      </c>
      <c r="E2177" s="5" t="str">
        <f>VLOOKUP(F2177,'Set up'!$A$2:$C$48,2,FALSE)</f>
        <v>C00000013</v>
      </c>
      <c r="F2177" s="1" t="s">
        <v>1454</v>
      </c>
      <c r="G2177" s="89" t="s">
        <v>1991</v>
      </c>
      <c r="H2177" s="5">
        <v>2</v>
      </c>
      <c r="I2177" s="5" t="str">
        <f>VLOOKUP(F2177,'Set up'!$A$2:$C$48,3,FALSE)</f>
        <v>Cash</v>
      </c>
      <c r="J2177" s="5">
        <f>VLOOKUP(F2177,'Set up'!$A$2:$D$48,4,FALSE)</f>
        <v>0</v>
      </c>
      <c r="K2177" s="4">
        <f t="shared" si="757"/>
        <v>45202</v>
      </c>
      <c r="L2177" s="5">
        <f t="shared" si="758"/>
        <v>10</v>
      </c>
      <c r="M2177" s="5">
        <f t="shared" si="759"/>
        <v>2023</v>
      </c>
      <c r="N2177" s="96">
        <v>580</v>
      </c>
      <c r="O2177" s="6">
        <f t="shared" si="760"/>
        <v>-580</v>
      </c>
      <c r="P2177" s="6">
        <f t="shared" si="755"/>
        <v>0</v>
      </c>
      <c r="Q2177" s="7">
        <f t="shared" si="761"/>
        <v>3693036.1500000018</v>
      </c>
      <c r="R2177" s="44" t="str">
        <f>VLOOKUP(F2177,'Set up'!$A$2:$E$48,5,FALSE)</f>
        <v>Chq</v>
      </c>
      <c r="S2177" s="1" t="s">
        <v>2092</v>
      </c>
    </row>
    <row r="2178" spans="1:19" ht="15" hidden="1" customHeight="1" x14ac:dyDescent="0.3">
      <c r="A2178" s="4">
        <v>45202</v>
      </c>
      <c r="B2178" s="5">
        <f t="shared" si="762"/>
        <v>10</v>
      </c>
      <c r="C2178" s="5">
        <f t="shared" si="763"/>
        <v>2023</v>
      </c>
      <c r="D2178" s="88" t="s">
        <v>1992</v>
      </c>
      <c r="E2178" s="5" t="str">
        <f>VLOOKUP(F2178,'Set up'!$A$2:$C$48,2,FALSE)</f>
        <v>C00000013</v>
      </c>
      <c r="F2178" s="1" t="s">
        <v>1454</v>
      </c>
      <c r="G2178" s="90" t="s">
        <v>44</v>
      </c>
      <c r="H2178" s="5">
        <v>4</v>
      </c>
      <c r="I2178" s="5" t="str">
        <f>VLOOKUP(F2178,'Set up'!$A$2:$C$48,3,FALSE)</f>
        <v>Cash</v>
      </c>
      <c r="J2178" s="5">
        <f>VLOOKUP(F2178,'Set up'!$A$2:$D$48,4,FALSE)</f>
        <v>0</v>
      </c>
      <c r="K2178" s="4">
        <f t="shared" si="757"/>
        <v>45202</v>
      </c>
      <c r="L2178" s="5">
        <f t="shared" si="758"/>
        <v>10</v>
      </c>
      <c r="M2178" s="5">
        <f t="shared" si="759"/>
        <v>2023</v>
      </c>
      <c r="N2178" s="96">
        <v>1032</v>
      </c>
      <c r="O2178" s="6">
        <f t="shared" si="760"/>
        <v>-1032</v>
      </c>
      <c r="P2178" s="6">
        <f t="shared" si="755"/>
        <v>0</v>
      </c>
      <c r="Q2178" s="7">
        <f t="shared" si="761"/>
        <v>3694068.1500000018</v>
      </c>
      <c r="R2178" s="44" t="str">
        <f>VLOOKUP(F2178,'Set up'!$A$2:$E$48,5,FALSE)</f>
        <v>Chq</v>
      </c>
      <c r="S2178" s="1" t="s">
        <v>2092</v>
      </c>
    </row>
    <row r="2179" spans="1:19" ht="15" hidden="1" customHeight="1" x14ac:dyDescent="0.3">
      <c r="A2179" s="4">
        <v>45202</v>
      </c>
      <c r="B2179" s="5">
        <f t="shared" si="762"/>
        <v>10</v>
      </c>
      <c r="C2179" s="5">
        <f t="shared" si="763"/>
        <v>2023</v>
      </c>
      <c r="D2179" s="88" t="s">
        <v>1993</v>
      </c>
      <c r="E2179" s="5" t="str">
        <f>VLOOKUP(F2179,'Set up'!$A$2:$C$48,2,FALSE)</f>
        <v>C00000019</v>
      </c>
      <c r="F2179" s="1" t="s">
        <v>401</v>
      </c>
      <c r="G2179" s="90" t="s">
        <v>95</v>
      </c>
      <c r="H2179" s="5">
        <v>1</v>
      </c>
      <c r="I2179" s="5" t="str">
        <f>VLOOKUP(F2179,'Set up'!$A$2:$C$48,3,FALSE)</f>
        <v>Cash</v>
      </c>
      <c r="J2179" s="5">
        <f>VLOOKUP(F2179,'Set up'!$A$2:$D$48,4,FALSE)</f>
        <v>0</v>
      </c>
      <c r="K2179" s="4">
        <f t="shared" si="757"/>
        <v>45202</v>
      </c>
      <c r="L2179" s="5">
        <f t="shared" si="758"/>
        <v>10</v>
      </c>
      <c r="M2179" s="5">
        <f t="shared" si="759"/>
        <v>2023</v>
      </c>
      <c r="N2179" s="96">
        <v>1804</v>
      </c>
      <c r="P2179" s="6">
        <f t="shared" si="755"/>
        <v>1804</v>
      </c>
      <c r="Q2179" s="7">
        <f t="shared" si="761"/>
        <v>3695872.1500000018</v>
      </c>
      <c r="R2179" s="44" t="str">
        <f>VLOOKUP(F2179,'Set up'!$A$2:$E$48,5,FALSE)</f>
        <v>Trsf</v>
      </c>
    </row>
    <row r="2180" spans="1:19" ht="15" hidden="1" customHeight="1" x14ac:dyDescent="0.3">
      <c r="A2180" s="4">
        <v>45202</v>
      </c>
      <c r="B2180" s="5">
        <f t="shared" si="762"/>
        <v>10</v>
      </c>
      <c r="C2180" s="5">
        <f t="shared" si="763"/>
        <v>2023</v>
      </c>
      <c r="D2180" s="88" t="s">
        <v>1993</v>
      </c>
      <c r="E2180" s="5" t="str">
        <f>VLOOKUP(F2180,'Set up'!$A$2:$C$48,2,FALSE)</f>
        <v>C00000019</v>
      </c>
      <c r="F2180" s="1" t="s">
        <v>401</v>
      </c>
      <c r="G2180" s="90" t="s">
        <v>1470</v>
      </c>
      <c r="H2180" s="5">
        <v>1</v>
      </c>
      <c r="I2180" s="5" t="str">
        <f>VLOOKUP(F2180,'Set up'!$A$2:$C$48,3,FALSE)</f>
        <v>Cash</v>
      </c>
      <c r="J2180" s="5">
        <f>VLOOKUP(F2180,'Set up'!$A$2:$D$48,4,FALSE)</f>
        <v>0</v>
      </c>
      <c r="K2180" s="4">
        <f t="shared" si="757"/>
        <v>45202</v>
      </c>
      <c r="L2180" s="5">
        <f t="shared" si="758"/>
        <v>10</v>
      </c>
      <c r="M2180" s="5">
        <f t="shared" si="759"/>
        <v>2023</v>
      </c>
      <c r="N2180" s="96">
        <v>390</v>
      </c>
      <c r="P2180" s="6">
        <f t="shared" si="755"/>
        <v>390</v>
      </c>
      <c r="Q2180" s="7">
        <f t="shared" si="761"/>
        <v>3696262.1500000018</v>
      </c>
      <c r="R2180" s="44" t="str">
        <f>VLOOKUP(F2180,'Set up'!$A$2:$E$48,5,FALSE)</f>
        <v>Trsf</v>
      </c>
    </row>
    <row r="2181" spans="1:19" ht="15" hidden="1" customHeight="1" x14ac:dyDescent="0.3">
      <c r="A2181" s="4">
        <v>45202</v>
      </c>
      <c r="B2181" s="5">
        <f t="shared" si="762"/>
        <v>10</v>
      </c>
      <c r="C2181" s="5">
        <f t="shared" si="763"/>
        <v>2023</v>
      </c>
      <c r="D2181" s="88" t="s">
        <v>1993</v>
      </c>
      <c r="E2181" s="5" t="str">
        <f>VLOOKUP(F2181,'Set up'!$A$2:$C$48,2,FALSE)</f>
        <v>C00000019</v>
      </c>
      <c r="F2181" s="1" t="s">
        <v>401</v>
      </c>
      <c r="G2181" s="90" t="s">
        <v>1412</v>
      </c>
      <c r="H2181" s="5">
        <v>1</v>
      </c>
      <c r="I2181" s="5" t="str">
        <f>VLOOKUP(F2181,'Set up'!$A$2:$C$48,3,FALSE)</f>
        <v>Cash</v>
      </c>
      <c r="J2181" s="5">
        <f>VLOOKUP(F2181,'Set up'!$A$2:$D$48,4,FALSE)</f>
        <v>0</v>
      </c>
      <c r="K2181" s="4">
        <f t="shared" si="757"/>
        <v>45202</v>
      </c>
      <c r="L2181" s="5">
        <f t="shared" si="758"/>
        <v>10</v>
      </c>
      <c r="M2181" s="5">
        <f t="shared" si="759"/>
        <v>2023</v>
      </c>
      <c r="N2181" s="96">
        <v>421.2</v>
      </c>
      <c r="P2181" s="6">
        <f t="shared" si="755"/>
        <v>421.2</v>
      </c>
      <c r="Q2181" s="7">
        <f t="shared" si="761"/>
        <v>3696683.350000002</v>
      </c>
      <c r="R2181" s="44" t="str">
        <f>VLOOKUP(F2181,'Set up'!$A$2:$E$48,5,FALSE)</f>
        <v>Trsf</v>
      </c>
    </row>
    <row r="2182" spans="1:19" ht="15" hidden="1" customHeight="1" x14ac:dyDescent="0.3">
      <c r="A2182" s="4">
        <v>45203</v>
      </c>
      <c r="B2182" s="5">
        <f t="shared" si="762"/>
        <v>10</v>
      </c>
      <c r="C2182" s="5">
        <f t="shared" si="763"/>
        <v>2023</v>
      </c>
      <c r="D2182" s="88" t="s">
        <v>1994</v>
      </c>
      <c r="E2182" s="5" t="str">
        <f>VLOOKUP(F2182,'Set up'!$A$2:$C$48,2,FALSE)</f>
        <v>C00000021</v>
      </c>
      <c r="F2182" s="1" t="s">
        <v>492</v>
      </c>
      <c r="G2182" s="100" t="s">
        <v>717</v>
      </c>
      <c r="H2182" s="5">
        <v>1</v>
      </c>
      <c r="I2182" s="5" t="str">
        <f>VLOOKUP(F2182,'Set up'!$A$2:$C$48,3,FALSE)</f>
        <v>Cash</v>
      </c>
      <c r="J2182" s="5">
        <f>VLOOKUP(F2182,'Set up'!$A$2:$D$48,4,FALSE)</f>
        <v>0</v>
      </c>
      <c r="K2182" s="4">
        <f t="shared" si="757"/>
        <v>45203</v>
      </c>
      <c r="L2182" s="5">
        <f t="shared" si="758"/>
        <v>10</v>
      </c>
      <c r="M2182" s="5">
        <f t="shared" si="759"/>
        <v>2023</v>
      </c>
      <c r="N2182" s="96">
        <v>1738</v>
      </c>
      <c r="P2182" s="6">
        <f t="shared" si="755"/>
        <v>1738</v>
      </c>
      <c r="Q2182" s="7">
        <f t="shared" si="761"/>
        <v>3698421.350000002</v>
      </c>
      <c r="R2182" s="44" t="str">
        <f>VLOOKUP(F2182,'Set up'!$A$2:$E$48,5,FALSE)</f>
        <v>PD Chq</v>
      </c>
    </row>
    <row r="2183" spans="1:19" ht="15" hidden="1" customHeight="1" x14ac:dyDescent="0.3">
      <c r="A2183" s="4">
        <v>45203</v>
      </c>
      <c r="B2183" s="5">
        <f t="shared" si="762"/>
        <v>10</v>
      </c>
      <c r="C2183" s="5">
        <f t="shared" si="763"/>
        <v>2023</v>
      </c>
      <c r="D2183" s="88" t="s">
        <v>1994</v>
      </c>
      <c r="E2183" s="5" t="str">
        <f>VLOOKUP(F2183,'Set up'!$A$2:$C$48,2,FALSE)</f>
        <v>C00000021</v>
      </c>
      <c r="F2183" s="1" t="s">
        <v>492</v>
      </c>
      <c r="G2183" s="99" t="s">
        <v>655</v>
      </c>
      <c r="H2183" s="5">
        <v>3</v>
      </c>
      <c r="I2183" s="5" t="str">
        <f>VLOOKUP(F2183,'Set up'!$A$2:$C$48,3,FALSE)</f>
        <v>Cash</v>
      </c>
      <c r="J2183" s="5">
        <f>VLOOKUP(F2183,'Set up'!$A$2:$D$48,4,FALSE)</f>
        <v>0</v>
      </c>
      <c r="K2183" s="4">
        <f t="shared" si="757"/>
        <v>45203</v>
      </c>
      <c r="L2183" s="5">
        <f t="shared" si="758"/>
        <v>10</v>
      </c>
      <c r="M2183" s="5">
        <f t="shared" si="759"/>
        <v>2023</v>
      </c>
      <c r="N2183" s="96">
        <v>702</v>
      </c>
      <c r="P2183" s="6">
        <f t="shared" si="755"/>
        <v>702</v>
      </c>
      <c r="Q2183" s="7">
        <f t="shared" si="761"/>
        <v>3699123.350000002</v>
      </c>
      <c r="R2183" s="44" t="str">
        <f>VLOOKUP(F2183,'Set up'!$A$2:$E$48,5,FALSE)</f>
        <v>PD Chq</v>
      </c>
    </row>
    <row r="2184" spans="1:19" ht="15" hidden="1" customHeight="1" x14ac:dyDescent="0.3">
      <c r="A2184" s="4">
        <v>45203</v>
      </c>
      <c r="B2184" s="5">
        <f t="shared" si="762"/>
        <v>10</v>
      </c>
      <c r="C2184" s="5">
        <f t="shared" si="763"/>
        <v>2023</v>
      </c>
      <c r="D2184" s="88" t="s">
        <v>1994</v>
      </c>
      <c r="E2184" s="5" t="str">
        <f>VLOOKUP(F2184,'Set up'!$A$2:$C$48,2,FALSE)</f>
        <v>C00000021</v>
      </c>
      <c r="F2184" s="1" t="s">
        <v>492</v>
      </c>
      <c r="G2184" s="99" t="s">
        <v>1062</v>
      </c>
      <c r="H2184" s="5">
        <v>1</v>
      </c>
      <c r="I2184" s="5" t="str">
        <f>VLOOKUP(F2184,'Set up'!$A$2:$C$48,3,FALSE)</f>
        <v>Cash</v>
      </c>
      <c r="J2184" s="5">
        <f>VLOOKUP(F2184,'Set up'!$A$2:$D$48,4,FALSE)</f>
        <v>0</v>
      </c>
      <c r="K2184" s="4">
        <f t="shared" si="757"/>
        <v>45203</v>
      </c>
      <c r="L2184" s="5">
        <f t="shared" si="758"/>
        <v>10</v>
      </c>
      <c r="M2184" s="5">
        <f t="shared" si="759"/>
        <v>2023</v>
      </c>
      <c r="N2184" s="96">
        <v>95</v>
      </c>
      <c r="P2184" s="6">
        <f t="shared" si="755"/>
        <v>95</v>
      </c>
      <c r="Q2184" s="7">
        <f t="shared" si="761"/>
        <v>3699218.350000002</v>
      </c>
      <c r="R2184" s="44" t="str">
        <f>VLOOKUP(F2184,'Set up'!$A$2:$E$48,5,FALSE)</f>
        <v>PD Chq</v>
      </c>
    </row>
    <row r="2185" spans="1:19" ht="15" customHeight="1" x14ac:dyDescent="0.3">
      <c r="A2185" s="4" t="s">
        <v>1997</v>
      </c>
      <c r="B2185" s="5">
        <f t="shared" si="762"/>
        <v>10</v>
      </c>
      <c r="C2185" s="5">
        <f t="shared" si="763"/>
        <v>2023</v>
      </c>
      <c r="D2185" s="88" t="s">
        <v>1995</v>
      </c>
      <c r="E2185" s="5" t="str">
        <f>VLOOKUP(F2185,'Set up'!$A$2:$C$48,2,FALSE)</f>
        <v>C00000020</v>
      </c>
      <c r="F2185" s="1" t="s">
        <v>410</v>
      </c>
      <c r="G2185" s="99" t="s">
        <v>1111</v>
      </c>
      <c r="H2185" s="5">
        <v>2</v>
      </c>
      <c r="I2185" s="5" t="str">
        <f>VLOOKUP(F2185,'Set up'!$A$2:$C$48,3,FALSE)</f>
        <v>Cash</v>
      </c>
      <c r="J2185" s="5">
        <f>VLOOKUP(F2185,'Set up'!$A$2:$D$48,4,FALSE)</f>
        <v>0</v>
      </c>
      <c r="K2185" s="4">
        <f t="shared" si="757"/>
        <v>45204</v>
      </c>
      <c r="L2185" s="5">
        <f t="shared" si="758"/>
        <v>10</v>
      </c>
      <c r="M2185" s="5">
        <f t="shared" si="759"/>
        <v>2023</v>
      </c>
      <c r="N2185" s="96">
        <v>125</v>
      </c>
      <c r="P2185" s="6">
        <f t="shared" si="755"/>
        <v>125</v>
      </c>
      <c r="Q2185" s="7">
        <f t="shared" si="761"/>
        <v>3699343.350000002</v>
      </c>
      <c r="R2185" s="44" t="str">
        <f>VLOOKUP(F2185,'Set up'!$A$2:$E$48,5,FALSE)</f>
        <v>Trsf</v>
      </c>
    </row>
    <row r="2186" spans="1:19" ht="15" customHeight="1" x14ac:dyDescent="0.3">
      <c r="A2186" s="4" t="s">
        <v>1997</v>
      </c>
      <c r="B2186" s="5">
        <f t="shared" si="762"/>
        <v>10</v>
      </c>
      <c r="C2186" s="5">
        <f t="shared" si="763"/>
        <v>2023</v>
      </c>
      <c r="D2186" s="88" t="s">
        <v>1996</v>
      </c>
      <c r="E2186" s="5" t="str">
        <f>VLOOKUP(F2186,'Set up'!$A$2:$C$48,2,FALSE)</f>
        <v>C00000020</v>
      </c>
      <c r="F2186" s="1" t="s">
        <v>410</v>
      </c>
      <c r="G2186" s="99" t="s">
        <v>1734</v>
      </c>
      <c r="H2186" s="5">
        <v>2</v>
      </c>
      <c r="I2186" s="5" t="str">
        <f>VLOOKUP(F2186,'Set up'!$A$2:$C$48,3,FALSE)</f>
        <v>Cash</v>
      </c>
      <c r="J2186" s="5">
        <f>VLOOKUP(F2186,'Set up'!$A$2:$D$48,4,FALSE)</f>
        <v>0</v>
      </c>
      <c r="K2186" s="4">
        <f t="shared" si="757"/>
        <v>45204</v>
      </c>
      <c r="L2186" s="5">
        <f t="shared" si="758"/>
        <v>10</v>
      </c>
      <c r="M2186" s="5">
        <f t="shared" si="759"/>
        <v>2023</v>
      </c>
      <c r="N2186" s="96">
        <v>3256</v>
      </c>
      <c r="P2186" s="6">
        <f t="shared" si="755"/>
        <v>3256</v>
      </c>
      <c r="Q2186" s="7">
        <f t="shared" si="761"/>
        <v>3702599.350000002</v>
      </c>
      <c r="R2186" s="44" t="str">
        <f>VLOOKUP(F2186,'Set up'!$A$2:$E$48,5,FALSE)</f>
        <v>Trsf</v>
      </c>
    </row>
    <row r="2187" spans="1:19" ht="15" customHeight="1" x14ac:dyDescent="0.3">
      <c r="A2187" s="4" t="s">
        <v>1997</v>
      </c>
      <c r="B2187" s="5">
        <f t="shared" si="762"/>
        <v>10</v>
      </c>
      <c r="C2187" s="5">
        <f t="shared" si="763"/>
        <v>2023</v>
      </c>
      <c r="D2187" s="88" t="s">
        <v>1996</v>
      </c>
      <c r="E2187" s="5" t="str">
        <f>VLOOKUP(F2187,'Set up'!$A$2:$C$48,2,FALSE)</f>
        <v>C00000020</v>
      </c>
      <c r="F2187" s="1" t="s">
        <v>410</v>
      </c>
      <c r="G2187" s="99" t="s">
        <v>914</v>
      </c>
      <c r="H2187" s="5">
        <v>6</v>
      </c>
      <c r="I2187" s="5" t="str">
        <f>VLOOKUP(F2187,'Set up'!$A$2:$C$48,3,FALSE)</f>
        <v>Cash</v>
      </c>
      <c r="J2187" s="5">
        <f>VLOOKUP(F2187,'Set up'!$A$2:$D$48,4,FALSE)</f>
        <v>0</v>
      </c>
      <c r="K2187" s="4">
        <f t="shared" si="757"/>
        <v>45204</v>
      </c>
      <c r="L2187" s="5">
        <f t="shared" si="758"/>
        <v>10</v>
      </c>
      <c r="M2187" s="5">
        <f t="shared" si="759"/>
        <v>2023</v>
      </c>
      <c r="N2187" s="96">
        <v>1080</v>
      </c>
      <c r="P2187" s="6">
        <f t="shared" si="755"/>
        <v>1080</v>
      </c>
      <c r="Q2187" s="7">
        <f t="shared" si="761"/>
        <v>3703679.350000002</v>
      </c>
      <c r="R2187" s="44" t="str">
        <f>VLOOKUP(F2187,'Set up'!$A$2:$E$48,5,FALSE)</f>
        <v>Trsf</v>
      </c>
    </row>
    <row r="2188" spans="1:19" ht="15" customHeight="1" x14ac:dyDescent="0.3">
      <c r="A2188" s="4" t="s">
        <v>1997</v>
      </c>
      <c r="B2188" s="5">
        <f t="shared" si="762"/>
        <v>10</v>
      </c>
      <c r="C2188" s="5">
        <f t="shared" si="763"/>
        <v>2023</v>
      </c>
      <c r="D2188" s="88" t="s">
        <v>1996</v>
      </c>
      <c r="E2188" s="5" t="str">
        <f>VLOOKUP(F2188,'Set up'!$A$2:$C$48,2,FALSE)</f>
        <v>C00000020</v>
      </c>
      <c r="F2188" s="1" t="s">
        <v>410</v>
      </c>
      <c r="G2188" s="99" t="s">
        <v>1923</v>
      </c>
      <c r="H2188" s="5">
        <v>3</v>
      </c>
      <c r="I2188" s="5" t="str">
        <f>VLOOKUP(F2188,'Set up'!$A$2:$C$48,3,FALSE)</f>
        <v>Cash</v>
      </c>
      <c r="J2188" s="5">
        <f>VLOOKUP(F2188,'Set up'!$A$2:$D$48,4,FALSE)</f>
        <v>0</v>
      </c>
      <c r="K2188" s="4">
        <f t="shared" si="757"/>
        <v>45204</v>
      </c>
      <c r="L2188" s="5">
        <f t="shared" si="758"/>
        <v>10</v>
      </c>
      <c r="M2188" s="5">
        <f t="shared" si="759"/>
        <v>2023</v>
      </c>
      <c r="N2188" s="96">
        <v>702</v>
      </c>
      <c r="P2188" s="6">
        <f t="shared" si="755"/>
        <v>702</v>
      </c>
      <c r="Q2188" s="7">
        <f t="shared" si="761"/>
        <v>3704381.350000002</v>
      </c>
      <c r="R2188" s="44" t="str">
        <f>VLOOKUP(F2188,'Set up'!$A$2:$E$48,5,FALSE)</f>
        <v>Trsf</v>
      </c>
    </row>
    <row r="2189" spans="1:19" ht="15" customHeight="1" x14ac:dyDescent="0.3">
      <c r="A2189" s="4" t="s">
        <v>1997</v>
      </c>
      <c r="B2189" s="5">
        <f t="shared" si="762"/>
        <v>10</v>
      </c>
      <c r="C2189" s="5">
        <f t="shared" si="763"/>
        <v>2023</v>
      </c>
      <c r="D2189" s="88" t="s">
        <v>1996</v>
      </c>
      <c r="E2189" s="5" t="str">
        <f>VLOOKUP(F2189,'Set up'!$A$2:$C$48,2,FALSE)</f>
        <v>C00000020</v>
      </c>
      <c r="F2189" s="1" t="s">
        <v>410</v>
      </c>
      <c r="G2189" s="99" t="s">
        <v>1074</v>
      </c>
      <c r="H2189" s="5">
        <v>1</v>
      </c>
      <c r="I2189" s="5" t="str">
        <f>VLOOKUP(F2189,'Set up'!$A$2:$C$48,3,FALSE)</f>
        <v>Cash</v>
      </c>
      <c r="J2189" s="5">
        <f>VLOOKUP(F2189,'Set up'!$A$2:$D$48,4,FALSE)</f>
        <v>0</v>
      </c>
      <c r="K2189" s="4">
        <f t="shared" si="757"/>
        <v>45204</v>
      </c>
      <c r="L2189" s="5">
        <f t="shared" si="758"/>
        <v>10</v>
      </c>
      <c r="M2189" s="5">
        <f t="shared" si="759"/>
        <v>2023</v>
      </c>
      <c r="N2189" s="96">
        <v>1000</v>
      </c>
      <c r="P2189" s="6">
        <f t="shared" si="755"/>
        <v>1000</v>
      </c>
      <c r="Q2189" s="7">
        <f t="shared" si="761"/>
        <v>3705381.350000002</v>
      </c>
      <c r="R2189" s="44" t="str">
        <f>VLOOKUP(F2189,'Set up'!$A$2:$E$48,5,FALSE)</f>
        <v>Trsf</v>
      </c>
    </row>
    <row r="2190" spans="1:19" ht="15" hidden="1" customHeight="1" x14ac:dyDescent="0.3">
      <c r="A2190" s="4">
        <v>45205</v>
      </c>
      <c r="B2190" s="5">
        <f t="shared" si="762"/>
        <v>10</v>
      </c>
      <c r="C2190" s="5">
        <f t="shared" si="763"/>
        <v>2023</v>
      </c>
      <c r="D2190" s="88" t="s">
        <v>1998</v>
      </c>
      <c r="E2190" s="5" t="str">
        <f>VLOOKUP(F2190,'Set up'!$A$2:$C$48,2,FALSE)</f>
        <v>C00000022</v>
      </c>
      <c r="F2190" s="1" t="s">
        <v>638</v>
      </c>
      <c r="G2190" s="99" t="s">
        <v>1999</v>
      </c>
      <c r="H2190" s="5">
        <v>1</v>
      </c>
      <c r="I2190" s="5" t="str">
        <f>VLOOKUP(F2190,'Set up'!$A$2:$C$48,3,FALSE)</f>
        <v>Cash</v>
      </c>
      <c r="J2190" s="5">
        <f>VLOOKUP(F2190,'Set up'!$A$2:$D$48,4,FALSE)</f>
        <v>0</v>
      </c>
      <c r="K2190" s="4">
        <f t="shared" si="757"/>
        <v>45205</v>
      </c>
      <c r="L2190" s="5">
        <f t="shared" si="758"/>
        <v>10</v>
      </c>
      <c r="M2190" s="5">
        <f t="shared" si="759"/>
        <v>2023</v>
      </c>
      <c r="N2190" s="96">
        <v>3600</v>
      </c>
      <c r="P2190" s="6">
        <f t="shared" si="755"/>
        <v>3600</v>
      </c>
      <c r="Q2190" s="7">
        <f t="shared" si="761"/>
        <v>3708981.350000002</v>
      </c>
      <c r="R2190" s="44" t="str">
        <f>VLOOKUP(F2190,'Set up'!$A$2:$E$48,5,FALSE)</f>
        <v>Trsf</v>
      </c>
    </row>
    <row r="2191" spans="1:19" ht="15" hidden="1" customHeight="1" x14ac:dyDescent="0.3">
      <c r="A2191" s="4">
        <v>45205</v>
      </c>
      <c r="B2191" s="5">
        <f t="shared" si="762"/>
        <v>10</v>
      </c>
      <c r="C2191" s="5">
        <f t="shared" si="763"/>
        <v>2023</v>
      </c>
      <c r="D2191" s="88" t="s">
        <v>1998</v>
      </c>
      <c r="E2191" s="5" t="str">
        <f>VLOOKUP(F2191,'Set up'!$A$2:$C$48,2,FALSE)</f>
        <v>C00000022</v>
      </c>
      <c r="F2191" s="1" t="s">
        <v>638</v>
      </c>
      <c r="G2191" s="99" t="s">
        <v>914</v>
      </c>
      <c r="H2191" s="5">
        <v>2</v>
      </c>
      <c r="I2191" s="5" t="str">
        <f>VLOOKUP(F2191,'Set up'!$A$2:$C$48,3,FALSE)</f>
        <v>Cash</v>
      </c>
      <c r="J2191" s="5">
        <f>VLOOKUP(F2191,'Set up'!$A$2:$D$48,4,FALSE)</f>
        <v>0</v>
      </c>
      <c r="K2191" s="4">
        <f t="shared" si="757"/>
        <v>45205</v>
      </c>
      <c r="L2191" s="5">
        <f t="shared" si="758"/>
        <v>10</v>
      </c>
      <c r="M2191" s="5">
        <f t="shared" si="759"/>
        <v>2023</v>
      </c>
      <c r="N2191" s="96">
        <v>468</v>
      </c>
      <c r="P2191" s="6">
        <f t="shared" si="755"/>
        <v>468</v>
      </c>
      <c r="Q2191" s="7">
        <f t="shared" si="761"/>
        <v>3709449.350000002</v>
      </c>
      <c r="R2191" s="44" t="str">
        <f>VLOOKUP(F2191,'Set up'!$A$2:$E$48,5,FALSE)</f>
        <v>Trsf</v>
      </c>
    </row>
    <row r="2192" spans="1:19" ht="15" hidden="1" customHeight="1" x14ac:dyDescent="0.3">
      <c r="A2192" s="4">
        <v>45205</v>
      </c>
      <c r="B2192" s="5">
        <f t="shared" si="762"/>
        <v>10</v>
      </c>
      <c r="C2192" s="5">
        <f t="shared" si="763"/>
        <v>2023</v>
      </c>
      <c r="D2192" s="88" t="s">
        <v>2000</v>
      </c>
      <c r="E2192" s="5" t="str">
        <f>VLOOKUP(F2192,'Set up'!$A$2:$C$48,2,FALSE)</f>
        <v>C00000010</v>
      </c>
      <c r="F2192" s="1" t="s">
        <v>62</v>
      </c>
      <c r="G2192" s="99" t="s">
        <v>1179</v>
      </c>
      <c r="H2192" s="5">
        <v>6</v>
      </c>
      <c r="I2192" s="5">
        <f>VLOOKUP(F2192,'Set up'!$A$2:$C$48,3,FALSE)</f>
        <v>120</v>
      </c>
      <c r="J2192" s="5">
        <f>VLOOKUP(F2192,'Set up'!$A$2:$D$48,4,FALSE)</f>
        <v>120</v>
      </c>
      <c r="K2192" s="4">
        <f t="shared" si="757"/>
        <v>45325</v>
      </c>
      <c r="L2192" s="5">
        <f t="shared" si="758"/>
        <v>2</v>
      </c>
      <c r="M2192" s="5">
        <f t="shared" si="759"/>
        <v>2024</v>
      </c>
      <c r="N2192" s="96">
        <v>9636</v>
      </c>
      <c r="P2192" s="6">
        <f t="shared" si="755"/>
        <v>9636</v>
      </c>
      <c r="Q2192" s="7">
        <f t="shared" si="761"/>
        <v>3719085.350000002</v>
      </c>
      <c r="R2192" s="44" t="str">
        <f>VLOOKUP(F2192,'Set up'!$A$2:$E$48,5,FALSE)</f>
        <v>Trsf</v>
      </c>
    </row>
    <row r="2193" spans="1:19" ht="15" hidden="1" customHeight="1" x14ac:dyDescent="0.3">
      <c r="A2193" s="4">
        <v>45205</v>
      </c>
      <c r="B2193" s="5">
        <f t="shared" si="762"/>
        <v>10</v>
      </c>
      <c r="C2193" s="5">
        <f t="shared" si="763"/>
        <v>2023</v>
      </c>
      <c r="D2193" s="88" t="s">
        <v>2000</v>
      </c>
      <c r="E2193" s="5" t="str">
        <f>VLOOKUP(F2193,'Set up'!$A$2:$C$48,2,FALSE)</f>
        <v>C00000010</v>
      </c>
      <c r="F2193" s="1" t="s">
        <v>62</v>
      </c>
      <c r="G2193" s="99" t="s">
        <v>1544</v>
      </c>
      <c r="H2193" s="5">
        <v>5</v>
      </c>
      <c r="I2193" s="5">
        <f>VLOOKUP(F2193,'Set up'!$A$2:$C$48,3,FALSE)</f>
        <v>120</v>
      </c>
      <c r="J2193" s="5">
        <f>VLOOKUP(F2193,'Set up'!$A$2:$D$48,4,FALSE)</f>
        <v>120</v>
      </c>
      <c r="K2193" s="4">
        <f t="shared" si="757"/>
        <v>45325</v>
      </c>
      <c r="L2193" s="5">
        <f t="shared" si="758"/>
        <v>2</v>
      </c>
      <c r="M2193" s="5">
        <f t="shared" si="759"/>
        <v>2024</v>
      </c>
      <c r="N2193" s="96">
        <v>900</v>
      </c>
      <c r="P2193" s="6">
        <f t="shared" si="755"/>
        <v>900</v>
      </c>
      <c r="Q2193" s="7">
        <f t="shared" si="761"/>
        <v>3719985.350000002</v>
      </c>
      <c r="R2193" s="44" t="str">
        <f>VLOOKUP(F2193,'Set up'!$A$2:$E$48,5,FALSE)</f>
        <v>Trsf</v>
      </c>
    </row>
    <row r="2194" spans="1:19" ht="15" hidden="1" customHeight="1" x14ac:dyDescent="0.3">
      <c r="A2194" s="4">
        <v>45205</v>
      </c>
      <c r="B2194" s="5">
        <f t="shared" si="762"/>
        <v>10</v>
      </c>
      <c r="C2194" s="5">
        <f t="shared" si="763"/>
        <v>2023</v>
      </c>
      <c r="D2194" s="88" t="s">
        <v>2000</v>
      </c>
      <c r="E2194" s="5" t="str">
        <f>VLOOKUP(F2194,'Set up'!$A$2:$C$48,2,FALSE)</f>
        <v>C00000010</v>
      </c>
      <c r="F2194" s="1" t="s">
        <v>62</v>
      </c>
      <c r="G2194" s="99" t="s">
        <v>792</v>
      </c>
      <c r="H2194" s="5">
        <v>10</v>
      </c>
      <c r="I2194" s="5">
        <f>VLOOKUP(F2194,'Set up'!$A$2:$C$48,3,FALSE)</f>
        <v>120</v>
      </c>
      <c r="J2194" s="5">
        <f>VLOOKUP(F2194,'Set up'!$A$2:$D$48,4,FALSE)</f>
        <v>120</v>
      </c>
      <c r="K2194" s="4">
        <f t="shared" si="757"/>
        <v>45325</v>
      </c>
      <c r="L2194" s="5">
        <f t="shared" si="758"/>
        <v>2</v>
      </c>
      <c r="M2194" s="5">
        <f t="shared" si="759"/>
        <v>2024</v>
      </c>
      <c r="N2194" s="96">
        <v>575</v>
      </c>
      <c r="P2194" s="6">
        <f t="shared" si="755"/>
        <v>575</v>
      </c>
      <c r="Q2194" s="7">
        <f t="shared" si="761"/>
        <v>3720560.350000002</v>
      </c>
      <c r="R2194" s="44" t="str">
        <f>VLOOKUP(F2194,'Set up'!$A$2:$E$48,5,FALSE)</f>
        <v>Trsf</v>
      </c>
    </row>
    <row r="2195" spans="1:19" ht="15" hidden="1" customHeight="1" x14ac:dyDescent="0.3">
      <c r="A2195" s="4">
        <v>45205</v>
      </c>
      <c r="B2195" s="5">
        <f t="shared" si="762"/>
        <v>10</v>
      </c>
      <c r="C2195" s="5">
        <f t="shared" si="763"/>
        <v>2023</v>
      </c>
      <c r="D2195" s="88" t="s">
        <v>2000</v>
      </c>
      <c r="E2195" s="5" t="str">
        <f>VLOOKUP(F2195,'Set up'!$A$2:$C$48,2,FALSE)</f>
        <v>C00000010</v>
      </c>
      <c r="F2195" s="1" t="s">
        <v>62</v>
      </c>
      <c r="G2195" s="99" t="s">
        <v>46</v>
      </c>
      <c r="H2195" s="5">
        <v>4</v>
      </c>
      <c r="I2195" s="5">
        <f>VLOOKUP(F2195,'Set up'!$A$2:$C$48,3,FALSE)</f>
        <v>120</v>
      </c>
      <c r="J2195" s="5">
        <f>VLOOKUP(F2195,'Set up'!$A$2:$D$48,4,FALSE)</f>
        <v>120</v>
      </c>
      <c r="K2195" s="4">
        <f t="shared" si="757"/>
        <v>45325</v>
      </c>
      <c r="L2195" s="5">
        <f t="shared" si="758"/>
        <v>2</v>
      </c>
      <c r="M2195" s="5">
        <f t="shared" si="759"/>
        <v>2024</v>
      </c>
      <c r="N2195" s="96">
        <v>420</v>
      </c>
      <c r="P2195" s="6">
        <f t="shared" si="755"/>
        <v>420</v>
      </c>
      <c r="Q2195" s="7">
        <f t="shared" si="761"/>
        <v>3720980.350000002</v>
      </c>
      <c r="R2195" s="44" t="str">
        <f>VLOOKUP(F2195,'Set up'!$A$2:$E$48,5,FALSE)</f>
        <v>Trsf</v>
      </c>
    </row>
    <row r="2196" spans="1:19" ht="15" hidden="1" customHeight="1" x14ac:dyDescent="0.3">
      <c r="A2196" s="4">
        <v>45205</v>
      </c>
      <c r="B2196" s="5">
        <f t="shared" si="762"/>
        <v>10</v>
      </c>
      <c r="C2196" s="5">
        <f t="shared" si="763"/>
        <v>2023</v>
      </c>
      <c r="D2196" s="88" t="s">
        <v>2000</v>
      </c>
      <c r="E2196" s="5" t="str">
        <f>VLOOKUP(F2196,'Set up'!$A$2:$C$48,2,FALSE)</f>
        <v>C00000010</v>
      </c>
      <c r="F2196" s="1" t="s">
        <v>62</v>
      </c>
      <c r="G2196" s="99" t="s">
        <v>44</v>
      </c>
      <c r="H2196" s="5">
        <v>1</v>
      </c>
      <c r="I2196" s="5">
        <f>VLOOKUP(F2196,'Set up'!$A$2:$C$48,3,FALSE)</f>
        <v>120</v>
      </c>
      <c r="J2196" s="5">
        <f>VLOOKUP(F2196,'Set up'!$A$2:$D$48,4,FALSE)</f>
        <v>120</v>
      </c>
      <c r="K2196" s="4">
        <f t="shared" si="757"/>
        <v>45325</v>
      </c>
      <c r="L2196" s="5">
        <f t="shared" si="758"/>
        <v>2</v>
      </c>
      <c r="M2196" s="5">
        <f t="shared" si="759"/>
        <v>2024</v>
      </c>
      <c r="N2196" s="96">
        <v>238</v>
      </c>
      <c r="P2196" s="6">
        <f t="shared" si="755"/>
        <v>238</v>
      </c>
      <c r="Q2196" s="7">
        <f t="shared" si="761"/>
        <v>3721218.350000002</v>
      </c>
      <c r="R2196" s="44" t="str">
        <f>VLOOKUP(F2196,'Set up'!$A$2:$E$48,5,FALSE)</f>
        <v>Trsf</v>
      </c>
    </row>
    <row r="2197" spans="1:19" ht="15" customHeight="1" x14ac:dyDescent="0.3">
      <c r="A2197" s="4">
        <v>45205</v>
      </c>
      <c r="B2197" s="5">
        <f t="shared" si="762"/>
        <v>10</v>
      </c>
      <c r="C2197" s="5">
        <f t="shared" si="763"/>
        <v>2023</v>
      </c>
      <c r="D2197" s="88" t="s">
        <v>2001</v>
      </c>
      <c r="E2197" s="5" t="str">
        <f>VLOOKUP(F2197,'Set up'!$A$2:$C$48,2,FALSE)</f>
        <v>C00000020</v>
      </c>
      <c r="F2197" s="1" t="s">
        <v>410</v>
      </c>
      <c r="G2197" s="99" t="s">
        <v>1111</v>
      </c>
      <c r="H2197" s="5">
        <v>4</v>
      </c>
      <c r="I2197" s="5" t="str">
        <f>VLOOKUP(F2197,'Set up'!$A$2:$C$48,3,FALSE)</f>
        <v>Cash</v>
      </c>
      <c r="J2197" s="5">
        <f>VLOOKUP(F2197,'Set up'!$A$2:$D$48,4,FALSE)</f>
        <v>0</v>
      </c>
      <c r="K2197" s="4">
        <f t="shared" si="757"/>
        <v>45205</v>
      </c>
      <c r="L2197" s="5">
        <f t="shared" si="758"/>
        <v>10</v>
      </c>
      <c r="M2197" s="5">
        <f t="shared" si="759"/>
        <v>2023</v>
      </c>
      <c r="N2197" s="96">
        <v>250</v>
      </c>
      <c r="P2197" s="6">
        <f t="shared" si="755"/>
        <v>250</v>
      </c>
      <c r="Q2197" s="7">
        <f t="shared" si="761"/>
        <v>3721468.350000002</v>
      </c>
      <c r="R2197" s="44" t="str">
        <f>VLOOKUP(F2197,'Set up'!$A$2:$E$48,5,FALSE)</f>
        <v>Trsf</v>
      </c>
    </row>
    <row r="2198" spans="1:19" ht="15" customHeight="1" x14ac:dyDescent="0.3">
      <c r="A2198" s="4">
        <v>45205</v>
      </c>
      <c r="B2198" s="5">
        <f t="shared" si="762"/>
        <v>10</v>
      </c>
      <c r="C2198" s="5">
        <f t="shared" si="763"/>
        <v>2023</v>
      </c>
      <c r="D2198" s="88" t="s">
        <v>2001</v>
      </c>
      <c r="E2198" s="5" t="str">
        <f>VLOOKUP(F2198,'Set up'!$A$2:$C$48,2,FALSE)</f>
        <v>C00000020</v>
      </c>
      <c r="F2198" s="1" t="s">
        <v>410</v>
      </c>
      <c r="G2198" s="99" t="s">
        <v>914</v>
      </c>
      <c r="H2198" s="5">
        <v>2</v>
      </c>
      <c r="I2198" s="5" t="str">
        <f>VLOOKUP(F2198,'Set up'!$A$2:$C$48,3,FALSE)</f>
        <v>Cash</v>
      </c>
      <c r="J2198" s="5">
        <f>VLOOKUP(F2198,'Set up'!$A$2:$D$48,4,FALSE)</f>
        <v>0</v>
      </c>
      <c r="K2198" s="4">
        <f t="shared" si="757"/>
        <v>45205</v>
      </c>
      <c r="L2198" s="5">
        <f t="shared" si="758"/>
        <v>10</v>
      </c>
      <c r="M2198" s="5">
        <f t="shared" si="759"/>
        <v>2023</v>
      </c>
      <c r="N2198" s="96">
        <v>360</v>
      </c>
      <c r="P2198" s="6">
        <f t="shared" si="755"/>
        <v>360</v>
      </c>
      <c r="Q2198" s="7">
        <f t="shared" si="761"/>
        <v>3721828.350000002</v>
      </c>
      <c r="R2198" s="44" t="str">
        <f>VLOOKUP(F2198,'Set up'!$A$2:$E$48,5,FALSE)</f>
        <v>Trsf</v>
      </c>
    </row>
    <row r="2199" spans="1:19" ht="15" hidden="1" customHeight="1" x14ac:dyDescent="0.3">
      <c r="A2199" s="4">
        <v>45206</v>
      </c>
      <c r="B2199" s="5">
        <f t="shared" si="762"/>
        <v>10</v>
      </c>
      <c r="C2199" s="5">
        <f t="shared" si="763"/>
        <v>2023</v>
      </c>
      <c r="D2199" s="88" t="s">
        <v>2002</v>
      </c>
      <c r="E2199" s="5" t="str">
        <f>VLOOKUP(F2199,'Set up'!$A$2:$C$48,2,FALSE)</f>
        <v>C00000006</v>
      </c>
      <c r="F2199" s="1" t="s">
        <v>43</v>
      </c>
      <c r="G2199" s="99" t="s">
        <v>95</v>
      </c>
      <c r="H2199" s="5">
        <v>2</v>
      </c>
      <c r="I2199" s="5" t="str">
        <f>VLOOKUP(F2199,'Set up'!$A$2:$C$48,3,FALSE)</f>
        <v>Cash</v>
      </c>
      <c r="J2199" s="5">
        <f>VLOOKUP(F2199,'Set up'!$A$2:$D$48,4,FALSE)</f>
        <v>0</v>
      </c>
      <c r="K2199" s="4">
        <f t="shared" si="757"/>
        <v>45206</v>
      </c>
      <c r="L2199" s="5">
        <f t="shared" si="758"/>
        <v>10</v>
      </c>
      <c r="M2199" s="5">
        <f t="shared" si="759"/>
        <v>2023</v>
      </c>
      <c r="N2199" s="96">
        <v>3476</v>
      </c>
      <c r="O2199" s="6">
        <f>-N2199</f>
        <v>-3476</v>
      </c>
      <c r="P2199" s="6">
        <f t="shared" si="755"/>
        <v>0</v>
      </c>
      <c r="Q2199" s="7">
        <f t="shared" si="761"/>
        <v>3725304.350000002</v>
      </c>
      <c r="R2199" s="44" t="str">
        <f>VLOOKUP(F2199,'Set up'!$A$2:$E$48,5,FALSE)</f>
        <v>Chq</v>
      </c>
      <c r="S2199" s="1" t="s">
        <v>2325</v>
      </c>
    </row>
    <row r="2200" spans="1:19" ht="15" hidden="1" customHeight="1" x14ac:dyDescent="0.3">
      <c r="A2200" s="4">
        <v>45206</v>
      </c>
      <c r="B2200" s="5">
        <f t="shared" si="762"/>
        <v>10</v>
      </c>
      <c r="C2200" s="5">
        <f t="shared" si="763"/>
        <v>2023</v>
      </c>
      <c r="D2200" s="88" t="s">
        <v>2002</v>
      </c>
      <c r="E2200" s="5" t="str">
        <f>VLOOKUP(F2200,'Set up'!$A$2:$C$48,2,FALSE)</f>
        <v>C00000006</v>
      </c>
      <c r="F2200" s="1" t="s">
        <v>43</v>
      </c>
      <c r="G2200" s="99" t="s">
        <v>1797</v>
      </c>
      <c r="H2200" s="5">
        <v>3</v>
      </c>
      <c r="I2200" s="5" t="str">
        <f>VLOOKUP(F2200,'Set up'!$A$2:$C$48,3,FALSE)</f>
        <v>Cash</v>
      </c>
      <c r="J2200" s="5">
        <f>VLOOKUP(F2200,'Set up'!$A$2:$D$48,4,FALSE)</f>
        <v>0</v>
      </c>
      <c r="K2200" s="4">
        <f t="shared" si="757"/>
        <v>45206</v>
      </c>
      <c r="L2200" s="5">
        <f t="shared" si="758"/>
        <v>10</v>
      </c>
      <c r="M2200" s="5">
        <f t="shared" si="759"/>
        <v>2023</v>
      </c>
      <c r="N2200" s="96">
        <v>702</v>
      </c>
      <c r="O2200" s="6">
        <f>-N2200</f>
        <v>-702</v>
      </c>
      <c r="P2200" s="6">
        <f t="shared" si="755"/>
        <v>0</v>
      </c>
      <c r="Q2200" s="7">
        <f t="shared" si="761"/>
        <v>3726006.350000002</v>
      </c>
      <c r="R2200" s="44" t="str">
        <f>VLOOKUP(F2200,'Set up'!$A$2:$E$48,5,FALSE)</f>
        <v>Chq</v>
      </c>
      <c r="S2200" s="1" t="s">
        <v>2324</v>
      </c>
    </row>
    <row r="2201" spans="1:19" ht="15" hidden="1" customHeight="1" x14ac:dyDescent="0.3">
      <c r="A2201" s="4">
        <v>45206</v>
      </c>
      <c r="B2201" s="5">
        <f t="shared" si="762"/>
        <v>10</v>
      </c>
      <c r="C2201" s="5">
        <f t="shared" si="763"/>
        <v>2023</v>
      </c>
      <c r="D2201" s="88" t="s">
        <v>2002</v>
      </c>
      <c r="E2201" s="5" t="str">
        <f>VLOOKUP(F2201,'Set up'!$A$2:$C$48,2,FALSE)</f>
        <v>C00000006</v>
      </c>
      <c r="F2201" s="1" t="s">
        <v>43</v>
      </c>
      <c r="G2201" s="99" t="s">
        <v>1913</v>
      </c>
      <c r="H2201" s="5">
        <v>1</v>
      </c>
      <c r="I2201" s="5" t="str">
        <f>VLOOKUP(F2201,'Set up'!$A$2:$C$48,3,FALSE)</f>
        <v>Cash</v>
      </c>
      <c r="J2201" s="5">
        <f>VLOOKUP(F2201,'Set up'!$A$2:$D$48,4,FALSE)</f>
        <v>0</v>
      </c>
      <c r="K2201" s="4">
        <f t="shared" si="757"/>
        <v>45206</v>
      </c>
      <c r="L2201" s="5">
        <f t="shared" si="758"/>
        <v>10</v>
      </c>
      <c r="M2201" s="5">
        <f t="shared" si="759"/>
        <v>2023</v>
      </c>
      <c r="N2201" s="96">
        <v>421.2</v>
      </c>
      <c r="O2201" s="6">
        <f>-421</f>
        <v>-421</v>
      </c>
      <c r="P2201" s="6">
        <f t="shared" si="755"/>
        <v>0.19999999999998863</v>
      </c>
      <c r="Q2201" s="7">
        <f t="shared" si="761"/>
        <v>3726427.5500000021</v>
      </c>
      <c r="R2201" s="44" t="str">
        <f>VLOOKUP(F2201,'Set up'!$A$2:$E$48,5,FALSE)</f>
        <v>Chq</v>
      </c>
      <c r="S2201" s="1" t="s">
        <v>2326</v>
      </c>
    </row>
    <row r="2202" spans="1:19" ht="15" hidden="1" customHeight="1" x14ac:dyDescent="0.3">
      <c r="A2202" s="4">
        <v>45206</v>
      </c>
      <c r="B2202" s="5">
        <f t="shared" si="762"/>
        <v>10</v>
      </c>
      <c r="C2202" s="5">
        <f t="shared" si="763"/>
        <v>2023</v>
      </c>
      <c r="D2202" s="88" t="s">
        <v>2002</v>
      </c>
      <c r="E2202" s="5" t="str">
        <f>VLOOKUP(F2202,'Set up'!$A$2:$C$48,2,FALSE)</f>
        <v>C00000006</v>
      </c>
      <c r="F2202" s="1" t="s">
        <v>43</v>
      </c>
      <c r="G2202" s="99" t="s">
        <v>46</v>
      </c>
      <c r="H2202" s="5">
        <v>2</v>
      </c>
      <c r="I2202" s="5" t="str">
        <f>VLOOKUP(F2202,'Set up'!$A$2:$C$48,3,FALSE)</f>
        <v>Cash</v>
      </c>
      <c r="J2202" s="5">
        <f>VLOOKUP(F2202,'Set up'!$A$2:$D$48,4,FALSE)</f>
        <v>0</v>
      </c>
      <c r="K2202" s="4">
        <f t="shared" si="757"/>
        <v>45206</v>
      </c>
      <c r="L2202" s="5">
        <f t="shared" si="758"/>
        <v>10</v>
      </c>
      <c r="M2202" s="5">
        <f t="shared" si="759"/>
        <v>2023</v>
      </c>
      <c r="N2202" s="96">
        <v>210</v>
      </c>
      <c r="O2202" s="6">
        <f>-N2202</f>
        <v>-210</v>
      </c>
      <c r="P2202" s="6">
        <f t="shared" si="755"/>
        <v>0</v>
      </c>
      <c r="Q2202" s="7">
        <f t="shared" si="761"/>
        <v>3726637.5500000021</v>
      </c>
      <c r="R2202" s="44" t="str">
        <f>VLOOKUP(F2202,'Set up'!$A$2:$E$48,5,FALSE)</f>
        <v>Chq</v>
      </c>
      <c r="S2202" s="1" t="s">
        <v>2324</v>
      </c>
    </row>
    <row r="2203" spans="1:19" ht="15" hidden="1" customHeight="1" x14ac:dyDescent="0.3">
      <c r="A2203" s="4">
        <v>45206</v>
      </c>
      <c r="B2203" s="5">
        <f t="shared" si="762"/>
        <v>10</v>
      </c>
      <c r="C2203" s="5">
        <f t="shared" si="763"/>
        <v>2023</v>
      </c>
      <c r="D2203" s="88" t="s">
        <v>2002</v>
      </c>
      <c r="E2203" s="5" t="str">
        <f>VLOOKUP(F2203,'Set up'!$A$2:$C$48,2,FALSE)</f>
        <v>C00000006</v>
      </c>
      <c r="F2203" s="1" t="s">
        <v>43</v>
      </c>
      <c r="G2203" s="99" t="s">
        <v>44</v>
      </c>
      <c r="H2203" s="5">
        <v>1</v>
      </c>
      <c r="I2203" s="5" t="str">
        <f>VLOOKUP(F2203,'Set up'!$A$2:$C$48,3,FALSE)</f>
        <v>Cash</v>
      </c>
      <c r="J2203" s="5">
        <f>VLOOKUP(F2203,'Set up'!$A$2:$D$48,4,FALSE)</f>
        <v>0</v>
      </c>
      <c r="K2203" s="4">
        <f t="shared" si="757"/>
        <v>45206</v>
      </c>
      <c r="L2203" s="5">
        <f t="shared" si="758"/>
        <v>10</v>
      </c>
      <c r="M2203" s="5">
        <f t="shared" si="759"/>
        <v>2023</v>
      </c>
      <c r="N2203" s="96">
        <v>258</v>
      </c>
      <c r="O2203" s="6">
        <f>-N2203</f>
        <v>-258</v>
      </c>
      <c r="P2203" s="6">
        <f t="shared" si="755"/>
        <v>0</v>
      </c>
      <c r="Q2203" s="7">
        <f t="shared" si="761"/>
        <v>3726895.5500000021</v>
      </c>
      <c r="R2203" s="44" t="str">
        <f>VLOOKUP(F2203,'Set up'!$A$2:$E$48,5,FALSE)</f>
        <v>Chq</v>
      </c>
      <c r="S2203" s="1" t="s">
        <v>2324</v>
      </c>
    </row>
    <row r="2204" spans="1:19" ht="15" customHeight="1" x14ac:dyDescent="0.3">
      <c r="A2204" s="4">
        <v>45211</v>
      </c>
      <c r="B2204" s="5">
        <f t="shared" si="762"/>
        <v>10</v>
      </c>
      <c r="C2204" s="5">
        <f t="shared" si="763"/>
        <v>2023</v>
      </c>
      <c r="D2204" s="88" t="s">
        <v>2003</v>
      </c>
      <c r="E2204" s="5" t="str">
        <f>VLOOKUP(F2204,'Set up'!$A$2:$C$48,2,FALSE)</f>
        <v>C00000020</v>
      </c>
      <c r="F2204" s="1" t="s">
        <v>410</v>
      </c>
      <c r="G2204" s="99" t="s">
        <v>1111</v>
      </c>
      <c r="H2204" s="5">
        <v>2</v>
      </c>
      <c r="I2204" s="5" t="str">
        <f>VLOOKUP(F2204,'Set up'!$A$2:$C$48,3,FALSE)</f>
        <v>Cash</v>
      </c>
      <c r="J2204" s="5">
        <f>VLOOKUP(F2204,'Set up'!$A$2:$D$48,4,FALSE)</f>
        <v>0</v>
      </c>
      <c r="K2204" s="4">
        <f t="shared" si="757"/>
        <v>45211</v>
      </c>
      <c r="L2204" s="5">
        <f t="shared" si="758"/>
        <v>10</v>
      </c>
      <c r="M2204" s="5">
        <f t="shared" si="759"/>
        <v>2023</v>
      </c>
      <c r="N2204" s="96">
        <v>125</v>
      </c>
      <c r="P2204" s="6">
        <f t="shared" si="755"/>
        <v>125</v>
      </c>
      <c r="Q2204" s="7">
        <f t="shared" si="761"/>
        <v>3727020.5500000021</v>
      </c>
      <c r="R2204" s="44" t="str">
        <f>VLOOKUP(F2204,'Set up'!$A$2:$E$48,5,FALSE)</f>
        <v>Trsf</v>
      </c>
    </row>
    <row r="2205" spans="1:19" ht="15" customHeight="1" x14ac:dyDescent="0.3">
      <c r="A2205" s="4">
        <v>45211</v>
      </c>
      <c r="B2205" s="5">
        <f t="shared" si="762"/>
        <v>10</v>
      </c>
      <c r="C2205" s="5">
        <f t="shared" si="763"/>
        <v>2023</v>
      </c>
      <c r="D2205" s="88" t="s">
        <v>2003</v>
      </c>
      <c r="E2205" s="5" t="str">
        <f>VLOOKUP(F2205,'Set up'!$A$2:$C$48,2,FALSE)</f>
        <v>C00000020</v>
      </c>
      <c r="F2205" s="1" t="s">
        <v>410</v>
      </c>
      <c r="G2205" s="99" t="s">
        <v>2004</v>
      </c>
      <c r="H2205" s="5">
        <v>1</v>
      </c>
      <c r="I2205" s="5" t="str">
        <f>VLOOKUP(F2205,'Set up'!$A$2:$C$48,3,FALSE)</f>
        <v>Cash</v>
      </c>
      <c r="J2205" s="5">
        <f>VLOOKUP(F2205,'Set up'!$A$2:$D$48,4,FALSE)</f>
        <v>0</v>
      </c>
      <c r="K2205" s="4">
        <f t="shared" si="757"/>
        <v>45211</v>
      </c>
      <c r="L2205" s="5">
        <f t="shared" si="758"/>
        <v>10</v>
      </c>
      <c r="M2205" s="5">
        <f t="shared" si="759"/>
        <v>2023</v>
      </c>
      <c r="N2205" s="96">
        <v>900</v>
      </c>
      <c r="P2205" s="6">
        <f t="shared" si="755"/>
        <v>900</v>
      </c>
      <c r="Q2205" s="7">
        <f t="shared" si="761"/>
        <v>3727920.5500000021</v>
      </c>
      <c r="R2205" s="44" t="str">
        <f>VLOOKUP(F2205,'Set up'!$A$2:$E$48,5,FALSE)</f>
        <v>Trsf</v>
      </c>
    </row>
    <row r="2206" spans="1:19" ht="15" hidden="1" customHeight="1" x14ac:dyDescent="0.3">
      <c r="A2206" s="4">
        <v>45209</v>
      </c>
      <c r="B2206" s="5">
        <f t="shared" si="762"/>
        <v>10</v>
      </c>
      <c r="C2206" s="5">
        <f t="shared" si="763"/>
        <v>2023</v>
      </c>
      <c r="D2206" s="88" t="s">
        <v>2005</v>
      </c>
      <c r="E2206" s="5" t="str">
        <f>VLOOKUP(F2206,'Set up'!$A$2:$C$48,2,FALSE)</f>
        <v>C00000022</v>
      </c>
      <c r="F2206" s="1" t="s">
        <v>638</v>
      </c>
      <c r="G2206" s="99" t="s">
        <v>1199</v>
      </c>
      <c r="H2206" s="5">
        <v>1</v>
      </c>
      <c r="I2206" s="5" t="str">
        <f>VLOOKUP(F2206,'Set up'!$A$2:$C$48,3,FALSE)</f>
        <v>Cash</v>
      </c>
      <c r="J2206" s="5">
        <f>VLOOKUP(F2206,'Set up'!$A$2:$D$48,4,FALSE)</f>
        <v>0</v>
      </c>
      <c r="K2206" s="4">
        <f t="shared" si="757"/>
        <v>45209</v>
      </c>
      <c r="L2206" s="5">
        <f t="shared" si="758"/>
        <v>10</v>
      </c>
      <c r="M2206" s="5">
        <f t="shared" si="759"/>
        <v>2023</v>
      </c>
      <c r="N2206" s="96">
        <v>234</v>
      </c>
      <c r="P2206" s="6">
        <f t="shared" si="755"/>
        <v>234</v>
      </c>
      <c r="Q2206" s="7">
        <f t="shared" si="761"/>
        <v>3728154.5500000021</v>
      </c>
      <c r="R2206" s="44" t="str">
        <f>VLOOKUP(F2206,'Set up'!$A$2:$E$48,5,FALSE)</f>
        <v>Trsf</v>
      </c>
    </row>
    <row r="2207" spans="1:19" ht="15" hidden="1" customHeight="1" x14ac:dyDescent="0.3">
      <c r="A2207" s="4">
        <v>45209</v>
      </c>
      <c r="B2207" s="5">
        <f t="shared" si="762"/>
        <v>10</v>
      </c>
      <c r="C2207" s="5">
        <f t="shared" si="763"/>
        <v>2023</v>
      </c>
      <c r="D2207" s="88" t="s">
        <v>2005</v>
      </c>
      <c r="E2207" s="5" t="str">
        <f>VLOOKUP(F2207,'Set up'!$A$2:$C$48,2,FALSE)</f>
        <v>C00000022</v>
      </c>
      <c r="F2207" s="1" t="s">
        <v>638</v>
      </c>
      <c r="G2207" s="99" t="s">
        <v>567</v>
      </c>
      <c r="H2207" s="5">
        <v>1</v>
      </c>
      <c r="I2207" s="5" t="str">
        <f>VLOOKUP(F2207,'Set up'!$A$2:$C$48,3,FALSE)</f>
        <v>Cash</v>
      </c>
      <c r="J2207" s="5">
        <f>VLOOKUP(F2207,'Set up'!$A$2:$D$48,4,FALSE)</f>
        <v>0</v>
      </c>
      <c r="K2207" s="4">
        <f t="shared" si="757"/>
        <v>45209</v>
      </c>
      <c r="L2207" s="5">
        <f t="shared" si="758"/>
        <v>10</v>
      </c>
      <c r="M2207" s="5">
        <f t="shared" si="759"/>
        <v>2023</v>
      </c>
      <c r="N2207" s="96">
        <v>110</v>
      </c>
      <c r="P2207" s="6">
        <f t="shared" si="755"/>
        <v>110</v>
      </c>
      <c r="Q2207" s="7">
        <f t="shared" si="761"/>
        <v>3728264.5500000021</v>
      </c>
      <c r="R2207" s="44" t="str">
        <f>VLOOKUP(F2207,'Set up'!$A$2:$E$48,5,FALSE)</f>
        <v>Trsf</v>
      </c>
    </row>
    <row r="2208" spans="1:19" ht="15" hidden="1" customHeight="1" x14ac:dyDescent="0.3">
      <c r="A2208" s="4" t="s">
        <v>2006</v>
      </c>
      <c r="B2208" s="5">
        <f t="shared" si="762"/>
        <v>10</v>
      </c>
      <c r="C2208" s="5">
        <f t="shared" si="763"/>
        <v>2023</v>
      </c>
      <c r="D2208" s="88" t="s">
        <v>2007</v>
      </c>
      <c r="E2208" s="5" t="str">
        <f>VLOOKUP(F2208,'Set up'!$A$2:$C$48,2,FALSE)</f>
        <v>C00000014</v>
      </c>
      <c r="F2208" s="1" t="s">
        <v>263</v>
      </c>
      <c r="G2208" s="99" t="s">
        <v>304</v>
      </c>
      <c r="H2208" s="5">
        <v>1</v>
      </c>
      <c r="I2208" s="5" t="str">
        <f>VLOOKUP(F2208,'Set up'!$A$2:$C$48,3,FALSE)</f>
        <v>Cash</v>
      </c>
      <c r="J2208" s="5">
        <f>VLOOKUP(F2208,'Set up'!$A$2:$D$48,4,FALSE)</f>
        <v>0</v>
      </c>
      <c r="K2208" s="4">
        <f t="shared" si="757"/>
        <v>45210</v>
      </c>
      <c r="L2208" s="5">
        <f t="shared" si="758"/>
        <v>10</v>
      </c>
      <c r="M2208" s="5">
        <f t="shared" si="759"/>
        <v>2023</v>
      </c>
      <c r="N2208" s="96">
        <v>1694</v>
      </c>
      <c r="O2208" s="6">
        <f t="shared" ref="O2208:O2212" si="764">-N2208</f>
        <v>-1694</v>
      </c>
      <c r="P2208" s="6">
        <f t="shared" si="755"/>
        <v>0</v>
      </c>
      <c r="Q2208" s="7">
        <f t="shared" si="761"/>
        <v>3729958.5500000021</v>
      </c>
      <c r="R2208" s="44" t="str">
        <f>VLOOKUP(F2208,'Set up'!$A$2:$E$48,5,FALSE)</f>
        <v>Cash</v>
      </c>
      <c r="S2208" s="1" t="s">
        <v>2151</v>
      </c>
    </row>
    <row r="2209" spans="1:19" ht="15" hidden="1" customHeight="1" x14ac:dyDescent="0.3">
      <c r="A2209" s="4" t="s">
        <v>2006</v>
      </c>
      <c r="B2209" s="5">
        <f t="shared" si="762"/>
        <v>10</v>
      </c>
      <c r="C2209" s="5">
        <f t="shared" si="763"/>
        <v>2023</v>
      </c>
      <c r="D2209" s="88" t="s">
        <v>2007</v>
      </c>
      <c r="E2209" s="5" t="str">
        <f>VLOOKUP(F2209,'Set up'!$A$2:$C$48,2,FALSE)</f>
        <v>C00000014</v>
      </c>
      <c r="F2209" s="1" t="s">
        <v>263</v>
      </c>
      <c r="G2209" s="99" t="s">
        <v>989</v>
      </c>
      <c r="H2209" s="5">
        <v>3</v>
      </c>
      <c r="I2209" s="5" t="str">
        <f>VLOOKUP(F2209,'Set up'!$A$2:$C$48,3,FALSE)</f>
        <v>Cash</v>
      </c>
      <c r="J2209" s="5">
        <f>VLOOKUP(F2209,'Set up'!$A$2:$D$48,4,FALSE)</f>
        <v>0</v>
      </c>
      <c r="K2209" s="4">
        <f t="shared" si="757"/>
        <v>45210</v>
      </c>
      <c r="L2209" s="5">
        <f t="shared" si="758"/>
        <v>10</v>
      </c>
      <c r="M2209" s="5">
        <f t="shared" si="759"/>
        <v>2023</v>
      </c>
      <c r="N2209" s="96">
        <v>702</v>
      </c>
      <c r="O2209" s="6">
        <f t="shared" si="764"/>
        <v>-702</v>
      </c>
      <c r="P2209" s="6">
        <f t="shared" si="755"/>
        <v>0</v>
      </c>
      <c r="Q2209" s="7">
        <f t="shared" si="761"/>
        <v>3730660.5500000021</v>
      </c>
      <c r="R2209" s="44" t="str">
        <f>VLOOKUP(F2209,'Set up'!$A$2:$E$48,5,FALSE)</f>
        <v>Cash</v>
      </c>
      <c r="S2209" s="1" t="s">
        <v>2151</v>
      </c>
    </row>
    <row r="2210" spans="1:19" ht="15" hidden="1" customHeight="1" x14ac:dyDescent="0.3">
      <c r="A2210" s="4" t="s">
        <v>2006</v>
      </c>
      <c r="B2210" s="5">
        <f t="shared" si="762"/>
        <v>10</v>
      </c>
      <c r="C2210" s="5">
        <f t="shared" si="763"/>
        <v>2023</v>
      </c>
      <c r="D2210" s="88" t="s">
        <v>2007</v>
      </c>
      <c r="E2210" s="5" t="str">
        <f>VLOOKUP(F2210,'Set up'!$A$2:$C$48,2,FALSE)</f>
        <v>C00000014</v>
      </c>
      <c r="F2210" s="1" t="s">
        <v>263</v>
      </c>
      <c r="G2210" s="99" t="s">
        <v>44</v>
      </c>
      <c r="H2210" s="5">
        <v>1</v>
      </c>
      <c r="I2210" s="5" t="str">
        <f>VLOOKUP(F2210,'Set up'!$A$2:$C$48,3,FALSE)</f>
        <v>Cash</v>
      </c>
      <c r="J2210" s="5">
        <f>VLOOKUP(F2210,'Set up'!$A$2:$D$48,4,FALSE)</f>
        <v>0</v>
      </c>
      <c r="K2210" s="4">
        <f t="shared" si="757"/>
        <v>45210</v>
      </c>
      <c r="L2210" s="5">
        <f t="shared" si="758"/>
        <v>10</v>
      </c>
      <c r="M2210" s="5">
        <f t="shared" si="759"/>
        <v>2023</v>
      </c>
      <c r="N2210" s="96">
        <v>258</v>
      </c>
      <c r="O2210" s="6">
        <f t="shared" si="764"/>
        <v>-258</v>
      </c>
      <c r="P2210" s="6">
        <f t="shared" si="755"/>
        <v>0</v>
      </c>
      <c r="Q2210" s="7">
        <f t="shared" si="761"/>
        <v>3730918.5500000021</v>
      </c>
      <c r="R2210" s="44" t="str">
        <f>VLOOKUP(F2210,'Set up'!$A$2:$E$48,5,FALSE)</f>
        <v>Cash</v>
      </c>
      <c r="S2210" s="1" t="s">
        <v>2151</v>
      </c>
    </row>
    <row r="2211" spans="1:19" ht="15" hidden="1" customHeight="1" x14ac:dyDescent="0.3">
      <c r="A2211" s="4" t="s">
        <v>2006</v>
      </c>
      <c r="B2211" s="5">
        <f t="shared" si="762"/>
        <v>10</v>
      </c>
      <c r="C2211" s="5">
        <f t="shared" si="763"/>
        <v>2023</v>
      </c>
      <c r="D2211" s="88" t="s">
        <v>2007</v>
      </c>
      <c r="E2211" s="5" t="str">
        <f>VLOOKUP(F2211,'Set up'!$A$2:$C$48,2,FALSE)</f>
        <v>C00000014</v>
      </c>
      <c r="F2211" s="1" t="s">
        <v>263</v>
      </c>
      <c r="G2211" s="99" t="s">
        <v>17</v>
      </c>
      <c r="H2211" s="5">
        <v>1</v>
      </c>
      <c r="I2211" s="5" t="str">
        <f>VLOOKUP(F2211,'Set up'!$A$2:$C$48,3,FALSE)</f>
        <v>Cash</v>
      </c>
      <c r="J2211" s="5">
        <f>VLOOKUP(F2211,'Set up'!$A$2:$D$48,4,FALSE)</f>
        <v>0</v>
      </c>
      <c r="K2211" s="4">
        <f t="shared" si="757"/>
        <v>45210</v>
      </c>
      <c r="L2211" s="5">
        <f t="shared" si="758"/>
        <v>10</v>
      </c>
      <c r="M2211" s="5">
        <f t="shared" si="759"/>
        <v>2023</v>
      </c>
      <c r="N2211" s="96">
        <v>105</v>
      </c>
      <c r="O2211" s="6">
        <f t="shared" si="764"/>
        <v>-105</v>
      </c>
      <c r="P2211" s="6">
        <f t="shared" si="755"/>
        <v>0</v>
      </c>
      <c r="Q2211" s="7">
        <f t="shared" si="761"/>
        <v>3731023.5500000021</v>
      </c>
      <c r="R2211" s="44" t="str">
        <f>VLOOKUP(F2211,'Set up'!$A$2:$E$48,5,FALSE)</f>
        <v>Cash</v>
      </c>
      <c r="S2211" s="1" t="s">
        <v>2151</v>
      </c>
    </row>
    <row r="2212" spans="1:19" ht="15" hidden="1" customHeight="1" x14ac:dyDescent="0.3">
      <c r="A2212" s="4" t="s">
        <v>2006</v>
      </c>
      <c r="B2212" s="5">
        <f t="shared" si="762"/>
        <v>10</v>
      </c>
      <c r="C2212" s="5">
        <f t="shared" si="763"/>
        <v>2023</v>
      </c>
      <c r="D2212" s="88" t="s">
        <v>2007</v>
      </c>
      <c r="E2212" s="5" t="str">
        <f>VLOOKUP(F2212,'Set up'!$A$2:$C$48,2,FALSE)</f>
        <v>C00000014</v>
      </c>
      <c r="F2212" s="1" t="s">
        <v>263</v>
      </c>
      <c r="G2212" s="99" t="s">
        <v>950</v>
      </c>
      <c r="H2212" s="5">
        <v>3</v>
      </c>
      <c r="I2212" s="5" t="str">
        <f>VLOOKUP(F2212,'Set up'!$A$2:$C$48,3,FALSE)</f>
        <v>Cash</v>
      </c>
      <c r="J2212" s="5">
        <f>VLOOKUP(F2212,'Set up'!$A$2:$D$48,4,FALSE)</f>
        <v>0</v>
      </c>
      <c r="K2212" s="4">
        <f t="shared" si="757"/>
        <v>45210</v>
      </c>
      <c r="L2212" s="5">
        <f t="shared" si="758"/>
        <v>10</v>
      </c>
      <c r="M2212" s="5">
        <f t="shared" si="759"/>
        <v>2023</v>
      </c>
      <c r="N2212" s="96">
        <v>150</v>
      </c>
      <c r="O2212" s="6">
        <f t="shared" si="764"/>
        <v>-150</v>
      </c>
      <c r="P2212" s="6">
        <f t="shared" si="755"/>
        <v>0</v>
      </c>
      <c r="Q2212" s="7">
        <f t="shared" si="761"/>
        <v>3731173.5500000021</v>
      </c>
      <c r="R2212" s="44" t="str">
        <f>VLOOKUP(F2212,'Set up'!$A$2:$E$48,5,FALSE)</f>
        <v>Cash</v>
      </c>
      <c r="S2212" s="1" t="s">
        <v>2151</v>
      </c>
    </row>
    <row r="2213" spans="1:19" ht="15" hidden="1" customHeight="1" x14ac:dyDescent="0.3">
      <c r="A2213" s="4" t="s">
        <v>2006</v>
      </c>
      <c r="B2213" s="5">
        <f t="shared" si="762"/>
        <v>10</v>
      </c>
      <c r="C2213" s="5">
        <f t="shared" si="763"/>
        <v>2023</v>
      </c>
      <c r="D2213" s="88" t="s">
        <v>2009</v>
      </c>
      <c r="E2213" s="5" t="str">
        <f>VLOOKUP(F2213,'Set up'!$A$2:$C$48,2,FALSE)</f>
        <v>C00000034</v>
      </c>
      <c r="F2213" s="1" t="s">
        <v>1197</v>
      </c>
      <c r="G2213" s="99" t="s">
        <v>2008</v>
      </c>
      <c r="H2213" s="5">
        <v>1</v>
      </c>
      <c r="I2213" s="5" t="str">
        <f>VLOOKUP(F2213,'Set up'!$A$2:$C$48,3,FALSE)</f>
        <v>Cash</v>
      </c>
      <c r="J2213" s="5">
        <f>VLOOKUP(F2213,'Set up'!$A$2:$D$48,4,FALSE)</f>
        <v>0</v>
      </c>
      <c r="K2213" s="4">
        <f t="shared" si="757"/>
        <v>45210</v>
      </c>
      <c r="L2213" s="5">
        <f t="shared" si="758"/>
        <v>10</v>
      </c>
      <c r="M2213" s="5">
        <f t="shared" si="759"/>
        <v>2023</v>
      </c>
      <c r="N2213" s="96">
        <v>1732.5</v>
      </c>
      <c r="P2213" s="6">
        <f t="shared" si="755"/>
        <v>1732.5</v>
      </c>
      <c r="Q2213" s="7">
        <f t="shared" si="761"/>
        <v>3732906.0500000021</v>
      </c>
      <c r="R2213" s="44" t="str">
        <f>VLOOKUP(F2213,'Set up'!$A$2:$E$48,5,FALSE)</f>
        <v>Trsf</v>
      </c>
    </row>
    <row r="2214" spans="1:19" ht="15" hidden="1" customHeight="1" x14ac:dyDescent="0.3">
      <c r="A2214" s="4" t="s">
        <v>2006</v>
      </c>
      <c r="B2214" s="5">
        <f t="shared" si="762"/>
        <v>10</v>
      </c>
      <c r="C2214" s="5">
        <f t="shared" si="763"/>
        <v>2023</v>
      </c>
      <c r="D2214" s="88" t="s">
        <v>2009</v>
      </c>
      <c r="E2214" s="5" t="str">
        <f>VLOOKUP(F2214,'Set up'!$A$2:$C$48,2,FALSE)</f>
        <v>C00000034</v>
      </c>
      <c r="F2214" s="1" t="s">
        <v>1197</v>
      </c>
      <c r="G2214" s="99" t="s">
        <v>1111</v>
      </c>
      <c r="H2214" s="5">
        <v>5</v>
      </c>
      <c r="I2214" s="5" t="str">
        <f>VLOOKUP(F2214,'Set up'!$A$2:$C$48,3,FALSE)</f>
        <v>Cash</v>
      </c>
      <c r="J2214" s="5">
        <f>VLOOKUP(F2214,'Set up'!$A$2:$D$48,4,FALSE)</f>
        <v>0</v>
      </c>
      <c r="K2214" s="4">
        <f t="shared" si="757"/>
        <v>45210</v>
      </c>
      <c r="L2214" s="5">
        <f t="shared" si="758"/>
        <v>10</v>
      </c>
      <c r="M2214" s="5">
        <f t="shared" si="759"/>
        <v>2023</v>
      </c>
      <c r="N2214" s="96">
        <v>312.5</v>
      </c>
      <c r="P2214" s="6">
        <f t="shared" si="755"/>
        <v>312.5</v>
      </c>
      <c r="Q2214" s="7">
        <f t="shared" si="761"/>
        <v>3733218.5500000021</v>
      </c>
      <c r="R2214" s="44" t="str">
        <f>VLOOKUP(F2214,'Set up'!$A$2:$E$48,5,FALSE)</f>
        <v>Trsf</v>
      </c>
    </row>
    <row r="2215" spans="1:19" ht="15" hidden="1" customHeight="1" x14ac:dyDescent="0.3">
      <c r="A2215" s="4" t="s">
        <v>2011</v>
      </c>
      <c r="B2215" s="5">
        <f t="shared" ref="B2215:B2228" si="765">MONTH(A2215)</f>
        <v>10</v>
      </c>
      <c r="C2215" s="5">
        <f t="shared" ref="C2215:C2228" si="766">YEAR(A2215)</f>
        <v>2023</v>
      </c>
      <c r="D2215" s="88" t="s">
        <v>2010</v>
      </c>
      <c r="E2215" s="5" t="str">
        <f>VLOOKUP(F2215,'Set up'!$A$2:$C$48,2,FALSE)</f>
        <v>C00000009</v>
      </c>
      <c r="F2215" s="1" t="s">
        <v>58</v>
      </c>
      <c r="G2215" s="99" t="s">
        <v>708</v>
      </c>
      <c r="H2215" s="5">
        <v>2</v>
      </c>
      <c r="I2215" s="5">
        <f>VLOOKUP(F2215,'Set up'!$A$2:$C$48,3,FALSE)</f>
        <v>60</v>
      </c>
      <c r="J2215" s="5">
        <f>VLOOKUP(F2215,'Set up'!$A$2:$D$48,4,FALSE)</f>
        <v>60</v>
      </c>
      <c r="K2215" s="4">
        <f t="shared" ref="K2215:K2219" si="767">A2215+J2215</f>
        <v>45273</v>
      </c>
      <c r="L2215" s="5">
        <f t="shared" ref="L2215:L2219" si="768">MONTH(K2215)</f>
        <v>12</v>
      </c>
      <c r="M2215" s="5">
        <f t="shared" ref="M2215:M2219" si="769">YEAR(K2215)</f>
        <v>2023</v>
      </c>
      <c r="N2215" s="96">
        <v>594</v>
      </c>
      <c r="P2215" s="6">
        <f t="shared" si="755"/>
        <v>594</v>
      </c>
      <c r="Q2215" s="7">
        <f t="shared" ref="Q2215:Q2228" si="770">SUM(Q2214+N2215)</f>
        <v>3733812.5500000021</v>
      </c>
      <c r="R2215" s="44" t="str">
        <f>VLOOKUP(F2215,'Set up'!$A$2:$E$48,5,FALSE)</f>
        <v>Chq</v>
      </c>
    </row>
    <row r="2216" spans="1:19" ht="15" hidden="1" customHeight="1" x14ac:dyDescent="0.3">
      <c r="A2216" s="4" t="s">
        <v>2011</v>
      </c>
      <c r="B2216" s="5">
        <f t="shared" si="765"/>
        <v>10</v>
      </c>
      <c r="C2216" s="5">
        <f t="shared" si="766"/>
        <v>2023</v>
      </c>
      <c r="D2216" s="88" t="s">
        <v>2010</v>
      </c>
      <c r="E2216" s="5" t="str">
        <f>VLOOKUP(F2216,'Set up'!$A$2:$C$48,2,FALSE)</f>
        <v>C00000009</v>
      </c>
      <c r="F2216" s="1" t="s">
        <v>58</v>
      </c>
      <c r="G2216" s="99" t="s">
        <v>1008</v>
      </c>
      <c r="H2216" s="5">
        <v>2</v>
      </c>
      <c r="I2216" s="5">
        <f>VLOOKUP(F2216,'Set up'!$A$2:$C$48,3,FALSE)</f>
        <v>60</v>
      </c>
      <c r="J2216" s="5">
        <f>VLOOKUP(F2216,'Set up'!$A$2:$D$48,4,FALSE)</f>
        <v>60</v>
      </c>
      <c r="K2216" s="4">
        <f t="shared" si="767"/>
        <v>45273</v>
      </c>
      <c r="L2216" s="5">
        <f t="shared" si="768"/>
        <v>12</v>
      </c>
      <c r="M2216" s="5">
        <f t="shared" si="769"/>
        <v>2023</v>
      </c>
      <c r="N2216" s="96">
        <v>594</v>
      </c>
      <c r="P2216" s="6">
        <f t="shared" si="755"/>
        <v>594</v>
      </c>
      <c r="Q2216" s="7">
        <f t="shared" si="770"/>
        <v>3734406.5500000021</v>
      </c>
      <c r="R2216" s="44" t="str">
        <f>VLOOKUP(F2216,'Set up'!$A$2:$E$48,5,FALSE)</f>
        <v>Chq</v>
      </c>
    </row>
    <row r="2217" spans="1:19" ht="15" hidden="1" customHeight="1" x14ac:dyDescent="0.3">
      <c r="A2217" s="4" t="s">
        <v>2011</v>
      </c>
      <c r="B2217" s="5">
        <f t="shared" si="765"/>
        <v>10</v>
      </c>
      <c r="C2217" s="5">
        <f t="shared" si="766"/>
        <v>2023</v>
      </c>
      <c r="D2217" s="88" t="s">
        <v>2010</v>
      </c>
      <c r="E2217" s="5" t="str">
        <f>VLOOKUP(F2217,'Set up'!$A$2:$C$48,2,FALSE)</f>
        <v>C00000009</v>
      </c>
      <c r="F2217" s="1" t="s">
        <v>58</v>
      </c>
      <c r="G2217" s="99" t="s">
        <v>46</v>
      </c>
      <c r="H2217" s="5">
        <v>4</v>
      </c>
      <c r="I2217" s="5">
        <f>VLOOKUP(F2217,'Set up'!$A$2:$C$48,3,FALSE)</f>
        <v>60</v>
      </c>
      <c r="J2217" s="5">
        <f>VLOOKUP(F2217,'Set up'!$A$2:$D$48,4,FALSE)</f>
        <v>60</v>
      </c>
      <c r="K2217" s="4">
        <f t="shared" si="767"/>
        <v>45273</v>
      </c>
      <c r="L2217" s="5">
        <f t="shared" si="768"/>
        <v>12</v>
      </c>
      <c r="M2217" s="5">
        <f t="shared" si="769"/>
        <v>2023</v>
      </c>
      <c r="N2217" s="96">
        <v>440</v>
      </c>
      <c r="P2217" s="6">
        <f t="shared" si="755"/>
        <v>440</v>
      </c>
      <c r="Q2217" s="7">
        <f t="shared" si="770"/>
        <v>3734846.5500000021</v>
      </c>
      <c r="R2217" s="44" t="str">
        <f>VLOOKUP(F2217,'Set up'!$A$2:$E$48,5,FALSE)</f>
        <v>Chq</v>
      </c>
    </row>
    <row r="2218" spans="1:19" ht="15" hidden="1" customHeight="1" x14ac:dyDescent="0.3">
      <c r="A2218" s="4" t="s">
        <v>2011</v>
      </c>
      <c r="B2218" s="5">
        <f t="shared" si="765"/>
        <v>10</v>
      </c>
      <c r="C2218" s="5">
        <f t="shared" si="766"/>
        <v>2023</v>
      </c>
      <c r="D2218" s="88" t="s">
        <v>2012</v>
      </c>
      <c r="E2218" s="5" t="str">
        <f>VLOOKUP(F2218,'Set up'!$A$2:$C$48,2,FALSE)</f>
        <v>C00000019</v>
      </c>
      <c r="F2218" s="1" t="s">
        <v>401</v>
      </c>
      <c r="G2218" s="99" t="s">
        <v>95</v>
      </c>
      <c r="H2218" s="5">
        <v>1</v>
      </c>
      <c r="I2218" s="5" t="str">
        <f>VLOOKUP(F2218,'Set up'!$A$2:$C$48,3,FALSE)</f>
        <v>Cash</v>
      </c>
      <c r="J2218" s="5">
        <f>VLOOKUP(F2218,'Set up'!$A$2:$D$48,4,FALSE)</f>
        <v>0</v>
      </c>
      <c r="K2218" s="4">
        <f t="shared" si="767"/>
        <v>45213</v>
      </c>
      <c r="L2218" s="5">
        <f t="shared" si="768"/>
        <v>10</v>
      </c>
      <c r="M2218" s="5">
        <f t="shared" si="769"/>
        <v>2023</v>
      </c>
      <c r="N2218" s="96">
        <v>1738</v>
      </c>
      <c r="P2218" s="6">
        <f t="shared" si="755"/>
        <v>1738</v>
      </c>
      <c r="Q2218" s="7">
        <f t="shared" si="770"/>
        <v>3736584.5500000021</v>
      </c>
      <c r="R2218" s="44" t="str">
        <f>VLOOKUP(F2218,'Set up'!$A$2:$E$48,5,FALSE)</f>
        <v>Trsf</v>
      </c>
    </row>
    <row r="2219" spans="1:19" ht="15" hidden="1" customHeight="1" x14ac:dyDescent="0.3">
      <c r="A2219" s="4" t="s">
        <v>2011</v>
      </c>
      <c r="B2219" s="5">
        <f t="shared" si="765"/>
        <v>10</v>
      </c>
      <c r="C2219" s="5">
        <f t="shared" si="766"/>
        <v>2023</v>
      </c>
      <c r="D2219" s="88" t="s">
        <v>2013</v>
      </c>
      <c r="E2219" s="5" t="str">
        <f>VLOOKUP(F2219,'Set up'!$A$2:$C$48,2,FALSE)</f>
        <v>C00000022</v>
      </c>
      <c r="F2219" s="1" t="s">
        <v>638</v>
      </c>
      <c r="G2219" s="99" t="s">
        <v>95</v>
      </c>
      <c r="H2219" s="5">
        <v>1</v>
      </c>
      <c r="I2219" s="5" t="str">
        <f>VLOOKUP(F2219,'Set up'!$A$2:$C$48,3,FALSE)</f>
        <v>Cash</v>
      </c>
      <c r="J2219" s="5">
        <f>VLOOKUP(F2219,'Set up'!$A$2:$D$48,4,FALSE)</f>
        <v>0</v>
      </c>
      <c r="K2219" s="4">
        <f t="shared" si="767"/>
        <v>45213</v>
      </c>
      <c r="L2219" s="5">
        <f t="shared" si="768"/>
        <v>10</v>
      </c>
      <c r="M2219" s="5">
        <f t="shared" si="769"/>
        <v>2023</v>
      </c>
      <c r="N2219" s="96">
        <v>1738</v>
      </c>
      <c r="P2219" s="6">
        <f t="shared" si="755"/>
        <v>1738</v>
      </c>
      <c r="Q2219" s="7">
        <f t="shared" si="770"/>
        <v>3738322.5500000021</v>
      </c>
      <c r="R2219" s="44" t="str">
        <f>VLOOKUP(F2219,'Set up'!$A$2:$E$48,5,FALSE)</f>
        <v>Trsf</v>
      </c>
    </row>
    <row r="2220" spans="1:19" ht="15" customHeight="1" x14ac:dyDescent="0.3">
      <c r="A2220" s="4">
        <v>45216</v>
      </c>
      <c r="B2220" s="5">
        <f t="shared" si="765"/>
        <v>10</v>
      </c>
      <c r="C2220" s="5">
        <f t="shared" si="766"/>
        <v>2023</v>
      </c>
      <c r="D2220" s="88" t="s">
        <v>2015</v>
      </c>
      <c r="E2220" s="5" t="str">
        <f>VLOOKUP(F2220,'Set up'!$A$2:$C$48,2,FALSE)</f>
        <v>C00000042</v>
      </c>
      <c r="F2220" s="1" t="s">
        <v>2014</v>
      </c>
      <c r="G2220" s="99" t="s">
        <v>1111</v>
      </c>
      <c r="H2220" s="5">
        <v>5</v>
      </c>
      <c r="I2220" s="5" t="str">
        <f>VLOOKUP(F2220,'Set up'!$A$2:$C$48,3,FALSE)</f>
        <v>Cash</v>
      </c>
      <c r="J2220" s="5">
        <f>VLOOKUP(F2220,'Set up'!$A$2:$D$48,4,FALSE)</f>
        <v>0</v>
      </c>
      <c r="K2220" s="4">
        <f t="shared" ref="K2220:K2228" si="771">A2220+J2220</f>
        <v>45216</v>
      </c>
      <c r="L2220" s="5">
        <f t="shared" ref="L2220:L2228" si="772">MONTH(K2220)</f>
        <v>10</v>
      </c>
      <c r="M2220" s="5">
        <f t="shared" ref="M2220:M2228" si="773">YEAR(K2220)</f>
        <v>2023</v>
      </c>
      <c r="N2220" s="96">
        <v>312.5</v>
      </c>
      <c r="P2220" s="6">
        <f t="shared" si="755"/>
        <v>312.5</v>
      </c>
      <c r="Q2220" s="7">
        <f t="shared" si="770"/>
        <v>3738635.0500000021</v>
      </c>
      <c r="R2220" s="44" t="str">
        <f>VLOOKUP(F2220,'Set up'!$A$2:$E$48,5,FALSE)</f>
        <v>Trsf</v>
      </c>
    </row>
    <row r="2221" spans="1:19" ht="15" customHeight="1" x14ac:dyDescent="0.3">
      <c r="A2221" s="4">
        <v>45216</v>
      </c>
      <c r="B2221" s="5">
        <f t="shared" si="765"/>
        <v>10</v>
      </c>
      <c r="C2221" s="5">
        <f t="shared" si="766"/>
        <v>2023</v>
      </c>
      <c r="D2221" s="88" t="s">
        <v>2016</v>
      </c>
      <c r="E2221" s="5" t="str">
        <f>VLOOKUP(F2221,'Set up'!$A$2:$C$48,2,FALSE)</f>
        <v>C00000042</v>
      </c>
      <c r="F2221" s="1" t="s">
        <v>2014</v>
      </c>
      <c r="G2221" s="99" t="s">
        <v>1734</v>
      </c>
      <c r="H2221" s="5">
        <v>5</v>
      </c>
      <c r="I2221" s="5" t="str">
        <f>VLOOKUP(F2221,'Set up'!$A$2:$C$48,3,FALSE)</f>
        <v>Cash</v>
      </c>
      <c r="J2221" s="5">
        <f>VLOOKUP(F2221,'Set up'!$A$2:$D$48,4,FALSE)</f>
        <v>0</v>
      </c>
      <c r="K2221" s="4">
        <f t="shared" si="771"/>
        <v>45216</v>
      </c>
      <c r="L2221" s="5">
        <f t="shared" si="772"/>
        <v>10</v>
      </c>
      <c r="M2221" s="5">
        <f t="shared" si="773"/>
        <v>2023</v>
      </c>
      <c r="N2221" s="96">
        <v>8140</v>
      </c>
      <c r="P2221" s="6">
        <f t="shared" si="755"/>
        <v>8140</v>
      </c>
      <c r="Q2221" s="7">
        <f t="shared" si="770"/>
        <v>3746775.0500000021</v>
      </c>
      <c r="R2221" s="44" t="str">
        <f>VLOOKUP(F2221,'Set up'!$A$2:$E$48,5,FALSE)</f>
        <v>Trsf</v>
      </c>
    </row>
    <row r="2222" spans="1:19" ht="15" customHeight="1" x14ac:dyDescent="0.3">
      <c r="A2222" s="4">
        <v>45216</v>
      </c>
      <c r="B2222" s="5">
        <f t="shared" si="765"/>
        <v>10</v>
      </c>
      <c r="C2222" s="5">
        <f t="shared" si="766"/>
        <v>2023</v>
      </c>
      <c r="D2222" s="88" t="s">
        <v>2016</v>
      </c>
      <c r="E2222" s="5" t="str">
        <f>VLOOKUP(F2222,'Set up'!$A$2:$C$48,2,FALSE)</f>
        <v>C00000042</v>
      </c>
      <c r="F2222" s="1" t="s">
        <v>2014</v>
      </c>
      <c r="G2222" s="99" t="s">
        <v>914</v>
      </c>
      <c r="H2222" s="5">
        <v>15</v>
      </c>
      <c r="I2222" s="5" t="str">
        <f>VLOOKUP(F2222,'Set up'!$A$2:$C$48,3,FALSE)</f>
        <v>Cash</v>
      </c>
      <c r="J2222" s="5">
        <f>VLOOKUP(F2222,'Set up'!$A$2:$D$48,4,FALSE)</f>
        <v>0</v>
      </c>
      <c r="K2222" s="4">
        <f t="shared" si="771"/>
        <v>45216</v>
      </c>
      <c r="L2222" s="5">
        <f t="shared" si="772"/>
        <v>10</v>
      </c>
      <c r="M2222" s="5">
        <f t="shared" si="773"/>
        <v>2023</v>
      </c>
      <c r="N2222" s="96">
        <v>2700</v>
      </c>
      <c r="P2222" s="6">
        <f t="shared" si="755"/>
        <v>2700</v>
      </c>
      <c r="Q2222" s="7">
        <f t="shared" si="770"/>
        <v>3749475.0500000021</v>
      </c>
      <c r="R2222" s="44" t="str">
        <f>VLOOKUP(F2222,'Set up'!$A$2:$E$48,5,FALSE)</f>
        <v>Trsf</v>
      </c>
    </row>
    <row r="2223" spans="1:19" ht="15" customHeight="1" x14ac:dyDescent="0.3">
      <c r="A2223" s="4">
        <v>45216</v>
      </c>
      <c r="B2223" s="5">
        <f t="shared" si="765"/>
        <v>10</v>
      </c>
      <c r="C2223" s="5">
        <f t="shared" si="766"/>
        <v>2023</v>
      </c>
      <c r="D2223" s="88" t="s">
        <v>2016</v>
      </c>
      <c r="E2223" s="5" t="str">
        <f>VLOOKUP(F2223,'Set up'!$A$2:$C$48,2,FALSE)</f>
        <v>C00000042</v>
      </c>
      <c r="F2223" s="1" t="s">
        <v>2014</v>
      </c>
      <c r="G2223" s="99" t="s">
        <v>1923</v>
      </c>
      <c r="H2223" s="5">
        <v>7</v>
      </c>
      <c r="I2223" s="5" t="str">
        <f>VLOOKUP(F2223,'Set up'!$A$2:$C$48,3,FALSE)</f>
        <v>Cash</v>
      </c>
      <c r="J2223" s="5">
        <f>VLOOKUP(F2223,'Set up'!$A$2:$D$48,4,FALSE)</f>
        <v>0</v>
      </c>
      <c r="K2223" s="4">
        <f t="shared" si="771"/>
        <v>45216</v>
      </c>
      <c r="L2223" s="5">
        <f t="shared" si="772"/>
        <v>10</v>
      </c>
      <c r="M2223" s="5">
        <f t="shared" si="773"/>
        <v>2023</v>
      </c>
      <c r="N2223" s="96">
        <v>1638</v>
      </c>
      <c r="P2223" s="6">
        <f t="shared" si="755"/>
        <v>1638</v>
      </c>
      <c r="Q2223" s="7">
        <f t="shared" si="770"/>
        <v>3751113.0500000021</v>
      </c>
      <c r="R2223" s="44" t="str">
        <f>VLOOKUP(F2223,'Set up'!$A$2:$E$48,5,FALSE)</f>
        <v>Trsf</v>
      </c>
    </row>
    <row r="2224" spans="1:19" ht="15" customHeight="1" x14ac:dyDescent="0.3">
      <c r="A2224" s="4">
        <v>45216</v>
      </c>
      <c r="B2224" s="5">
        <f t="shared" si="765"/>
        <v>10</v>
      </c>
      <c r="C2224" s="5">
        <f t="shared" si="766"/>
        <v>2023</v>
      </c>
      <c r="D2224" s="88" t="s">
        <v>2016</v>
      </c>
      <c r="E2224" s="5" t="str">
        <f>VLOOKUP(F2224,'Set up'!$A$2:$C$48,2,FALSE)</f>
        <v>C00000042</v>
      </c>
      <c r="F2224" s="1" t="s">
        <v>2014</v>
      </c>
      <c r="G2224" s="99" t="s">
        <v>2004</v>
      </c>
      <c r="H2224" s="5">
        <v>2</v>
      </c>
      <c r="I2224" s="5" t="str">
        <f>VLOOKUP(F2224,'Set up'!$A$2:$C$48,3,FALSE)</f>
        <v>Cash</v>
      </c>
      <c r="J2224" s="5">
        <f>VLOOKUP(F2224,'Set up'!$A$2:$D$48,4,FALSE)</f>
        <v>0</v>
      </c>
      <c r="K2224" s="4">
        <f t="shared" si="771"/>
        <v>45216</v>
      </c>
      <c r="L2224" s="5">
        <f t="shared" si="772"/>
        <v>10</v>
      </c>
      <c r="M2224" s="5">
        <f t="shared" si="773"/>
        <v>2023</v>
      </c>
      <c r="N2224" s="96">
        <v>1800</v>
      </c>
      <c r="P2224" s="6">
        <f t="shared" si="755"/>
        <v>1800</v>
      </c>
      <c r="Q2224" s="7">
        <f t="shared" si="770"/>
        <v>3752913.0500000021</v>
      </c>
      <c r="R2224" s="44" t="str">
        <f>VLOOKUP(F2224,'Set up'!$A$2:$E$48,5,FALSE)</f>
        <v>Trsf</v>
      </c>
    </row>
    <row r="2225" spans="1:19" ht="15" customHeight="1" x14ac:dyDescent="0.3">
      <c r="A2225" s="4">
        <v>45216</v>
      </c>
      <c r="B2225" s="5">
        <f t="shared" si="765"/>
        <v>10</v>
      </c>
      <c r="C2225" s="5">
        <f t="shared" si="766"/>
        <v>2023</v>
      </c>
      <c r="D2225" s="88" t="s">
        <v>2016</v>
      </c>
      <c r="E2225" s="5" t="str">
        <f>VLOOKUP(F2225,'Set up'!$A$2:$C$48,2,FALSE)</f>
        <v>C00000042</v>
      </c>
      <c r="F2225" s="1" t="s">
        <v>2014</v>
      </c>
      <c r="G2225" s="99" t="s">
        <v>1062</v>
      </c>
      <c r="H2225" s="5">
        <v>4</v>
      </c>
      <c r="I2225" s="5" t="str">
        <f>VLOOKUP(F2225,'Set up'!$A$2:$C$48,3,FALSE)</f>
        <v>Cash</v>
      </c>
      <c r="J2225" s="5">
        <f>VLOOKUP(F2225,'Set up'!$A$2:$D$48,4,FALSE)</f>
        <v>0</v>
      </c>
      <c r="K2225" s="4">
        <f t="shared" si="771"/>
        <v>45216</v>
      </c>
      <c r="L2225" s="5">
        <f t="shared" si="772"/>
        <v>10</v>
      </c>
      <c r="M2225" s="5">
        <f t="shared" si="773"/>
        <v>2023</v>
      </c>
      <c r="N2225" s="96">
        <v>380</v>
      </c>
      <c r="P2225" s="6">
        <f t="shared" si="755"/>
        <v>380</v>
      </c>
      <c r="Q2225" s="7">
        <f t="shared" si="770"/>
        <v>3753293.0500000021</v>
      </c>
      <c r="R2225" s="44" t="str">
        <f>VLOOKUP(F2225,'Set up'!$A$2:$E$48,5,FALSE)</f>
        <v>Trsf</v>
      </c>
    </row>
    <row r="2226" spans="1:19" ht="15" hidden="1" customHeight="1" x14ac:dyDescent="0.3">
      <c r="A2226" s="4">
        <v>45218</v>
      </c>
      <c r="B2226" s="5">
        <f t="shared" si="765"/>
        <v>10</v>
      </c>
      <c r="C2226" s="5">
        <f t="shared" si="766"/>
        <v>2023</v>
      </c>
      <c r="D2226" s="88" t="s">
        <v>2018</v>
      </c>
      <c r="E2226" s="5" t="str">
        <f>VLOOKUP(F2226,'Set up'!$A$2:$C$48,2,FALSE)</f>
        <v>C00000009</v>
      </c>
      <c r="F2226" s="1" t="s">
        <v>58</v>
      </c>
      <c r="G2226" s="99"/>
      <c r="H2226" s="5">
        <v>2</v>
      </c>
      <c r="I2226" s="5">
        <f>VLOOKUP(F2226,'Set up'!$A$2:$C$48,3,FALSE)</f>
        <v>60</v>
      </c>
      <c r="J2226" s="5">
        <f>VLOOKUP(F2226,'Set up'!$A$2:$D$48,4,FALSE)</f>
        <v>60</v>
      </c>
      <c r="K2226" s="4">
        <f t="shared" si="771"/>
        <v>45278</v>
      </c>
      <c r="L2226" s="5">
        <f t="shared" si="772"/>
        <v>12</v>
      </c>
      <c r="M2226" s="5">
        <f t="shared" si="773"/>
        <v>2023</v>
      </c>
      <c r="N2226" s="96">
        <v>3212</v>
      </c>
      <c r="P2226" s="6">
        <f t="shared" si="755"/>
        <v>3212</v>
      </c>
      <c r="Q2226" s="7">
        <f t="shared" si="770"/>
        <v>3756505.0500000021</v>
      </c>
      <c r="R2226" s="44" t="str">
        <f>VLOOKUP(F2226,'Set up'!$A$2:$E$48,5,FALSE)</f>
        <v>Chq</v>
      </c>
    </row>
    <row r="2227" spans="1:19" ht="15" hidden="1" customHeight="1" x14ac:dyDescent="0.3">
      <c r="A2227" s="4">
        <v>45218</v>
      </c>
      <c r="B2227" s="5">
        <f t="shared" si="765"/>
        <v>10</v>
      </c>
      <c r="C2227" s="5">
        <f t="shared" si="766"/>
        <v>2023</v>
      </c>
      <c r="D2227" s="88" t="s">
        <v>2018</v>
      </c>
      <c r="E2227" s="5" t="str">
        <f>VLOOKUP(F2227,'Set up'!$A$2:$C$48,2,FALSE)</f>
        <v>C00000009</v>
      </c>
      <c r="F2227" s="1" t="s">
        <v>58</v>
      </c>
      <c r="G2227" s="99"/>
      <c r="H2227" s="5">
        <v>1</v>
      </c>
      <c r="I2227" s="5">
        <f>VLOOKUP(F2227,'Set up'!$A$2:$C$48,3,FALSE)</f>
        <v>60</v>
      </c>
      <c r="J2227" s="5">
        <f>VLOOKUP(F2227,'Set up'!$A$2:$D$48,4,FALSE)</f>
        <v>60</v>
      </c>
      <c r="K2227" s="4">
        <f t="shared" si="771"/>
        <v>45278</v>
      </c>
      <c r="L2227" s="5">
        <f t="shared" si="772"/>
        <v>12</v>
      </c>
      <c r="M2227" s="5">
        <f t="shared" si="773"/>
        <v>2023</v>
      </c>
      <c r="N2227" s="96">
        <v>1606</v>
      </c>
      <c r="P2227" s="6">
        <f t="shared" si="755"/>
        <v>1606</v>
      </c>
      <c r="Q2227" s="7">
        <f t="shared" si="770"/>
        <v>3758111.0500000021</v>
      </c>
      <c r="R2227" s="44" t="str">
        <f>VLOOKUP(F2227,'Set up'!$A$2:$E$48,5,FALSE)</f>
        <v>Chq</v>
      </c>
    </row>
    <row r="2228" spans="1:19" ht="15" customHeight="1" x14ac:dyDescent="0.3">
      <c r="A2228" s="4" t="s">
        <v>2020</v>
      </c>
      <c r="B2228" s="5">
        <f t="shared" si="765"/>
        <v>10</v>
      </c>
      <c r="C2228" s="5">
        <f t="shared" si="766"/>
        <v>2023</v>
      </c>
      <c r="D2228" s="88" t="s">
        <v>2019</v>
      </c>
      <c r="E2228" s="5" t="str">
        <f>VLOOKUP(F2228,'Set up'!$A$2:$C$48,2,FALSE)</f>
        <v>C00000042</v>
      </c>
      <c r="F2228" s="1" t="s">
        <v>2014</v>
      </c>
      <c r="G2228" s="99" t="s">
        <v>914</v>
      </c>
      <c r="H2228" s="5">
        <v>15</v>
      </c>
      <c r="I2228" s="5" t="str">
        <f>VLOOKUP(F2228,'Set up'!$A$2:$C$48,3,FALSE)</f>
        <v>Cash</v>
      </c>
      <c r="J2228" s="5">
        <f>VLOOKUP(F2228,'Set up'!$A$2:$D$48,4,FALSE)</f>
        <v>0</v>
      </c>
      <c r="K2228" s="4">
        <f t="shared" si="771"/>
        <v>45219</v>
      </c>
      <c r="L2228" s="5">
        <f t="shared" si="772"/>
        <v>10</v>
      </c>
      <c r="M2228" s="5">
        <f t="shared" si="773"/>
        <v>2023</v>
      </c>
      <c r="N2228" s="96">
        <v>2700</v>
      </c>
      <c r="P2228" s="6">
        <f t="shared" si="755"/>
        <v>2700</v>
      </c>
      <c r="Q2228" s="7">
        <f t="shared" si="770"/>
        <v>3760811.0500000021</v>
      </c>
      <c r="R2228" s="44" t="str">
        <f>VLOOKUP(F2228,'Set up'!$A$2:$E$48,5,FALSE)</f>
        <v>Trsf</v>
      </c>
    </row>
    <row r="2229" spans="1:19" ht="15" hidden="1" customHeight="1" x14ac:dyDescent="0.3">
      <c r="A2229" s="4">
        <v>45220</v>
      </c>
      <c r="B2229" s="5">
        <f t="shared" ref="B2229:B2258" si="774">MONTH(A2229)</f>
        <v>10</v>
      </c>
      <c r="C2229" s="5">
        <f t="shared" ref="C2229:C2258" si="775">YEAR(A2229)</f>
        <v>2023</v>
      </c>
      <c r="D2229" s="88" t="s">
        <v>2021</v>
      </c>
      <c r="E2229" s="5" t="e">
        <f>VLOOKUP(F2229,'Set up'!$A$2:$C$48,2,FALSE)</f>
        <v>#N/A</v>
      </c>
      <c r="F2229" s="1" t="s">
        <v>1045</v>
      </c>
      <c r="G2229" s="1" t="s">
        <v>1045</v>
      </c>
      <c r="H2229" s="5">
        <v>0</v>
      </c>
      <c r="I2229" s="5" t="e">
        <f>VLOOKUP(F2229,'Set up'!$A$2:$C$48,3,FALSE)</f>
        <v>#N/A</v>
      </c>
      <c r="J2229" s="5" t="e">
        <f>VLOOKUP(F2229,'Set up'!$A$2:$D$48,4,FALSE)</f>
        <v>#N/A</v>
      </c>
      <c r="K2229" s="4" t="e">
        <f t="shared" ref="K2229:K2258" si="776">A2229+J2229</f>
        <v>#N/A</v>
      </c>
      <c r="L2229" s="5" t="e">
        <f t="shared" ref="L2229:L2258" si="777">MONTH(K2229)</f>
        <v>#N/A</v>
      </c>
      <c r="M2229" s="5" t="e">
        <f t="shared" ref="M2229:M2258" si="778">YEAR(K2229)</f>
        <v>#N/A</v>
      </c>
      <c r="N2229" s="96">
        <v>0</v>
      </c>
      <c r="P2229" s="6">
        <f t="shared" ref="P2229:P2258" si="779">SUM(N2229+O2229)</f>
        <v>0</v>
      </c>
      <c r="Q2229" s="7">
        <f t="shared" ref="Q2229:Q2258" si="780">SUM(Q2228+N2229)</f>
        <v>3760811.0500000021</v>
      </c>
      <c r="R2229" s="44" t="e">
        <f>VLOOKUP(F2229,'Set up'!$A$2:$E$48,5,FALSE)</f>
        <v>#N/A</v>
      </c>
    </row>
    <row r="2230" spans="1:19" ht="15" hidden="1" customHeight="1" x14ac:dyDescent="0.3">
      <c r="A2230" s="4">
        <v>45220</v>
      </c>
      <c r="B2230" s="5">
        <f t="shared" si="774"/>
        <v>10</v>
      </c>
      <c r="C2230" s="5">
        <f t="shared" si="775"/>
        <v>2023</v>
      </c>
      <c r="D2230" s="88" t="s">
        <v>2021</v>
      </c>
      <c r="E2230" s="5" t="e">
        <f>VLOOKUP(F2230,'Set up'!$A$2:$C$48,2,FALSE)</f>
        <v>#N/A</v>
      </c>
      <c r="F2230" s="1" t="s">
        <v>1045</v>
      </c>
      <c r="G2230" s="1" t="s">
        <v>1045</v>
      </c>
      <c r="H2230" s="5">
        <v>0</v>
      </c>
      <c r="I2230" s="5" t="e">
        <f>VLOOKUP(F2230,'Set up'!$A$2:$C$48,3,FALSE)</f>
        <v>#N/A</v>
      </c>
      <c r="J2230" s="5" t="e">
        <f>VLOOKUP(F2230,'Set up'!$A$2:$D$48,4,FALSE)</f>
        <v>#N/A</v>
      </c>
      <c r="K2230" s="4" t="e">
        <f t="shared" si="776"/>
        <v>#N/A</v>
      </c>
      <c r="L2230" s="5" t="e">
        <f t="shared" si="777"/>
        <v>#N/A</v>
      </c>
      <c r="M2230" s="5" t="e">
        <f t="shared" si="778"/>
        <v>#N/A</v>
      </c>
      <c r="N2230" s="96">
        <v>0</v>
      </c>
      <c r="P2230" s="6">
        <f t="shared" si="779"/>
        <v>0</v>
      </c>
      <c r="Q2230" s="7">
        <f t="shared" si="780"/>
        <v>3760811.0500000021</v>
      </c>
      <c r="R2230" s="44" t="e">
        <f>VLOOKUP(F2230,'Set up'!$A$2:$E$48,5,FALSE)</f>
        <v>#N/A</v>
      </c>
    </row>
    <row r="2231" spans="1:19" ht="15" hidden="1" customHeight="1" x14ac:dyDescent="0.3">
      <c r="A2231" s="4">
        <v>45220</v>
      </c>
      <c r="B2231" s="5">
        <f t="shared" si="774"/>
        <v>10</v>
      </c>
      <c r="C2231" s="5">
        <f t="shared" si="775"/>
        <v>2023</v>
      </c>
      <c r="D2231" s="88" t="s">
        <v>2021</v>
      </c>
      <c r="E2231" s="5" t="e">
        <f>VLOOKUP(F2231,'Set up'!$A$2:$C$48,2,FALSE)</f>
        <v>#N/A</v>
      </c>
      <c r="F2231" s="1" t="s">
        <v>1045</v>
      </c>
      <c r="G2231" s="1" t="s">
        <v>1045</v>
      </c>
      <c r="H2231" s="5">
        <v>0</v>
      </c>
      <c r="I2231" s="5" t="e">
        <f>VLOOKUP(F2231,'Set up'!$A$2:$C$48,3,FALSE)</f>
        <v>#N/A</v>
      </c>
      <c r="J2231" s="5" t="e">
        <f>VLOOKUP(F2231,'Set up'!$A$2:$D$48,4,FALSE)</f>
        <v>#N/A</v>
      </c>
      <c r="K2231" s="4" t="e">
        <f t="shared" si="776"/>
        <v>#N/A</v>
      </c>
      <c r="L2231" s="5" t="e">
        <f t="shared" si="777"/>
        <v>#N/A</v>
      </c>
      <c r="M2231" s="5" t="e">
        <f t="shared" si="778"/>
        <v>#N/A</v>
      </c>
      <c r="N2231" s="96">
        <v>0</v>
      </c>
      <c r="P2231" s="6">
        <f t="shared" si="779"/>
        <v>0</v>
      </c>
      <c r="Q2231" s="7">
        <f t="shared" si="780"/>
        <v>3760811.0500000021</v>
      </c>
      <c r="R2231" s="44" t="e">
        <f>VLOOKUP(F2231,'Set up'!$A$2:$E$48,5,FALSE)</f>
        <v>#N/A</v>
      </c>
    </row>
    <row r="2232" spans="1:19" ht="15" hidden="1" customHeight="1" x14ac:dyDescent="0.3">
      <c r="A2232" s="4">
        <v>45220</v>
      </c>
      <c r="B2232" s="5">
        <f t="shared" si="774"/>
        <v>10</v>
      </c>
      <c r="C2232" s="5">
        <f t="shared" si="775"/>
        <v>2023</v>
      </c>
      <c r="D2232" s="88" t="s">
        <v>2021</v>
      </c>
      <c r="E2232" s="5" t="e">
        <f>VLOOKUP(F2232,'Set up'!$A$2:$C$48,2,FALSE)</f>
        <v>#N/A</v>
      </c>
      <c r="F2232" s="1" t="s">
        <v>1045</v>
      </c>
      <c r="G2232" s="1" t="s">
        <v>1045</v>
      </c>
      <c r="H2232" s="5">
        <v>0</v>
      </c>
      <c r="I2232" s="5" t="e">
        <f>VLOOKUP(F2232,'Set up'!$A$2:$C$48,3,FALSE)</f>
        <v>#N/A</v>
      </c>
      <c r="J2232" s="5" t="e">
        <f>VLOOKUP(F2232,'Set up'!$A$2:$D$48,4,FALSE)</f>
        <v>#N/A</v>
      </c>
      <c r="K2232" s="4" t="e">
        <f t="shared" si="776"/>
        <v>#N/A</v>
      </c>
      <c r="L2232" s="5" t="e">
        <f t="shared" si="777"/>
        <v>#N/A</v>
      </c>
      <c r="M2232" s="5" t="e">
        <f t="shared" si="778"/>
        <v>#N/A</v>
      </c>
      <c r="N2232" s="96">
        <v>0</v>
      </c>
      <c r="P2232" s="6">
        <f t="shared" si="779"/>
        <v>0</v>
      </c>
      <c r="Q2232" s="7">
        <f t="shared" si="780"/>
        <v>3760811.0500000021</v>
      </c>
      <c r="R2232" s="44" t="e">
        <f>VLOOKUP(F2232,'Set up'!$A$2:$E$48,5,FALSE)</f>
        <v>#N/A</v>
      </c>
    </row>
    <row r="2233" spans="1:19" ht="15" hidden="1" customHeight="1" x14ac:dyDescent="0.3">
      <c r="A2233" s="4">
        <v>45220</v>
      </c>
      <c r="B2233" s="5">
        <f t="shared" si="774"/>
        <v>10</v>
      </c>
      <c r="C2233" s="5">
        <f t="shared" si="775"/>
        <v>2023</v>
      </c>
      <c r="D2233" s="88" t="s">
        <v>2021</v>
      </c>
      <c r="E2233" s="5" t="e">
        <f>VLOOKUP(F2233,'Set up'!$A$2:$C$48,2,FALSE)</f>
        <v>#N/A</v>
      </c>
      <c r="F2233" s="1" t="s">
        <v>1045</v>
      </c>
      <c r="G2233" s="1" t="s">
        <v>1045</v>
      </c>
      <c r="H2233" s="5">
        <v>0</v>
      </c>
      <c r="I2233" s="5" t="e">
        <f>VLOOKUP(F2233,'Set up'!$A$2:$C$48,3,FALSE)</f>
        <v>#N/A</v>
      </c>
      <c r="J2233" s="5" t="e">
        <f>VLOOKUP(F2233,'Set up'!$A$2:$D$48,4,FALSE)</f>
        <v>#N/A</v>
      </c>
      <c r="K2233" s="4" t="e">
        <f t="shared" si="776"/>
        <v>#N/A</v>
      </c>
      <c r="L2233" s="5" t="e">
        <f t="shared" si="777"/>
        <v>#N/A</v>
      </c>
      <c r="M2233" s="5" t="e">
        <f t="shared" si="778"/>
        <v>#N/A</v>
      </c>
      <c r="N2233" s="96">
        <v>0</v>
      </c>
      <c r="P2233" s="6">
        <f t="shared" si="779"/>
        <v>0</v>
      </c>
      <c r="Q2233" s="7">
        <f t="shared" si="780"/>
        <v>3760811.0500000021</v>
      </c>
      <c r="R2233" s="44" t="e">
        <f>VLOOKUP(F2233,'Set up'!$A$2:$E$48,5,FALSE)</f>
        <v>#N/A</v>
      </c>
    </row>
    <row r="2234" spans="1:19" ht="15" hidden="1" customHeight="1" x14ac:dyDescent="0.3">
      <c r="A2234" s="4">
        <v>45220</v>
      </c>
      <c r="B2234" s="5">
        <f t="shared" si="774"/>
        <v>10</v>
      </c>
      <c r="C2234" s="5">
        <f t="shared" si="775"/>
        <v>2023</v>
      </c>
      <c r="D2234" s="88" t="s">
        <v>2021</v>
      </c>
      <c r="E2234" s="5" t="e">
        <f>VLOOKUP(F2234,'Set up'!$A$2:$C$48,2,FALSE)</f>
        <v>#N/A</v>
      </c>
      <c r="F2234" s="1" t="s">
        <v>1045</v>
      </c>
      <c r="G2234" s="1" t="s">
        <v>1045</v>
      </c>
      <c r="H2234" s="5">
        <v>0</v>
      </c>
      <c r="I2234" s="5" t="e">
        <f>VLOOKUP(F2234,'Set up'!$A$2:$C$48,3,FALSE)</f>
        <v>#N/A</v>
      </c>
      <c r="J2234" s="5" t="e">
        <f>VLOOKUP(F2234,'Set up'!$A$2:$D$48,4,FALSE)</f>
        <v>#N/A</v>
      </c>
      <c r="K2234" s="4" t="e">
        <f t="shared" si="776"/>
        <v>#N/A</v>
      </c>
      <c r="L2234" s="5" t="e">
        <f t="shared" si="777"/>
        <v>#N/A</v>
      </c>
      <c r="M2234" s="5" t="e">
        <f t="shared" si="778"/>
        <v>#N/A</v>
      </c>
      <c r="N2234" s="96">
        <v>0</v>
      </c>
      <c r="P2234" s="6">
        <f t="shared" si="779"/>
        <v>0</v>
      </c>
      <c r="Q2234" s="7">
        <f t="shared" si="780"/>
        <v>3760811.0500000021</v>
      </c>
      <c r="R2234" s="44" t="e">
        <f>VLOOKUP(F2234,'Set up'!$A$2:$E$48,5,FALSE)</f>
        <v>#N/A</v>
      </c>
    </row>
    <row r="2235" spans="1:19" ht="15" customHeight="1" x14ac:dyDescent="0.3">
      <c r="A2235" s="4">
        <v>45224</v>
      </c>
      <c r="B2235" s="5">
        <f t="shared" si="774"/>
        <v>10</v>
      </c>
      <c r="C2235" s="5">
        <f t="shared" si="775"/>
        <v>2023</v>
      </c>
      <c r="D2235" s="88" t="s">
        <v>2022</v>
      </c>
      <c r="E2235" s="5" t="str">
        <f>VLOOKUP(F2235,'Set up'!$A$2:$C$48,2,FALSE)</f>
        <v>C00000042</v>
      </c>
      <c r="F2235" s="1" t="s">
        <v>2014</v>
      </c>
      <c r="G2235" s="99" t="s">
        <v>1111</v>
      </c>
      <c r="H2235" s="5">
        <v>4</v>
      </c>
      <c r="I2235" s="5" t="str">
        <f>VLOOKUP(F2235,'Set up'!$A$2:$C$48,3,FALSE)</f>
        <v>Cash</v>
      </c>
      <c r="J2235" s="5">
        <f>VLOOKUP(F2235,'Set up'!$A$2:$D$48,4,FALSE)</f>
        <v>0</v>
      </c>
      <c r="K2235" s="4">
        <f t="shared" si="776"/>
        <v>45224</v>
      </c>
      <c r="L2235" s="5">
        <f t="shared" si="777"/>
        <v>10</v>
      </c>
      <c r="M2235" s="5">
        <f t="shared" si="778"/>
        <v>2023</v>
      </c>
      <c r="N2235" s="96">
        <v>250</v>
      </c>
      <c r="P2235" s="6">
        <f t="shared" si="779"/>
        <v>250</v>
      </c>
      <c r="Q2235" s="7">
        <f t="shared" si="780"/>
        <v>3761061.0500000021</v>
      </c>
      <c r="R2235" s="44" t="str">
        <f>VLOOKUP(F2235,'Set up'!$A$2:$E$48,5,FALSE)</f>
        <v>Trsf</v>
      </c>
    </row>
    <row r="2236" spans="1:19" ht="15" customHeight="1" x14ac:dyDescent="0.3">
      <c r="A2236" s="4">
        <v>45224</v>
      </c>
      <c r="B2236" s="5">
        <f t="shared" si="774"/>
        <v>10</v>
      </c>
      <c r="C2236" s="5">
        <f t="shared" si="775"/>
        <v>2023</v>
      </c>
      <c r="D2236" s="88" t="s">
        <v>2023</v>
      </c>
      <c r="E2236" s="5" t="str">
        <f>VLOOKUP(F2236,'Set up'!$A$2:$C$48,2,FALSE)</f>
        <v>C00000042</v>
      </c>
      <c r="F2236" s="1" t="s">
        <v>2014</v>
      </c>
      <c r="G2236" s="99" t="s">
        <v>1734</v>
      </c>
      <c r="H2236" s="5">
        <v>4</v>
      </c>
      <c r="I2236" s="5" t="str">
        <f>VLOOKUP(F2236,'Set up'!$A$2:$C$48,3,FALSE)</f>
        <v>Cash</v>
      </c>
      <c r="J2236" s="5">
        <f>VLOOKUP(F2236,'Set up'!$A$2:$D$48,4,FALSE)</f>
        <v>0</v>
      </c>
      <c r="K2236" s="4">
        <f t="shared" si="776"/>
        <v>45224</v>
      </c>
      <c r="L2236" s="5">
        <f t="shared" si="777"/>
        <v>10</v>
      </c>
      <c r="M2236" s="5">
        <f t="shared" si="778"/>
        <v>2023</v>
      </c>
      <c r="N2236" s="96">
        <v>6512</v>
      </c>
      <c r="P2236" s="6">
        <f t="shared" si="779"/>
        <v>6512</v>
      </c>
      <c r="Q2236" s="7">
        <f t="shared" si="780"/>
        <v>3767573.0500000021</v>
      </c>
      <c r="R2236" s="44" t="str">
        <f>VLOOKUP(F2236,'Set up'!$A$2:$E$48,5,FALSE)</f>
        <v>Trsf</v>
      </c>
    </row>
    <row r="2237" spans="1:19" ht="15" customHeight="1" x14ac:dyDescent="0.3">
      <c r="A2237" s="4">
        <v>45224</v>
      </c>
      <c r="B2237" s="5">
        <f t="shared" si="774"/>
        <v>10</v>
      </c>
      <c r="C2237" s="5">
        <f t="shared" si="775"/>
        <v>2023</v>
      </c>
      <c r="D2237" s="88" t="s">
        <v>2023</v>
      </c>
      <c r="E2237" s="5" t="str">
        <f>VLOOKUP(F2237,'Set up'!$A$2:$C$48,2,FALSE)</f>
        <v>C00000042</v>
      </c>
      <c r="F2237" s="1" t="s">
        <v>2014</v>
      </c>
      <c r="G2237" s="99" t="s">
        <v>1923</v>
      </c>
      <c r="H2237" s="5">
        <v>6</v>
      </c>
      <c r="I2237" s="5" t="str">
        <f>VLOOKUP(F2237,'Set up'!$A$2:$C$48,3,FALSE)</f>
        <v>Cash</v>
      </c>
      <c r="J2237" s="5">
        <f>VLOOKUP(F2237,'Set up'!$A$2:$D$48,4,FALSE)</f>
        <v>0</v>
      </c>
      <c r="K2237" s="4">
        <f t="shared" si="776"/>
        <v>45224</v>
      </c>
      <c r="L2237" s="5">
        <f t="shared" si="777"/>
        <v>10</v>
      </c>
      <c r="M2237" s="5">
        <f t="shared" si="778"/>
        <v>2023</v>
      </c>
      <c r="N2237" s="96">
        <v>1404</v>
      </c>
      <c r="P2237" s="6">
        <f t="shared" si="779"/>
        <v>1404</v>
      </c>
      <c r="Q2237" s="7">
        <f t="shared" si="780"/>
        <v>3768977.0500000021</v>
      </c>
      <c r="R2237" s="44" t="str">
        <f>VLOOKUP(F2237,'Set up'!$A$2:$E$48,5,FALSE)</f>
        <v>Trsf</v>
      </c>
    </row>
    <row r="2238" spans="1:19" ht="15" hidden="1" customHeight="1" x14ac:dyDescent="0.3">
      <c r="A2238" s="4">
        <v>45224</v>
      </c>
      <c r="B2238" s="5">
        <f t="shared" si="774"/>
        <v>10</v>
      </c>
      <c r="C2238" s="5">
        <f t="shared" si="775"/>
        <v>2023</v>
      </c>
      <c r="D2238" s="88" t="s">
        <v>2030</v>
      </c>
      <c r="E2238" s="5" t="str">
        <f>VLOOKUP(F2238,'Set up'!$A$2:$C$48,2,FALSE)</f>
        <v>C00000012</v>
      </c>
      <c r="F2238" s="1" t="s">
        <v>2024</v>
      </c>
      <c r="G2238" s="99" t="s">
        <v>2025</v>
      </c>
      <c r="H2238" s="5">
        <v>11</v>
      </c>
      <c r="I2238" s="5" t="str">
        <f>VLOOKUP(F2238,'Set up'!$A$2:$C$48,3,FALSE)</f>
        <v>Cash</v>
      </c>
      <c r="J2238" s="5">
        <f>VLOOKUP(F2238,'Set up'!$A$2:$D$48,4,FALSE)</f>
        <v>0</v>
      </c>
      <c r="K2238" s="4">
        <f t="shared" si="776"/>
        <v>45224</v>
      </c>
      <c r="L2238" s="5">
        <f t="shared" si="777"/>
        <v>10</v>
      </c>
      <c r="M2238" s="5">
        <f t="shared" si="778"/>
        <v>2023</v>
      </c>
      <c r="N2238" s="96">
        <v>2530</v>
      </c>
      <c r="O2238" s="6">
        <f t="shared" ref="O2238:O2242" si="781">-N2238</f>
        <v>-2530</v>
      </c>
      <c r="P2238" s="6">
        <f t="shared" si="779"/>
        <v>0</v>
      </c>
      <c r="Q2238" s="7">
        <f t="shared" si="780"/>
        <v>3771507.0500000021</v>
      </c>
      <c r="R2238" s="44" t="str">
        <f>VLOOKUP(F2238,'Set up'!$A$2:$E$48,5,FALSE)</f>
        <v>Cash</v>
      </c>
      <c r="S2238" s="1" t="s">
        <v>2095</v>
      </c>
    </row>
    <row r="2239" spans="1:19" ht="15" hidden="1" customHeight="1" x14ac:dyDescent="0.3">
      <c r="A2239" s="4">
        <v>45224</v>
      </c>
      <c r="B2239" s="5">
        <f t="shared" si="774"/>
        <v>10</v>
      </c>
      <c r="C2239" s="5">
        <f t="shared" si="775"/>
        <v>2023</v>
      </c>
      <c r="D2239" s="88" t="s">
        <v>2030</v>
      </c>
      <c r="E2239" s="5" t="str">
        <f>VLOOKUP(F2239,'Set up'!$A$2:$C$48,2,FALSE)</f>
        <v>C00000012</v>
      </c>
      <c r="F2239" s="1" t="s">
        <v>2024</v>
      </c>
      <c r="G2239" s="99" t="s">
        <v>2026</v>
      </c>
      <c r="H2239" s="5">
        <v>1</v>
      </c>
      <c r="I2239" s="5" t="str">
        <f>VLOOKUP(F2239,'Set up'!$A$2:$C$48,3,FALSE)</f>
        <v>Cash</v>
      </c>
      <c r="J2239" s="5">
        <f>VLOOKUP(F2239,'Set up'!$A$2:$D$48,4,FALSE)</f>
        <v>0</v>
      </c>
      <c r="K2239" s="4">
        <f t="shared" si="776"/>
        <v>45224</v>
      </c>
      <c r="L2239" s="5">
        <f t="shared" si="777"/>
        <v>10</v>
      </c>
      <c r="M2239" s="5">
        <f t="shared" si="778"/>
        <v>2023</v>
      </c>
      <c r="N2239" s="96">
        <v>475.2</v>
      </c>
      <c r="O2239" s="6">
        <f t="shared" si="781"/>
        <v>-475.2</v>
      </c>
      <c r="P2239" s="6">
        <f t="shared" si="779"/>
        <v>0</v>
      </c>
      <c r="Q2239" s="7">
        <f t="shared" si="780"/>
        <v>3771982.2500000023</v>
      </c>
      <c r="R2239" s="44" t="str">
        <f>VLOOKUP(F2239,'Set up'!$A$2:$E$48,5,FALSE)</f>
        <v>Cash</v>
      </c>
      <c r="S2239" s="1" t="s">
        <v>2095</v>
      </c>
    </row>
    <row r="2240" spans="1:19" ht="15" hidden="1" customHeight="1" x14ac:dyDescent="0.3">
      <c r="A2240" s="4">
        <v>45224</v>
      </c>
      <c r="B2240" s="5">
        <f t="shared" si="774"/>
        <v>10</v>
      </c>
      <c r="C2240" s="5">
        <f t="shared" si="775"/>
        <v>2023</v>
      </c>
      <c r="D2240" s="88" t="s">
        <v>2030</v>
      </c>
      <c r="E2240" s="5" t="str">
        <f>VLOOKUP(F2240,'Set up'!$A$2:$C$48,2,FALSE)</f>
        <v>C00000012</v>
      </c>
      <c r="F2240" s="1" t="s">
        <v>2024</v>
      </c>
      <c r="G2240" s="99" t="s">
        <v>2027</v>
      </c>
      <c r="H2240" s="5">
        <v>1</v>
      </c>
      <c r="I2240" s="5" t="str">
        <f>VLOOKUP(F2240,'Set up'!$A$2:$C$48,3,FALSE)</f>
        <v>Cash</v>
      </c>
      <c r="J2240" s="5">
        <f>VLOOKUP(F2240,'Set up'!$A$2:$D$48,4,FALSE)</f>
        <v>0</v>
      </c>
      <c r="K2240" s="4">
        <f t="shared" si="776"/>
        <v>45224</v>
      </c>
      <c r="L2240" s="5">
        <f t="shared" si="777"/>
        <v>10</v>
      </c>
      <c r="M2240" s="5">
        <f t="shared" si="778"/>
        <v>2023</v>
      </c>
      <c r="N2240" s="96">
        <v>120</v>
      </c>
      <c r="O2240" s="6">
        <f t="shared" si="781"/>
        <v>-120</v>
      </c>
      <c r="P2240" s="6">
        <f t="shared" si="779"/>
        <v>0</v>
      </c>
      <c r="Q2240" s="7">
        <f t="shared" si="780"/>
        <v>3772102.2500000023</v>
      </c>
      <c r="R2240" s="44" t="str">
        <f>VLOOKUP(F2240,'Set up'!$A$2:$E$48,5,FALSE)</f>
        <v>Cash</v>
      </c>
      <c r="S2240" s="1" t="s">
        <v>2095</v>
      </c>
    </row>
    <row r="2241" spans="1:19" ht="15" hidden="1" customHeight="1" x14ac:dyDescent="0.3">
      <c r="A2241" s="4">
        <v>45224</v>
      </c>
      <c r="B2241" s="5">
        <f t="shared" si="774"/>
        <v>10</v>
      </c>
      <c r="C2241" s="5">
        <f t="shared" si="775"/>
        <v>2023</v>
      </c>
      <c r="D2241" s="88" t="s">
        <v>2030</v>
      </c>
      <c r="E2241" s="5" t="str">
        <f>VLOOKUP(F2241,'Set up'!$A$2:$C$48,2,FALSE)</f>
        <v>C00000012</v>
      </c>
      <c r="F2241" s="1" t="s">
        <v>2024</v>
      </c>
      <c r="G2241" s="99" t="s">
        <v>2028</v>
      </c>
      <c r="H2241" s="5">
        <v>1</v>
      </c>
      <c r="I2241" s="5" t="str">
        <f>VLOOKUP(F2241,'Set up'!$A$2:$C$48,3,FALSE)</f>
        <v>Cash</v>
      </c>
      <c r="J2241" s="5">
        <f>VLOOKUP(F2241,'Set up'!$A$2:$D$48,4,FALSE)</f>
        <v>0</v>
      </c>
      <c r="K2241" s="4">
        <f t="shared" si="776"/>
        <v>45224</v>
      </c>
      <c r="L2241" s="5">
        <f t="shared" si="777"/>
        <v>10</v>
      </c>
      <c r="M2241" s="5">
        <f t="shared" si="778"/>
        <v>2023</v>
      </c>
      <c r="N2241" s="96">
        <v>310</v>
      </c>
      <c r="O2241" s="6">
        <f t="shared" si="781"/>
        <v>-310</v>
      </c>
      <c r="P2241" s="6">
        <f t="shared" si="779"/>
        <v>0</v>
      </c>
      <c r="Q2241" s="7">
        <f t="shared" si="780"/>
        <v>3772412.2500000023</v>
      </c>
      <c r="R2241" s="44" t="str">
        <f>VLOOKUP(F2241,'Set up'!$A$2:$E$48,5,FALSE)</f>
        <v>Cash</v>
      </c>
      <c r="S2241" s="1" t="s">
        <v>2095</v>
      </c>
    </row>
    <row r="2242" spans="1:19" ht="15" hidden="1" customHeight="1" x14ac:dyDescent="0.3">
      <c r="A2242" s="4">
        <v>45224</v>
      </c>
      <c r="B2242" s="5">
        <f t="shared" si="774"/>
        <v>10</v>
      </c>
      <c r="C2242" s="5">
        <f t="shared" si="775"/>
        <v>2023</v>
      </c>
      <c r="D2242" s="88" t="s">
        <v>2030</v>
      </c>
      <c r="E2242" s="5" t="str">
        <f>VLOOKUP(F2242,'Set up'!$A$2:$C$48,2,FALSE)</f>
        <v>C00000012</v>
      </c>
      <c r="F2242" s="1" t="s">
        <v>2024</v>
      </c>
      <c r="G2242" s="99" t="s">
        <v>2029</v>
      </c>
      <c r="H2242" s="5">
        <v>1</v>
      </c>
      <c r="I2242" s="5" t="str">
        <f>VLOOKUP(F2242,'Set up'!$A$2:$C$48,3,FALSE)</f>
        <v>Cash</v>
      </c>
      <c r="J2242" s="5">
        <f>VLOOKUP(F2242,'Set up'!$A$2:$D$48,4,FALSE)</f>
        <v>0</v>
      </c>
      <c r="K2242" s="4">
        <f t="shared" si="776"/>
        <v>45224</v>
      </c>
      <c r="L2242" s="5">
        <f t="shared" si="777"/>
        <v>10</v>
      </c>
      <c r="M2242" s="5">
        <f t="shared" si="778"/>
        <v>2023</v>
      </c>
      <c r="N2242" s="96">
        <v>100</v>
      </c>
      <c r="O2242" s="6">
        <f t="shared" si="781"/>
        <v>-100</v>
      </c>
      <c r="P2242" s="6">
        <f t="shared" si="779"/>
        <v>0</v>
      </c>
      <c r="Q2242" s="7">
        <f t="shared" si="780"/>
        <v>3772512.2500000023</v>
      </c>
      <c r="R2242" s="44" t="str">
        <f>VLOOKUP(F2242,'Set up'!$A$2:$E$48,5,FALSE)</f>
        <v>Cash</v>
      </c>
      <c r="S2242" s="1" t="s">
        <v>2095</v>
      </c>
    </row>
    <row r="2243" spans="1:19" ht="15" hidden="1" customHeight="1" x14ac:dyDescent="0.3">
      <c r="A2243" s="4">
        <v>45224</v>
      </c>
      <c r="B2243" s="5">
        <f t="shared" si="774"/>
        <v>10</v>
      </c>
      <c r="C2243" s="5">
        <f t="shared" si="775"/>
        <v>2023</v>
      </c>
      <c r="D2243" s="88" t="s">
        <v>2031</v>
      </c>
      <c r="E2243" s="5" t="str">
        <f>VLOOKUP(F2243,'Set up'!$A$2:$C$48,2,FALSE)</f>
        <v>C00000021</v>
      </c>
      <c r="F2243" s="1" t="s">
        <v>492</v>
      </c>
      <c r="G2243" s="99" t="s">
        <v>67</v>
      </c>
      <c r="H2243" s="5">
        <v>1</v>
      </c>
      <c r="I2243" s="5" t="str">
        <f>VLOOKUP(F2243,'Set up'!$A$2:$C$48,3,FALSE)</f>
        <v>Cash</v>
      </c>
      <c r="J2243" s="5">
        <f>VLOOKUP(F2243,'Set up'!$A$2:$D$48,4,FALSE)</f>
        <v>0</v>
      </c>
      <c r="K2243" s="4">
        <f t="shared" si="776"/>
        <v>45224</v>
      </c>
      <c r="L2243" s="5">
        <f t="shared" si="777"/>
        <v>10</v>
      </c>
      <c r="M2243" s="5">
        <f t="shared" si="778"/>
        <v>2023</v>
      </c>
      <c r="N2243" s="96">
        <v>1738</v>
      </c>
      <c r="P2243" s="6">
        <f t="shared" si="779"/>
        <v>1738</v>
      </c>
      <c r="Q2243" s="7">
        <f t="shared" si="780"/>
        <v>3774250.2500000023</v>
      </c>
      <c r="R2243" s="44" t="str">
        <f>VLOOKUP(F2243,'Set up'!$A$2:$E$48,5,FALSE)</f>
        <v>PD Chq</v>
      </c>
    </row>
    <row r="2244" spans="1:19" ht="15" hidden="1" customHeight="1" x14ac:dyDescent="0.3">
      <c r="A2244" s="4">
        <v>45224</v>
      </c>
      <c r="B2244" s="5">
        <f t="shared" si="774"/>
        <v>10</v>
      </c>
      <c r="C2244" s="5">
        <f t="shared" si="775"/>
        <v>2023</v>
      </c>
      <c r="D2244" s="88" t="s">
        <v>2031</v>
      </c>
      <c r="E2244" s="5" t="str">
        <f>VLOOKUP(F2244,'Set up'!$A$2:$C$48,2,FALSE)</f>
        <v>C00000021</v>
      </c>
      <c r="F2244" s="1" t="s">
        <v>492</v>
      </c>
      <c r="G2244" s="99" t="s">
        <v>914</v>
      </c>
      <c r="H2244" s="5">
        <v>2</v>
      </c>
      <c r="I2244" s="5" t="str">
        <f>VLOOKUP(F2244,'Set up'!$A$2:$C$48,3,FALSE)</f>
        <v>Cash</v>
      </c>
      <c r="J2244" s="5">
        <f>VLOOKUP(F2244,'Set up'!$A$2:$D$48,4,FALSE)</f>
        <v>0</v>
      </c>
      <c r="K2244" s="4">
        <f t="shared" si="776"/>
        <v>45224</v>
      </c>
      <c r="L2244" s="5">
        <f t="shared" si="777"/>
        <v>10</v>
      </c>
      <c r="M2244" s="5">
        <f t="shared" si="778"/>
        <v>2023</v>
      </c>
      <c r="N2244" s="96">
        <v>468</v>
      </c>
      <c r="P2244" s="6">
        <f t="shared" si="779"/>
        <v>468</v>
      </c>
      <c r="Q2244" s="7">
        <f t="shared" si="780"/>
        <v>3774718.2500000023</v>
      </c>
      <c r="R2244" s="44" t="str">
        <f>VLOOKUP(F2244,'Set up'!$A$2:$E$48,5,FALSE)</f>
        <v>PD Chq</v>
      </c>
    </row>
    <row r="2245" spans="1:19" ht="15" hidden="1" customHeight="1" x14ac:dyDescent="0.3">
      <c r="A2245" s="4">
        <v>45224</v>
      </c>
      <c r="B2245" s="5">
        <f t="shared" si="774"/>
        <v>10</v>
      </c>
      <c r="C2245" s="5">
        <f t="shared" si="775"/>
        <v>2023</v>
      </c>
      <c r="D2245" s="88" t="s">
        <v>2031</v>
      </c>
      <c r="E2245" s="5" t="str">
        <f>VLOOKUP(F2245,'Set up'!$A$2:$C$48,2,FALSE)</f>
        <v>C00000021</v>
      </c>
      <c r="F2245" s="1" t="s">
        <v>492</v>
      </c>
      <c r="G2245" s="99" t="s">
        <v>1062</v>
      </c>
      <c r="H2245" s="5">
        <v>1</v>
      </c>
      <c r="I2245" s="5" t="str">
        <f>VLOOKUP(F2245,'Set up'!$A$2:$C$48,3,FALSE)</f>
        <v>Cash</v>
      </c>
      <c r="J2245" s="5">
        <f>VLOOKUP(F2245,'Set up'!$A$2:$D$48,4,FALSE)</f>
        <v>0</v>
      </c>
      <c r="K2245" s="4">
        <f t="shared" si="776"/>
        <v>45224</v>
      </c>
      <c r="L2245" s="5">
        <f t="shared" si="777"/>
        <v>10</v>
      </c>
      <c r="M2245" s="5">
        <f t="shared" si="778"/>
        <v>2023</v>
      </c>
      <c r="N2245" s="96">
        <v>95</v>
      </c>
      <c r="P2245" s="6">
        <f t="shared" si="779"/>
        <v>95</v>
      </c>
      <c r="Q2245" s="7">
        <f t="shared" si="780"/>
        <v>3774813.2500000023</v>
      </c>
      <c r="R2245" s="44" t="str">
        <f>VLOOKUP(F2245,'Set up'!$A$2:$E$48,5,FALSE)</f>
        <v>PD Chq</v>
      </c>
    </row>
    <row r="2246" spans="1:19" ht="15" hidden="1" customHeight="1" x14ac:dyDescent="0.3">
      <c r="A2246" s="4">
        <v>45224</v>
      </c>
      <c r="B2246" s="5">
        <f t="shared" si="774"/>
        <v>10</v>
      </c>
      <c r="C2246" s="5">
        <f t="shared" si="775"/>
        <v>2023</v>
      </c>
      <c r="D2246" s="88" t="s">
        <v>2031</v>
      </c>
      <c r="E2246" s="5" t="str">
        <f>VLOOKUP(F2246,'Set up'!$A$2:$C$48,2,FALSE)</f>
        <v>C00000021</v>
      </c>
      <c r="F2246" s="1" t="s">
        <v>492</v>
      </c>
      <c r="G2246" s="99" t="s">
        <v>2032</v>
      </c>
      <c r="H2246" s="5">
        <v>1</v>
      </c>
      <c r="I2246" s="5" t="str">
        <f>VLOOKUP(F2246,'Set up'!$A$2:$C$48,3,FALSE)</f>
        <v>Cash</v>
      </c>
      <c r="J2246" s="5">
        <f>VLOOKUP(F2246,'Set up'!$A$2:$D$48,4,FALSE)</f>
        <v>0</v>
      </c>
      <c r="K2246" s="4">
        <f t="shared" si="776"/>
        <v>45224</v>
      </c>
      <c r="L2246" s="5">
        <f t="shared" si="777"/>
        <v>10</v>
      </c>
      <c r="M2246" s="5">
        <f t="shared" si="778"/>
        <v>2023</v>
      </c>
      <c r="N2246" s="96">
        <v>260</v>
      </c>
      <c r="P2246" s="6">
        <f t="shared" si="779"/>
        <v>260</v>
      </c>
      <c r="Q2246" s="7">
        <f t="shared" si="780"/>
        <v>3775073.2500000023</v>
      </c>
      <c r="R2246" s="44" t="str">
        <f>VLOOKUP(F2246,'Set up'!$A$2:$E$48,5,FALSE)</f>
        <v>PD Chq</v>
      </c>
    </row>
    <row r="2247" spans="1:19" ht="15" hidden="1" customHeight="1" x14ac:dyDescent="0.3">
      <c r="A2247" s="4">
        <v>45225</v>
      </c>
      <c r="B2247" s="5">
        <f t="shared" si="774"/>
        <v>10</v>
      </c>
      <c r="C2247" s="5">
        <f t="shared" si="775"/>
        <v>2023</v>
      </c>
      <c r="D2247" s="88" t="s">
        <v>2033</v>
      </c>
      <c r="E2247" s="5" t="str">
        <f>VLOOKUP(F2247,'Set up'!$A$2:$C$48,2,FALSE)</f>
        <v>C00000019</v>
      </c>
      <c r="F2247" s="1" t="s">
        <v>401</v>
      </c>
      <c r="G2247" s="99" t="s">
        <v>95</v>
      </c>
      <c r="H2247" s="5">
        <v>1</v>
      </c>
      <c r="I2247" s="5" t="str">
        <f>VLOOKUP(F2247,'Set up'!$A$2:$C$48,3,FALSE)</f>
        <v>Cash</v>
      </c>
      <c r="J2247" s="5">
        <f>VLOOKUP(F2247,'Set up'!$A$2:$D$48,4,FALSE)</f>
        <v>0</v>
      </c>
      <c r="K2247" s="4">
        <f t="shared" si="776"/>
        <v>45225</v>
      </c>
      <c r="L2247" s="5">
        <f t="shared" si="777"/>
        <v>10</v>
      </c>
      <c r="M2247" s="5">
        <f t="shared" si="778"/>
        <v>2023</v>
      </c>
      <c r="N2247" s="96">
        <v>1738</v>
      </c>
      <c r="P2247" s="6">
        <f t="shared" si="779"/>
        <v>1738</v>
      </c>
      <c r="Q2247" s="7">
        <f t="shared" si="780"/>
        <v>3776811.2500000023</v>
      </c>
      <c r="R2247" s="44" t="str">
        <f>VLOOKUP(F2247,'Set up'!$A$2:$E$48,5,FALSE)</f>
        <v>Trsf</v>
      </c>
    </row>
    <row r="2248" spans="1:19" ht="15" hidden="1" customHeight="1" x14ac:dyDescent="0.3">
      <c r="A2248" s="4">
        <v>45225</v>
      </c>
      <c r="B2248" s="5">
        <f t="shared" si="774"/>
        <v>10</v>
      </c>
      <c r="C2248" s="5">
        <f t="shared" si="775"/>
        <v>2023</v>
      </c>
      <c r="D2248" s="88" t="s">
        <v>2033</v>
      </c>
      <c r="E2248" s="5" t="str">
        <f>VLOOKUP(F2248,'Set up'!$A$2:$C$48,2,FALSE)</f>
        <v>C00000019</v>
      </c>
      <c r="F2248" s="1" t="s">
        <v>401</v>
      </c>
      <c r="G2248" s="99" t="s">
        <v>1412</v>
      </c>
      <c r="H2248" s="5">
        <v>1</v>
      </c>
      <c r="I2248" s="5" t="str">
        <f>VLOOKUP(F2248,'Set up'!$A$2:$C$48,3,FALSE)</f>
        <v>Cash</v>
      </c>
      <c r="J2248" s="5">
        <f>VLOOKUP(F2248,'Set up'!$A$2:$D$48,4,FALSE)</f>
        <v>0</v>
      </c>
      <c r="K2248" s="4">
        <f t="shared" si="776"/>
        <v>45225</v>
      </c>
      <c r="L2248" s="5">
        <f t="shared" si="777"/>
        <v>10</v>
      </c>
      <c r="M2248" s="5">
        <f t="shared" si="778"/>
        <v>2023</v>
      </c>
      <c r="N2248" s="96">
        <v>405</v>
      </c>
      <c r="P2248" s="6">
        <f t="shared" si="779"/>
        <v>405</v>
      </c>
      <c r="Q2248" s="7">
        <f t="shared" si="780"/>
        <v>3777216.2500000023</v>
      </c>
      <c r="R2248" s="44" t="str">
        <f>VLOOKUP(F2248,'Set up'!$A$2:$E$48,5,FALSE)</f>
        <v>Trsf</v>
      </c>
    </row>
    <row r="2249" spans="1:19" ht="15" hidden="1" customHeight="1" x14ac:dyDescent="0.3">
      <c r="A2249" s="4">
        <v>45225</v>
      </c>
      <c r="B2249" s="5">
        <f t="shared" si="774"/>
        <v>10</v>
      </c>
      <c r="C2249" s="5">
        <f t="shared" si="775"/>
        <v>2023</v>
      </c>
      <c r="D2249" s="88" t="s">
        <v>2033</v>
      </c>
      <c r="E2249" s="5" t="str">
        <f>VLOOKUP(F2249,'Set up'!$A$2:$C$48,2,FALSE)</f>
        <v>C00000019</v>
      </c>
      <c r="F2249" s="1" t="s">
        <v>401</v>
      </c>
      <c r="G2249" s="99" t="s">
        <v>792</v>
      </c>
      <c r="H2249" s="5">
        <v>3</v>
      </c>
      <c r="I2249" s="5" t="str">
        <f>VLOOKUP(F2249,'Set up'!$A$2:$C$48,3,FALSE)</f>
        <v>Cash</v>
      </c>
      <c r="J2249" s="5">
        <f>VLOOKUP(F2249,'Set up'!$A$2:$D$48,4,FALSE)</f>
        <v>0</v>
      </c>
      <c r="K2249" s="4">
        <f t="shared" si="776"/>
        <v>45225</v>
      </c>
      <c r="L2249" s="5">
        <f t="shared" si="777"/>
        <v>10</v>
      </c>
      <c r="M2249" s="5">
        <f t="shared" si="778"/>
        <v>2023</v>
      </c>
      <c r="N2249" s="96">
        <v>187.5</v>
      </c>
      <c r="P2249" s="6">
        <f t="shared" si="779"/>
        <v>187.5</v>
      </c>
      <c r="Q2249" s="7">
        <f t="shared" si="780"/>
        <v>3777403.7500000023</v>
      </c>
      <c r="R2249" s="44" t="str">
        <f>VLOOKUP(F2249,'Set up'!$A$2:$E$48,5,FALSE)</f>
        <v>Trsf</v>
      </c>
    </row>
    <row r="2250" spans="1:19" ht="15" hidden="1" customHeight="1" x14ac:dyDescent="0.3">
      <c r="A2250" s="4">
        <v>45225</v>
      </c>
      <c r="B2250" s="5">
        <f t="shared" si="774"/>
        <v>10</v>
      </c>
      <c r="C2250" s="5">
        <f t="shared" si="775"/>
        <v>2023</v>
      </c>
      <c r="D2250" s="88" t="s">
        <v>2033</v>
      </c>
      <c r="E2250" s="5" t="str">
        <f>VLOOKUP(F2250,'Set up'!$A$2:$C$48,2,FALSE)</f>
        <v>C00000019</v>
      </c>
      <c r="F2250" s="1" t="s">
        <v>401</v>
      </c>
      <c r="G2250" s="99" t="s">
        <v>46</v>
      </c>
      <c r="H2250" s="5">
        <v>1</v>
      </c>
      <c r="I2250" s="5" t="str">
        <f>VLOOKUP(F2250,'Set up'!$A$2:$C$48,3,FALSE)</f>
        <v>Cash</v>
      </c>
      <c r="J2250" s="5">
        <f>VLOOKUP(F2250,'Set up'!$A$2:$D$48,4,FALSE)</f>
        <v>0</v>
      </c>
      <c r="K2250" s="4">
        <f t="shared" si="776"/>
        <v>45225</v>
      </c>
      <c r="L2250" s="5">
        <f t="shared" si="777"/>
        <v>10</v>
      </c>
      <c r="M2250" s="5">
        <f t="shared" si="778"/>
        <v>2023</v>
      </c>
      <c r="N2250" s="96">
        <v>105</v>
      </c>
      <c r="P2250" s="6">
        <f t="shared" si="779"/>
        <v>105</v>
      </c>
      <c r="Q2250" s="7">
        <f t="shared" si="780"/>
        <v>3777508.7500000023</v>
      </c>
      <c r="R2250" s="44" t="str">
        <f>VLOOKUP(F2250,'Set up'!$A$2:$E$48,5,FALSE)</f>
        <v>Trsf</v>
      </c>
    </row>
    <row r="2251" spans="1:19" ht="15" hidden="1" customHeight="1" x14ac:dyDescent="0.3">
      <c r="A2251" s="4">
        <v>45225</v>
      </c>
      <c r="B2251" s="5">
        <f t="shared" si="774"/>
        <v>10</v>
      </c>
      <c r="C2251" s="5">
        <f t="shared" si="775"/>
        <v>2023</v>
      </c>
      <c r="D2251" s="88" t="s">
        <v>2033</v>
      </c>
      <c r="E2251" s="5" t="str">
        <f>VLOOKUP(F2251,'Set up'!$A$2:$C$48,2,FALSE)</f>
        <v>C00000019</v>
      </c>
      <c r="F2251" s="1" t="s">
        <v>401</v>
      </c>
      <c r="G2251" s="99" t="s">
        <v>950</v>
      </c>
      <c r="H2251" s="5">
        <v>2</v>
      </c>
      <c r="I2251" s="5" t="str">
        <f>VLOOKUP(F2251,'Set up'!$A$2:$C$48,3,FALSE)</f>
        <v>Cash</v>
      </c>
      <c r="J2251" s="5">
        <f>VLOOKUP(F2251,'Set up'!$A$2:$D$48,4,FALSE)</f>
        <v>0</v>
      </c>
      <c r="K2251" s="4">
        <f t="shared" si="776"/>
        <v>45225</v>
      </c>
      <c r="L2251" s="5">
        <f t="shared" si="777"/>
        <v>10</v>
      </c>
      <c r="M2251" s="5">
        <f t="shared" si="778"/>
        <v>2023</v>
      </c>
      <c r="N2251" s="96">
        <v>100</v>
      </c>
      <c r="P2251" s="6">
        <f t="shared" si="779"/>
        <v>100</v>
      </c>
      <c r="Q2251" s="7">
        <f t="shared" si="780"/>
        <v>3777608.7500000023</v>
      </c>
      <c r="R2251" s="44" t="str">
        <f>VLOOKUP(F2251,'Set up'!$A$2:$E$48,5,FALSE)</f>
        <v>Trsf</v>
      </c>
    </row>
    <row r="2252" spans="1:19" ht="15" customHeight="1" x14ac:dyDescent="0.3">
      <c r="A2252" s="4">
        <v>45225</v>
      </c>
      <c r="B2252" s="5">
        <f t="shared" si="774"/>
        <v>10</v>
      </c>
      <c r="C2252" s="5">
        <f t="shared" si="775"/>
        <v>2023</v>
      </c>
      <c r="D2252" s="88" t="s">
        <v>2034</v>
      </c>
      <c r="E2252" s="5" t="str">
        <f>VLOOKUP(F2252,'Set up'!$A$2:$C$48,2,FALSE)</f>
        <v>C00000042</v>
      </c>
      <c r="F2252" s="1" t="s">
        <v>2014</v>
      </c>
      <c r="G2252" s="99" t="s">
        <v>1074</v>
      </c>
      <c r="H2252" s="5">
        <v>1</v>
      </c>
      <c r="I2252" s="5" t="str">
        <f>VLOOKUP(F2252,'Set up'!$A$2:$C$48,3,FALSE)</f>
        <v>Cash</v>
      </c>
      <c r="J2252" s="5">
        <f>VLOOKUP(F2252,'Set up'!$A$2:$D$48,4,FALSE)</f>
        <v>0</v>
      </c>
      <c r="K2252" s="4">
        <f t="shared" si="776"/>
        <v>45225</v>
      </c>
      <c r="L2252" s="5">
        <f t="shared" si="777"/>
        <v>10</v>
      </c>
      <c r="M2252" s="5">
        <f t="shared" si="778"/>
        <v>2023</v>
      </c>
      <c r="N2252" s="96">
        <v>1000</v>
      </c>
      <c r="P2252" s="6">
        <f t="shared" si="779"/>
        <v>1000</v>
      </c>
      <c r="Q2252" s="7">
        <f t="shared" si="780"/>
        <v>3778608.7500000023</v>
      </c>
      <c r="R2252" s="44" t="str">
        <f>VLOOKUP(F2252,'Set up'!$A$2:$E$48,5,FALSE)</f>
        <v>Trsf</v>
      </c>
    </row>
    <row r="2253" spans="1:19" ht="15" hidden="1" customHeight="1" x14ac:dyDescent="0.3">
      <c r="A2253" s="4">
        <v>45226</v>
      </c>
      <c r="B2253" s="5">
        <f t="shared" si="774"/>
        <v>10</v>
      </c>
      <c r="C2253" s="5">
        <f t="shared" si="775"/>
        <v>2023</v>
      </c>
      <c r="D2253" s="88" t="s">
        <v>2035</v>
      </c>
      <c r="E2253" s="5" t="str">
        <f>VLOOKUP(F2253,'Set up'!$A$2:$C$48,2,FALSE)</f>
        <v>C00000019</v>
      </c>
      <c r="F2253" s="1" t="s">
        <v>401</v>
      </c>
      <c r="G2253" s="99" t="s">
        <v>44</v>
      </c>
      <c r="H2253" s="5">
        <v>1</v>
      </c>
      <c r="I2253" s="5" t="str">
        <f>VLOOKUP(F2253,'Set up'!$A$2:$C$48,3,FALSE)</f>
        <v>Cash</v>
      </c>
      <c r="J2253" s="5">
        <f>VLOOKUP(F2253,'Set up'!$A$2:$D$48,4,FALSE)</f>
        <v>0</v>
      </c>
      <c r="K2253" s="4">
        <f t="shared" si="776"/>
        <v>45226</v>
      </c>
      <c r="L2253" s="5">
        <f t="shared" si="777"/>
        <v>10</v>
      </c>
      <c r="M2253" s="5">
        <f t="shared" si="778"/>
        <v>2023</v>
      </c>
      <c r="N2253" s="96">
        <v>258</v>
      </c>
      <c r="P2253" s="6">
        <f t="shared" si="779"/>
        <v>258</v>
      </c>
      <c r="Q2253" s="7">
        <f t="shared" si="780"/>
        <v>3778866.7500000023</v>
      </c>
      <c r="R2253" s="44" t="str">
        <f>VLOOKUP(F2253,'Set up'!$A$2:$E$48,5,FALSE)</f>
        <v>Trsf</v>
      </c>
    </row>
    <row r="2254" spans="1:19" ht="15" hidden="1" customHeight="1" x14ac:dyDescent="0.3">
      <c r="A2254" s="4">
        <v>45226</v>
      </c>
      <c r="B2254" s="5">
        <f t="shared" si="774"/>
        <v>10</v>
      </c>
      <c r="C2254" s="5">
        <f t="shared" si="775"/>
        <v>2023</v>
      </c>
      <c r="D2254" s="88" t="s">
        <v>2035</v>
      </c>
      <c r="E2254" s="5" t="str">
        <f>VLOOKUP(F2254,'Set up'!$A$2:$C$48,2,FALSE)</f>
        <v>C00000019</v>
      </c>
      <c r="F2254" s="1" t="s">
        <v>401</v>
      </c>
      <c r="G2254" s="99" t="s">
        <v>1470</v>
      </c>
      <c r="H2254" s="5">
        <v>1</v>
      </c>
      <c r="I2254" s="5" t="str">
        <f>VLOOKUP(F2254,'Set up'!$A$2:$C$48,3,FALSE)</f>
        <v>Cash</v>
      </c>
      <c r="J2254" s="5">
        <f>VLOOKUP(F2254,'Set up'!$A$2:$D$48,4,FALSE)</f>
        <v>0</v>
      </c>
      <c r="K2254" s="4">
        <f t="shared" si="776"/>
        <v>45226</v>
      </c>
      <c r="L2254" s="5">
        <f t="shared" si="777"/>
        <v>10</v>
      </c>
      <c r="M2254" s="5">
        <f t="shared" si="778"/>
        <v>2023</v>
      </c>
      <c r="N2254" s="96">
        <v>390</v>
      </c>
      <c r="P2254" s="6">
        <f t="shared" si="779"/>
        <v>390</v>
      </c>
      <c r="Q2254" s="7">
        <f t="shared" si="780"/>
        <v>3779256.7500000023</v>
      </c>
      <c r="R2254" s="44" t="str">
        <f>VLOOKUP(F2254,'Set up'!$A$2:$E$48,5,FALSE)</f>
        <v>Trsf</v>
      </c>
    </row>
    <row r="2255" spans="1:19" ht="15" hidden="1" customHeight="1" x14ac:dyDescent="0.3">
      <c r="A2255" s="4">
        <v>45226</v>
      </c>
      <c r="B2255" s="5">
        <f t="shared" si="774"/>
        <v>10</v>
      </c>
      <c r="C2255" s="5">
        <f t="shared" si="775"/>
        <v>2023</v>
      </c>
      <c r="D2255" s="88" t="s">
        <v>2036</v>
      </c>
      <c r="E2255" s="5" t="str">
        <f>VLOOKUP(F2255,'Set up'!$A$2:$C$48,2,FALSE)</f>
        <v>C00000034</v>
      </c>
      <c r="F2255" s="1" t="s">
        <v>1197</v>
      </c>
      <c r="G2255" s="11" t="s">
        <v>1352</v>
      </c>
      <c r="H2255" s="5">
        <v>5</v>
      </c>
      <c r="I2255" s="5" t="str">
        <f>VLOOKUP(F2255,'Set up'!$A$2:$C$48,3,FALSE)</f>
        <v>Cash</v>
      </c>
      <c r="J2255" s="5">
        <f>VLOOKUP(F2255,'Set up'!$A$2:$D$48,4,FALSE)</f>
        <v>0</v>
      </c>
      <c r="K2255" s="4">
        <f t="shared" si="776"/>
        <v>45226</v>
      </c>
      <c r="L2255" s="5">
        <f t="shared" si="777"/>
        <v>10</v>
      </c>
      <c r="M2255" s="5">
        <f t="shared" si="778"/>
        <v>2023</v>
      </c>
      <c r="N2255" s="96">
        <v>695</v>
      </c>
      <c r="P2255" s="6">
        <f t="shared" si="779"/>
        <v>695</v>
      </c>
      <c r="Q2255" s="7">
        <f t="shared" si="780"/>
        <v>3779951.7500000023</v>
      </c>
      <c r="R2255" s="44" t="str">
        <f>VLOOKUP(F2255,'Set up'!$A$2:$E$48,5,FALSE)</f>
        <v>Trsf</v>
      </c>
    </row>
    <row r="2256" spans="1:19" ht="15" customHeight="1" x14ac:dyDescent="0.3">
      <c r="A2256" s="4">
        <v>45227</v>
      </c>
      <c r="B2256" s="5">
        <f t="shared" si="774"/>
        <v>10</v>
      </c>
      <c r="C2256" s="5">
        <f t="shared" si="775"/>
        <v>2023</v>
      </c>
      <c r="D2256" s="88" t="s">
        <v>2037</v>
      </c>
      <c r="E2256" s="5" t="str">
        <f>VLOOKUP(F2256,'Set up'!$A$2:$C$48,2,FALSE)</f>
        <v>C00000042</v>
      </c>
      <c r="F2256" s="1" t="s">
        <v>2014</v>
      </c>
      <c r="G2256" s="99" t="s">
        <v>1111</v>
      </c>
      <c r="H2256" s="5">
        <v>3</v>
      </c>
      <c r="I2256" s="5" t="str">
        <f>VLOOKUP(F2256,'Set up'!$A$2:$C$48,3,FALSE)</f>
        <v>Cash</v>
      </c>
      <c r="J2256" s="5">
        <f>VLOOKUP(F2256,'Set up'!$A$2:$D$48,4,FALSE)</f>
        <v>0</v>
      </c>
      <c r="K2256" s="4">
        <f t="shared" si="776"/>
        <v>45227</v>
      </c>
      <c r="L2256" s="5">
        <f t="shared" si="777"/>
        <v>10</v>
      </c>
      <c r="M2256" s="5">
        <f t="shared" si="778"/>
        <v>2023</v>
      </c>
      <c r="N2256" s="96">
        <v>187.5</v>
      </c>
      <c r="P2256" s="6">
        <f t="shared" si="779"/>
        <v>187.5</v>
      </c>
      <c r="Q2256" s="7">
        <f t="shared" si="780"/>
        <v>3780139.2500000023</v>
      </c>
      <c r="R2256" s="44" t="str">
        <f>VLOOKUP(F2256,'Set up'!$A$2:$E$48,5,FALSE)</f>
        <v>Trsf</v>
      </c>
    </row>
    <row r="2257" spans="1:19" ht="15" customHeight="1" x14ac:dyDescent="0.3">
      <c r="A2257" s="4">
        <v>45227</v>
      </c>
      <c r="B2257" s="5">
        <f t="shared" si="774"/>
        <v>10</v>
      </c>
      <c r="C2257" s="5">
        <f t="shared" si="775"/>
        <v>2023</v>
      </c>
      <c r="D2257" s="88" t="s">
        <v>2038</v>
      </c>
      <c r="E2257" s="5" t="str">
        <f>VLOOKUP(F2257,'Set up'!$A$2:$C$48,2,FALSE)</f>
        <v>C00000042</v>
      </c>
      <c r="F2257" s="1" t="s">
        <v>2014</v>
      </c>
      <c r="G2257" s="99" t="s">
        <v>1734</v>
      </c>
      <c r="H2257" s="5">
        <v>3</v>
      </c>
      <c r="I2257" s="5" t="str">
        <f>VLOOKUP(F2257,'Set up'!$A$2:$C$48,3,FALSE)</f>
        <v>Cash</v>
      </c>
      <c r="J2257" s="5">
        <f>VLOOKUP(F2257,'Set up'!$A$2:$D$48,4,FALSE)</f>
        <v>0</v>
      </c>
      <c r="K2257" s="4">
        <f t="shared" si="776"/>
        <v>45227</v>
      </c>
      <c r="L2257" s="5">
        <f t="shared" si="777"/>
        <v>10</v>
      </c>
      <c r="M2257" s="5">
        <f t="shared" si="778"/>
        <v>2023</v>
      </c>
      <c r="N2257" s="96">
        <v>4884</v>
      </c>
      <c r="P2257" s="6">
        <f t="shared" si="779"/>
        <v>4884</v>
      </c>
      <c r="Q2257" s="7">
        <f t="shared" si="780"/>
        <v>3785023.2500000023</v>
      </c>
      <c r="R2257" s="44" t="str">
        <f>VLOOKUP(F2257,'Set up'!$A$2:$E$48,5,FALSE)</f>
        <v>Trsf</v>
      </c>
    </row>
    <row r="2258" spans="1:19" ht="15" customHeight="1" x14ac:dyDescent="0.3">
      <c r="A2258" s="4">
        <v>45227</v>
      </c>
      <c r="B2258" s="5">
        <f t="shared" si="774"/>
        <v>10</v>
      </c>
      <c r="C2258" s="5">
        <f t="shared" si="775"/>
        <v>2023</v>
      </c>
      <c r="D2258" s="88" t="s">
        <v>2038</v>
      </c>
      <c r="E2258" s="5" t="str">
        <f>VLOOKUP(F2258,'Set up'!$A$2:$C$48,2,FALSE)</f>
        <v>C00000042</v>
      </c>
      <c r="F2258" s="1" t="s">
        <v>2014</v>
      </c>
      <c r="G2258" s="99" t="s">
        <v>914</v>
      </c>
      <c r="H2258" s="5">
        <v>9</v>
      </c>
      <c r="I2258" s="5" t="str">
        <f>VLOOKUP(F2258,'Set up'!$A$2:$C$48,3,FALSE)</f>
        <v>Cash</v>
      </c>
      <c r="J2258" s="5">
        <f>VLOOKUP(F2258,'Set up'!$A$2:$D$48,4,FALSE)</f>
        <v>0</v>
      </c>
      <c r="K2258" s="4">
        <f t="shared" si="776"/>
        <v>45227</v>
      </c>
      <c r="L2258" s="5">
        <f t="shared" si="777"/>
        <v>10</v>
      </c>
      <c r="M2258" s="5">
        <f t="shared" si="778"/>
        <v>2023</v>
      </c>
      <c r="N2258" s="96">
        <v>1620</v>
      </c>
      <c r="P2258" s="6">
        <f t="shared" si="779"/>
        <v>1620</v>
      </c>
      <c r="Q2258" s="7">
        <f t="shared" si="780"/>
        <v>3786643.2500000023</v>
      </c>
      <c r="R2258" s="44" t="str">
        <f>VLOOKUP(F2258,'Set up'!$A$2:$E$48,5,FALSE)</f>
        <v>Trsf</v>
      </c>
    </row>
    <row r="2259" spans="1:19" ht="15" customHeight="1" x14ac:dyDescent="0.3">
      <c r="A2259" s="4">
        <v>45227</v>
      </c>
      <c r="B2259" s="5">
        <f t="shared" ref="B2259:B2260" si="782">MONTH(A2259)</f>
        <v>10</v>
      </c>
      <c r="C2259" s="5">
        <f t="shared" ref="C2259:C2260" si="783">YEAR(A2259)</f>
        <v>2023</v>
      </c>
      <c r="D2259" s="88" t="s">
        <v>2038</v>
      </c>
      <c r="E2259" s="5" t="str">
        <f>VLOOKUP(F2259,'Set up'!$A$2:$C$48,2,FALSE)</f>
        <v>C00000042</v>
      </c>
      <c r="F2259" s="1" t="s">
        <v>2014</v>
      </c>
      <c r="G2259" s="99" t="s">
        <v>1923</v>
      </c>
      <c r="H2259" s="5">
        <v>4</v>
      </c>
      <c r="I2259" s="5" t="str">
        <f>VLOOKUP(F2259,'Set up'!$A$2:$C$48,3,FALSE)</f>
        <v>Cash</v>
      </c>
      <c r="J2259" s="5">
        <f>VLOOKUP(F2259,'Set up'!$A$2:$D$48,4,FALSE)</f>
        <v>0</v>
      </c>
      <c r="K2259" s="4">
        <f t="shared" ref="K2259:K2260" si="784">A2259+J2259</f>
        <v>45227</v>
      </c>
      <c r="L2259" s="5">
        <f t="shared" ref="L2259:L2260" si="785">MONTH(K2259)</f>
        <v>10</v>
      </c>
      <c r="M2259" s="5">
        <f t="shared" ref="M2259:M2260" si="786">YEAR(K2259)</f>
        <v>2023</v>
      </c>
      <c r="N2259" s="96">
        <v>936</v>
      </c>
      <c r="P2259" s="6">
        <f t="shared" ref="P2259:P2322" si="787">SUM(N2259+O2259)</f>
        <v>936</v>
      </c>
      <c r="Q2259" s="7">
        <f t="shared" ref="Q2259:Q2260" si="788">SUM(Q2258+N2259)</f>
        <v>3787579.2500000023</v>
      </c>
      <c r="R2259" s="44" t="str">
        <f>VLOOKUP(F2259,'Set up'!$A$2:$E$48,5,FALSE)</f>
        <v>Trsf</v>
      </c>
    </row>
    <row r="2260" spans="1:19" ht="15" hidden="1" customHeight="1" x14ac:dyDescent="0.3">
      <c r="A2260" s="4">
        <v>45229</v>
      </c>
      <c r="B2260" s="5">
        <f t="shared" si="782"/>
        <v>10</v>
      </c>
      <c r="C2260" s="5">
        <f t="shared" si="783"/>
        <v>2023</v>
      </c>
      <c r="D2260" s="88" t="s">
        <v>2039</v>
      </c>
      <c r="E2260" s="5" t="str">
        <f>VLOOKUP(F2260,'Set up'!$A$2:$C$48,2,FALSE)</f>
        <v>C00000037</v>
      </c>
      <c r="F2260" s="1" t="s">
        <v>1310</v>
      </c>
      <c r="G2260" s="99" t="s">
        <v>1895</v>
      </c>
      <c r="H2260" s="5">
        <v>5</v>
      </c>
      <c r="I2260" s="5">
        <f>VLOOKUP(F2260,'Set up'!$A$2:$C$48,3,FALSE)</f>
        <v>30</v>
      </c>
      <c r="J2260" s="5">
        <f>VLOOKUP(F2260,'Set up'!$A$2:$D$48,4,FALSE)</f>
        <v>30</v>
      </c>
      <c r="K2260" s="4">
        <f t="shared" si="784"/>
        <v>45259</v>
      </c>
      <c r="L2260" s="5">
        <f t="shared" si="785"/>
        <v>11</v>
      </c>
      <c r="M2260" s="5">
        <f t="shared" si="786"/>
        <v>2023</v>
      </c>
      <c r="N2260" s="96">
        <v>8690</v>
      </c>
      <c r="O2260" s="6">
        <f t="shared" ref="O2260:O2268" si="789">-N2260</f>
        <v>-8690</v>
      </c>
      <c r="P2260" s="6">
        <f t="shared" si="787"/>
        <v>0</v>
      </c>
      <c r="Q2260" s="7">
        <f t="shared" si="788"/>
        <v>3796269.2500000023</v>
      </c>
      <c r="R2260" s="44" t="str">
        <f>VLOOKUP(F2260,'Set up'!$A$2:$E$48,5,FALSE)</f>
        <v>Chq</v>
      </c>
      <c r="S2260" s="1" t="s">
        <v>2154</v>
      </c>
    </row>
    <row r="2261" spans="1:19" ht="15" hidden="1" customHeight="1" x14ac:dyDescent="0.3">
      <c r="A2261" s="4">
        <v>45229</v>
      </c>
      <c r="B2261" s="5">
        <f t="shared" ref="B2261:B2268" si="790">MONTH(A2261)</f>
        <v>10</v>
      </c>
      <c r="C2261" s="5">
        <f t="shared" ref="C2261:C2268" si="791">YEAR(A2261)</f>
        <v>2023</v>
      </c>
      <c r="D2261" s="88" t="s">
        <v>2039</v>
      </c>
      <c r="E2261" s="5" t="str">
        <f>VLOOKUP(F2261,'Set up'!$A$2:$C$48,2,FALSE)</f>
        <v>C00000037</v>
      </c>
      <c r="F2261" s="1" t="s">
        <v>1310</v>
      </c>
      <c r="G2261" s="99" t="s">
        <v>1546</v>
      </c>
      <c r="H2261" s="5">
        <v>5</v>
      </c>
      <c r="I2261" s="5">
        <f>VLOOKUP(F2261,'Set up'!$A$2:$C$48,3,FALSE)</f>
        <v>30</v>
      </c>
      <c r="J2261" s="5">
        <f>VLOOKUP(F2261,'Set up'!$A$2:$D$48,4,FALSE)</f>
        <v>30</v>
      </c>
      <c r="K2261" s="4">
        <f t="shared" ref="K2261:K2268" si="792">A2261+J2261</f>
        <v>45259</v>
      </c>
      <c r="L2261" s="5">
        <f t="shared" ref="L2261:L2268" si="793">MONTH(K2261)</f>
        <v>11</v>
      </c>
      <c r="M2261" s="5">
        <f t="shared" ref="M2261:M2268" si="794">YEAR(K2261)</f>
        <v>2023</v>
      </c>
      <c r="N2261" s="96">
        <v>2613</v>
      </c>
      <c r="O2261" s="6">
        <f t="shared" si="789"/>
        <v>-2613</v>
      </c>
      <c r="P2261" s="6">
        <f t="shared" si="787"/>
        <v>0</v>
      </c>
      <c r="Q2261" s="7">
        <f t="shared" ref="Q2261:Q2268" si="795">SUM(Q2260+N2261)</f>
        <v>3798882.2500000023</v>
      </c>
      <c r="R2261" s="44" t="str">
        <f>VLOOKUP(F2261,'Set up'!$A$2:$E$48,5,FALSE)</f>
        <v>Chq</v>
      </c>
      <c r="S2261" s="1" t="s">
        <v>2155</v>
      </c>
    </row>
    <row r="2262" spans="1:19" ht="15" hidden="1" customHeight="1" x14ac:dyDescent="0.3">
      <c r="A2262" s="4">
        <v>45229</v>
      </c>
      <c r="B2262" s="5">
        <f t="shared" si="790"/>
        <v>10</v>
      </c>
      <c r="C2262" s="5">
        <f t="shared" si="791"/>
        <v>2023</v>
      </c>
      <c r="D2262" s="88" t="s">
        <v>2039</v>
      </c>
      <c r="E2262" s="5" t="str">
        <f>VLOOKUP(F2262,'Set up'!$A$2:$C$48,2,FALSE)</f>
        <v>C00000037</v>
      </c>
      <c r="F2262" s="1" t="s">
        <v>1310</v>
      </c>
      <c r="G2262" s="99" t="s">
        <v>708</v>
      </c>
      <c r="H2262" s="5">
        <v>2</v>
      </c>
      <c r="I2262" s="5">
        <f>VLOOKUP(F2262,'Set up'!$A$2:$C$48,3,FALSE)</f>
        <v>30</v>
      </c>
      <c r="J2262" s="5">
        <f>VLOOKUP(F2262,'Set up'!$A$2:$D$48,4,FALSE)</f>
        <v>30</v>
      </c>
      <c r="K2262" s="4">
        <f t="shared" si="792"/>
        <v>45259</v>
      </c>
      <c r="L2262" s="5">
        <f t="shared" si="793"/>
        <v>11</v>
      </c>
      <c r="M2262" s="5">
        <f t="shared" si="794"/>
        <v>2023</v>
      </c>
      <c r="N2262" s="96">
        <v>842.4</v>
      </c>
      <c r="O2262" s="6">
        <f t="shared" si="789"/>
        <v>-842.4</v>
      </c>
      <c r="P2262" s="6">
        <f t="shared" si="787"/>
        <v>0</v>
      </c>
      <c r="Q2262" s="7">
        <f t="shared" si="795"/>
        <v>3799724.6500000022</v>
      </c>
      <c r="R2262" s="44" t="str">
        <f>VLOOKUP(F2262,'Set up'!$A$2:$E$48,5,FALSE)</f>
        <v>Chq</v>
      </c>
      <c r="S2262" s="1" t="s">
        <v>2156</v>
      </c>
    </row>
    <row r="2263" spans="1:19" ht="15" hidden="1" customHeight="1" x14ac:dyDescent="0.3">
      <c r="A2263" s="4">
        <v>45229</v>
      </c>
      <c r="B2263" s="5">
        <f t="shared" si="790"/>
        <v>10</v>
      </c>
      <c r="C2263" s="5">
        <f t="shared" si="791"/>
        <v>2023</v>
      </c>
      <c r="D2263" s="88" t="s">
        <v>2039</v>
      </c>
      <c r="E2263" s="5" t="str">
        <f>VLOOKUP(F2263,'Set up'!$A$2:$C$48,2,FALSE)</f>
        <v>C00000037</v>
      </c>
      <c r="F2263" s="1" t="s">
        <v>1310</v>
      </c>
      <c r="G2263" s="99" t="s">
        <v>1406</v>
      </c>
      <c r="H2263" s="5">
        <v>6</v>
      </c>
      <c r="I2263" s="5">
        <f>VLOOKUP(F2263,'Set up'!$A$2:$C$48,3,FALSE)</f>
        <v>30</v>
      </c>
      <c r="J2263" s="5">
        <f>VLOOKUP(F2263,'Set up'!$A$2:$D$48,4,FALSE)</f>
        <v>30</v>
      </c>
      <c r="K2263" s="4">
        <f t="shared" si="792"/>
        <v>45259</v>
      </c>
      <c r="L2263" s="5">
        <f t="shared" si="793"/>
        <v>11</v>
      </c>
      <c r="M2263" s="5">
        <f t="shared" si="794"/>
        <v>2023</v>
      </c>
      <c r="N2263" s="96">
        <v>288</v>
      </c>
      <c r="O2263" s="6">
        <f t="shared" si="789"/>
        <v>-288</v>
      </c>
      <c r="P2263" s="6">
        <f t="shared" si="787"/>
        <v>0</v>
      </c>
      <c r="Q2263" s="7">
        <f t="shared" si="795"/>
        <v>3800012.6500000022</v>
      </c>
      <c r="R2263" s="44" t="str">
        <f>VLOOKUP(F2263,'Set up'!$A$2:$E$48,5,FALSE)</f>
        <v>Chq</v>
      </c>
      <c r="S2263" s="1" t="s">
        <v>2157</v>
      </c>
    </row>
    <row r="2264" spans="1:19" ht="15" hidden="1" customHeight="1" x14ac:dyDescent="0.3">
      <c r="A2264" s="4">
        <v>45229</v>
      </c>
      <c r="B2264" s="5">
        <f t="shared" si="790"/>
        <v>10</v>
      </c>
      <c r="C2264" s="5">
        <f t="shared" si="791"/>
        <v>2023</v>
      </c>
      <c r="D2264" s="88" t="s">
        <v>2039</v>
      </c>
      <c r="E2264" s="5" t="str">
        <f>VLOOKUP(F2264,'Set up'!$A$2:$C$48,2,FALSE)</f>
        <v>C00000037</v>
      </c>
      <c r="F2264" s="1" t="s">
        <v>1310</v>
      </c>
      <c r="G2264" s="99" t="s">
        <v>1111</v>
      </c>
      <c r="H2264" s="5">
        <v>10</v>
      </c>
      <c r="I2264" s="5">
        <f>VLOOKUP(F2264,'Set up'!$A$2:$C$48,3,FALSE)</f>
        <v>30</v>
      </c>
      <c r="J2264" s="5">
        <f>VLOOKUP(F2264,'Set up'!$A$2:$D$48,4,FALSE)</f>
        <v>30</v>
      </c>
      <c r="K2264" s="4">
        <f t="shared" si="792"/>
        <v>45259</v>
      </c>
      <c r="L2264" s="5">
        <f t="shared" si="793"/>
        <v>11</v>
      </c>
      <c r="M2264" s="5">
        <f t="shared" si="794"/>
        <v>2023</v>
      </c>
      <c r="N2264" s="96">
        <v>625</v>
      </c>
      <c r="O2264" s="6">
        <f t="shared" si="789"/>
        <v>-625</v>
      </c>
      <c r="P2264" s="6">
        <f t="shared" si="787"/>
        <v>0</v>
      </c>
      <c r="Q2264" s="7">
        <f t="shared" si="795"/>
        <v>3800637.6500000022</v>
      </c>
      <c r="R2264" s="44" t="str">
        <f>VLOOKUP(F2264,'Set up'!$A$2:$E$48,5,FALSE)</f>
        <v>Chq</v>
      </c>
      <c r="S2264" s="1" t="s">
        <v>2158</v>
      </c>
    </row>
    <row r="2265" spans="1:19" ht="15" hidden="1" customHeight="1" x14ac:dyDescent="0.3">
      <c r="A2265" s="4">
        <v>45229</v>
      </c>
      <c r="B2265" s="5">
        <f t="shared" si="790"/>
        <v>10</v>
      </c>
      <c r="C2265" s="5">
        <f t="shared" si="791"/>
        <v>2023</v>
      </c>
      <c r="D2265" s="88" t="s">
        <v>2039</v>
      </c>
      <c r="E2265" s="5" t="str">
        <f>VLOOKUP(F2265,'Set up'!$A$2:$C$48,2,FALSE)</f>
        <v>C00000037</v>
      </c>
      <c r="F2265" s="1" t="s">
        <v>1310</v>
      </c>
      <c r="G2265" s="99" t="s">
        <v>44</v>
      </c>
      <c r="H2265" s="5">
        <v>1</v>
      </c>
      <c r="I2265" s="5">
        <f>VLOOKUP(F2265,'Set up'!$A$2:$C$48,3,FALSE)</f>
        <v>30</v>
      </c>
      <c r="J2265" s="5">
        <f>VLOOKUP(F2265,'Set up'!$A$2:$D$48,4,FALSE)</f>
        <v>30</v>
      </c>
      <c r="K2265" s="4">
        <f t="shared" si="792"/>
        <v>45259</v>
      </c>
      <c r="L2265" s="5">
        <f t="shared" si="793"/>
        <v>11</v>
      </c>
      <c r="M2265" s="5">
        <f t="shared" si="794"/>
        <v>2023</v>
      </c>
      <c r="N2265" s="96">
        <v>260</v>
      </c>
      <c r="O2265" s="6">
        <f t="shared" si="789"/>
        <v>-260</v>
      </c>
      <c r="P2265" s="6">
        <f t="shared" si="787"/>
        <v>0</v>
      </c>
      <c r="Q2265" s="7">
        <f t="shared" si="795"/>
        <v>3800897.6500000022</v>
      </c>
      <c r="R2265" s="44" t="str">
        <f>VLOOKUP(F2265,'Set up'!$A$2:$E$48,5,FALSE)</f>
        <v>Chq</v>
      </c>
      <c r="S2265" s="1" t="s">
        <v>2159</v>
      </c>
    </row>
    <row r="2266" spans="1:19" ht="15" hidden="1" customHeight="1" x14ac:dyDescent="0.3">
      <c r="A2266" s="4">
        <v>45229</v>
      </c>
      <c r="B2266" s="5">
        <f t="shared" si="790"/>
        <v>10</v>
      </c>
      <c r="C2266" s="5">
        <f t="shared" si="791"/>
        <v>2023</v>
      </c>
      <c r="D2266" s="88" t="s">
        <v>2039</v>
      </c>
      <c r="E2266" s="5" t="str">
        <f>VLOOKUP(F2266,'Set up'!$A$2:$C$48,2,FALSE)</f>
        <v>C00000037</v>
      </c>
      <c r="F2266" s="1" t="s">
        <v>1310</v>
      </c>
      <c r="G2266" s="99" t="s">
        <v>1062</v>
      </c>
      <c r="H2266" s="5">
        <v>3</v>
      </c>
      <c r="I2266" s="5">
        <f>VLOOKUP(F2266,'Set up'!$A$2:$C$48,3,FALSE)</f>
        <v>30</v>
      </c>
      <c r="J2266" s="5">
        <f>VLOOKUP(F2266,'Set up'!$A$2:$D$48,4,FALSE)</f>
        <v>30</v>
      </c>
      <c r="K2266" s="4">
        <f t="shared" si="792"/>
        <v>45259</v>
      </c>
      <c r="L2266" s="5">
        <f t="shared" si="793"/>
        <v>11</v>
      </c>
      <c r="M2266" s="5">
        <f t="shared" si="794"/>
        <v>2023</v>
      </c>
      <c r="N2266" s="96">
        <v>285</v>
      </c>
      <c r="O2266" s="6">
        <f t="shared" si="789"/>
        <v>-285</v>
      </c>
      <c r="P2266" s="6">
        <f t="shared" si="787"/>
        <v>0</v>
      </c>
      <c r="Q2266" s="7">
        <f t="shared" si="795"/>
        <v>3801182.6500000022</v>
      </c>
      <c r="R2266" s="44" t="str">
        <f>VLOOKUP(F2266,'Set up'!$A$2:$E$48,5,FALSE)</f>
        <v>Chq</v>
      </c>
      <c r="S2266" s="1" t="s">
        <v>2160</v>
      </c>
    </row>
    <row r="2267" spans="1:19" ht="15" hidden="1" customHeight="1" x14ac:dyDescent="0.3">
      <c r="A2267" s="4">
        <v>45229</v>
      </c>
      <c r="B2267" s="5">
        <f t="shared" si="790"/>
        <v>10</v>
      </c>
      <c r="C2267" s="5">
        <f t="shared" si="791"/>
        <v>2023</v>
      </c>
      <c r="D2267" s="88" t="s">
        <v>2039</v>
      </c>
      <c r="E2267" s="5" t="str">
        <f>VLOOKUP(F2267,'Set up'!$A$2:$C$48,2,FALSE)</f>
        <v>C00000037</v>
      </c>
      <c r="F2267" s="1" t="s">
        <v>1310</v>
      </c>
      <c r="G2267" s="99" t="s">
        <v>1547</v>
      </c>
      <c r="H2267" s="5">
        <v>1</v>
      </c>
      <c r="I2267" s="5">
        <f>VLOOKUP(F2267,'Set up'!$A$2:$C$48,3,FALSE)</f>
        <v>30</v>
      </c>
      <c r="J2267" s="5">
        <f>VLOOKUP(F2267,'Set up'!$A$2:$D$48,4,FALSE)</f>
        <v>30</v>
      </c>
      <c r="K2267" s="4">
        <f t="shared" si="792"/>
        <v>45259</v>
      </c>
      <c r="L2267" s="5">
        <f t="shared" si="793"/>
        <v>11</v>
      </c>
      <c r="M2267" s="5">
        <f t="shared" si="794"/>
        <v>2023</v>
      </c>
      <c r="N2267" s="96">
        <v>930</v>
      </c>
      <c r="O2267" s="6">
        <f t="shared" si="789"/>
        <v>-930</v>
      </c>
      <c r="P2267" s="6">
        <f t="shared" si="787"/>
        <v>0</v>
      </c>
      <c r="Q2267" s="7">
        <f t="shared" si="795"/>
        <v>3802112.6500000022</v>
      </c>
      <c r="R2267" s="44" t="str">
        <f>VLOOKUP(F2267,'Set up'!$A$2:$E$48,5,FALSE)</f>
        <v>Chq</v>
      </c>
      <c r="S2267" s="1" t="s">
        <v>2161</v>
      </c>
    </row>
    <row r="2268" spans="1:19" ht="15" hidden="1" customHeight="1" x14ac:dyDescent="0.3">
      <c r="A2268" s="4">
        <v>45229</v>
      </c>
      <c r="B2268" s="5">
        <f t="shared" si="790"/>
        <v>10</v>
      </c>
      <c r="C2268" s="5">
        <f t="shared" si="791"/>
        <v>2023</v>
      </c>
      <c r="D2268" s="88" t="s">
        <v>2039</v>
      </c>
      <c r="E2268" s="5" t="str">
        <f>VLOOKUP(F2268,'Set up'!$A$2:$C$48,2,FALSE)</f>
        <v>C00000037</v>
      </c>
      <c r="F2268" s="1" t="s">
        <v>1310</v>
      </c>
      <c r="G2268" s="99" t="s">
        <v>1400</v>
      </c>
      <c r="H2268" s="5">
        <v>6</v>
      </c>
      <c r="I2268" s="5">
        <f>VLOOKUP(F2268,'Set up'!$A$2:$C$48,3,FALSE)</f>
        <v>30</v>
      </c>
      <c r="J2268" s="5">
        <f>VLOOKUP(F2268,'Set up'!$A$2:$D$48,4,FALSE)</f>
        <v>30</v>
      </c>
      <c r="K2268" s="4">
        <f t="shared" si="792"/>
        <v>45259</v>
      </c>
      <c r="L2268" s="5">
        <f t="shared" si="793"/>
        <v>11</v>
      </c>
      <c r="M2268" s="5">
        <f t="shared" si="794"/>
        <v>2023</v>
      </c>
      <c r="N2268" s="96">
        <v>930</v>
      </c>
      <c r="O2268" s="6">
        <f t="shared" si="789"/>
        <v>-930</v>
      </c>
      <c r="P2268" s="6">
        <f t="shared" si="787"/>
        <v>0</v>
      </c>
      <c r="Q2268" s="7">
        <f t="shared" si="795"/>
        <v>3803042.6500000022</v>
      </c>
      <c r="R2268" s="44" t="str">
        <f>VLOOKUP(F2268,'Set up'!$A$2:$E$48,5,FALSE)</f>
        <v>Chq</v>
      </c>
      <c r="S2268" s="1" t="s">
        <v>2161</v>
      </c>
    </row>
    <row r="2269" spans="1:19" ht="15" customHeight="1" x14ac:dyDescent="0.3">
      <c r="A2269" s="4">
        <v>45229</v>
      </c>
      <c r="B2269" s="5">
        <f t="shared" ref="B2269" si="796">MONTH(A2269)</f>
        <v>10</v>
      </c>
      <c r="C2269" s="5">
        <f t="shared" ref="C2269" si="797">YEAR(A2269)</f>
        <v>2023</v>
      </c>
      <c r="D2269" s="88" t="s">
        <v>2096</v>
      </c>
      <c r="E2269" s="5" t="str">
        <f>VLOOKUP(F2269,'Set up'!$A$2:$C$48,2,FALSE)</f>
        <v>C00000042</v>
      </c>
      <c r="F2269" s="1" t="s">
        <v>2014</v>
      </c>
      <c r="G2269" s="99" t="s">
        <v>1074</v>
      </c>
      <c r="H2269" s="5">
        <v>1</v>
      </c>
      <c r="I2269" s="5" t="str">
        <f>VLOOKUP(F2269,'Set up'!$A$2:$C$48,3,FALSE)</f>
        <v>Cash</v>
      </c>
      <c r="J2269" s="5">
        <f>VLOOKUP(F2269,'Set up'!$A$2:$D$48,4,FALSE)</f>
        <v>0</v>
      </c>
      <c r="K2269" s="4">
        <f t="shared" ref="K2269" si="798">A2269+J2269</f>
        <v>45229</v>
      </c>
      <c r="L2269" s="5">
        <f t="shared" ref="L2269" si="799">MONTH(K2269)</f>
        <v>10</v>
      </c>
      <c r="M2269" s="5">
        <f t="shared" ref="M2269" si="800">YEAR(K2269)</f>
        <v>2023</v>
      </c>
      <c r="N2269" s="96">
        <v>1000</v>
      </c>
      <c r="P2269" s="6">
        <f t="shared" si="787"/>
        <v>1000</v>
      </c>
      <c r="Q2269" s="7">
        <f t="shared" ref="Q2269:Q2332" si="801">SUM(Q2268+N2269)</f>
        <v>3804042.6500000022</v>
      </c>
      <c r="R2269" s="44" t="str">
        <f>VLOOKUP(F2269,'Set up'!$A$2:$E$48,5,FALSE)</f>
        <v>Trsf</v>
      </c>
    </row>
    <row r="2270" spans="1:19" ht="15" hidden="1" customHeight="1" x14ac:dyDescent="0.3">
      <c r="A2270" s="4">
        <v>45231</v>
      </c>
      <c r="B2270" s="5">
        <f t="shared" ref="B2270:B2333" si="802">MONTH(A2270)</f>
        <v>11</v>
      </c>
      <c r="C2270" s="5">
        <f t="shared" ref="C2270:C2333" si="803">YEAR(A2270)</f>
        <v>2023</v>
      </c>
      <c r="D2270" s="88" t="s">
        <v>2097</v>
      </c>
      <c r="E2270" s="5" t="str">
        <f>VLOOKUP(F2270,'Set up'!$A$2:$C$48,2,FALSE)</f>
        <v>C00000013</v>
      </c>
      <c r="F2270" s="1" t="s">
        <v>1454</v>
      </c>
      <c r="G2270" s="99" t="s">
        <v>1739</v>
      </c>
      <c r="H2270" s="5">
        <v>1</v>
      </c>
      <c r="I2270" s="5" t="str">
        <f>VLOOKUP(F2270,'Set up'!$A$2:$C$48,3,FALSE)</f>
        <v>Cash</v>
      </c>
      <c r="J2270" s="5">
        <f>VLOOKUP(F2270,'Set up'!$A$2:$D$48,4,FALSE)</f>
        <v>0</v>
      </c>
      <c r="K2270" s="4">
        <f t="shared" ref="K2270:K2333" si="804">A2270+J2270</f>
        <v>45231</v>
      </c>
      <c r="L2270" s="5">
        <f t="shared" ref="L2270:L2333" si="805">MONTH(K2270)</f>
        <v>11</v>
      </c>
      <c r="M2270" s="5">
        <f t="shared" ref="M2270:M2333" si="806">YEAR(K2270)</f>
        <v>2023</v>
      </c>
      <c r="N2270" s="96">
        <v>1826</v>
      </c>
      <c r="O2270" s="6">
        <f t="shared" ref="O2270:O2277" si="807">-N2270</f>
        <v>-1826</v>
      </c>
      <c r="P2270" s="6">
        <f t="shared" si="787"/>
        <v>0</v>
      </c>
      <c r="Q2270" s="7">
        <f t="shared" si="801"/>
        <v>3805868.6500000022</v>
      </c>
      <c r="R2270" s="44" t="str">
        <f>VLOOKUP(F2270,'Set up'!$A$2:$E$48,5,FALSE)</f>
        <v>Chq</v>
      </c>
      <c r="S2270" s="1" t="s">
        <v>2131</v>
      </c>
    </row>
    <row r="2271" spans="1:19" ht="15" hidden="1" customHeight="1" x14ac:dyDescent="0.3">
      <c r="A2271" s="4">
        <v>45231</v>
      </c>
      <c r="B2271" s="5">
        <f t="shared" si="802"/>
        <v>11</v>
      </c>
      <c r="C2271" s="5">
        <f t="shared" si="803"/>
        <v>2023</v>
      </c>
      <c r="D2271" s="88" t="s">
        <v>2097</v>
      </c>
      <c r="E2271" s="5" t="str">
        <f>VLOOKUP(F2271,'Set up'!$A$2:$C$48,2,FALSE)</f>
        <v>C00000013</v>
      </c>
      <c r="F2271" s="1" t="s">
        <v>1454</v>
      </c>
      <c r="G2271" s="99" t="s">
        <v>1740</v>
      </c>
      <c r="H2271" s="5">
        <v>2</v>
      </c>
      <c r="I2271" s="5" t="str">
        <f>VLOOKUP(F2271,'Set up'!$A$2:$C$48,3,FALSE)</f>
        <v>Cash</v>
      </c>
      <c r="J2271" s="5">
        <f>VLOOKUP(F2271,'Set up'!$A$2:$D$48,4,FALSE)</f>
        <v>0</v>
      </c>
      <c r="K2271" s="4">
        <f t="shared" si="804"/>
        <v>45231</v>
      </c>
      <c r="L2271" s="5">
        <f t="shared" si="805"/>
        <v>11</v>
      </c>
      <c r="M2271" s="5">
        <f t="shared" si="806"/>
        <v>2023</v>
      </c>
      <c r="N2271" s="96">
        <v>853.2</v>
      </c>
      <c r="O2271" s="6">
        <f t="shared" si="807"/>
        <v>-853.2</v>
      </c>
      <c r="P2271" s="6">
        <f t="shared" si="787"/>
        <v>0</v>
      </c>
      <c r="Q2271" s="7">
        <f t="shared" si="801"/>
        <v>3806721.8500000024</v>
      </c>
      <c r="R2271" s="44" t="str">
        <f>VLOOKUP(F2271,'Set up'!$A$2:$E$48,5,FALSE)</f>
        <v>Chq</v>
      </c>
      <c r="S2271" s="1" t="s">
        <v>2131</v>
      </c>
    </row>
    <row r="2272" spans="1:19" ht="15" hidden="1" customHeight="1" x14ac:dyDescent="0.3">
      <c r="A2272" s="4">
        <v>45231</v>
      </c>
      <c r="B2272" s="5">
        <f t="shared" si="802"/>
        <v>11</v>
      </c>
      <c r="C2272" s="5">
        <f t="shared" si="803"/>
        <v>2023</v>
      </c>
      <c r="D2272" s="88" t="s">
        <v>2097</v>
      </c>
      <c r="E2272" s="5" t="str">
        <f>VLOOKUP(F2272,'Set up'!$A$2:$C$48,2,FALSE)</f>
        <v>C00000013</v>
      </c>
      <c r="F2272" s="1" t="s">
        <v>1454</v>
      </c>
      <c r="G2272" s="99" t="s">
        <v>1741</v>
      </c>
      <c r="H2272" s="5">
        <v>1</v>
      </c>
      <c r="I2272" s="5" t="str">
        <f>VLOOKUP(F2272,'Set up'!$A$2:$C$48,3,FALSE)</f>
        <v>Cash</v>
      </c>
      <c r="J2272" s="5">
        <f>VLOOKUP(F2272,'Set up'!$A$2:$D$48,4,FALSE)</f>
        <v>0</v>
      </c>
      <c r="K2272" s="4">
        <f t="shared" si="804"/>
        <v>45231</v>
      </c>
      <c r="L2272" s="5">
        <f t="shared" si="805"/>
        <v>11</v>
      </c>
      <c r="M2272" s="5">
        <f t="shared" si="806"/>
        <v>2023</v>
      </c>
      <c r="N2272" s="96">
        <v>426.6</v>
      </c>
      <c r="O2272" s="6">
        <f t="shared" si="807"/>
        <v>-426.6</v>
      </c>
      <c r="P2272" s="6">
        <f t="shared" si="787"/>
        <v>0</v>
      </c>
      <c r="Q2272" s="7">
        <f t="shared" si="801"/>
        <v>3807148.4500000025</v>
      </c>
      <c r="R2272" s="44" t="str">
        <f>VLOOKUP(F2272,'Set up'!$A$2:$E$48,5,FALSE)</f>
        <v>Chq</v>
      </c>
      <c r="S2272" s="1" t="s">
        <v>2131</v>
      </c>
    </row>
    <row r="2273" spans="1:19" ht="15" hidden="1" customHeight="1" x14ac:dyDescent="0.3">
      <c r="A2273" s="4">
        <v>45231</v>
      </c>
      <c r="B2273" s="5">
        <f t="shared" si="802"/>
        <v>11</v>
      </c>
      <c r="C2273" s="5">
        <f t="shared" si="803"/>
        <v>2023</v>
      </c>
      <c r="D2273" s="88" t="s">
        <v>2097</v>
      </c>
      <c r="E2273" s="5" t="str">
        <f>VLOOKUP(F2273,'Set up'!$A$2:$C$48,2,FALSE)</f>
        <v>C00000013</v>
      </c>
      <c r="F2273" s="1" t="s">
        <v>1454</v>
      </c>
      <c r="G2273" s="99" t="s">
        <v>44</v>
      </c>
      <c r="H2273" s="5">
        <v>2</v>
      </c>
      <c r="I2273" s="5" t="str">
        <f>VLOOKUP(F2273,'Set up'!$A$2:$C$48,3,FALSE)</f>
        <v>Cash</v>
      </c>
      <c r="J2273" s="5">
        <f>VLOOKUP(F2273,'Set up'!$A$2:$D$48,4,FALSE)</f>
        <v>0</v>
      </c>
      <c r="K2273" s="4">
        <f t="shared" si="804"/>
        <v>45231</v>
      </c>
      <c r="L2273" s="5">
        <f t="shared" si="805"/>
        <v>11</v>
      </c>
      <c r="M2273" s="5">
        <f t="shared" si="806"/>
        <v>2023</v>
      </c>
      <c r="N2273" s="96">
        <v>516</v>
      </c>
      <c r="O2273" s="6">
        <f t="shared" si="807"/>
        <v>-516</v>
      </c>
      <c r="P2273" s="6">
        <f t="shared" si="787"/>
        <v>0</v>
      </c>
      <c r="Q2273" s="7">
        <f t="shared" si="801"/>
        <v>3807664.4500000025</v>
      </c>
      <c r="R2273" s="44" t="str">
        <f>VLOOKUP(F2273,'Set up'!$A$2:$E$48,5,FALSE)</f>
        <v>Chq</v>
      </c>
      <c r="S2273" s="1" t="s">
        <v>2131</v>
      </c>
    </row>
    <row r="2274" spans="1:19" ht="15" hidden="1" customHeight="1" x14ac:dyDescent="0.3">
      <c r="A2274" s="4">
        <v>45231</v>
      </c>
      <c r="B2274" s="5">
        <f t="shared" si="802"/>
        <v>11</v>
      </c>
      <c r="C2274" s="5">
        <f t="shared" si="803"/>
        <v>2023</v>
      </c>
      <c r="D2274" s="88" t="s">
        <v>2097</v>
      </c>
      <c r="E2274" s="5" t="str">
        <f>VLOOKUP(F2274,'Set up'!$A$2:$C$48,2,FALSE)</f>
        <v>C00000013</v>
      </c>
      <c r="F2274" s="1" t="s">
        <v>1454</v>
      </c>
      <c r="G2274" s="99" t="s">
        <v>17</v>
      </c>
      <c r="H2274" s="5">
        <v>1</v>
      </c>
      <c r="I2274" s="5" t="str">
        <f>VLOOKUP(F2274,'Set up'!$A$2:$C$48,3,FALSE)</f>
        <v>Cash</v>
      </c>
      <c r="J2274" s="5">
        <f>VLOOKUP(F2274,'Set up'!$A$2:$D$48,4,FALSE)</f>
        <v>0</v>
      </c>
      <c r="K2274" s="4">
        <f t="shared" si="804"/>
        <v>45231</v>
      </c>
      <c r="L2274" s="5">
        <f t="shared" si="805"/>
        <v>11</v>
      </c>
      <c r="M2274" s="5">
        <f t="shared" si="806"/>
        <v>2023</v>
      </c>
      <c r="N2274" s="96">
        <v>110</v>
      </c>
      <c r="O2274" s="6">
        <f t="shared" si="807"/>
        <v>-110</v>
      </c>
      <c r="P2274" s="6">
        <f t="shared" si="787"/>
        <v>0</v>
      </c>
      <c r="Q2274" s="7">
        <f t="shared" si="801"/>
        <v>3807774.4500000025</v>
      </c>
      <c r="R2274" s="44" t="str">
        <f>VLOOKUP(F2274,'Set up'!$A$2:$E$48,5,FALSE)</f>
        <v>Chq</v>
      </c>
      <c r="S2274" s="1" t="s">
        <v>2131</v>
      </c>
    </row>
    <row r="2275" spans="1:19" ht="15" hidden="1" customHeight="1" x14ac:dyDescent="0.3">
      <c r="A2275" s="4">
        <v>45233</v>
      </c>
      <c r="B2275" s="5">
        <f t="shared" si="802"/>
        <v>11</v>
      </c>
      <c r="C2275" s="5">
        <f t="shared" si="803"/>
        <v>2023</v>
      </c>
      <c r="D2275" s="88" t="s">
        <v>2098</v>
      </c>
      <c r="E2275" s="5" t="str">
        <f>VLOOKUP(F2275,'Set up'!$A$2:$C$48,2,FALSE)</f>
        <v>C00000012</v>
      </c>
      <c r="F2275" s="1" t="s">
        <v>2024</v>
      </c>
      <c r="G2275" s="99" t="s">
        <v>1259</v>
      </c>
      <c r="H2275" s="5">
        <v>3</v>
      </c>
      <c r="I2275" s="5" t="str">
        <f>VLOOKUP(F2275,'Set up'!$A$2:$C$48,3,FALSE)</f>
        <v>Cash</v>
      </c>
      <c r="J2275" s="5">
        <f>VLOOKUP(F2275,'Set up'!$A$2:$D$48,4,FALSE)</f>
        <v>0</v>
      </c>
      <c r="K2275" s="4">
        <f t="shared" si="804"/>
        <v>45233</v>
      </c>
      <c r="L2275" s="5">
        <f t="shared" si="805"/>
        <v>11</v>
      </c>
      <c r="M2275" s="5">
        <f t="shared" si="806"/>
        <v>2023</v>
      </c>
      <c r="N2275" s="96">
        <v>810</v>
      </c>
      <c r="O2275" s="6">
        <f t="shared" si="807"/>
        <v>-810</v>
      </c>
      <c r="P2275" s="6">
        <f t="shared" si="787"/>
        <v>0</v>
      </c>
      <c r="Q2275" s="7">
        <f t="shared" si="801"/>
        <v>3808584.4500000025</v>
      </c>
      <c r="R2275" s="44" t="str">
        <f>VLOOKUP(F2275,'Set up'!$A$2:$E$48,5,FALSE)</f>
        <v>Cash</v>
      </c>
      <c r="S2275" s="1" t="s">
        <v>2132</v>
      </c>
    </row>
    <row r="2276" spans="1:19" ht="15" hidden="1" customHeight="1" x14ac:dyDescent="0.3">
      <c r="A2276" s="4">
        <v>45233</v>
      </c>
      <c r="B2276" s="5">
        <f t="shared" si="802"/>
        <v>11</v>
      </c>
      <c r="C2276" s="5">
        <f t="shared" si="803"/>
        <v>2023</v>
      </c>
      <c r="D2276" s="88" t="s">
        <v>2098</v>
      </c>
      <c r="E2276" s="5" t="str">
        <f>VLOOKUP(F2276,'Set up'!$A$2:$C$48,2,FALSE)</f>
        <v>C00000012</v>
      </c>
      <c r="F2276" s="1" t="s">
        <v>2024</v>
      </c>
      <c r="G2276" s="99" t="s">
        <v>914</v>
      </c>
      <c r="H2276" s="5">
        <v>1</v>
      </c>
      <c r="I2276" s="5" t="str">
        <f>VLOOKUP(F2276,'Set up'!$A$2:$C$48,3,FALSE)</f>
        <v>Cash</v>
      </c>
      <c r="J2276" s="5">
        <f>VLOOKUP(F2276,'Set up'!$A$2:$D$48,4,FALSE)</f>
        <v>0</v>
      </c>
      <c r="K2276" s="4">
        <f t="shared" si="804"/>
        <v>45233</v>
      </c>
      <c r="L2276" s="5">
        <f t="shared" si="805"/>
        <v>11</v>
      </c>
      <c r="M2276" s="5">
        <f t="shared" si="806"/>
        <v>2023</v>
      </c>
      <c r="N2276" s="96">
        <v>264</v>
      </c>
      <c r="O2276" s="6">
        <f t="shared" si="807"/>
        <v>-264</v>
      </c>
      <c r="P2276" s="6">
        <f t="shared" si="787"/>
        <v>0</v>
      </c>
      <c r="Q2276" s="7">
        <f t="shared" si="801"/>
        <v>3808848.4500000025</v>
      </c>
      <c r="R2276" s="44" t="str">
        <f>VLOOKUP(F2276,'Set up'!$A$2:$E$48,5,FALSE)</f>
        <v>Cash</v>
      </c>
      <c r="S2276" s="1" t="s">
        <v>2132</v>
      </c>
    </row>
    <row r="2277" spans="1:19" ht="15" hidden="1" customHeight="1" x14ac:dyDescent="0.3">
      <c r="A2277" s="4">
        <v>45233</v>
      </c>
      <c r="B2277" s="5">
        <f t="shared" si="802"/>
        <v>11</v>
      </c>
      <c r="C2277" s="5">
        <f t="shared" si="803"/>
        <v>2023</v>
      </c>
      <c r="D2277" s="88" t="s">
        <v>2098</v>
      </c>
      <c r="E2277" s="5" t="str">
        <f>VLOOKUP(F2277,'Set up'!$A$2:$C$48,2,FALSE)</f>
        <v>C00000012</v>
      </c>
      <c r="F2277" s="1" t="s">
        <v>2024</v>
      </c>
      <c r="G2277" s="99" t="s">
        <v>2029</v>
      </c>
      <c r="H2277" s="5">
        <v>1</v>
      </c>
      <c r="I2277" s="5" t="str">
        <f>VLOOKUP(F2277,'Set up'!$A$2:$C$48,3,FALSE)</f>
        <v>Cash</v>
      </c>
      <c r="J2277" s="5">
        <f>VLOOKUP(F2277,'Set up'!$A$2:$D$48,4,FALSE)</f>
        <v>0</v>
      </c>
      <c r="K2277" s="4">
        <f t="shared" si="804"/>
        <v>45233</v>
      </c>
      <c r="L2277" s="5">
        <f t="shared" si="805"/>
        <v>11</v>
      </c>
      <c r="M2277" s="5">
        <f t="shared" si="806"/>
        <v>2023</v>
      </c>
      <c r="N2277" s="96">
        <v>100</v>
      </c>
      <c r="O2277" s="6">
        <f t="shared" si="807"/>
        <v>-100</v>
      </c>
      <c r="P2277" s="6">
        <f t="shared" si="787"/>
        <v>0</v>
      </c>
      <c r="Q2277" s="7">
        <f t="shared" si="801"/>
        <v>3808948.4500000025</v>
      </c>
      <c r="R2277" s="44" t="str">
        <f>VLOOKUP(F2277,'Set up'!$A$2:$E$48,5,FALSE)</f>
        <v>Cash</v>
      </c>
      <c r="S2277" s="1" t="s">
        <v>2132</v>
      </c>
    </row>
    <row r="2278" spans="1:19" ht="15" hidden="1" customHeight="1" x14ac:dyDescent="0.3">
      <c r="A2278" s="4">
        <v>45233</v>
      </c>
      <c r="B2278" s="5">
        <f t="shared" si="802"/>
        <v>11</v>
      </c>
      <c r="C2278" s="5">
        <f t="shared" si="803"/>
        <v>2023</v>
      </c>
      <c r="D2278" s="88" t="s">
        <v>2224</v>
      </c>
      <c r="E2278" s="5" t="str">
        <f>VLOOKUP(F2278,'Set up'!$A$2:$C$48,2,FALSE)</f>
        <v>C00000019</v>
      </c>
      <c r="F2278" s="1" t="s">
        <v>401</v>
      </c>
      <c r="G2278" s="99" t="s">
        <v>95</v>
      </c>
      <c r="H2278" s="5">
        <v>1</v>
      </c>
      <c r="I2278" s="5" t="str">
        <f>VLOOKUP(F2278,'Set up'!$A$2:$C$48,3,FALSE)</f>
        <v>Cash</v>
      </c>
      <c r="J2278" s="5">
        <f>VLOOKUP(F2278,'Set up'!$A$2:$D$48,4,FALSE)</f>
        <v>0</v>
      </c>
      <c r="K2278" s="4">
        <f t="shared" si="804"/>
        <v>45233</v>
      </c>
      <c r="L2278" s="5">
        <f t="shared" si="805"/>
        <v>11</v>
      </c>
      <c r="M2278" s="5">
        <f t="shared" si="806"/>
        <v>2023</v>
      </c>
      <c r="N2278" s="96">
        <v>1738</v>
      </c>
      <c r="P2278" s="6">
        <f t="shared" si="787"/>
        <v>1738</v>
      </c>
      <c r="Q2278" s="7">
        <f t="shared" si="801"/>
        <v>3810686.4500000025</v>
      </c>
      <c r="R2278" s="44" t="str">
        <f>VLOOKUP(F2278,'Set up'!$A$2:$E$48,5,FALSE)</f>
        <v>Trsf</v>
      </c>
    </row>
    <row r="2279" spans="1:19" ht="15" hidden="1" customHeight="1" x14ac:dyDescent="0.3">
      <c r="A2279" s="4">
        <v>45233</v>
      </c>
      <c r="B2279" s="5">
        <f t="shared" si="802"/>
        <v>11</v>
      </c>
      <c r="C2279" s="5">
        <f t="shared" si="803"/>
        <v>2023</v>
      </c>
      <c r="D2279" s="88" t="s">
        <v>2224</v>
      </c>
      <c r="E2279" s="5" t="str">
        <f>VLOOKUP(F2279,'Set up'!$A$2:$C$48,2,FALSE)</f>
        <v>C00000019</v>
      </c>
      <c r="F2279" s="1" t="s">
        <v>401</v>
      </c>
      <c r="G2279" s="99" t="s">
        <v>1412</v>
      </c>
      <c r="H2279" s="5">
        <v>1</v>
      </c>
      <c r="I2279" s="5" t="str">
        <f>VLOOKUP(F2279,'Set up'!$A$2:$C$48,3,FALSE)</f>
        <v>Cash</v>
      </c>
      <c r="J2279" s="5">
        <f>VLOOKUP(F2279,'Set up'!$A$2:$D$48,4,FALSE)</f>
        <v>0</v>
      </c>
      <c r="K2279" s="4">
        <f t="shared" si="804"/>
        <v>45233</v>
      </c>
      <c r="L2279" s="5">
        <f t="shared" si="805"/>
        <v>11</v>
      </c>
      <c r="M2279" s="5">
        <f t="shared" si="806"/>
        <v>2023</v>
      </c>
      <c r="N2279" s="96">
        <v>405</v>
      </c>
      <c r="P2279" s="6">
        <f t="shared" si="787"/>
        <v>405</v>
      </c>
      <c r="Q2279" s="7">
        <f t="shared" si="801"/>
        <v>3811091.4500000025</v>
      </c>
      <c r="R2279" s="44" t="str">
        <f>VLOOKUP(F2279,'Set up'!$A$2:$E$48,5,FALSE)</f>
        <v>Trsf</v>
      </c>
    </row>
    <row r="2280" spans="1:19" ht="15" hidden="1" customHeight="1" x14ac:dyDescent="0.3">
      <c r="A2280" s="4">
        <v>45233</v>
      </c>
      <c r="B2280" s="5">
        <f t="shared" si="802"/>
        <v>11</v>
      </c>
      <c r="C2280" s="5">
        <f t="shared" si="803"/>
        <v>2023</v>
      </c>
      <c r="D2280" s="88" t="s">
        <v>2224</v>
      </c>
      <c r="E2280" s="5" t="str">
        <f>VLOOKUP(F2280,'Set up'!$A$2:$C$48,2,FALSE)</f>
        <v>C00000019</v>
      </c>
      <c r="F2280" s="1" t="s">
        <v>401</v>
      </c>
      <c r="G2280" s="99" t="s">
        <v>792</v>
      </c>
      <c r="H2280" s="5">
        <v>2</v>
      </c>
      <c r="I2280" s="5" t="str">
        <f>VLOOKUP(F2280,'Set up'!$A$2:$C$48,3,FALSE)</f>
        <v>Cash</v>
      </c>
      <c r="J2280" s="5">
        <f>VLOOKUP(F2280,'Set up'!$A$2:$D$48,4,FALSE)</f>
        <v>0</v>
      </c>
      <c r="K2280" s="4">
        <f t="shared" si="804"/>
        <v>45233</v>
      </c>
      <c r="L2280" s="5">
        <f t="shared" si="805"/>
        <v>11</v>
      </c>
      <c r="M2280" s="5">
        <f t="shared" si="806"/>
        <v>2023</v>
      </c>
      <c r="N2280" s="96">
        <v>125</v>
      </c>
      <c r="P2280" s="6">
        <f t="shared" si="787"/>
        <v>125</v>
      </c>
      <c r="Q2280" s="7">
        <f t="shared" si="801"/>
        <v>3811216.4500000025</v>
      </c>
      <c r="R2280" s="44" t="str">
        <f>VLOOKUP(F2280,'Set up'!$A$2:$E$48,5,FALSE)</f>
        <v>Trsf</v>
      </c>
    </row>
    <row r="2281" spans="1:19" ht="15" hidden="1" customHeight="1" x14ac:dyDescent="0.3">
      <c r="A2281" s="4">
        <v>45233</v>
      </c>
      <c r="B2281" s="5">
        <f t="shared" si="802"/>
        <v>11</v>
      </c>
      <c r="C2281" s="5">
        <f t="shared" si="803"/>
        <v>2023</v>
      </c>
      <c r="D2281" s="88" t="s">
        <v>2224</v>
      </c>
      <c r="E2281" s="5" t="str">
        <f>VLOOKUP(F2281,'Set up'!$A$2:$C$48,2,FALSE)</f>
        <v>C00000019</v>
      </c>
      <c r="F2281" s="1" t="s">
        <v>401</v>
      </c>
      <c r="G2281" s="99" t="s">
        <v>1887</v>
      </c>
      <c r="H2281" s="5">
        <v>1</v>
      </c>
      <c r="I2281" s="5" t="str">
        <f>VLOOKUP(F2281,'Set up'!$A$2:$C$48,3,FALSE)</f>
        <v>Cash</v>
      </c>
      <c r="J2281" s="5">
        <f>VLOOKUP(F2281,'Set up'!$A$2:$D$48,4,FALSE)</f>
        <v>0</v>
      </c>
      <c r="K2281" s="4">
        <f t="shared" si="804"/>
        <v>45233</v>
      </c>
      <c r="L2281" s="5">
        <f t="shared" si="805"/>
        <v>11</v>
      </c>
      <c r="M2281" s="5">
        <f t="shared" si="806"/>
        <v>2023</v>
      </c>
      <c r="N2281" s="96">
        <v>150</v>
      </c>
      <c r="P2281" s="6">
        <f t="shared" si="787"/>
        <v>150</v>
      </c>
      <c r="Q2281" s="7">
        <f t="shared" si="801"/>
        <v>3811366.4500000025</v>
      </c>
      <c r="R2281" s="44" t="str">
        <f>VLOOKUP(F2281,'Set up'!$A$2:$E$48,5,FALSE)</f>
        <v>Trsf</v>
      </c>
    </row>
    <row r="2282" spans="1:19" ht="15" hidden="1" customHeight="1" x14ac:dyDescent="0.3">
      <c r="A2282" s="4">
        <v>45234</v>
      </c>
      <c r="B2282" s="5">
        <f t="shared" si="802"/>
        <v>11</v>
      </c>
      <c r="C2282" s="5">
        <f t="shared" si="803"/>
        <v>2023</v>
      </c>
      <c r="D2282" s="88" t="s">
        <v>2225</v>
      </c>
      <c r="E2282" s="5" t="str">
        <f>VLOOKUP(F2282,'Set up'!$A$2:$C$48,2,FALSE)</f>
        <v>C00000034</v>
      </c>
      <c r="F2282" s="1" t="s">
        <v>1197</v>
      </c>
      <c r="G2282" s="99" t="s">
        <v>2008</v>
      </c>
      <c r="H2282" s="5">
        <v>1</v>
      </c>
      <c r="I2282" s="5" t="str">
        <f>VLOOKUP(F2282,'Set up'!$A$2:$C$48,3,FALSE)</f>
        <v>Cash</v>
      </c>
      <c r="J2282" s="5">
        <f>VLOOKUP(F2282,'Set up'!$A$2:$D$48,4,FALSE)</f>
        <v>0</v>
      </c>
      <c r="K2282" s="4">
        <f t="shared" si="804"/>
        <v>45234</v>
      </c>
      <c r="L2282" s="5">
        <f t="shared" si="805"/>
        <v>11</v>
      </c>
      <c r="M2282" s="5">
        <f t="shared" si="806"/>
        <v>2023</v>
      </c>
      <c r="N2282" s="96">
        <v>1777.5</v>
      </c>
      <c r="P2282" s="6">
        <f t="shared" si="787"/>
        <v>1777.5</v>
      </c>
      <c r="Q2282" s="7">
        <f t="shared" si="801"/>
        <v>3813143.9500000025</v>
      </c>
      <c r="R2282" s="44" t="str">
        <f>VLOOKUP(F2282,'Set up'!$A$2:$E$48,5,FALSE)</f>
        <v>Trsf</v>
      </c>
    </row>
    <row r="2283" spans="1:19" ht="15" hidden="1" customHeight="1" x14ac:dyDescent="0.3">
      <c r="A2283" s="4">
        <v>45234</v>
      </c>
      <c r="B2283" s="5">
        <f t="shared" si="802"/>
        <v>11</v>
      </c>
      <c r="C2283" s="5">
        <f t="shared" si="803"/>
        <v>2023</v>
      </c>
      <c r="D2283" s="88" t="s">
        <v>2225</v>
      </c>
      <c r="E2283" s="5" t="str">
        <f>VLOOKUP(F2283,'Set up'!$A$2:$C$48,2,FALSE)</f>
        <v>C00000034</v>
      </c>
      <c r="F2283" s="1" t="s">
        <v>1197</v>
      </c>
      <c r="G2283" s="99" t="s">
        <v>1432</v>
      </c>
      <c r="H2283" s="5">
        <v>1</v>
      </c>
      <c r="I2283" s="5" t="str">
        <f>VLOOKUP(F2283,'Set up'!$A$2:$C$48,3,FALSE)</f>
        <v>Cash</v>
      </c>
      <c r="J2283" s="5">
        <f>VLOOKUP(F2283,'Set up'!$A$2:$D$48,4,FALSE)</f>
        <v>0</v>
      </c>
      <c r="K2283" s="4">
        <f t="shared" si="804"/>
        <v>45234</v>
      </c>
      <c r="L2283" s="5">
        <f t="shared" si="805"/>
        <v>11</v>
      </c>
      <c r="M2283" s="5">
        <f t="shared" si="806"/>
        <v>2023</v>
      </c>
      <c r="N2283" s="96">
        <v>219</v>
      </c>
      <c r="P2283" s="6">
        <f t="shared" si="787"/>
        <v>219</v>
      </c>
      <c r="Q2283" s="7">
        <f t="shared" si="801"/>
        <v>3813362.9500000025</v>
      </c>
      <c r="R2283" s="44" t="str">
        <f>VLOOKUP(F2283,'Set up'!$A$2:$E$48,5,FALSE)</f>
        <v>Trsf</v>
      </c>
    </row>
    <row r="2284" spans="1:19" ht="15" hidden="1" customHeight="1" x14ac:dyDescent="0.3">
      <c r="A2284" s="4">
        <v>45234</v>
      </c>
      <c r="B2284" s="5">
        <f t="shared" si="802"/>
        <v>11</v>
      </c>
      <c r="C2284" s="5">
        <f t="shared" si="803"/>
        <v>2023</v>
      </c>
      <c r="D2284" s="88" t="s">
        <v>2225</v>
      </c>
      <c r="E2284" s="5" t="str">
        <f>VLOOKUP(F2284,'Set up'!$A$2:$C$48,2,FALSE)</f>
        <v>C00000034</v>
      </c>
      <c r="F2284" s="1" t="s">
        <v>1197</v>
      </c>
      <c r="G2284" s="99" t="s">
        <v>1797</v>
      </c>
      <c r="H2284" s="5">
        <v>2</v>
      </c>
      <c r="I2284" s="5" t="str">
        <f>VLOOKUP(F2284,'Set up'!$A$2:$C$48,3,FALSE)</f>
        <v>Cash</v>
      </c>
      <c r="J2284" s="5">
        <f>VLOOKUP(F2284,'Set up'!$A$2:$D$48,4,FALSE)</f>
        <v>0</v>
      </c>
      <c r="K2284" s="4">
        <f t="shared" si="804"/>
        <v>45234</v>
      </c>
      <c r="L2284" s="5">
        <f t="shared" si="805"/>
        <v>11</v>
      </c>
      <c r="M2284" s="5">
        <f t="shared" si="806"/>
        <v>2023</v>
      </c>
      <c r="N2284" s="96">
        <v>438</v>
      </c>
      <c r="P2284" s="6">
        <f t="shared" si="787"/>
        <v>438</v>
      </c>
      <c r="Q2284" s="7">
        <f t="shared" si="801"/>
        <v>3813800.9500000025</v>
      </c>
      <c r="R2284" s="44" t="str">
        <f>VLOOKUP(F2284,'Set up'!$A$2:$E$48,5,FALSE)</f>
        <v>Trsf</v>
      </c>
    </row>
    <row r="2285" spans="1:19" ht="15" hidden="1" customHeight="1" x14ac:dyDescent="0.3">
      <c r="A2285" s="4">
        <v>45234</v>
      </c>
      <c r="B2285" s="5">
        <f t="shared" si="802"/>
        <v>11</v>
      </c>
      <c r="C2285" s="5">
        <f t="shared" si="803"/>
        <v>2023</v>
      </c>
      <c r="D2285" s="88" t="s">
        <v>2225</v>
      </c>
      <c r="E2285" s="5" t="str">
        <f>VLOOKUP(F2285,'Set up'!$A$2:$C$48,2,FALSE)</f>
        <v>C00000034</v>
      </c>
      <c r="F2285" s="1" t="s">
        <v>1197</v>
      </c>
      <c r="G2285" s="99" t="s">
        <v>1818</v>
      </c>
      <c r="H2285" s="5">
        <v>1</v>
      </c>
      <c r="I2285" s="5" t="str">
        <f>VLOOKUP(F2285,'Set up'!$A$2:$C$48,3,FALSE)</f>
        <v>Cash</v>
      </c>
      <c r="J2285" s="5">
        <f>VLOOKUP(F2285,'Set up'!$A$2:$D$48,4,FALSE)</f>
        <v>0</v>
      </c>
      <c r="K2285" s="4">
        <f t="shared" si="804"/>
        <v>45234</v>
      </c>
      <c r="L2285" s="5">
        <f t="shared" si="805"/>
        <v>11</v>
      </c>
      <c r="M2285" s="5">
        <f t="shared" si="806"/>
        <v>2023</v>
      </c>
      <c r="N2285" s="96">
        <v>236</v>
      </c>
      <c r="P2285" s="6">
        <f t="shared" si="787"/>
        <v>236</v>
      </c>
      <c r="Q2285" s="7">
        <f t="shared" si="801"/>
        <v>3814036.9500000025</v>
      </c>
      <c r="R2285" s="44" t="str">
        <f>VLOOKUP(F2285,'Set up'!$A$2:$E$48,5,FALSE)</f>
        <v>Trsf</v>
      </c>
    </row>
    <row r="2286" spans="1:19" ht="15" hidden="1" customHeight="1" x14ac:dyDescent="0.3">
      <c r="A2286" s="4">
        <v>45234</v>
      </c>
      <c r="B2286" s="5">
        <f t="shared" si="802"/>
        <v>11</v>
      </c>
      <c r="C2286" s="5">
        <f t="shared" si="803"/>
        <v>2023</v>
      </c>
      <c r="D2286" s="88" t="s">
        <v>2225</v>
      </c>
      <c r="E2286" s="5" t="str">
        <f>VLOOKUP(F2286,'Set up'!$A$2:$C$48,2,FALSE)</f>
        <v>C00000034</v>
      </c>
      <c r="F2286" s="1" t="s">
        <v>1197</v>
      </c>
      <c r="G2286" s="99" t="s">
        <v>1062</v>
      </c>
      <c r="H2286" s="5">
        <v>1</v>
      </c>
      <c r="I2286" s="5" t="str">
        <f>VLOOKUP(F2286,'Set up'!$A$2:$C$48,3,FALSE)</f>
        <v>Cash</v>
      </c>
      <c r="J2286" s="5">
        <f>VLOOKUP(F2286,'Set up'!$A$2:$D$48,4,FALSE)</f>
        <v>0</v>
      </c>
      <c r="K2286" s="4">
        <f t="shared" si="804"/>
        <v>45234</v>
      </c>
      <c r="L2286" s="5">
        <f t="shared" si="805"/>
        <v>11</v>
      </c>
      <c r="M2286" s="5">
        <f t="shared" si="806"/>
        <v>2023</v>
      </c>
      <c r="N2286" s="96">
        <v>95</v>
      </c>
      <c r="P2286" s="6">
        <f t="shared" si="787"/>
        <v>95</v>
      </c>
      <c r="Q2286" s="7">
        <f t="shared" si="801"/>
        <v>3814131.9500000025</v>
      </c>
      <c r="R2286" s="44" t="str">
        <f>VLOOKUP(F2286,'Set up'!$A$2:$E$48,5,FALSE)</f>
        <v>Trsf</v>
      </c>
    </row>
    <row r="2287" spans="1:19" ht="15" hidden="1" customHeight="1" x14ac:dyDescent="0.3">
      <c r="A2287" s="4">
        <v>45234</v>
      </c>
      <c r="B2287" s="5">
        <f t="shared" si="802"/>
        <v>11</v>
      </c>
      <c r="C2287" s="5">
        <f t="shared" si="803"/>
        <v>2023</v>
      </c>
      <c r="D2287" s="88" t="s">
        <v>2225</v>
      </c>
      <c r="E2287" s="5" t="str">
        <f>VLOOKUP(F2287,'Set up'!$A$2:$C$48,2,FALSE)</f>
        <v>C00000034</v>
      </c>
      <c r="F2287" s="1" t="s">
        <v>1197</v>
      </c>
      <c r="G2287" s="99" t="s">
        <v>1111</v>
      </c>
      <c r="H2287" s="5">
        <v>5</v>
      </c>
      <c r="I2287" s="5" t="str">
        <f>VLOOKUP(F2287,'Set up'!$A$2:$C$48,3,FALSE)</f>
        <v>Cash</v>
      </c>
      <c r="J2287" s="5">
        <f>VLOOKUP(F2287,'Set up'!$A$2:$D$48,4,FALSE)</f>
        <v>0</v>
      </c>
      <c r="K2287" s="4">
        <f t="shared" si="804"/>
        <v>45234</v>
      </c>
      <c r="L2287" s="5">
        <f t="shared" si="805"/>
        <v>11</v>
      </c>
      <c r="M2287" s="5">
        <f t="shared" si="806"/>
        <v>2023</v>
      </c>
      <c r="N2287" s="96">
        <v>312.5</v>
      </c>
      <c r="P2287" s="6">
        <f t="shared" si="787"/>
        <v>312.5</v>
      </c>
      <c r="Q2287" s="7">
        <f t="shared" si="801"/>
        <v>3814444.4500000025</v>
      </c>
      <c r="R2287" s="44" t="str">
        <f>VLOOKUP(F2287,'Set up'!$A$2:$E$48,5,FALSE)</f>
        <v>Trsf</v>
      </c>
    </row>
    <row r="2288" spans="1:19" ht="15" customHeight="1" x14ac:dyDescent="0.3">
      <c r="A2288" s="4">
        <v>45236</v>
      </c>
      <c r="B2288" s="5">
        <f t="shared" si="802"/>
        <v>11</v>
      </c>
      <c r="C2288" s="5">
        <f t="shared" si="803"/>
        <v>2023</v>
      </c>
      <c r="D2288" s="88" t="s">
        <v>2226</v>
      </c>
      <c r="E2288" s="5" t="str">
        <f>VLOOKUP(F2288,'Set up'!$A$2:$C$48,2,FALSE)</f>
        <v>C00000042</v>
      </c>
      <c r="F2288" s="1" t="s">
        <v>2014</v>
      </c>
      <c r="G2288" s="99" t="s">
        <v>1111</v>
      </c>
      <c r="H2288" s="5">
        <v>7</v>
      </c>
      <c r="I2288" s="5" t="str">
        <f>VLOOKUP(F2288,'Set up'!$A$2:$C$48,3,FALSE)</f>
        <v>Cash</v>
      </c>
      <c r="J2288" s="5">
        <f>VLOOKUP(F2288,'Set up'!$A$2:$D$48,4,FALSE)</f>
        <v>0</v>
      </c>
      <c r="K2288" s="4">
        <f t="shared" si="804"/>
        <v>45236</v>
      </c>
      <c r="L2288" s="5">
        <f t="shared" si="805"/>
        <v>11</v>
      </c>
      <c r="M2288" s="5">
        <f t="shared" si="806"/>
        <v>2023</v>
      </c>
      <c r="N2288" s="96">
        <v>437.5</v>
      </c>
      <c r="P2288" s="6">
        <f t="shared" si="787"/>
        <v>437.5</v>
      </c>
      <c r="Q2288" s="7">
        <f t="shared" si="801"/>
        <v>3814881.9500000025</v>
      </c>
      <c r="R2288" s="44" t="str">
        <f>VLOOKUP(F2288,'Set up'!$A$2:$E$48,5,FALSE)</f>
        <v>Trsf</v>
      </c>
    </row>
    <row r="2289" spans="1:19" ht="15" customHeight="1" x14ac:dyDescent="0.3">
      <c r="A2289" s="4">
        <v>45236</v>
      </c>
      <c r="B2289" s="5">
        <f t="shared" si="802"/>
        <v>11</v>
      </c>
      <c r="C2289" s="5">
        <f t="shared" si="803"/>
        <v>2023</v>
      </c>
      <c r="D2289" s="88" t="s">
        <v>2227</v>
      </c>
      <c r="E2289" s="5" t="str">
        <f>VLOOKUP(F2289,'Set up'!$A$2:$C$48,2,FALSE)</f>
        <v>C00000042</v>
      </c>
      <c r="F2289" s="1" t="s">
        <v>2014</v>
      </c>
      <c r="G2289" s="99" t="s">
        <v>1734</v>
      </c>
      <c r="H2289" s="5">
        <v>7</v>
      </c>
      <c r="I2289" s="5" t="str">
        <f>VLOOKUP(F2289,'Set up'!$A$2:$C$48,3,FALSE)</f>
        <v>Cash</v>
      </c>
      <c r="J2289" s="5">
        <f>VLOOKUP(F2289,'Set up'!$A$2:$D$48,4,FALSE)</f>
        <v>0</v>
      </c>
      <c r="K2289" s="4">
        <f t="shared" si="804"/>
        <v>45236</v>
      </c>
      <c r="L2289" s="5">
        <f t="shared" si="805"/>
        <v>11</v>
      </c>
      <c r="M2289" s="5">
        <f t="shared" si="806"/>
        <v>2023</v>
      </c>
      <c r="N2289" s="96">
        <v>11242</v>
      </c>
      <c r="P2289" s="6">
        <f t="shared" si="787"/>
        <v>11242</v>
      </c>
      <c r="Q2289" s="7">
        <f t="shared" si="801"/>
        <v>3826123.9500000025</v>
      </c>
      <c r="R2289" s="44" t="str">
        <f>VLOOKUP(F2289,'Set up'!$A$2:$E$48,5,FALSE)</f>
        <v>Trsf</v>
      </c>
    </row>
    <row r="2290" spans="1:19" ht="15" customHeight="1" x14ac:dyDescent="0.3">
      <c r="A2290" s="4">
        <v>45236</v>
      </c>
      <c r="B2290" s="5">
        <f t="shared" si="802"/>
        <v>11</v>
      </c>
      <c r="C2290" s="5">
        <f t="shared" si="803"/>
        <v>2023</v>
      </c>
      <c r="D2290" s="88" t="s">
        <v>2227</v>
      </c>
      <c r="E2290" s="5" t="str">
        <f>VLOOKUP(F2290,'Set up'!$A$2:$C$48,2,FALSE)</f>
        <v>C00000042</v>
      </c>
      <c r="F2290" s="1" t="s">
        <v>2014</v>
      </c>
      <c r="G2290" s="99" t="s">
        <v>914</v>
      </c>
      <c r="H2290" s="5">
        <v>22</v>
      </c>
      <c r="I2290" s="5" t="str">
        <f>VLOOKUP(F2290,'Set up'!$A$2:$C$48,3,FALSE)</f>
        <v>Cash</v>
      </c>
      <c r="J2290" s="5">
        <f>VLOOKUP(F2290,'Set up'!$A$2:$D$48,4,FALSE)</f>
        <v>0</v>
      </c>
      <c r="K2290" s="4">
        <f t="shared" si="804"/>
        <v>45236</v>
      </c>
      <c r="L2290" s="5">
        <f t="shared" si="805"/>
        <v>11</v>
      </c>
      <c r="M2290" s="5">
        <f t="shared" si="806"/>
        <v>2023</v>
      </c>
      <c r="N2290" s="96">
        <v>3828</v>
      </c>
      <c r="P2290" s="6">
        <f t="shared" si="787"/>
        <v>3828</v>
      </c>
      <c r="Q2290" s="7">
        <f t="shared" si="801"/>
        <v>3829951.9500000025</v>
      </c>
      <c r="R2290" s="44" t="str">
        <f>VLOOKUP(F2290,'Set up'!$A$2:$E$48,5,FALSE)</f>
        <v>Trsf</v>
      </c>
    </row>
    <row r="2291" spans="1:19" ht="15" customHeight="1" x14ac:dyDescent="0.3">
      <c r="A2291" s="4">
        <v>45236</v>
      </c>
      <c r="B2291" s="5">
        <f t="shared" si="802"/>
        <v>11</v>
      </c>
      <c r="C2291" s="5">
        <f t="shared" si="803"/>
        <v>2023</v>
      </c>
      <c r="D2291" s="88" t="s">
        <v>2227</v>
      </c>
      <c r="E2291" s="5" t="str">
        <f>VLOOKUP(F2291,'Set up'!$A$2:$C$48,2,FALSE)</f>
        <v>C00000042</v>
      </c>
      <c r="F2291" s="1" t="s">
        <v>2014</v>
      </c>
      <c r="G2291" s="99" t="s">
        <v>1923</v>
      </c>
      <c r="H2291" s="5">
        <v>11</v>
      </c>
      <c r="I2291" s="5" t="str">
        <f>VLOOKUP(F2291,'Set up'!$A$2:$C$48,3,FALSE)</f>
        <v>Cash</v>
      </c>
      <c r="J2291" s="5">
        <f>VLOOKUP(F2291,'Set up'!$A$2:$D$48,4,FALSE)</f>
        <v>0</v>
      </c>
      <c r="K2291" s="4">
        <f t="shared" si="804"/>
        <v>45236</v>
      </c>
      <c r="L2291" s="5">
        <f t="shared" si="805"/>
        <v>11</v>
      </c>
      <c r="M2291" s="5">
        <f t="shared" si="806"/>
        <v>2023</v>
      </c>
      <c r="N2291" s="96">
        <v>2574</v>
      </c>
      <c r="P2291" s="6">
        <f t="shared" si="787"/>
        <v>2574</v>
      </c>
      <c r="Q2291" s="7">
        <f t="shared" si="801"/>
        <v>3832525.9500000025</v>
      </c>
      <c r="R2291" s="44" t="str">
        <f>VLOOKUP(F2291,'Set up'!$A$2:$E$48,5,FALSE)</f>
        <v>Trsf</v>
      </c>
    </row>
    <row r="2292" spans="1:19" ht="15" customHeight="1" x14ac:dyDescent="0.3">
      <c r="A2292" s="4">
        <v>45236</v>
      </c>
      <c r="B2292" s="5">
        <f t="shared" si="802"/>
        <v>11</v>
      </c>
      <c r="C2292" s="5">
        <f t="shared" si="803"/>
        <v>2023</v>
      </c>
      <c r="D2292" s="88" t="s">
        <v>2227</v>
      </c>
      <c r="E2292" s="5" t="str">
        <f>VLOOKUP(F2292,'Set up'!$A$2:$C$48,2,FALSE)</f>
        <v>C00000042</v>
      </c>
      <c r="F2292" s="1" t="s">
        <v>2014</v>
      </c>
      <c r="G2292" s="99" t="s">
        <v>1074</v>
      </c>
      <c r="H2292" s="5">
        <v>1</v>
      </c>
      <c r="I2292" s="5" t="str">
        <f>VLOOKUP(F2292,'Set up'!$A$2:$C$48,3,FALSE)</f>
        <v>Cash</v>
      </c>
      <c r="J2292" s="5">
        <f>VLOOKUP(F2292,'Set up'!$A$2:$D$48,4,FALSE)</f>
        <v>0</v>
      </c>
      <c r="K2292" s="4">
        <f t="shared" si="804"/>
        <v>45236</v>
      </c>
      <c r="L2292" s="5">
        <f t="shared" si="805"/>
        <v>11</v>
      </c>
      <c r="M2292" s="5">
        <f t="shared" si="806"/>
        <v>2023</v>
      </c>
      <c r="N2292" s="96">
        <v>1000</v>
      </c>
      <c r="P2292" s="6">
        <f t="shared" si="787"/>
        <v>1000</v>
      </c>
      <c r="Q2292" s="7">
        <f t="shared" si="801"/>
        <v>3833525.9500000025</v>
      </c>
      <c r="R2292" s="44" t="str">
        <f>VLOOKUP(F2292,'Set up'!$A$2:$E$48,5,FALSE)</f>
        <v>Trsf</v>
      </c>
    </row>
    <row r="2293" spans="1:19" ht="15" customHeight="1" x14ac:dyDescent="0.3">
      <c r="A2293" s="4">
        <v>45236</v>
      </c>
      <c r="B2293" s="5">
        <f t="shared" si="802"/>
        <v>11</v>
      </c>
      <c r="C2293" s="5">
        <f t="shared" si="803"/>
        <v>2023</v>
      </c>
      <c r="D2293" s="88" t="s">
        <v>2227</v>
      </c>
      <c r="E2293" s="5" t="str">
        <f>VLOOKUP(F2293,'Set up'!$A$2:$C$48,2,FALSE)</f>
        <v>C00000042</v>
      </c>
      <c r="F2293" s="1" t="s">
        <v>2014</v>
      </c>
      <c r="G2293" s="99" t="s">
        <v>1062</v>
      </c>
      <c r="H2293" s="5">
        <v>4</v>
      </c>
      <c r="I2293" s="5" t="str">
        <f>VLOOKUP(F2293,'Set up'!$A$2:$C$48,3,FALSE)</f>
        <v>Cash</v>
      </c>
      <c r="J2293" s="5">
        <f>VLOOKUP(F2293,'Set up'!$A$2:$D$48,4,FALSE)</f>
        <v>0</v>
      </c>
      <c r="K2293" s="4">
        <f t="shared" si="804"/>
        <v>45236</v>
      </c>
      <c r="L2293" s="5">
        <f t="shared" si="805"/>
        <v>11</v>
      </c>
      <c r="M2293" s="5">
        <f t="shared" si="806"/>
        <v>2023</v>
      </c>
      <c r="N2293" s="96">
        <v>380</v>
      </c>
      <c r="P2293" s="6">
        <f t="shared" si="787"/>
        <v>380</v>
      </c>
      <c r="Q2293" s="7">
        <f t="shared" si="801"/>
        <v>3833905.9500000025</v>
      </c>
      <c r="R2293" s="44" t="str">
        <f>VLOOKUP(F2293,'Set up'!$A$2:$E$48,5,FALSE)</f>
        <v>Trsf</v>
      </c>
    </row>
    <row r="2294" spans="1:19" ht="15" hidden="1" customHeight="1" x14ac:dyDescent="0.3">
      <c r="A2294" s="4">
        <v>45237</v>
      </c>
      <c r="B2294" s="5">
        <f t="shared" si="802"/>
        <v>11</v>
      </c>
      <c r="C2294" s="5">
        <f t="shared" si="803"/>
        <v>2023</v>
      </c>
      <c r="D2294" s="88" t="s">
        <v>2228</v>
      </c>
      <c r="E2294" s="5" t="str">
        <f>VLOOKUP(F2294,'Set up'!$A$2:$C$48,2,FALSE)</f>
        <v>C00000021</v>
      </c>
      <c r="F2294" s="1" t="s">
        <v>492</v>
      </c>
      <c r="G2294" s="99" t="s">
        <v>67</v>
      </c>
      <c r="H2294" s="5">
        <v>1</v>
      </c>
      <c r="I2294" s="5" t="str">
        <f>VLOOKUP(F2294,'Set up'!$A$2:$C$48,3,FALSE)</f>
        <v>Cash</v>
      </c>
      <c r="J2294" s="5">
        <f>VLOOKUP(F2294,'Set up'!$A$2:$D$48,4,FALSE)</f>
        <v>0</v>
      </c>
      <c r="K2294" s="4">
        <f t="shared" si="804"/>
        <v>45237</v>
      </c>
      <c r="L2294" s="5">
        <f t="shared" si="805"/>
        <v>11</v>
      </c>
      <c r="M2294" s="5">
        <f t="shared" si="806"/>
        <v>2023</v>
      </c>
      <c r="N2294" s="96">
        <v>1738</v>
      </c>
      <c r="P2294" s="6">
        <f t="shared" si="787"/>
        <v>1738</v>
      </c>
      <c r="Q2294" s="7">
        <f t="shared" si="801"/>
        <v>3835643.9500000025</v>
      </c>
      <c r="R2294" s="44" t="str">
        <f>VLOOKUP(F2294,'Set up'!$A$2:$E$48,5,FALSE)</f>
        <v>PD Chq</v>
      </c>
    </row>
    <row r="2295" spans="1:19" ht="15" hidden="1" customHeight="1" x14ac:dyDescent="0.3">
      <c r="A2295" s="4">
        <v>45237</v>
      </c>
      <c r="B2295" s="5">
        <f t="shared" si="802"/>
        <v>11</v>
      </c>
      <c r="C2295" s="5">
        <f t="shared" si="803"/>
        <v>2023</v>
      </c>
      <c r="D2295" s="88" t="s">
        <v>2228</v>
      </c>
      <c r="E2295" s="5" t="str">
        <f>VLOOKUP(F2295,'Set up'!$A$2:$C$48,2,FALSE)</f>
        <v>C00000021</v>
      </c>
      <c r="F2295" s="1" t="s">
        <v>492</v>
      </c>
      <c r="G2295" s="99" t="s">
        <v>914</v>
      </c>
      <c r="H2295" s="5">
        <v>2</v>
      </c>
      <c r="I2295" s="5" t="str">
        <f>VLOOKUP(F2295,'Set up'!$A$2:$C$48,3,FALSE)</f>
        <v>Cash</v>
      </c>
      <c r="J2295" s="5">
        <f>VLOOKUP(F2295,'Set up'!$A$2:$D$48,4,FALSE)</f>
        <v>0</v>
      </c>
      <c r="K2295" s="4">
        <f t="shared" si="804"/>
        <v>45237</v>
      </c>
      <c r="L2295" s="5">
        <f t="shared" si="805"/>
        <v>11</v>
      </c>
      <c r="M2295" s="5">
        <f t="shared" si="806"/>
        <v>2023</v>
      </c>
      <c r="N2295" s="96">
        <v>450</v>
      </c>
      <c r="P2295" s="6">
        <f t="shared" si="787"/>
        <v>450</v>
      </c>
      <c r="Q2295" s="7">
        <f t="shared" si="801"/>
        <v>3836093.9500000025</v>
      </c>
      <c r="R2295" s="44" t="str">
        <f>VLOOKUP(F2295,'Set up'!$A$2:$E$48,5,FALSE)</f>
        <v>PD Chq</v>
      </c>
    </row>
    <row r="2296" spans="1:19" ht="15" hidden="1" customHeight="1" x14ac:dyDescent="0.3">
      <c r="A2296" s="4">
        <v>45237</v>
      </c>
      <c r="B2296" s="5">
        <f t="shared" si="802"/>
        <v>11</v>
      </c>
      <c r="C2296" s="5">
        <f t="shared" si="803"/>
        <v>2023</v>
      </c>
      <c r="D2296" s="88" t="s">
        <v>2228</v>
      </c>
      <c r="E2296" s="5" t="str">
        <f>VLOOKUP(F2296,'Set up'!$A$2:$C$48,2,FALSE)</f>
        <v>C00000021</v>
      </c>
      <c r="F2296" s="1" t="s">
        <v>492</v>
      </c>
      <c r="G2296" s="99" t="s">
        <v>2104</v>
      </c>
      <c r="H2296" s="5">
        <v>1</v>
      </c>
      <c r="I2296" s="5" t="str">
        <f>VLOOKUP(F2296,'Set up'!$A$2:$C$48,3,FALSE)</f>
        <v>Cash</v>
      </c>
      <c r="J2296" s="5">
        <f>VLOOKUP(F2296,'Set up'!$A$2:$D$48,4,FALSE)</f>
        <v>0</v>
      </c>
      <c r="K2296" s="4">
        <f t="shared" si="804"/>
        <v>45237</v>
      </c>
      <c r="L2296" s="5">
        <f t="shared" si="805"/>
        <v>11</v>
      </c>
      <c r="M2296" s="5">
        <f t="shared" si="806"/>
        <v>2023</v>
      </c>
      <c r="N2296" s="96">
        <v>277.5</v>
      </c>
      <c r="P2296" s="6">
        <f t="shared" si="787"/>
        <v>277.5</v>
      </c>
      <c r="Q2296" s="7">
        <f t="shared" si="801"/>
        <v>3836371.4500000025</v>
      </c>
      <c r="R2296" s="44" t="str">
        <f>VLOOKUP(F2296,'Set up'!$A$2:$E$48,5,FALSE)</f>
        <v>PD Chq</v>
      </c>
    </row>
    <row r="2297" spans="1:19" ht="15" hidden="1" customHeight="1" x14ac:dyDescent="0.3">
      <c r="A2297" s="4">
        <v>45237</v>
      </c>
      <c r="B2297" s="5">
        <f t="shared" si="802"/>
        <v>11</v>
      </c>
      <c r="C2297" s="5">
        <f t="shared" si="803"/>
        <v>2023</v>
      </c>
      <c r="D2297" s="88" t="s">
        <v>2228</v>
      </c>
      <c r="E2297" s="5" t="str">
        <f>VLOOKUP(F2297,'Set up'!$A$2:$C$48,2,FALSE)</f>
        <v>C00000021</v>
      </c>
      <c r="F2297" s="1" t="s">
        <v>492</v>
      </c>
      <c r="G2297" s="99" t="s">
        <v>1062</v>
      </c>
      <c r="H2297" s="5">
        <v>1</v>
      </c>
      <c r="I2297" s="5" t="str">
        <f>VLOOKUP(F2297,'Set up'!$A$2:$C$48,3,FALSE)</f>
        <v>Cash</v>
      </c>
      <c r="J2297" s="5">
        <f>VLOOKUP(F2297,'Set up'!$A$2:$D$48,4,FALSE)</f>
        <v>0</v>
      </c>
      <c r="K2297" s="4">
        <f t="shared" si="804"/>
        <v>45237</v>
      </c>
      <c r="L2297" s="5">
        <f t="shared" si="805"/>
        <v>11</v>
      </c>
      <c r="M2297" s="5">
        <f t="shared" si="806"/>
        <v>2023</v>
      </c>
      <c r="N2297" s="96">
        <v>95</v>
      </c>
      <c r="P2297" s="6">
        <f t="shared" si="787"/>
        <v>95</v>
      </c>
      <c r="Q2297" s="7">
        <f t="shared" si="801"/>
        <v>3836466.4500000025</v>
      </c>
      <c r="R2297" s="44" t="str">
        <f>VLOOKUP(F2297,'Set up'!$A$2:$E$48,5,FALSE)</f>
        <v>PD Chq</v>
      </c>
    </row>
    <row r="2298" spans="1:19" ht="15" hidden="1" customHeight="1" x14ac:dyDescent="0.3">
      <c r="A2298" s="4">
        <v>45237</v>
      </c>
      <c r="B2298" s="5">
        <f t="shared" si="802"/>
        <v>11</v>
      </c>
      <c r="C2298" s="5">
        <f t="shared" si="803"/>
        <v>2023</v>
      </c>
      <c r="D2298" s="88" t="s">
        <v>2228</v>
      </c>
      <c r="E2298" s="5" t="str">
        <f>VLOOKUP(F2298,'Set up'!$A$2:$C$48,2,FALSE)</f>
        <v>C00000021</v>
      </c>
      <c r="F2298" s="1" t="s">
        <v>492</v>
      </c>
      <c r="G2298" s="99" t="s">
        <v>44</v>
      </c>
      <c r="H2298" s="5">
        <v>1</v>
      </c>
      <c r="I2298" s="5" t="str">
        <f>VLOOKUP(F2298,'Set up'!$A$2:$C$48,3,FALSE)</f>
        <v>Cash</v>
      </c>
      <c r="J2298" s="5">
        <f>VLOOKUP(F2298,'Set up'!$A$2:$D$48,4,FALSE)</f>
        <v>0</v>
      </c>
      <c r="K2298" s="4">
        <f t="shared" si="804"/>
        <v>45237</v>
      </c>
      <c r="L2298" s="5">
        <f t="shared" si="805"/>
        <v>11</v>
      </c>
      <c r="M2298" s="5">
        <f t="shared" si="806"/>
        <v>2023</v>
      </c>
      <c r="N2298" s="96">
        <v>258</v>
      </c>
      <c r="P2298" s="6">
        <f t="shared" si="787"/>
        <v>258</v>
      </c>
      <c r="Q2298" s="7">
        <f t="shared" si="801"/>
        <v>3836724.4500000025</v>
      </c>
      <c r="R2298" s="44" t="str">
        <f>VLOOKUP(F2298,'Set up'!$A$2:$E$48,5,FALSE)</f>
        <v>PD Chq</v>
      </c>
    </row>
    <row r="2299" spans="1:19" ht="15" hidden="1" customHeight="1" x14ac:dyDescent="0.3">
      <c r="A2299" s="4">
        <v>45239</v>
      </c>
      <c r="B2299" s="5">
        <f t="shared" si="802"/>
        <v>11</v>
      </c>
      <c r="C2299" s="5">
        <f t="shared" si="803"/>
        <v>2023</v>
      </c>
      <c r="D2299" s="88" t="s">
        <v>2229</v>
      </c>
      <c r="E2299" s="5" t="str">
        <f>VLOOKUP(F2299,'Set up'!$A$2:$C$48,2,FALSE)</f>
        <v>C00000014</v>
      </c>
      <c r="F2299" s="1" t="s">
        <v>263</v>
      </c>
      <c r="G2299" s="99" t="s">
        <v>304</v>
      </c>
      <c r="H2299" s="5">
        <v>2</v>
      </c>
      <c r="I2299" s="5" t="str">
        <f>VLOOKUP(F2299,'Set up'!$A$2:$C$48,3,FALSE)</f>
        <v>Cash</v>
      </c>
      <c r="J2299" s="5">
        <f>VLOOKUP(F2299,'Set up'!$A$2:$D$48,4,FALSE)</f>
        <v>0</v>
      </c>
      <c r="K2299" s="4">
        <f t="shared" si="804"/>
        <v>45239</v>
      </c>
      <c r="L2299" s="5">
        <f t="shared" si="805"/>
        <v>11</v>
      </c>
      <c r="M2299" s="5">
        <f t="shared" si="806"/>
        <v>2023</v>
      </c>
      <c r="N2299" s="96">
        <v>3212</v>
      </c>
      <c r="O2299" s="6">
        <f t="shared" ref="O2299:O2305" si="808">-N2299</f>
        <v>-3212</v>
      </c>
      <c r="P2299" s="6">
        <f t="shared" si="787"/>
        <v>0</v>
      </c>
      <c r="Q2299" s="7">
        <f t="shared" si="801"/>
        <v>3839936.4500000025</v>
      </c>
      <c r="R2299" s="44" t="str">
        <f>VLOOKUP(F2299,'Set up'!$A$2:$E$48,5,FALSE)</f>
        <v>Cash</v>
      </c>
      <c r="S2299" s="1" t="s">
        <v>2150</v>
      </c>
    </row>
    <row r="2300" spans="1:19" ht="15" hidden="1" customHeight="1" x14ac:dyDescent="0.3">
      <c r="A2300" s="4">
        <v>45239</v>
      </c>
      <c r="B2300" s="5">
        <f t="shared" si="802"/>
        <v>11</v>
      </c>
      <c r="C2300" s="5">
        <f t="shared" si="803"/>
        <v>2023</v>
      </c>
      <c r="D2300" s="88" t="s">
        <v>2229</v>
      </c>
      <c r="E2300" s="5" t="str">
        <f>VLOOKUP(F2300,'Set up'!$A$2:$C$48,2,FALSE)</f>
        <v>C00000014</v>
      </c>
      <c r="F2300" s="1" t="s">
        <v>263</v>
      </c>
      <c r="G2300" s="99" t="s">
        <v>2106</v>
      </c>
      <c r="H2300" s="5">
        <v>5</v>
      </c>
      <c r="I2300" s="5" t="str">
        <f>VLOOKUP(F2300,'Set up'!$A$2:$C$48,3,FALSE)</f>
        <v>Cash</v>
      </c>
      <c r="J2300" s="5">
        <f>VLOOKUP(F2300,'Set up'!$A$2:$D$48,4,FALSE)</f>
        <v>0</v>
      </c>
      <c r="K2300" s="4">
        <f t="shared" si="804"/>
        <v>45239</v>
      </c>
      <c r="L2300" s="5">
        <f t="shared" si="805"/>
        <v>11</v>
      </c>
      <c r="M2300" s="5">
        <f t="shared" si="806"/>
        <v>2023</v>
      </c>
      <c r="N2300" s="96">
        <v>1295</v>
      </c>
      <c r="O2300" s="6">
        <f t="shared" si="808"/>
        <v>-1295</v>
      </c>
      <c r="P2300" s="6">
        <f t="shared" si="787"/>
        <v>0</v>
      </c>
      <c r="Q2300" s="7">
        <f t="shared" si="801"/>
        <v>3841231.4500000025</v>
      </c>
      <c r="R2300" s="44" t="str">
        <f>VLOOKUP(F2300,'Set up'!$A$2:$E$48,5,FALSE)</f>
        <v>Cash</v>
      </c>
      <c r="S2300" s="1" t="s">
        <v>2150</v>
      </c>
    </row>
    <row r="2301" spans="1:19" ht="15" hidden="1" customHeight="1" x14ac:dyDescent="0.3">
      <c r="A2301" s="4">
        <v>45239</v>
      </c>
      <c r="B2301" s="5">
        <f t="shared" si="802"/>
        <v>11</v>
      </c>
      <c r="C2301" s="5">
        <f t="shared" si="803"/>
        <v>2023</v>
      </c>
      <c r="D2301" s="88" t="s">
        <v>2229</v>
      </c>
      <c r="E2301" s="5" t="str">
        <f>VLOOKUP(F2301,'Set up'!$A$2:$C$48,2,FALSE)</f>
        <v>C00000014</v>
      </c>
      <c r="F2301" s="1" t="s">
        <v>263</v>
      </c>
      <c r="G2301" s="99" t="s">
        <v>44</v>
      </c>
      <c r="H2301" s="5">
        <v>2</v>
      </c>
      <c r="I2301" s="5" t="str">
        <f>VLOOKUP(F2301,'Set up'!$A$2:$C$48,3,FALSE)</f>
        <v>Cash</v>
      </c>
      <c r="J2301" s="5">
        <f>VLOOKUP(F2301,'Set up'!$A$2:$D$48,4,FALSE)</f>
        <v>0</v>
      </c>
      <c r="K2301" s="4">
        <f t="shared" si="804"/>
        <v>45239</v>
      </c>
      <c r="L2301" s="5">
        <f t="shared" si="805"/>
        <v>11</v>
      </c>
      <c r="M2301" s="5">
        <f t="shared" si="806"/>
        <v>2023</v>
      </c>
      <c r="N2301" s="96">
        <v>516</v>
      </c>
      <c r="O2301" s="6">
        <f t="shared" si="808"/>
        <v>-516</v>
      </c>
      <c r="P2301" s="6">
        <f t="shared" si="787"/>
        <v>0</v>
      </c>
      <c r="Q2301" s="7">
        <f t="shared" si="801"/>
        <v>3841747.4500000025</v>
      </c>
      <c r="R2301" s="44" t="str">
        <f>VLOOKUP(F2301,'Set up'!$A$2:$E$48,5,FALSE)</f>
        <v>Cash</v>
      </c>
      <c r="S2301" s="1" t="s">
        <v>2150</v>
      </c>
    </row>
    <row r="2302" spans="1:19" ht="15" hidden="1" customHeight="1" x14ac:dyDescent="0.3">
      <c r="A2302" s="4">
        <v>45239</v>
      </c>
      <c r="B2302" s="5">
        <f t="shared" si="802"/>
        <v>11</v>
      </c>
      <c r="C2302" s="5">
        <f t="shared" si="803"/>
        <v>2023</v>
      </c>
      <c r="D2302" s="88" t="s">
        <v>2229</v>
      </c>
      <c r="E2302" s="5" t="str">
        <f>VLOOKUP(F2302,'Set up'!$A$2:$C$48,2,FALSE)</f>
        <v>C00000014</v>
      </c>
      <c r="F2302" s="1" t="s">
        <v>263</v>
      </c>
      <c r="G2302" s="99" t="s">
        <v>17</v>
      </c>
      <c r="H2302" s="5">
        <v>1</v>
      </c>
      <c r="I2302" s="5" t="str">
        <f>VLOOKUP(F2302,'Set up'!$A$2:$C$48,3,FALSE)</f>
        <v>Cash</v>
      </c>
      <c r="J2302" s="5">
        <f>VLOOKUP(F2302,'Set up'!$A$2:$D$48,4,FALSE)</f>
        <v>0</v>
      </c>
      <c r="K2302" s="4">
        <f t="shared" si="804"/>
        <v>45239</v>
      </c>
      <c r="L2302" s="5">
        <f t="shared" si="805"/>
        <v>11</v>
      </c>
      <c r="M2302" s="5">
        <f t="shared" si="806"/>
        <v>2023</v>
      </c>
      <c r="N2302" s="96">
        <v>105</v>
      </c>
      <c r="O2302" s="6">
        <f t="shared" si="808"/>
        <v>-105</v>
      </c>
      <c r="P2302" s="6">
        <f t="shared" si="787"/>
        <v>0</v>
      </c>
      <c r="Q2302" s="7">
        <f t="shared" si="801"/>
        <v>3841852.4500000025</v>
      </c>
      <c r="R2302" s="44" t="str">
        <f>VLOOKUP(F2302,'Set up'!$A$2:$E$48,5,FALSE)</f>
        <v>Cash</v>
      </c>
      <c r="S2302" s="1" t="s">
        <v>2150</v>
      </c>
    </row>
    <row r="2303" spans="1:19" ht="15" hidden="1" customHeight="1" x14ac:dyDescent="0.3">
      <c r="A2303" s="4">
        <v>45239</v>
      </c>
      <c r="B2303" s="5">
        <f t="shared" si="802"/>
        <v>11</v>
      </c>
      <c r="C2303" s="5">
        <f t="shared" si="803"/>
        <v>2023</v>
      </c>
      <c r="D2303" s="88" t="s">
        <v>2229</v>
      </c>
      <c r="E2303" s="5" t="str">
        <f>VLOOKUP(F2303,'Set up'!$A$2:$C$48,2,FALSE)</f>
        <v>C00000014</v>
      </c>
      <c r="F2303" s="1" t="s">
        <v>263</v>
      </c>
      <c r="G2303" s="99" t="s">
        <v>1887</v>
      </c>
      <c r="H2303" s="5">
        <v>2</v>
      </c>
      <c r="I2303" s="5" t="str">
        <f>VLOOKUP(F2303,'Set up'!$A$2:$C$48,3,FALSE)</f>
        <v>Cash</v>
      </c>
      <c r="J2303" s="5">
        <f>VLOOKUP(F2303,'Set up'!$A$2:$D$48,4,FALSE)</f>
        <v>0</v>
      </c>
      <c r="K2303" s="4">
        <f t="shared" si="804"/>
        <v>45239</v>
      </c>
      <c r="L2303" s="5">
        <f t="shared" si="805"/>
        <v>11</v>
      </c>
      <c r="M2303" s="5">
        <f t="shared" si="806"/>
        <v>2023</v>
      </c>
      <c r="N2303" s="96">
        <v>320</v>
      </c>
      <c r="O2303" s="6">
        <f t="shared" si="808"/>
        <v>-320</v>
      </c>
      <c r="P2303" s="6">
        <f t="shared" si="787"/>
        <v>0</v>
      </c>
      <c r="Q2303" s="7">
        <f t="shared" si="801"/>
        <v>3842172.4500000025</v>
      </c>
      <c r="R2303" s="44" t="str">
        <f>VLOOKUP(F2303,'Set up'!$A$2:$E$48,5,FALSE)</f>
        <v>Cash</v>
      </c>
      <c r="S2303" s="1" t="s">
        <v>2150</v>
      </c>
    </row>
    <row r="2304" spans="1:19" ht="15" hidden="1" customHeight="1" x14ac:dyDescent="0.3">
      <c r="A2304" s="4">
        <v>45239</v>
      </c>
      <c r="B2304" s="5">
        <f t="shared" si="802"/>
        <v>11</v>
      </c>
      <c r="C2304" s="5">
        <f t="shared" si="803"/>
        <v>2023</v>
      </c>
      <c r="D2304" s="88" t="s">
        <v>2229</v>
      </c>
      <c r="E2304" s="5" t="str">
        <f>VLOOKUP(F2304,'Set up'!$A$2:$C$48,2,FALSE)</f>
        <v>C00000014</v>
      </c>
      <c r="F2304" s="1" t="s">
        <v>263</v>
      </c>
      <c r="G2304" s="99" t="s">
        <v>1716</v>
      </c>
      <c r="H2304" s="5">
        <v>1</v>
      </c>
      <c r="I2304" s="5" t="str">
        <f>VLOOKUP(F2304,'Set up'!$A$2:$C$48,3,FALSE)</f>
        <v>Cash</v>
      </c>
      <c r="J2304" s="5">
        <f>VLOOKUP(F2304,'Set up'!$A$2:$D$48,4,FALSE)</f>
        <v>0</v>
      </c>
      <c r="K2304" s="4">
        <f t="shared" si="804"/>
        <v>45239</v>
      </c>
      <c r="L2304" s="5">
        <f t="shared" si="805"/>
        <v>11</v>
      </c>
      <c r="M2304" s="5">
        <f t="shared" si="806"/>
        <v>2023</v>
      </c>
      <c r="N2304" s="96">
        <v>165</v>
      </c>
      <c r="O2304" s="6">
        <f t="shared" si="808"/>
        <v>-165</v>
      </c>
      <c r="P2304" s="6">
        <f t="shared" si="787"/>
        <v>0</v>
      </c>
      <c r="Q2304" s="7">
        <f t="shared" si="801"/>
        <v>3842337.4500000025</v>
      </c>
      <c r="R2304" s="44" t="str">
        <f>VLOOKUP(F2304,'Set up'!$A$2:$E$48,5,FALSE)</f>
        <v>Cash</v>
      </c>
      <c r="S2304" s="1" t="s">
        <v>2150</v>
      </c>
    </row>
    <row r="2305" spans="1:19" ht="15" hidden="1" customHeight="1" x14ac:dyDescent="0.3">
      <c r="A2305" s="4">
        <v>45239</v>
      </c>
      <c r="B2305" s="5">
        <f t="shared" si="802"/>
        <v>11</v>
      </c>
      <c r="C2305" s="5">
        <f t="shared" si="803"/>
        <v>2023</v>
      </c>
      <c r="D2305" s="88" t="s">
        <v>2229</v>
      </c>
      <c r="E2305" s="5" t="str">
        <f>VLOOKUP(F2305,'Set up'!$A$2:$C$48,2,FALSE)</f>
        <v>C00000014</v>
      </c>
      <c r="F2305" s="1" t="s">
        <v>263</v>
      </c>
      <c r="G2305" s="99" t="s">
        <v>1406</v>
      </c>
      <c r="H2305" s="5">
        <v>4</v>
      </c>
      <c r="I2305" s="5" t="str">
        <f>VLOOKUP(F2305,'Set up'!$A$2:$C$48,3,FALSE)</f>
        <v>Cash</v>
      </c>
      <c r="J2305" s="5">
        <f>VLOOKUP(F2305,'Set up'!$A$2:$D$48,4,FALSE)</f>
        <v>0</v>
      </c>
      <c r="K2305" s="4">
        <f t="shared" si="804"/>
        <v>45239</v>
      </c>
      <c r="L2305" s="5">
        <f t="shared" si="805"/>
        <v>11</v>
      </c>
      <c r="M2305" s="5">
        <f t="shared" si="806"/>
        <v>2023</v>
      </c>
      <c r="N2305" s="96">
        <v>192</v>
      </c>
      <c r="O2305" s="6">
        <f t="shared" si="808"/>
        <v>-192</v>
      </c>
      <c r="P2305" s="6">
        <f t="shared" si="787"/>
        <v>0</v>
      </c>
      <c r="Q2305" s="7">
        <f t="shared" si="801"/>
        <v>3842529.4500000025</v>
      </c>
      <c r="R2305" s="44" t="str">
        <f>VLOOKUP(F2305,'Set up'!$A$2:$E$48,5,FALSE)</f>
        <v>Cash</v>
      </c>
      <c r="S2305" s="1" t="s">
        <v>2150</v>
      </c>
    </row>
    <row r="2306" spans="1:19" ht="15" customHeight="1" x14ac:dyDescent="0.3">
      <c r="A2306" s="4">
        <v>45240</v>
      </c>
      <c r="B2306" s="5">
        <f t="shared" si="802"/>
        <v>11</v>
      </c>
      <c r="C2306" s="5">
        <f t="shared" si="803"/>
        <v>2023</v>
      </c>
      <c r="D2306" s="88" t="s">
        <v>2230</v>
      </c>
      <c r="E2306" s="5" t="str">
        <f>VLOOKUP(F2306,'Set up'!$A$2:$C$48,2,FALSE)</f>
        <v>C00000042</v>
      </c>
      <c r="F2306" s="1" t="s">
        <v>2014</v>
      </c>
      <c r="G2306" s="99" t="s">
        <v>1074</v>
      </c>
      <c r="H2306" s="5">
        <v>1</v>
      </c>
      <c r="I2306" s="5" t="str">
        <f>VLOOKUP(F2306,'Set up'!$A$2:$C$48,3,FALSE)</f>
        <v>Cash</v>
      </c>
      <c r="J2306" s="5">
        <f>VLOOKUP(F2306,'Set up'!$A$2:$D$48,4,FALSE)</f>
        <v>0</v>
      </c>
      <c r="K2306" s="4">
        <f t="shared" si="804"/>
        <v>45240</v>
      </c>
      <c r="L2306" s="5">
        <f t="shared" si="805"/>
        <v>11</v>
      </c>
      <c r="M2306" s="5">
        <f t="shared" si="806"/>
        <v>2023</v>
      </c>
      <c r="N2306" s="96">
        <v>1000</v>
      </c>
      <c r="P2306" s="6">
        <f t="shared" si="787"/>
        <v>1000</v>
      </c>
      <c r="Q2306" s="7">
        <f t="shared" si="801"/>
        <v>3843529.4500000025</v>
      </c>
      <c r="R2306" s="44" t="str">
        <f>VLOOKUP(F2306,'Set up'!$A$2:$E$48,5,FALSE)</f>
        <v>Trsf</v>
      </c>
    </row>
    <row r="2307" spans="1:19" ht="15" customHeight="1" x14ac:dyDescent="0.3">
      <c r="A2307" s="4">
        <v>45240</v>
      </c>
      <c r="B2307" s="5">
        <f t="shared" si="802"/>
        <v>11</v>
      </c>
      <c r="C2307" s="5">
        <f t="shared" si="803"/>
        <v>2023</v>
      </c>
      <c r="D2307" s="88" t="s">
        <v>2231</v>
      </c>
      <c r="E2307" s="5" t="str">
        <f>VLOOKUP(F2307,'Set up'!$A$2:$C$48,2,FALSE)</f>
        <v>C00000042</v>
      </c>
      <c r="F2307" s="1" t="s">
        <v>2014</v>
      </c>
      <c r="G2307" s="99" t="s">
        <v>1111</v>
      </c>
      <c r="H2307" s="5">
        <v>2</v>
      </c>
      <c r="I2307" s="5" t="str">
        <f>VLOOKUP(F2307,'Set up'!$A$2:$C$48,3,FALSE)</f>
        <v>Cash</v>
      </c>
      <c r="J2307" s="5">
        <f>VLOOKUP(F2307,'Set up'!$A$2:$D$48,4,FALSE)</f>
        <v>0</v>
      </c>
      <c r="K2307" s="4">
        <f t="shared" si="804"/>
        <v>45240</v>
      </c>
      <c r="L2307" s="5">
        <f t="shared" si="805"/>
        <v>11</v>
      </c>
      <c r="M2307" s="5">
        <f t="shared" si="806"/>
        <v>2023</v>
      </c>
      <c r="N2307" s="96">
        <v>125</v>
      </c>
      <c r="P2307" s="6">
        <f t="shared" si="787"/>
        <v>125</v>
      </c>
      <c r="Q2307" s="7">
        <f t="shared" si="801"/>
        <v>3843654.4500000025</v>
      </c>
      <c r="R2307" s="44" t="str">
        <f>VLOOKUP(F2307,'Set up'!$A$2:$E$48,5,FALSE)</f>
        <v>Trsf</v>
      </c>
    </row>
    <row r="2308" spans="1:19" ht="15" customHeight="1" x14ac:dyDescent="0.3">
      <c r="A2308" s="4">
        <v>45245</v>
      </c>
      <c r="B2308" s="5">
        <f t="shared" si="802"/>
        <v>11</v>
      </c>
      <c r="C2308" s="5">
        <f t="shared" si="803"/>
        <v>2023</v>
      </c>
      <c r="D2308" s="88" t="s">
        <v>2232</v>
      </c>
      <c r="E2308" s="5" t="str">
        <f>VLOOKUP(F2308,'Set up'!$A$2:$C$48,2,FALSE)</f>
        <v>C00000042</v>
      </c>
      <c r="F2308" s="1" t="s">
        <v>2014</v>
      </c>
      <c r="G2308" s="99" t="s">
        <v>1734</v>
      </c>
      <c r="H2308" s="5">
        <v>2</v>
      </c>
      <c r="I2308" s="5" t="str">
        <f>VLOOKUP(F2308,'Set up'!$A$2:$C$48,3,FALSE)</f>
        <v>Cash</v>
      </c>
      <c r="J2308" s="5">
        <f>VLOOKUP(F2308,'Set up'!$A$2:$D$48,4,FALSE)</f>
        <v>0</v>
      </c>
      <c r="K2308" s="4">
        <f t="shared" si="804"/>
        <v>45245</v>
      </c>
      <c r="L2308" s="5">
        <f t="shared" si="805"/>
        <v>11</v>
      </c>
      <c r="M2308" s="5">
        <f t="shared" si="806"/>
        <v>2023</v>
      </c>
      <c r="N2308" s="96">
        <v>3212</v>
      </c>
      <c r="P2308" s="6">
        <f t="shared" si="787"/>
        <v>3212</v>
      </c>
      <c r="Q2308" s="7">
        <f t="shared" si="801"/>
        <v>3846866.4500000025</v>
      </c>
      <c r="R2308" s="44" t="str">
        <f>VLOOKUP(F2308,'Set up'!$A$2:$E$48,5,FALSE)</f>
        <v>Trsf</v>
      </c>
    </row>
    <row r="2309" spans="1:19" ht="15" customHeight="1" x14ac:dyDescent="0.3">
      <c r="A2309" s="4">
        <v>45245</v>
      </c>
      <c r="B2309" s="5">
        <f t="shared" si="802"/>
        <v>11</v>
      </c>
      <c r="C2309" s="5">
        <f t="shared" si="803"/>
        <v>2023</v>
      </c>
      <c r="D2309" s="88" t="s">
        <v>2232</v>
      </c>
      <c r="E2309" s="5" t="str">
        <f>VLOOKUP(F2309,'Set up'!$A$2:$C$48,2,FALSE)</f>
        <v>C00000042</v>
      </c>
      <c r="F2309" s="1" t="s">
        <v>2014</v>
      </c>
      <c r="G2309" s="99" t="s">
        <v>2110</v>
      </c>
      <c r="H2309" s="5">
        <v>6</v>
      </c>
      <c r="I2309" s="5" t="str">
        <f>VLOOKUP(F2309,'Set up'!$A$2:$C$48,3,FALSE)</f>
        <v>Cash</v>
      </c>
      <c r="J2309" s="5">
        <f>VLOOKUP(F2309,'Set up'!$A$2:$D$48,4,FALSE)</f>
        <v>0</v>
      </c>
      <c r="K2309" s="4">
        <f t="shared" si="804"/>
        <v>45245</v>
      </c>
      <c r="L2309" s="5">
        <f t="shared" si="805"/>
        <v>11</v>
      </c>
      <c r="M2309" s="5">
        <f t="shared" si="806"/>
        <v>2023</v>
      </c>
      <c r="N2309" s="96">
        <v>1287.5999999999999</v>
      </c>
      <c r="P2309" s="6">
        <f t="shared" si="787"/>
        <v>1287.5999999999999</v>
      </c>
      <c r="Q2309" s="7">
        <f t="shared" si="801"/>
        <v>3848154.0500000026</v>
      </c>
      <c r="R2309" s="44" t="str">
        <f>VLOOKUP(F2309,'Set up'!$A$2:$E$48,5,FALSE)</f>
        <v>Trsf</v>
      </c>
    </row>
    <row r="2310" spans="1:19" ht="15" customHeight="1" x14ac:dyDescent="0.3">
      <c r="A2310" s="4">
        <v>45245</v>
      </c>
      <c r="B2310" s="5">
        <f t="shared" si="802"/>
        <v>11</v>
      </c>
      <c r="C2310" s="5">
        <f t="shared" si="803"/>
        <v>2023</v>
      </c>
      <c r="D2310" s="88" t="s">
        <v>2232</v>
      </c>
      <c r="E2310" s="5" t="str">
        <f>VLOOKUP(F2310,'Set up'!$A$2:$C$48,2,FALSE)</f>
        <v>C00000042</v>
      </c>
      <c r="F2310" s="1" t="s">
        <v>2014</v>
      </c>
      <c r="G2310" s="99" t="s">
        <v>1923</v>
      </c>
      <c r="H2310" s="5">
        <v>3</v>
      </c>
      <c r="I2310" s="5" t="str">
        <f>VLOOKUP(F2310,'Set up'!$A$2:$C$48,3,FALSE)</f>
        <v>Cash</v>
      </c>
      <c r="J2310" s="5">
        <f>VLOOKUP(F2310,'Set up'!$A$2:$D$48,4,FALSE)</f>
        <v>0</v>
      </c>
      <c r="K2310" s="4">
        <f t="shared" si="804"/>
        <v>45245</v>
      </c>
      <c r="L2310" s="5">
        <f t="shared" si="805"/>
        <v>11</v>
      </c>
      <c r="M2310" s="5">
        <f t="shared" si="806"/>
        <v>2023</v>
      </c>
      <c r="N2310" s="96">
        <v>702</v>
      </c>
      <c r="P2310" s="6">
        <f t="shared" si="787"/>
        <v>702</v>
      </c>
      <c r="Q2310" s="7">
        <f t="shared" si="801"/>
        <v>3848856.0500000026</v>
      </c>
      <c r="R2310" s="44" t="str">
        <f>VLOOKUP(F2310,'Set up'!$A$2:$E$48,5,FALSE)</f>
        <v>Trsf</v>
      </c>
    </row>
    <row r="2311" spans="1:19" ht="15" customHeight="1" x14ac:dyDescent="0.3">
      <c r="A2311" s="4">
        <v>45245</v>
      </c>
      <c r="B2311" s="5">
        <f t="shared" si="802"/>
        <v>11</v>
      </c>
      <c r="C2311" s="5">
        <f t="shared" si="803"/>
        <v>2023</v>
      </c>
      <c r="D2311" s="88" t="s">
        <v>2232</v>
      </c>
      <c r="E2311" s="5" t="str">
        <f>VLOOKUP(F2311,'Set up'!$A$2:$C$48,2,FALSE)</f>
        <v>C00000042</v>
      </c>
      <c r="F2311" s="1" t="s">
        <v>2014</v>
      </c>
      <c r="G2311" s="99" t="s">
        <v>1074</v>
      </c>
      <c r="H2311" s="5">
        <v>1</v>
      </c>
      <c r="I2311" s="5" t="str">
        <f>VLOOKUP(F2311,'Set up'!$A$2:$C$48,3,FALSE)</f>
        <v>Cash</v>
      </c>
      <c r="J2311" s="5">
        <f>VLOOKUP(F2311,'Set up'!$A$2:$D$48,4,FALSE)</f>
        <v>0</v>
      </c>
      <c r="K2311" s="4">
        <f t="shared" si="804"/>
        <v>45245</v>
      </c>
      <c r="L2311" s="5">
        <f t="shared" si="805"/>
        <v>11</v>
      </c>
      <c r="M2311" s="5">
        <f t="shared" si="806"/>
        <v>2023</v>
      </c>
      <c r="N2311" s="96">
        <v>1000</v>
      </c>
      <c r="P2311" s="6">
        <f t="shared" si="787"/>
        <v>1000</v>
      </c>
      <c r="Q2311" s="7">
        <f t="shared" si="801"/>
        <v>3849856.0500000026</v>
      </c>
      <c r="R2311" s="44" t="str">
        <f>VLOOKUP(F2311,'Set up'!$A$2:$E$48,5,FALSE)</f>
        <v>Trsf</v>
      </c>
    </row>
    <row r="2312" spans="1:19" ht="15" hidden="1" customHeight="1" x14ac:dyDescent="0.3">
      <c r="A2312" s="4">
        <v>45245</v>
      </c>
      <c r="B2312" s="5">
        <f t="shared" si="802"/>
        <v>11</v>
      </c>
      <c r="C2312" s="5">
        <f t="shared" si="803"/>
        <v>2023</v>
      </c>
      <c r="D2312" s="88" t="s">
        <v>2233</v>
      </c>
      <c r="E2312" s="5" t="str">
        <f>VLOOKUP(F2312,'Set up'!$A$2:$C$48,2,FALSE)</f>
        <v>C00000014</v>
      </c>
      <c r="F2312" s="1" t="s">
        <v>263</v>
      </c>
      <c r="G2312" s="99" t="s">
        <v>2112</v>
      </c>
      <c r="H2312" s="5">
        <v>2</v>
      </c>
      <c r="I2312" s="5" t="str">
        <f>VLOOKUP(F2312,'Set up'!$A$2:$C$48,3,FALSE)</f>
        <v>Cash</v>
      </c>
      <c r="J2312" s="5">
        <f>VLOOKUP(F2312,'Set up'!$A$2:$D$48,4,FALSE)</f>
        <v>0</v>
      </c>
      <c r="K2312" s="4">
        <f t="shared" si="804"/>
        <v>45245</v>
      </c>
      <c r="L2312" s="5">
        <f t="shared" si="805"/>
        <v>11</v>
      </c>
      <c r="M2312" s="5">
        <f t="shared" si="806"/>
        <v>2023</v>
      </c>
      <c r="N2312" s="96">
        <v>567.6</v>
      </c>
      <c r="O2312" s="6">
        <f t="shared" ref="O2312" si="809">-N2312</f>
        <v>-567.6</v>
      </c>
      <c r="P2312" s="6">
        <f t="shared" si="787"/>
        <v>0</v>
      </c>
      <c r="Q2312" s="7">
        <f t="shared" si="801"/>
        <v>3850423.6500000027</v>
      </c>
      <c r="R2312" s="44" t="str">
        <f>VLOOKUP(F2312,'Set up'!$A$2:$E$48,5,FALSE)</f>
        <v>Cash</v>
      </c>
      <c r="S2312" s="1" t="s">
        <v>2152</v>
      </c>
    </row>
    <row r="2313" spans="1:19" ht="15" hidden="1" customHeight="1" x14ac:dyDescent="0.3">
      <c r="A2313" s="4">
        <v>45245</v>
      </c>
      <c r="B2313" s="5">
        <f t="shared" si="802"/>
        <v>11</v>
      </c>
      <c r="C2313" s="5">
        <f t="shared" si="803"/>
        <v>2023</v>
      </c>
      <c r="D2313" s="88" t="s">
        <v>2234</v>
      </c>
      <c r="E2313" s="5" t="str">
        <f>VLOOKUP(F2313,'Set up'!$A$2:$C$48,2,FALSE)</f>
        <v>C00000010</v>
      </c>
      <c r="F2313" s="1" t="s">
        <v>62</v>
      </c>
      <c r="G2313" s="99" t="s">
        <v>1179</v>
      </c>
      <c r="H2313" s="5">
        <v>5</v>
      </c>
      <c r="I2313" s="5">
        <f>VLOOKUP(F2313,'Set up'!$A$2:$C$48,3,FALSE)</f>
        <v>120</v>
      </c>
      <c r="J2313" s="5">
        <f>VLOOKUP(F2313,'Set up'!$A$2:$D$48,4,FALSE)</f>
        <v>120</v>
      </c>
      <c r="K2313" s="4">
        <f t="shared" si="804"/>
        <v>45365</v>
      </c>
      <c r="L2313" s="5">
        <f t="shared" si="805"/>
        <v>3</v>
      </c>
      <c r="M2313" s="5">
        <f t="shared" si="806"/>
        <v>2024</v>
      </c>
      <c r="N2313" s="96">
        <v>8030</v>
      </c>
      <c r="P2313" s="6">
        <f t="shared" si="787"/>
        <v>8030</v>
      </c>
      <c r="Q2313" s="7">
        <f t="shared" si="801"/>
        <v>3858453.6500000027</v>
      </c>
      <c r="R2313" s="44" t="str">
        <f>VLOOKUP(F2313,'Set up'!$A$2:$E$48,5,FALSE)</f>
        <v>Trsf</v>
      </c>
    </row>
    <row r="2314" spans="1:19" ht="15" hidden="1" customHeight="1" x14ac:dyDescent="0.3">
      <c r="A2314" s="4">
        <v>45245</v>
      </c>
      <c r="B2314" s="5">
        <f t="shared" si="802"/>
        <v>11</v>
      </c>
      <c r="C2314" s="5">
        <f t="shared" si="803"/>
        <v>2023</v>
      </c>
      <c r="D2314" s="88" t="s">
        <v>2234</v>
      </c>
      <c r="E2314" s="5" t="str">
        <f>VLOOKUP(F2314,'Set up'!$A$2:$C$48,2,FALSE)</f>
        <v>C00000010</v>
      </c>
      <c r="F2314" s="1" t="s">
        <v>62</v>
      </c>
      <c r="G2314" s="99" t="s">
        <v>2110</v>
      </c>
      <c r="H2314" s="5">
        <v>10</v>
      </c>
      <c r="I2314" s="5">
        <f>VLOOKUP(F2314,'Set up'!$A$2:$C$48,3,FALSE)</f>
        <v>120</v>
      </c>
      <c r="J2314" s="5">
        <f>VLOOKUP(F2314,'Set up'!$A$2:$D$48,4,FALSE)</f>
        <v>120</v>
      </c>
      <c r="K2314" s="4">
        <f t="shared" si="804"/>
        <v>45365</v>
      </c>
      <c r="L2314" s="5">
        <f t="shared" si="805"/>
        <v>3</v>
      </c>
      <c r="M2314" s="5">
        <f t="shared" si="806"/>
        <v>2024</v>
      </c>
      <c r="N2314" s="96">
        <v>2146</v>
      </c>
      <c r="P2314" s="6">
        <f t="shared" si="787"/>
        <v>2146</v>
      </c>
      <c r="Q2314" s="7">
        <f t="shared" si="801"/>
        <v>3860599.6500000027</v>
      </c>
      <c r="R2314" s="44" t="str">
        <f>VLOOKUP(F2314,'Set up'!$A$2:$E$48,5,FALSE)</f>
        <v>Trsf</v>
      </c>
    </row>
    <row r="2315" spans="1:19" ht="15" hidden="1" customHeight="1" x14ac:dyDescent="0.3">
      <c r="A2315" s="4">
        <v>45245</v>
      </c>
      <c r="B2315" s="5">
        <f t="shared" si="802"/>
        <v>11</v>
      </c>
      <c r="C2315" s="5">
        <f t="shared" si="803"/>
        <v>2023</v>
      </c>
      <c r="D2315" s="88" t="s">
        <v>2234</v>
      </c>
      <c r="E2315" s="5" t="str">
        <f>VLOOKUP(F2315,'Set up'!$A$2:$C$48,2,FALSE)</f>
        <v>C00000010</v>
      </c>
      <c r="F2315" s="1" t="s">
        <v>62</v>
      </c>
      <c r="G2315" s="99" t="s">
        <v>792</v>
      </c>
      <c r="H2315" s="5">
        <v>10</v>
      </c>
      <c r="I2315" s="5">
        <f>VLOOKUP(F2315,'Set up'!$A$2:$C$48,3,FALSE)</f>
        <v>120</v>
      </c>
      <c r="J2315" s="5">
        <f>VLOOKUP(F2315,'Set up'!$A$2:$D$48,4,FALSE)</f>
        <v>120</v>
      </c>
      <c r="K2315" s="4">
        <f t="shared" si="804"/>
        <v>45365</v>
      </c>
      <c r="L2315" s="5">
        <f t="shared" si="805"/>
        <v>3</v>
      </c>
      <c r="M2315" s="5">
        <f t="shared" si="806"/>
        <v>2024</v>
      </c>
      <c r="N2315" s="96">
        <v>575</v>
      </c>
      <c r="P2315" s="6">
        <f t="shared" si="787"/>
        <v>575</v>
      </c>
      <c r="Q2315" s="7">
        <f t="shared" si="801"/>
        <v>3861174.6500000027</v>
      </c>
      <c r="R2315" s="44" t="str">
        <f>VLOOKUP(F2315,'Set up'!$A$2:$E$48,5,FALSE)</f>
        <v>Trsf</v>
      </c>
    </row>
    <row r="2316" spans="1:19" ht="15" hidden="1" customHeight="1" x14ac:dyDescent="0.3">
      <c r="A2316" s="4">
        <v>45245</v>
      </c>
      <c r="B2316" s="5">
        <f t="shared" si="802"/>
        <v>11</v>
      </c>
      <c r="C2316" s="5">
        <f t="shared" si="803"/>
        <v>2023</v>
      </c>
      <c r="D2316" s="88" t="s">
        <v>2234</v>
      </c>
      <c r="E2316" s="5" t="str">
        <f>VLOOKUP(F2316,'Set up'!$A$2:$C$48,2,FALSE)</f>
        <v>C00000010</v>
      </c>
      <c r="F2316" s="1" t="s">
        <v>62</v>
      </c>
      <c r="G2316" s="99" t="s">
        <v>46</v>
      </c>
      <c r="H2316" s="5">
        <v>8</v>
      </c>
      <c r="I2316" s="5">
        <f>VLOOKUP(F2316,'Set up'!$A$2:$C$48,3,FALSE)</f>
        <v>120</v>
      </c>
      <c r="J2316" s="5">
        <f>VLOOKUP(F2316,'Set up'!$A$2:$D$48,4,FALSE)</f>
        <v>120</v>
      </c>
      <c r="K2316" s="4">
        <f t="shared" si="804"/>
        <v>45365</v>
      </c>
      <c r="L2316" s="5">
        <f t="shared" si="805"/>
        <v>3</v>
      </c>
      <c r="M2316" s="5">
        <f t="shared" si="806"/>
        <v>2024</v>
      </c>
      <c r="N2316" s="96">
        <v>840</v>
      </c>
      <c r="P2316" s="6">
        <f t="shared" si="787"/>
        <v>840</v>
      </c>
      <c r="Q2316" s="7">
        <f t="shared" si="801"/>
        <v>3862014.6500000027</v>
      </c>
      <c r="R2316" s="44" t="str">
        <f>VLOOKUP(F2316,'Set up'!$A$2:$E$48,5,FALSE)</f>
        <v>Trsf</v>
      </c>
    </row>
    <row r="2317" spans="1:19" ht="15" hidden="1" customHeight="1" x14ac:dyDescent="0.3">
      <c r="A2317" s="4">
        <v>45245</v>
      </c>
      <c r="B2317" s="5">
        <f t="shared" si="802"/>
        <v>11</v>
      </c>
      <c r="C2317" s="5">
        <f t="shared" si="803"/>
        <v>2023</v>
      </c>
      <c r="D2317" s="88" t="s">
        <v>2234</v>
      </c>
      <c r="E2317" s="5" t="str">
        <f>VLOOKUP(F2317,'Set up'!$A$2:$C$48,2,FALSE)</f>
        <v>C00000010</v>
      </c>
      <c r="F2317" s="1" t="s">
        <v>62</v>
      </c>
      <c r="G2317" s="99" t="s">
        <v>945</v>
      </c>
      <c r="H2317" s="5">
        <v>1</v>
      </c>
      <c r="I2317" s="5">
        <f>VLOOKUP(F2317,'Set up'!$A$2:$C$48,3,FALSE)</f>
        <v>120</v>
      </c>
      <c r="J2317" s="5">
        <f>VLOOKUP(F2317,'Set up'!$A$2:$D$48,4,FALSE)</f>
        <v>120</v>
      </c>
      <c r="K2317" s="4">
        <f t="shared" si="804"/>
        <v>45365</v>
      </c>
      <c r="L2317" s="5">
        <f t="shared" si="805"/>
        <v>3</v>
      </c>
      <c r="M2317" s="5">
        <f t="shared" si="806"/>
        <v>2024</v>
      </c>
      <c r="N2317" s="96">
        <v>420</v>
      </c>
      <c r="P2317" s="6">
        <f t="shared" si="787"/>
        <v>420</v>
      </c>
      <c r="Q2317" s="7">
        <f t="shared" si="801"/>
        <v>3862434.6500000027</v>
      </c>
      <c r="R2317" s="44" t="str">
        <f>VLOOKUP(F2317,'Set up'!$A$2:$E$48,5,FALSE)</f>
        <v>Trsf</v>
      </c>
    </row>
    <row r="2318" spans="1:19" ht="15" hidden="1" customHeight="1" x14ac:dyDescent="0.3">
      <c r="A2318" s="4">
        <v>45245</v>
      </c>
      <c r="B2318" s="5">
        <f t="shared" si="802"/>
        <v>11</v>
      </c>
      <c r="C2318" s="5">
        <f t="shared" si="803"/>
        <v>2023</v>
      </c>
      <c r="D2318" s="88" t="s">
        <v>2234</v>
      </c>
      <c r="E2318" s="5" t="str">
        <f>VLOOKUP(F2318,'Set up'!$A$2:$C$48,2,FALSE)</f>
        <v>C00000010</v>
      </c>
      <c r="F2318" s="1" t="s">
        <v>62</v>
      </c>
      <c r="G2318" s="99" t="s">
        <v>615</v>
      </c>
      <c r="H2318" s="5">
        <v>1</v>
      </c>
      <c r="I2318" s="5">
        <f>VLOOKUP(F2318,'Set up'!$A$2:$C$48,3,FALSE)</f>
        <v>120</v>
      </c>
      <c r="J2318" s="5">
        <f>VLOOKUP(F2318,'Set up'!$A$2:$D$48,4,FALSE)</f>
        <v>120</v>
      </c>
      <c r="K2318" s="4">
        <f t="shared" si="804"/>
        <v>45365</v>
      </c>
      <c r="L2318" s="5">
        <f t="shared" si="805"/>
        <v>3</v>
      </c>
      <c r="M2318" s="5">
        <f t="shared" si="806"/>
        <v>2024</v>
      </c>
      <c r="N2318" s="96">
        <v>395</v>
      </c>
      <c r="P2318" s="6">
        <f t="shared" si="787"/>
        <v>395</v>
      </c>
      <c r="Q2318" s="7">
        <f t="shared" si="801"/>
        <v>3862829.6500000027</v>
      </c>
      <c r="R2318" s="44" t="str">
        <f>VLOOKUP(F2318,'Set up'!$A$2:$E$48,5,FALSE)</f>
        <v>Trsf</v>
      </c>
    </row>
    <row r="2319" spans="1:19" ht="15" hidden="1" customHeight="1" x14ac:dyDescent="0.3">
      <c r="A2319" s="4">
        <v>45245</v>
      </c>
      <c r="B2319" s="5">
        <f t="shared" si="802"/>
        <v>11</v>
      </c>
      <c r="C2319" s="5">
        <f t="shared" si="803"/>
        <v>2023</v>
      </c>
      <c r="D2319" s="88" t="s">
        <v>2235</v>
      </c>
      <c r="E2319" s="5" t="str">
        <f>VLOOKUP(F2319,'Set up'!$A$2:$C$48,2,FALSE)</f>
        <v>C00000010</v>
      </c>
      <c r="F2319" s="1" t="s">
        <v>62</v>
      </c>
      <c r="G2319" s="99" t="s">
        <v>2115</v>
      </c>
      <c r="H2319" s="5">
        <v>1</v>
      </c>
      <c r="I2319" s="5">
        <f>VLOOKUP(F2319,'Set up'!$A$2:$C$48,3,FALSE)</f>
        <v>120</v>
      </c>
      <c r="J2319" s="5">
        <f>VLOOKUP(F2319,'Set up'!$A$2:$D$48,4,FALSE)</f>
        <v>120</v>
      </c>
      <c r="K2319" s="4">
        <f t="shared" si="804"/>
        <v>45365</v>
      </c>
      <c r="L2319" s="5">
        <f t="shared" si="805"/>
        <v>3</v>
      </c>
      <c r="M2319" s="5">
        <f t="shared" si="806"/>
        <v>2024</v>
      </c>
      <c r="N2319" s="96">
        <v>1597.5</v>
      </c>
      <c r="P2319" s="6">
        <f t="shared" si="787"/>
        <v>1597.5</v>
      </c>
      <c r="Q2319" s="7">
        <f t="shared" si="801"/>
        <v>3864427.1500000027</v>
      </c>
      <c r="R2319" s="44" t="str">
        <f>VLOOKUP(F2319,'Set up'!$A$2:$E$48,5,FALSE)</f>
        <v>Trsf</v>
      </c>
    </row>
    <row r="2320" spans="1:19" ht="15" hidden="1" customHeight="1" x14ac:dyDescent="0.3">
      <c r="A2320" s="4">
        <v>45245</v>
      </c>
      <c r="B2320" s="5">
        <f t="shared" si="802"/>
        <v>11</v>
      </c>
      <c r="C2320" s="5">
        <f t="shared" si="803"/>
        <v>2023</v>
      </c>
      <c r="D2320" s="88" t="s">
        <v>2236</v>
      </c>
      <c r="E2320" s="5" t="str">
        <f>VLOOKUP(F2320,'Set up'!$A$2:$C$48,2,FALSE)</f>
        <v>C00000019</v>
      </c>
      <c r="F2320" s="1" t="s">
        <v>401</v>
      </c>
      <c r="G2320" s="99" t="s">
        <v>95</v>
      </c>
      <c r="H2320" s="5">
        <v>1</v>
      </c>
      <c r="I2320" s="5" t="str">
        <f>VLOOKUP(F2320,'Set up'!$A$2:$C$48,3,FALSE)</f>
        <v>Cash</v>
      </c>
      <c r="J2320" s="5">
        <f>VLOOKUP(F2320,'Set up'!$A$2:$D$48,4,FALSE)</f>
        <v>0</v>
      </c>
      <c r="K2320" s="4">
        <f t="shared" si="804"/>
        <v>45245</v>
      </c>
      <c r="L2320" s="5">
        <f t="shared" si="805"/>
        <v>11</v>
      </c>
      <c r="M2320" s="5">
        <f t="shared" si="806"/>
        <v>2023</v>
      </c>
      <c r="N2320" s="96">
        <v>1738</v>
      </c>
      <c r="P2320" s="6">
        <f t="shared" si="787"/>
        <v>1738</v>
      </c>
      <c r="Q2320" s="7">
        <f t="shared" si="801"/>
        <v>3866165.1500000027</v>
      </c>
      <c r="R2320" s="44" t="str">
        <f>VLOOKUP(F2320,'Set up'!$A$2:$E$48,5,FALSE)</f>
        <v>Trsf</v>
      </c>
    </row>
    <row r="2321" spans="1:19" ht="15" hidden="1" customHeight="1" x14ac:dyDescent="0.3">
      <c r="A2321" s="4">
        <v>45245</v>
      </c>
      <c r="B2321" s="5">
        <f t="shared" si="802"/>
        <v>11</v>
      </c>
      <c r="C2321" s="5">
        <f t="shared" si="803"/>
        <v>2023</v>
      </c>
      <c r="D2321" s="88" t="s">
        <v>2236</v>
      </c>
      <c r="E2321" s="5" t="str">
        <f>VLOOKUP(F2321,'Set up'!$A$2:$C$48,2,FALSE)</f>
        <v>C00000019</v>
      </c>
      <c r="F2321" s="1" t="s">
        <v>401</v>
      </c>
      <c r="G2321" s="99" t="s">
        <v>1412</v>
      </c>
      <c r="H2321" s="5">
        <v>1</v>
      </c>
      <c r="I2321" s="5" t="str">
        <f>VLOOKUP(F2321,'Set up'!$A$2:$C$48,3,FALSE)</f>
        <v>Cash</v>
      </c>
      <c r="J2321" s="5">
        <f>VLOOKUP(F2321,'Set up'!$A$2:$D$48,4,FALSE)</f>
        <v>0</v>
      </c>
      <c r="K2321" s="4">
        <f t="shared" si="804"/>
        <v>45245</v>
      </c>
      <c r="L2321" s="5">
        <f t="shared" si="805"/>
        <v>11</v>
      </c>
      <c r="M2321" s="5">
        <f t="shared" si="806"/>
        <v>2023</v>
      </c>
      <c r="N2321" s="96">
        <v>405</v>
      </c>
      <c r="P2321" s="6">
        <f t="shared" si="787"/>
        <v>405</v>
      </c>
      <c r="Q2321" s="7">
        <f t="shared" si="801"/>
        <v>3866570.1500000027</v>
      </c>
      <c r="R2321" s="44" t="str">
        <f>VLOOKUP(F2321,'Set up'!$A$2:$E$48,5,FALSE)</f>
        <v>Trsf</v>
      </c>
    </row>
    <row r="2322" spans="1:19" ht="15" hidden="1" customHeight="1" x14ac:dyDescent="0.3">
      <c r="A2322" s="4">
        <v>45245</v>
      </c>
      <c r="B2322" s="5">
        <f t="shared" si="802"/>
        <v>11</v>
      </c>
      <c r="C2322" s="5">
        <f t="shared" si="803"/>
        <v>2023</v>
      </c>
      <c r="D2322" s="88" t="s">
        <v>2236</v>
      </c>
      <c r="E2322" s="5" t="str">
        <f>VLOOKUP(F2322,'Set up'!$A$2:$C$48,2,FALSE)</f>
        <v>C00000019</v>
      </c>
      <c r="F2322" s="1" t="s">
        <v>401</v>
      </c>
      <c r="G2322" s="99" t="s">
        <v>792</v>
      </c>
      <c r="H2322" s="5">
        <v>3</v>
      </c>
      <c r="I2322" s="5" t="str">
        <f>VLOOKUP(F2322,'Set up'!$A$2:$C$48,3,FALSE)</f>
        <v>Cash</v>
      </c>
      <c r="J2322" s="5">
        <f>VLOOKUP(F2322,'Set up'!$A$2:$D$48,4,FALSE)</f>
        <v>0</v>
      </c>
      <c r="K2322" s="4">
        <f t="shared" si="804"/>
        <v>45245</v>
      </c>
      <c r="L2322" s="5">
        <f t="shared" si="805"/>
        <v>11</v>
      </c>
      <c r="M2322" s="5">
        <f t="shared" si="806"/>
        <v>2023</v>
      </c>
      <c r="N2322" s="96">
        <v>187.5</v>
      </c>
      <c r="P2322" s="6">
        <f t="shared" si="787"/>
        <v>187.5</v>
      </c>
      <c r="Q2322" s="7">
        <f t="shared" si="801"/>
        <v>3866757.6500000027</v>
      </c>
      <c r="R2322" s="44" t="str">
        <f>VLOOKUP(F2322,'Set up'!$A$2:$E$48,5,FALSE)</f>
        <v>Trsf</v>
      </c>
    </row>
    <row r="2323" spans="1:19" ht="15" hidden="1" customHeight="1" x14ac:dyDescent="0.3">
      <c r="A2323" s="4">
        <v>45245</v>
      </c>
      <c r="B2323" s="5">
        <f t="shared" si="802"/>
        <v>11</v>
      </c>
      <c r="C2323" s="5">
        <f t="shared" si="803"/>
        <v>2023</v>
      </c>
      <c r="D2323" s="88" t="s">
        <v>2236</v>
      </c>
      <c r="E2323" s="5" t="str">
        <f>VLOOKUP(F2323,'Set up'!$A$2:$C$48,2,FALSE)</f>
        <v>C00000019</v>
      </c>
      <c r="F2323" s="1" t="s">
        <v>401</v>
      </c>
      <c r="G2323" s="99" t="s">
        <v>46</v>
      </c>
      <c r="H2323" s="5">
        <v>1</v>
      </c>
      <c r="I2323" s="5" t="str">
        <f>VLOOKUP(F2323,'Set up'!$A$2:$C$48,3,FALSE)</f>
        <v>Cash</v>
      </c>
      <c r="J2323" s="5">
        <f>VLOOKUP(F2323,'Set up'!$A$2:$D$48,4,FALSE)</f>
        <v>0</v>
      </c>
      <c r="K2323" s="4">
        <f t="shared" si="804"/>
        <v>45245</v>
      </c>
      <c r="L2323" s="5">
        <f t="shared" si="805"/>
        <v>11</v>
      </c>
      <c r="M2323" s="5">
        <f t="shared" si="806"/>
        <v>2023</v>
      </c>
      <c r="N2323" s="96">
        <v>105</v>
      </c>
      <c r="P2323" s="6">
        <f t="shared" ref="P2323:P2386" si="810">SUM(N2323+O2323)</f>
        <v>105</v>
      </c>
      <c r="Q2323" s="7">
        <f t="shared" si="801"/>
        <v>3866862.6500000027</v>
      </c>
      <c r="R2323" s="44" t="str">
        <f>VLOOKUP(F2323,'Set up'!$A$2:$E$48,5,FALSE)</f>
        <v>Trsf</v>
      </c>
    </row>
    <row r="2324" spans="1:19" ht="15" hidden="1" customHeight="1" x14ac:dyDescent="0.3">
      <c r="A2324" s="4">
        <v>45245</v>
      </c>
      <c r="B2324" s="5">
        <f t="shared" si="802"/>
        <v>11</v>
      </c>
      <c r="C2324" s="5">
        <f t="shared" si="803"/>
        <v>2023</v>
      </c>
      <c r="D2324" s="88" t="s">
        <v>2236</v>
      </c>
      <c r="E2324" s="5" t="str">
        <f>VLOOKUP(F2324,'Set up'!$A$2:$C$48,2,FALSE)</f>
        <v>C00000019</v>
      </c>
      <c r="F2324" s="1" t="s">
        <v>401</v>
      </c>
      <c r="G2324" s="99" t="s">
        <v>1470</v>
      </c>
      <c r="H2324" s="5">
        <v>1</v>
      </c>
      <c r="I2324" s="5" t="str">
        <f>VLOOKUP(F2324,'Set up'!$A$2:$C$48,3,FALSE)</f>
        <v>Cash</v>
      </c>
      <c r="J2324" s="5">
        <f>VLOOKUP(F2324,'Set up'!$A$2:$D$48,4,FALSE)</f>
        <v>0</v>
      </c>
      <c r="K2324" s="4">
        <f t="shared" si="804"/>
        <v>45245</v>
      </c>
      <c r="L2324" s="5">
        <f t="shared" si="805"/>
        <v>11</v>
      </c>
      <c r="M2324" s="5">
        <f t="shared" si="806"/>
        <v>2023</v>
      </c>
      <c r="N2324" s="96">
        <v>390</v>
      </c>
      <c r="P2324" s="6">
        <f t="shared" si="810"/>
        <v>390</v>
      </c>
      <c r="Q2324" s="7">
        <f t="shared" si="801"/>
        <v>3867252.6500000027</v>
      </c>
      <c r="R2324" s="44" t="str">
        <f>VLOOKUP(F2324,'Set up'!$A$2:$E$48,5,FALSE)</f>
        <v>Trsf</v>
      </c>
    </row>
    <row r="2325" spans="1:19" ht="15" hidden="1" customHeight="1" x14ac:dyDescent="0.3">
      <c r="A2325" s="4">
        <v>45245</v>
      </c>
      <c r="B2325" s="5">
        <f t="shared" si="802"/>
        <v>11</v>
      </c>
      <c r="C2325" s="5">
        <f t="shared" si="803"/>
        <v>2023</v>
      </c>
      <c r="D2325" s="88" t="s">
        <v>2236</v>
      </c>
      <c r="E2325" s="5" t="str">
        <f>VLOOKUP(F2325,'Set up'!$A$2:$C$48,2,FALSE)</f>
        <v>C00000019</v>
      </c>
      <c r="F2325" s="1" t="s">
        <v>401</v>
      </c>
      <c r="G2325" s="99" t="s">
        <v>1628</v>
      </c>
      <c r="H2325" s="5">
        <v>1</v>
      </c>
      <c r="I2325" s="5" t="str">
        <f>VLOOKUP(F2325,'Set up'!$A$2:$C$48,3,FALSE)</f>
        <v>Cash</v>
      </c>
      <c r="J2325" s="5">
        <f>VLOOKUP(F2325,'Set up'!$A$2:$D$48,4,FALSE)</f>
        <v>0</v>
      </c>
      <c r="K2325" s="4">
        <f t="shared" si="804"/>
        <v>45245</v>
      </c>
      <c r="L2325" s="5">
        <f t="shared" si="805"/>
        <v>11</v>
      </c>
      <c r="M2325" s="5">
        <f t="shared" si="806"/>
        <v>2023</v>
      </c>
      <c r="N2325" s="96">
        <v>260</v>
      </c>
      <c r="P2325" s="6">
        <f t="shared" si="810"/>
        <v>260</v>
      </c>
      <c r="Q2325" s="7">
        <f t="shared" si="801"/>
        <v>3867512.6500000027</v>
      </c>
      <c r="R2325" s="44" t="str">
        <f>VLOOKUP(F2325,'Set up'!$A$2:$E$48,5,FALSE)</f>
        <v>Trsf</v>
      </c>
    </row>
    <row r="2326" spans="1:19" ht="15" customHeight="1" x14ac:dyDescent="0.3">
      <c r="A2326" s="4">
        <v>45247</v>
      </c>
      <c r="B2326" s="5">
        <f t="shared" si="802"/>
        <v>11</v>
      </c>
      <c r="C2326" s="5">
        <f t="shared" si="803"/>
        <v>2023</v>
      </c>
      <c r="D2326" s="88" t="s">
        <v>2237</v>
      </c>
      <c r="E2326" s="5" t="str">
        <f>VLOOKUP(F2326,'Set up'!$A$2:$C$48,2,FALSE)</f>
        <v>C00000042</v>
      </c>
      <c r="F2326" s="1" t="s">
        <v>2014</v>
      </c>
      <c r="G2326" s="99" t="s">
        <v>1111</v>
      </c>
      <c r="H2326" s="5">
        <v>1</v>
      </c>
      <c r="I2326" s="5" t="str">
        <f>VLOOKUP(F2326,'Set up'!$A$2:$C$48,3,FALSE)</f>
        <v>Cash</v>
      </c>
      <c r="J2326" s="5">
        <f>VLOOKUP(F2326,'Set up'!$A$2:$D$48,4,FALSE)</f>
        <v>0</v>
      </c>
      <c r="K2326" s="4">
        <f t="shared" si="804"/>
        <v>45247</v>
      </c>
      <c r="L2326" s="5">
        <f t="shared" si="805"/>
        <v>11</v>
      </c>
      <c r="M2326" s="5">
        <f t="shared" si="806"/>
        <v>2023</v>
      </c>
      <c r="N2326" s="96">
        <v>62.5</v>
      </c>
      <c r="P2326" s="6">
        <f t="shared" si="810"/>
        <v>62.5</v>
      </c>
      <c r="Q2326" s="7">
        <f t="shared" si="801"/>
        <v>3867575.1500000027</v>
      </c>
      <c r="R2326" s="44" t="str">
        <f>VLOOKUP(F2326,'Set up'!$A$2:$E$48,5,FALSE)</f>
        <v>Trsf</v>
      </c>
    </row>
    <row r="2327" spans="1:19" ht="15" customHeight="1" x14ac:dyDescent="0.3">
      <c r="A2327" s="4">
        <v>45247</v>
      </c>
      <c r="B2327" s="5">
        <f t="shared" si="802"/>
        <v>11</v>
      </c>
      <c r="C2327" s="5">
        <f t="shared" si="803"/>
        <v>2023</v>
      </c>
      <c r="D2327" s="88" t="s">
        <v>2238</v>
      </c>
      <c r="E2327" s="5" t="str">
        <f>VLOOKUP(F2327,'Set up'!$A$2:$C$48,2,FALSE)</f>
        <v>C00000042</v>
      </c>
      <c r="F2327" s="1" t="s">
        <v>2014</v>
      </c>
      <c r="G2327" s="99" t="s">
        <v>1734</v>
      </c>
      <c r="H2327" s="5">
        <v>1</v>
      </c>
      <c r="I2327" s="5" t="str">
        <f>VLOOKUP(F2327,'Set up'!$A$2:$C$48,3,FALSE)</f>
        <v>Cash</v>
      </c>
      <c r="J2327" s="5">
        <f>VLOOKUP(F2327,'Set up'!$A$2:$D$48,4,FALSE)</f>
        <v>0</v>
      </c>
      <c r="K2327" s="4">
        <f t="shared" si="804"/>
        <v>45247</v>
      </c>
      <c r="L2327" s="5">
        <f t="shared" si="805"/>
        <v>11</v>
      </c>
      <c r="M2327" s="5">
        <f t="shared" si="806"/>
        <v>2023</v>
      </c>
      <c r="N2327" s="96">
        <v>1606</v>
      </c>
      <c r="P2327" s="6">
        <f t="shared" si="810"/>
        <v>1606</v>
      </c>
      <c r="Q2327" s="7">
        <f t="shared" si="801"/>
        <v>3869181.1500000027</v>
      </c>
      <c r="R2327" s="44" t="str">
        <f>VLOOKUP(F2327,'Set up'!$A$2:$E$48,5,FALSE)</f>
        <v>Trsf</v>
      </c>
    </row>
    <row r="2328" spans="1:19" ht="15" customHeight="1" x14ac:dyDescent="0.3">
      <c r="A2328" s="4">
        <v>45247</v>
      </c>
      <c r="B2328" s="5">
        <f t="shared" si="802"/>
        <v>11</v>
      </c>
      <c r="C2328" s="5">
        <f t="shared" si="803"/>
        <v>2023</v>
      </c>
      <c r="D2328" s="88" t="s">
        <v>2238</v>
      </c>
      <c r="E2328" s="5" t="str">
        <f>VLOOKUP(F2328,'Set up'!$A$2:$C$48,2,FALSE)</f>
        <v>C00000042</v>
      </c>
      <c r="F2328" s="1" t="s">
        <v>2014</v>
      </c>
      <c r="G2328" s="99" t="s">
        <v>2110</v>
      </c>
      <c r="H2328" s="5">
        <v>3</v>
      </c>
      <c r="I2328" s="5" t="str">
        <f>VLOOKUP(F2328,'Set up'!$A$2:$C$48,3,FALSE)</f>
        <v>Cash</v>
      </c>
      <c r="J2328" s="5">
        <f>VLOOKUP(F2328,'Set up'!$A$2:$D$48,4,FALSE)</f>
        <v>0</v>
      </c>
      <c r="K2328" s="4">
        <f t="shared" si="804"/>
        <v>45247</v>
      </c>
      <c r="L2328" s="5">
        <f t="shared" si="805"/>
        <v>11</v>
      </c>
      <c r="M2328" s="5">
        <f t="shared" si="806"/>
        <v>2023</v>
      </c>
      <c r="N2328" s="96">
        <v>643.79999999999995</v>
      </c>
      <c r="P2328" s="6">
        <f t="shared" si="810"/>
        <v>643.79999999999995</v>
      </c>
      <c r="Q2328" s="7">
        <f t="shared" si="801"/>
        <v>3869824.9500000025</v>
      </c>
      <c r="R2328" s="44" t="str">
        <f>VLOOKUP(F2328,'Set up'!$A$2:$E$48,5,FALSE)</f>
        <v>Trsf</v>
      </c>
    </row>
    <row r="2329" spans="1:19" ht="15" customHeight="1" x14ac:dyDescent="0.3">
      <c r="A2329" s="4">
        <v>45247</v>
      </c>
      <c r="B2329" s="5">
        <f t="shared" si="802"/>
        <v>11</v>
      </c>
      <c r="C2329" s="5">
        <f t="shared" si="803"/>
        <v>2023</v>
      </c>
      <c r="D2329" s="88" t="s">
        <v>2238</v>
      </c>
      <c r="E2329" s="5" t="str">
        <f>VLOOKUP(F2329,'Set up'!$A$2:$C$48,2,FALSE)</f>
        <v>C00000042</v>
      </c>
      <c r="F2329" s="1" t="s">
        <v>2014</v>
      </c>
      <c r="G2329" s="99" t="s">
        <v>1923</v>
      </c>
      <c r="H2329" s="5">
        <v>2</v>
      </c>
      <c r="I2329" s="5" t="str">
        <f>VLOOKUP(F2329,'Set up'!$A$2:$C$48,3,FALSE)</f>
        <v>Cash</v>
      </c>
      <c r="J2329" s="5">
        <f>VLOOKUP(F2329,'Set up'!$A$2:$D$48,4,FALSE)</f>
        <v>0</v>
      </c>
      <c r="K2329" s="4">
        <f t="shared" si="804"/>
        <v>45247</v>
      </c>
      <c r="L2329" s="5">
        <f t="shared" si="805"/>
        <v>11</v>
      </c>
      <c r="M2329" s="5">
        <f t="shared" si="806"/>
        <v>2023</v>
      </c>
      <c r="N2329" s="96">
        <v>468</v>
      </c>
      <c r="P2329" s="6">
        <f t="shared" si="810"/>
        <v>468</v>
      </c>
      <c r="Q2329" s="7">
        <f t="shared" si="801"/>
        <v>3870292.9500000025</v>
      </c>
      <c r="R2329" s="44" t="str">
        <f>VLOOKUP(F2329,'Set up'!$A$2:$E$48,5,FALSE)</f>
        <v>Trsf</v>
      </c>
    </row>
    <row r="2330" spans="1:19" ht="15" hidden="1" customHeight="1" x14ac:dyDescent="0.3">
      <c r="A2330" s="4">
        <v>45251</v>
      </c>
      <c r="B2330" s="5">
        <f t="shared" si="802"/>
        <v>11</v>
      </c>
      <c r="C2330" s="5">
        <f t="shared" si="803"/>
        <v>2023</v>
      </c>
      <c r="D2330" s="88" t="s">
        <v>2239</v>
      </c>
      <c r="E2330" s="5" t="str">
        <f>VLOOKUP(F2330,'Set up'!$A$2:$C$48,2,FALSE)</f>
        <v>C00000014</v>
      </c>
      <c r="F2330" s="1" t="s">
        <v>263</v>
      </c>
      <c r="G2330" s="99" t="s">
        <v>304</v>
      </c>
      <c r="H2330" s="5">
        <v>2</v>
      </c>
      <c r="I2330" s="5" t="str">
        <f>VLOOKUP(F2330,'Set up'!$A$2:$C$48,3,FALSE)</f>
        <v>Cash</v>
      </c>
      <c r="J2330" s="5">
        <f>VLOOKUP(F2330,'Set up'!$A$2:$D$48,4,FALSE)</f>
        <v>0</v>
      </c>
      <c r="K2330" s="4">
        <f t="shared" si="804"/>
        <v>45251</v>
      </c>
      <c r="L2330" s="5">
        <f t="shared" si="805"/>
        <v>11</v>
      </c>
      <c r="M2330" s="5">
        <f t="shared" si="806"/>
        <v>2023</v>
      </c>
      <c r="N2330" s="96">
        <v>3212</v>
      </c>
      <c r="O2330" s="6">
        <f t="shared" ref="O2330:O2334" si="811">-N2330</f>
        <v>-3212</v>
      </c>
      <c r="P2330" s="6">
        <f t="shared" si="810"/>
        <v>0</v>
      </c>
      <c r="Q2330" s="7">
        <f t="shared" si="801"/>
        <v>3873504.9500000025</v>
      </c>
      <c r="R2330" s="44" t="str">
        <f>VLOOKUP(F2330,'Set up'!$A$2:$E$48,5,FALSE)</f>
        <v>Cash</v>
      </c>
      <c r="S2330" s="1" t="s">
        <v>2153</v>
      </c>
    </row>
    <row r="2331" spans="1:19" ht="15" hidden="1" customHeight="1" x14ac:dyDescent="0.3">
      <c r="A2331" s="4">
        <v>45251</v>
      </c>
      <c r="B2331" s="5">
        <f t="shared" si="802"/>
        <v>11</v>
      </c>
      <c r="C2331" s="5">
        <f t="shared" si="803"/>
        <v>2023</v>
      </c>
      <c r="D2331" s="88" t="s">
        <v>2239</v>
      </c>
      <c r="E2331" s="5" t="str">
        <f>VLOOKUP(F2331,'Set up'!$A$2:$C$48,2,FALSE)</f>
        <v>C00000014</v>
      </c>
      <c r="F2331" s="1" t="s">
        <v>263</v>
      </c>
      <c r="G2331" s="99" t="s">
        <v>2106</v>
      </c>
      <c r="H2331" s="5">
        <v>4</v>
      </c>
      <c r="I2331" s="5" t="str">
        <f>VLOOKUP(F2331,'Set up'!$A$2:$C$48,3,FALSE)</f>
        <v>Cash</v>
      </c>
      <c r="J2331" s="5">
        <f>VLOOKUP(F2331,'Set up'!$A$2:$D$48,4,FALSE)</f>
        <v>0</v>
      </c>
      <c r="K2331" s="4">
        <f t="shared" si="804"/>
        <v>45251</v>
      </c>
      <c r="L2331" s="5">
        <f t="shared" si="805"/>
        <v>11</v>
      </c>
      <c r="M2331" s="5">
        <f t="shared" si="806"/>
        <v>2023</v>
      </c>
      <c r="N2331" s="96">
        <v>1036</v>
      </c>
      <c r="O2331" s="6">
        <f t="shared" si="811"/>
        <v>-1036</v>
      </c>
      <c r="P2331" s="6">
        <f t="shared" si="810"/>
        <v>0</v>
      </c>
      <c r="Q2331" s="7">
        <f t="shared" si="801"/>
        <v>3874540.9500000025</v>
      </c>
      <c r="R2331" s="44" t="str">
        <f>VLOOKUP(F2331,'Set up'!$A$2:$E$48,5,FALSE)</f>
        <v>Cash</v>
      </c>
      <c r="S2331" s="1" t="s">
        <v>2153</v>
      </c>
    </row>
    <row r="2332" spans="1:19" ht="15" hidden="1" customHeight="1" x14ac:dyDescent="0.3">
      <c r="A2332" s="4">
        <v>45251</v>
      </c>
      <c r="B2332" s="5">
        <f t="shared" si="802"/>
        <v>11</v>
      </c>
      <c r="C2332" s="5">
        <f t="shared" si="803"/>
        <v>2023</v>
      </c>
      <c r="D2332" s="88" t="s">
        <v>2239</v>
      </c>
      <c r="E2332" s="5" t="str">
        <f>VLOOKUP(F2332,'Set up'!$A$2:$C$48,2,FALSE)</f>
        <v>C00000014</v>
      </c>
      <c r="F2332" s="1" t="s">
        <v>263</v>
      </c>
      <c r="G2332" s="99" t="s">
        <v>2112</v>
      </c>
      <c r="H2332" s="5">
        <v>3</v>
      </c>
      <c r="I2332" s="5" t="str">
        <f>VLOOKUP(F2332,'Set up'!$A$2:$C$48,3,FALSE)</f>
        <v>Cash</v>
      </c>
      <c r="J2332" s="5">
        <f>VLOOKUP(F2332,'Set up'!$A$2:$D$48,4,FALSE)</f>
        <v>0</v>
      </c>
      <c r="K2332" s="4">
        <f t="shared" si="804"/>
        <v>45251</v>
      </c>
      <c r="L2332" s="5">
        <f t="shared" si="805"/>
        <v>11</v>
      </c>
      <c r="M2332" s="5">
        <f t="shared" si="806"/>
        <v>2023</v>
      </c>
      <c r="N2332" s="96">
        <v>851.4</v>
      </c>
      <c r="O2332" s="6">
        <f t="shared" si="811"/>
        <v>-851.4</v>
      </c>
      <c r="P2332" s="6">
        <f t="shared" si="810"/>
        <v>0</v>
      </c>
      <c r="Q2332" s="7">
        <f t="shared" si="801"/>
        <v>3875392.3500000024</v>
      </c>
      <c r="R2332" s="44" t="str">
        <f>VLOOKUP(F2332,'Set up'!$A$2:$E$48,5,FALSE)</f>
        <v>Cash</v>
      </c>
      <c r="S2332" s="1" t="s">
        <v>2153</v>
      </c>
    </row>
    <row r="2333" spans="1:19" ht="15" hidden="1" customHeight="1" x14ac:dyDescent="0.3">
      <c r="A2333" s="4">
        <v>45251</v>
      </c>
      <c r="B2333" s="5">
        <f t="shared" si="802"/>
        <v>11</v>
      </c>
      <c r="C2333" s="5">
        <f t="shared" si="803"/>
        <v>2023</v>
      </c>
      <c r="D2333" s="88" t="s">
        <v>2239</v>
      </c>
      <c r="E2333" s="5" t="str">
        <f>VLOOKUP(F2333,'Set up'!$A$2:$C$48,2,FALSE)</f>
        <v>C00000014</v>
      </c>
      <c r="F2333" s="1" t="s">
        <v>263</v>
      </c>
      <c r="G2333" s="99" t="s">
        <v>17</v>
      </c>
      <c r="H2333" s="5">
        <v>1</v>
      </c>
      <c r="I2333" s="5" t="str">
        <f>VLOOKUP(F2333,'Set up'!$A$2:$C$48,3,FALSE)</f>
        <v>Cash</v>
      </c>
      <c r="J2333" s="5">
        <f>VLOOKUP(F2333,'Set up'!$A$2:$D$48,4,FALSE)</f>
        <v>0</v>
      </c>
      <c r="K2333" s="4">
        <f t="shared" si="804"/>
        <v>45251</v>
      </c>
      <c r="L2333" s="5">
        <f t="shared" si="805"/>
        <v>11</v>
      </c>
      <c r="M2333" s="5">
        <f t="shared" si="806"/>
        <v>2023</v>
      </c>
      <c r="N2333" s="96">
        <v>105</v>
      </c>
      <c r="O2333" s="6">
        <f t="shared" si="811"/>
        <v>-105</v>
      </c>
      <c r="P2333" s="6">
        <f t="shared" si="810"/>
        <v>0</v>
      </c>
      <c r="Q2333" s="7">
        <f t="shared" ref="Q2333:Q2396" si="812">SUM(Q2332+N2333)</f>
        <v>3875497.3500000024</v>
      </c>
      <c r="R2333" s="44" t="str">
        <f>VLOOKUP(F2333,'Set up'!$A$2:$E$48,5,FALSE)</f>
        <v>Cash</v>
      </c>
      <c r="S2333" s="1" t="s">
        <v>2153</v>
      </c>
    </row>
    <row r="2334" spans="1:19" ht="15" hidden="1" customHeight="1" x14ac:dyDescent="0.3">
      <c r="A2334" s="4">
        <v>45251</v>
      </c>
      <c r="B2334" s="5">
        <f t="shared" ref="B2334:B2362" si="813">MONTH(A2334)</f>
        <v>11</v>
      </c>
      <c r="C2334" s="5">
        <f t="shared" ref="C2334:C2362" si="814">YEAR(A2334)</f>
        <v>2023</v>
      </c>
      <c r="D2334" s="88" t="s">
        <v>2239</v>
      </c>
      <c r="E2334" s="5" t="str">
        <f>VLOOKUP(F2334,'Set up'!$A$2:$C$48,2,FALSE)</f>
        <v>C00000014</v>
      </c>
      <c r="F2334" s="1" t="s">
        <v>263</v>
      </c>
      <c r="G2334" s="99" t="s">
        <v>1887</v>
      </c>
      <c r="H2334" s="5">
        <v>4</v>
      </c>
      <c r="I2334" s="5" t="str">
        <f>VLOOKUP(F2334,'Set up'!$A$2:$C$48,3,FALSE)</f>
        <v>Cash</v>
      </c>
      <c r="J2334" s="5">
        <f>VLOOKUP(F2334,'Set up'!$A$2:$D$48,4,FALSE)</f>
        <v>0</v>
      </c>
      <c r="K2334" s="4">
        <f t="shared" ref="K2334:K2362" si="815">A2334+J2334</f>
        <v>45251</v>
      </c>
      <c r="L2334" s="5">
        <f t="shared" ref="L2334:L2362" si="816">MONTH(K2334)</f>
        <v>11</v>
      </c>
      <c r="M2334" s="5">
        <f t="shared" ref="M2334:M2362" si="817">YEAR(K2334)</f>
        <v>2023</v>
      </c>
      <c r="N2334" s="96">
        <v>640</v>
      </c>
      <c r="O2334" s="6">
        <f t="shared" si="811"/>
        <v>-640</v>
      </c>
      <c r="P2334" s="6">
        <f t="shared" si="810"/>
        <v>0</v>
      </c>
      <c r="Q2334" s="7">
        <f t="shared" si="812"/>
        <v>3876137.3500000024</v>
      </c>
      <c r="R2334" s="44" t="str">
        <f>VLOOKUP(F2334,'Set up'!$A$2:$E$48,5,FALSE)</f>
        <v>Cash</v>
      </c>
      <c r="S2334" s="1" t="s">
        <v>2153</v>
      </c>
    </row>
    <row r="2335" spans="1:19" ht="15" customHeight="1" x14ac:dyDescent="0.3">
      <c r="A2335" s="4">
        <v>45251</v>
      </c>
      <c r="B2335" s="5">
        <f t="shared" si="813"/>
        <v>11</v>
      </c>
      <c r="C2335" s="5">
        <f t="shared" si="814"/>
        <v>2023</v>
      </c>
      <c r="D2335" s="88" t="s">
        <v>2240</v>
      </c>
      <c r="E2335" s="5" t="str">
        <f>VLOOKUP(F2335,'Set up'!$A$2:$C$48,2,FALSE)</f>
        <v>C00000042</v>
      </c>
      <c r="F2335" s="1" t="s">
        <v>2014</v>
      </c>
      <c r="G2335" s="99" t="s">
        <v>1111</v>
      </c>
      <c r="H2335" s="5">
        <v>2</v>
      </c>
      <c r="I2335" s="5" t="str">
        <f>VLOOKUP(F2335,'Set up'!$A$2:$C$48,3,FALSE)</f>
        <v>Cash</v>
      </c>
      <c r="J2335" s="5">
        <f>VLOOKUP(F2335,'Set up'!$A$2:$D$48,4,FALSE)</f>
        <v>0</v>
      </c>
      <c r="K2335" s="4">
        <f t="shared" si="815"/>
        <v>45251</v>
      </c>
      <c r="L2335" s="5">
        <f t="shared" si="816"/>
        <v>11</v>
      </c>
      <c r="M2335" s="5">
        <f t="shared" si="817"/>
        <v>2023</v>
      </c>
      <c r="N2335" s="96">
        <v>125</v>
      </c>
      <c r="P2335" s="6">
        <f t="shared" si="810"/>
        <v>125</v>
      </c>
      <c r="Q2335" s="7">
        <f t="shared" si="812"/>
        <v>3876262.3500000024</v>
      </c>
      <c r="R2335" s="44" t="str">
        <f>VLOOKUP(F2335,'Set up'!$A$2:$E$48,5,FALSE)</f>
        <v>Trsf</v>
      </c>
    </row>
    <row r="2336" spans="1:19" ht="15" customHeight="1" x14ac:dyDescent="0.3">
      <c r="A2336" s="4">
        <v>45251</v>
      </c>
      <c r="B2336" s="5">
        <f t="shared" si="813"/>
        <v>11</v>
      </c>
      <c r="C2336" s="5">
        <f t="shared" si="814"/>
        <v>2023</v>
      </c>
      <c r="D2336" s="88" t="s">
        <v>2241</v>
      </c>
      <c r="E2336" s="5" t="str">
        <f>VLOOKUP(F2336,'Set up'!$A$2:$C$48,2,FALSE)</f>
        <v>C00000042</v>
      </c>
      <c r="F2336" s="1" t="s">
        <v>2014</v>
      </c>
      <c r="G2336" s="99" t="s">
        <v>1734</v>
      </c>
      <c r="H2336" s="5">
        <v>2</v>
      </c>
      <c r="I2336" s="5" t="str">
        <f>VLOOKUP(F2336,'Set up'!$A$2:$C$48,3,FALSE)</f>
        <v>Cash</v>
      </c>
      <c r="J2336" s="5">
        <f>VLOOKUP(F2336,'Set up'!$A$2:$D$48,4,FALSE)</f>
        <v>0</v>
      </c>
      <c r="K2336" s="4">
        <f t="shared" si="815"/>
        <v>45251</v>
      </c>
      <c r="L2336" s="5">
        <f t="shared" si="816"/>
        <v>11</v>
      </c>
      <c r="M2336" s="5">
        <f t="shared" si="817"/>
        <v>2023</v>
      </c>
      <c r="N2336" s="96">
        <v>3212</v>
      </c>
      <c r="P2336" s="6">
        <f t="shared" si="810"/>
        <v>3212</v>
      </c>
      <c r="Q2336" s="7">
        <f t="shared" si="812"/>
        <v>3879474.3500000024</v>
      </c>
      <c r="R2336" s="44" t="str">
        <f>VLOOKUP(F2336,'Set up'!$A$2:$E$48,5,FALSE)</f>
        <v>Trsf</v>
      </c>
    </row>
    <row r="2337" spans="1:18" ht="15" hidden="1" customHeight="1" x14ac:dyDescent="0.3">
      <c r="A2337" s="4">
        <v>45252</v>
      </c>
      <c r="B2337" s="5">
        <f t="shared" si="813"/>
        <v>11</v>
      </c>
      <c r="C2337" s="5">
        <f t="shared" si="814"/>
        <v>2023</v>
      </c>
      <c r="D2337" s="88" t="s">
        <v>2242</v>
      </c>
      <c r="E2337" s="5" t="str">
        <f>VLOOKUP(F2337,'Set up'!$A$2:$C$48,2,FALSE)</f>
        <v>C00000006</v>
      </c>
      <c r="F2337" s="1" t="s">
        <v>43</v>
      </c>
      <c r="G2337" s="99" t="s">
        <v>95</v>
      </c>
      <c r="H2337" s="5">
        <v>1</v>
      </c>
      <c r="I2337" s="5" t="str">
        <f>VLOOKUP(F2337,'Set up'!$A$2:$C$48,3,FALSE)</f>
        <v>Cash</v>
      </c>
      <c r="J2337" s="5">
        <f>VLOOKUP(F2337,'Set up'!$A$2:$D$48,4,FALSE)</f>
        <v>0</v>
      </c>
      <c r="K2337" s="4">
        <f t="shared" si="815"/>
        <v>45252</v>
      </c>
      <c r="L2337" s="5">
        <f t="shared" si="816"/>
        <v>11</v>
      </c>
      <c r="M2337" s="5">
        <f t="shared" si="817"/>
        <v>2023</v>
      </c>
      <c r="N2337" s="96">
        <v>1738</v>
      </c>
      <c r="P2337" s="6">
        <f t="shared" si="810"/>
        <v>1738</v>
      </c>
      <c r="Q2337" s="7">
        <f t="shared" si="812"/>
        <v>3881212.3500000024</v>
      </c>
      <c r="R2337" s="44" t="str">
        <f>VLOOKUP(F2337,'Set up'!$A$2:$E$48,5,FALSE)</f>
        <v>Chq</v>
      </c>
    </row>
    <row r="2338" spans="1:18" ht="15" hidden="1" customHeight="1" x14ac:dyDescent="0.3">
      <c r="A2338" s="4">
        <v>45252</v>
      </c>
      <c r="B2338" s="5">
        <f t="shared" si="813"/>
        <v>11</v>
      </c>
      <c r="C2338" s="5">
        <f t="shared" si="814"/>
        <v>2023</v>
      </c>
      <c r="D2338" s="88" t="s">
        <v>2242</v>
      </c>
      <c r="E2338" s="5" t="str">
        <f>VLOOKUP(F2338,'Set up'!$A$2:$C$48,2,FALSE)</f>
        <v>C00000006</v>
      </c>
      <c r="F2338" s="1" t="s">
        <v>43</v>
      </c>
      <c r="G2338" s="99" t="s">
        <v>1797</v>
      </c>
      <c r="H2338" s="5">
        <v>3</v>
      </c>
      <c r="I2338" s="5" t="str">
        <f>VLOOKUP(F2338,'Set up'!$A$2:$C$48,3,FALSE)</f>
        <v>Cash</v>
      </c>
      <c r="J2338" s="5">
        <f>VLOOKUP(F2338,'Set up'!$A$2:$D$48,4,FALSE)</f>
        <v>0</v>
      </c>
      <c r="K2338" s="4">
        <f t="shared" si="815"/>
        <v>45252</v>
      </c>
      <c r="L2338" s="5">
        <f t="shared" si="816"/>
        <v>11</v>
      </c>
      <c r="M2338" s="5">
        <f t="shared" si="817"/>
        <v>2023</v>
      </c>
      <c r="N2338" s="96">
        <v>675</v>
      </c>
      <c r="P2338" s="6">
        <f t="shared" si="810"/>
        <v>675</v>
      </c>
      <c r="Q2338" s="7">
        <f t="shared" si="812"/>
        <v>3881887.3500000024</v>
      </c>
      <c r="R2338" s="44" t="str">
        <f>VLOOKUP(F2338,'Set up'!$A$2:$E$48,5,FALSE)</f>
        <v>Chq</v>
      </c>
    </row>
    <row r="2339" spans="1:18" ht="15" customHeight="1" x14ac:dyDescent="0.3">
      <c r="A2339" s="4">
        <v>45254</v>
      </c>
      <c r="B2339" s="5">
        <f t="shared" si="813"/>
        <v>11</v>
      </c>
      <c r="C2339" s="5">
        <f t="shared" si="814"/>
        <v>2023</v>
      </c>
      <c r="D2339" s="88" t="s">
        <v>2243</v>
      </c>
      <c r="E2339" s="5" t="str">
        <f>VLOOKUP(F2339,'Set up'!$A$2:$C$48,2,FALSE)</f>
        <v>C00000042</v>
      </c>
      <c r="F2339" s="1" t="s">
        <v>2014</v>
      </c>
      <c r="G2339" s="99" t="s">
        <v>1111</v>
      </c>
      <c r="H2339" s="5">
        <v>3</v>
      </c>
      <c r="I2339" s="5" t="str">
        <f>VLOOKUP(F2339,'Set up'!$A$2:$C$48,3,FALSE)</f>
        <v>Cash</v>
      </c>
      <c r="J2339" s="5">
        <f>VLOOKUP(F2339,'Set up'!$A$2:$D$48,4,FALSE)</f>
        <v>0</v>
      </c>
      <c r="K2339" s="4">
        <f t="shared" si="815"/>
        <v>45254</v>
      </c>
      <c r="L2339" s="5">
        <f t="shared" si="816"/>
        <v>11</v>
      </c>
      <c r="M2339" s="5">
        <f t="shared" si="817"/>
        <v>2023</v>
      </c>
      <c r="N2339" s="96">
        <v>187.5</v>
      </c>
      <c r="P2339" s="6">
        <f t="shared" si="810"/>
        <v>187.5</v>
      </c>
      <c r="Q2339" s="7">
        <f t="shared" si="812"/>
        <v>3882074.8500000024</v>
      </c>
      <c r="R2339" s="44" t="str">
        <f>VLOOKUP(F2339,'Set up'!$A$2:$E$48,5,FALSE)</f>
        <v>Trsf</v>
      </c>
    </row>
    <row r="2340" spans="1:18" ht="15" customHeight="1" x14ac:dyDescent="0.3">
      <c r="A2340" s="4">
        <v>45254</v>
      </c>
      <c r="B2340" s="5">
        <f t="shared" si="813"/>
        <v>11</v>
      </c>
      <c r="C2340" s="5">
        <f t="shared" si="814"/>
        <v>2023</v>
      </c>
      <c r="D2340" s="88" t="s">
        <v>2244</v>
      </c>
      <c r="E2340" s="5" t="str">
        <f>VLOOKUP(F2340,'Set up'!$A$2:$C$48,2,FALSE)</f>
        <v>C00000042</v>
      </c>
      <c r="F2340" s="1" t="s">
        <v>2014</v>
      </c>
      <c r="G2340" s="99" t="s">
        <v>1734</v>
      </c>
      <c r="H2340" s="5">
        <v>3</v>
      </c>
      <c r="I2340" s="5" t="str">
        <f>VLOOKUP(F2340,'Set up'!$A$2:$C$48,3,FALSE)</f>
        <v>Cash</v>
      </c>
      <c r="J2340" s="5">
        <f>VLOOKUP(F2340,'Set up'!$A$2:$D$48,4,FALSE)</f>
        <v>0</v>
      </c>
      <c r="K2340" s="4">
        <f t="shared" si="815"/>
        <v>45254</v>
      </c>
      <c r="L2340" s="5">
        <f t="shared" si="816"/>
        <v>11</v>
      </c>
      <c r="M2340" s="5">
        <f t="shared" si="817"/>
        <v>2023</v>
      </c>
      <c r="N2340" s="96">
        <v>4818</v>
      </c>
      <c r="P2340" s="6">
        <f t="shared" si="810"/>
        <v>4818</v>
      </c>
      <c r="Q2340" s="7">
        <f t="shared" si="812"/>
        <v>3886892.8500000024</v>
      </c>
      <c r="R2340" s="44" t="str">
        <f>VLOOKUP(F2340,'Set up'!$A$2:$E$48,5,FALSE)</f>
        <v>Trsf</v>
      </c>
    </row>
    <row r="2341" spans="1:18" ht="15" customHeight="1" x14ac:dyDescent="0.3">
      <c r="A2341" s="4">
        <v>45254</v>
      </c>
      <c r="B2341" s="5">
        <f t="shared" si="813"/>
        <v>11</v>
      </c>
      <c r="C2341" s="5">
        <f t="shared" si="814"/>
        <v>2023</v>
      </c>
      <c r="D2341" s="88" t="s">
        <v>2244</v>
      </c>
      <c r="E2341" s="5" t="str">
        <f>VLOOKUP(F2341,'Set up'!$A$2:$C$48,2,FALSE)</f>
        <v>C00000042</v>
      </c>
      <c r="F2341" s="1" t="s">
        <v>2014</v>
      </c>
      <c r="G2341" s="99" t="s">
        <v>2110</v>
      </c>
      <c r="H2341" s="5">
        <v>9</v>
      </c>
      <c r="I2341" s="5" t="str">
        <f>VLOOKUP(F2341,'Set up'!$A$2:$C$48,3,FALSE)</f>
        <v>Cash</v>
      </c>
      <c r="J2341" s="5">
        <f>VLOOKUP(F2341,'Set up'!$A$2:$D$48,4,FALSE)</f>
        <v>0</v>
      </c>
      <c r="K2341" s="4">
        <f t="shared" si="815"/>
        <v>45254</v>
      </c>
      <c r="L2341" s="5">
        <f t="shared" si="816"/>
        <v>11</v>
      </c>
      <c r="M2341" s="5">
        <f t="shared" si="817"/>
        <v>2023</v>
      </c>
      <c r="N2341" s="96">
        <v>1931.4</v>
      </c>
      <c r="P2341" s="6">
        <f t="shared" si="810"/>
        <v>1931.4</v>
      </c>
      <c r="Q2341" s="7">
        <f t="shared" si="812"/>
        <v>3888824.2500000023</v>
      </c>
      <c r="R2341" s="44" t="str">
        <f>VLOOKUP(F2341,'Set up'!$A$2:$E$48,5,FALSE)</f>
        <v>Trsf</v>
      </c>
    </row>
    <row r="2342" spans="1:18" ht="15" customHeight="1" x14ac:dyDescent="0.3">
      <c r="A2342" s="4">
        <v>45254</v>
      </c>
      <c r="B2342" s="5">
        <f t="shared" si="813"/>
        <v>11</v>
      </c>
      <c r="C2342" s="5">
        <f t="shared" si="814"/>
        <v>2023</v>
      </c>
      <c r="D2342" s="88" t="s">
        <v>2244</v>
      </c>
      <c r="E2342" s="5" t="str">
        <f>VLOOKUP(F2342,'Set up'!$A$2:$C$48,2,FALSE)</f>
        <v>C00000042</v>
      </c>
      <c r="F2342" s="1" t="s">
        <v>2014</v>
      </c>
      <c r="G2342" s="99" t="s">
        <v>1923</v>
      </c>
      <c r="H2342" s="5">
        <v>4</v>
      </c>
      <c r="I2342" s="5" t="str">
        <f>VLOOKUP(F2342,'Set up'!$A$2:$C$48,3,FALSE)</f>
        <v>Cash</v>
      </c>
      <c r="J2342" s="5">
        <f>VLOOKUP(F2342,'Set up'!$A$2:$D$48,4,FALSE)</f>
        <v>0</v>
      </c>
      <c r="K2342" s="4">
        <f t="shared" si="815"/>
        <v>45254</v>
      </c>
      <c r="L2342" s="5">
        <f t="shared" si="816"/>
        <v>11</v>
      </c>
      <c r="M2342" s="5">
        <f t="shared" si="817"/>
        <v>2023</v>
      </c>
      <c r="N2342" s="96">
        <v>936</v>
      </c>
      <c r="P2342" s="6">
        <f t="shared" si="810"/>
        <v>936</v>
      </c>
      <c r="Q2342" s="7">
        <f t="shared" si="812"/>
        <v>3889760.2500000023</v>
      </c>
      <c r="R2342" s="44" t="str">
        <f>VLOOKUP(F2342,'Set up'!$A$2:$E$48,5,FALSE)</f>
        <v>Trsf</v>
      </c>
    </row>
    <row r="2343" spans="1:18" ht="15" customHeight="1" x14ac:dyDescent="0.3">
      <c r="A2343" s="4">
        <v>45254</v>
      </c>
      <c r="B2343" s="5">
        <f t="shared" si="813"/>
        <v>11</v>
      </c>
      <c r="C2343" s="5">
        <f t="shared" si="814"/>
        <v>2023</v>
      </c>
      <c r="D2343" s="88" t="s">
        <v>2244</v>
      </c>
      <c r="E2343" s="5" t="str">
        <f>VLOOKUP(F2343,'Set up'!$A$2:$C$48,2,FALSE)</f>
        <v>C00000042</v>
      </c>
      <c r="F2343" s="1" t="s">
        <v>2014</v>
      </c>
      <c r="G2343" s="99" t="s">
        <v>1074</v>
      </c>
      <c r="H2343" s="5">
        <v>1</v>
      </c>
      <c r="I2343" s="5" t="str">
        <f>VLOOKUP(F2343,'Set up'!$A$2:$C$48,3,FALSE)</f>
        <v>Cash</v>
      </c>
      <c r="J2343" s="5">
        <f>VLOOKUP(F2343,'Set up'!$A$2:$D$48,4,FALSE)</f>
        <v>0</v>
      </c>
      <c r="K2343" s="4">
        <f t="shared" si="815"/>
        <v>45254</v>
      </c>
      <c r="L2343" s="5">
        <f t="shared" si="816"/>
        <v>11</v>
      </c>
      <c r="M2343" s="5">
        <f t="shared" si="817"/>
        <v>2023</v>
      </c>
      <c r="N2343" s="96">
        <v>1000</v>
      </c>
      <c r="P2343" s="6">
        <f t="shared" si="810"/>
        <v>1000</v>
      </c>
      <c r="Q2343" s="7">
        <f t="shared" si="812"/>
        <v>3890760.2500000023</v>
      </c>
      <c r="R2343" s="44" t="str">
        <f>VLOOKUP(F2343,'Set up'!$A$2:$E$48,5,FALSE)</f>
        <v>Trsf</v>
      </c>
    </row>
    <row r="2344" spans="1:18" ht="15" hidden="1" customHeight="1" x14ac:dyDescent="0.3">
      <c r="A2344" s="4">
        <v>45255</v>
      </c>
      <c r="B2344" s="5">
        <f t="shared" si="813"/>
        <v>11</v>
      </c>
      <c r="C2344" s="5">
        <f t="shared" si="814"/>
        <v>2023</v>
      </c>
      <c r="D2344" s="88" t="s">
        <v>2245</v>
      </c>
      <c r="E2344" s="5" t="str">
        <f>VLOOKUP(F2344,'Set up'!$A$2:$C$48,2,FALSE)</f>
        <v>C00000021</v>
      </c>
      <c r="F2344" s="1" t="s">
        <v>492</v>
      </c>
      <c r="G2344" s="99" t="s">
        <v>67</v>
      </c>
      <c r="H2344" s="5">
        <v>1</v>
      </c>
      <c r="I2344" s="5" t="str">
        <f>VLOOKUP(F2344,'Set up'!$A$2:$C$48,3,FALSE)</f>
        <v>Cash</v>
      </c>
      <c r="J2344" s="5">
        <f>VLOOKUP(F2344,'Set up'!$A$2:$D$48,4,FALSE)</f>
        <v>0</v>
      </c>
      <c r="K2344" s="4">
        <f t="shared" si="815"/>
        <v>45255</v>
      </c>
      <c r="L2344" s="5">
        <f t="shared" si="816"/>
        <v>11</v>
      </c>
      <c r="M2344" s="5">
        <f t="shared" si="817"/>
        <v>2023</v>
      </c>
      <c r="N2344" s="96">
        <v>1738</v>
      </c>
      <c r="P2344" s="6">
        <f t="shared" si="810"/>
        <v>1738</v>
      </c>
      <c r="Q2344" s="7">
        <f t="shared" si="812"/>
        <v>3892498.2500000023</v>
      </c>
      <c r="R2344" s="44" t="str">
        <f>VLOOKUP(F2344,'Set up'!$A$2:$E$48,5,FALSE)</f>
        <v>PD Chq</v>
      </c>
    </row>
    <row r="2345" spans="1:18" ht="15" hidden="1" customHeight="1" x14ac:dyDescent="0.3">
      <c r="A2345" s="4">
        <v>45255</v>
      </c>
      <c r="B2345" s="5">
        <f t="shared" si="813"/>
        <v>11</v>
      </c>
      <c r="C2345" s="5">
        <f t="shared" si="814"/>
        <v>2023</v>
      </c>
      <c r="D2345" s="88" t="s">
        <v>2245</v>
      </c>
      <c r="E2345" s="5" t="str">
        <f>VLOOKUP(F2345,'Set up'!$A$2:$C$48,2,FALSE)</f>
        <v>C00000021</v>
      </c>
      <c r="F2345" s="1" t="s">
        <v>492</v>
      </c>
      <c r="G2345" s="99" t="s">
        <v>914</v>
      </c>
      <c r="H2345" s="5">
        <v>2</v>
      </c>
      <c r="I2345" s="5" t="str">
        <f>VLOOKUP(F2345,'Set up'!$A$2:$C$48,3,FALSE)</f>
        <v>Cash</v>
      </c>
      <c r="J2345" s="5">
        <f>VLOOKUP(F2345,'Set up'!$A$2:$D$48,4,FALSE)</f>
        <v>0</v>
      </c>
      <c r="K2345" s="4">
        <f t="shared" si="815"/>
        <v>45255</v>
      </c>
      <c r="L2345" s="5">
        <f t="shared" si="816"/>
        <v>11</v>
      </c>
      <c r="M2345" s="5">
        <f t="shared" si="817"/>
        <v>2023</v>
      </c>
      <c r="N2345" s="96">
        <v>450</v>
      </c>
      <c r="P2345" s="6">
        <f t="shared" si="810"/>
        <v>450</v>
      </c>
      <c r="Q2345" s="7">
        <f t="shared" si="812"/>
        <v>3892948.2500000023</v>
      </c>
      <c r="R2345" s="44" t="str">
        <f>VLOOKUP(F2345,'Set up'!$A$2:$E$48,5,FALSE)</f>
        <v>PD Chq</v>
      </c>
    </row>
    <row r="2346" spans="1:18" ht="15" hidden="1" customHeight="1" x14ac:dyDescent="0.3">
      <c r="A2346" s="4">
        <v>45255</v>
      </c>
      <c r="B2346" s="5">
        <f t="shared" si="813"/>
        <v>11</v>
      </c>
      <c r="C2346" s="5">
        <f t="shared" si="814"/>
        <v>2023</v>
      </c>
      <c r="D2346" s="88" t="s">
        <v>2245</v>
      </c>
      <c r="E2346" s="5" t="str">
        <f>VLOOKUP(F2346,'Set up'!$A$2:$C$48,2,FALSE)</f>
        <v>C00000021</v>
      </c>
      <c r="F2346" s="1" t="s">
        <v>492</v>
      </c>
      <c r="G2346" s="99" t="s">
        <v>801</v>
      </c>
      <c r="H2346" s="5">
        <v>1</v>
      </c>
      <c r="I2346" s="5" t="str">
        <f>VLOOKUP(F2346,'Set up'!$A$2:$C$48,3,FALSE)</f>
        <v>Cash</v>
      </c>
      <c r="J2346" s="5">
        <f>VLOOKUP(F2346,'Set up'!$A$2:$D$48,4,FALSE)</f>
        <v>0</v>
      </c>
      <c r="K2346" s="4">
        <f t="shared" si="815"/>
        <v>45255</v>
      </c>
      <c r="L2346" s="5">
        <f t="shared" si="816"/>
        <v>11</v>
      </c>
      <c r="M2346" s="5">
        <f t="shared" si="817"/>
        <v>2023</v>
      </c>
      <c r="N2346" s="96">
        <v>225</v>
      </c>
      <c r="P2346" s="6">
        <f t="shared" si="810"/>
        <v>225</v>
      </c>
      <c r="Q2346" s="7">
        <f t="shared" si="812"/>
        <v>3893173.2500000023</v>
      </c>
      <c r="R2346" s="44" t="str">
        <f>VLOOKUP(F2346,'Set up'!$A$2:$E$48,5,FALSE)</f>
        <v>PD Chq</v>
      </c>
    </row>
    <row r="2347" spans="1:18" ht="15" hidden="1" customHeight="1" x14ac:dyDescent="0.3">
      <c r="A2347" s="4">
        <v>45255</v>
      </c>
      <c r="B2347" s="5">
        <f t="shared" si="813"/>
        <v>11</v>
      </c>
      <c r="C2347" s="5">
        <f t="shared" si="814"/>
        <v>2023</v>
      </c>
      <c r="D2347" s="88" t="s">
        <v>2245</v>
      </c>
      <c r="E2347" s="5" t="str">
        <f>VLOOKUP(F2347,'Set up'!$A$2:$C$48,2,FALSE)</f>
        <v>C00000021</v>
      </c>
      <c r="F2347" s="1" t="s">
        <v>492</v>
      </c>
      <c r="G2347" s="99" t="s">
        <v>1062</v>
      </c>
      <c r="H2347" s="5">
        <v>1</v>
      </c>
      <c r="I2347" s="5" t="str">
        <f>VLOOKUP(F2347,'Set up'!$A$2:$C$48,3,FALSE)</f>
        <v>Cash</v>
      </c>
      <c r="J2347" s="5">
        <f>VLOOKUP(F2347,'Set up'!$A$2:$D$48,4,FALSE)</f>
        <v>0</v>
      </c>
      <c r="K2347" s="4">
        <f t="shared" si="815"/>
        <v>45255</v>
      </c>
      <c r="L2347" s="5">
        <f t="shared" si="816"/>
        <v>11</v>
      </c>
      <c r="M2347" s="5">
        <f t="shared" si="817"/>
        <v>2023</v>
      </c>
      <c r="N2347" s="96">
        <v>95</v>
      </c>
      <c r="P2347" s="6">
        <f t="shared" si="810"/>
        <v>95</v>
      </c>
      <c r="Q2347" s="7">
        <f t="shared" si="812"/>
        <v>3893268.2500000023</v>
      </c>
      <c r="R2347" s="44" t="str">
        <f>VLOOKUP(F2347,'Set up'!$A$2:$E$48,5,FALSE)</f>
        <v>PD Chq</v>
      </c>
    </row>
    <row r="2348" spans="1:18" ht="15" hidden="1" customHeight="1" x14ac:dyDescent="0.3">
      <c r="A2348" s="4">
        <v>45257</v>
      </c>
      <c r="B2348" s="5">
        <f t="shared" si="813"/>
        <v>11</v>
      </c>
      <c r="C2348" s="5">
        <f t="shared" si="814"/>
        <v>2023</v>
      </c>
      <c r="D2348" s="88" t="s">
        <v>2246</v>
      </c>
      <c r="E2348" s="5" t="str">
        <f>VLOOKUP(F2348,'Set up'!$A$2:$C$48,2,FALSE)</f>
        <v>C00000027</v>
      </c>
      <c r="F2348" s="1" t="s">
        <v>860</v>
      </c>
      <c r="G2348" s="99" t="s">
        <v>67</v>
      </c>
      <c r="H2348" s="5">
        <v>2</v>
      </c>
      <c r="I2348" s="5" t="str">
        <f>VLOOKUP(F2348,'Set up'!$A$2:$C$48,3,FALSE)</f>
        <v>Cash</v>
      </c>
      <c r="J2348" s="5">
        <f>VLOOKUP(F2348,'Set up'!$A$2:$D$48,4,FALSE)</f>
        <v>0</v>
      </c>
      <c r="K2348" s="4">
        <f t="shared" si="815"/>
        <v>45257</v>
      </c>
      <c r="L2348" s="5">
        <f t="shared" si="816"/>
        <v>11</v>
      </c>
      <c r="M2348" s="5">
        <f t="shared" si="817"/>
        <v>2023</v>
      </c>
      <c r="N2348" s="96">
        <v>3476</v>
      </c>
      <c r="P2348" s="6">
        <f t="shared" si="810"/>
        <v>3476</v>
      </c>
      <c r="Q2348" s="7">
        <f t="shared" si="812"/>
        <v>3896744.2500000023</v>
      </c>
      <c r="R2348" s="44" t="str">
        <f>VLOOKUP(F2348,'Set up'!$A$2:$E$48,5,FALSE)</f>
        <v>Trsf</v>
      </c>
    </row>
    <row r="2349" spans="1:18" ht="15" hidden="1" customHeight="1" x14ac:dyDescent="0.3">
      <c r="A2349" s="4">
        <v>45257</v>
      </c>
      <c r="B2349" s="5">
        <f t="shared" si="813"/>
        <v>11</v>
      </c>
      <c r="C2349" s="5">
        <f t="shared" si="814"/>
        <v>2023</v>
      </c>
      <c r="D2349" s="88" t="s">
        <v>2246</v>
      </c>
      <c r="E2349" s="5" t="str">
        <f>VLOOKUP(F2349,'Set up'!$A$2:$C$48,2,FALSE)</f>
        <v>C00000027</v>
      </c>
      <c r="F2349" s="1" t="s">
        <v>860</v>
      </c>
      <c r="G2349" s="99" t="s">
        <v>2112</v>
      </c>
      <c r="H2349" s="5">
        <v>1</v>
      </c>
      <c r="I2349" s="5" t="str">
        <f>VLOOKUP(F2349,'Set up'!$A$2:$C$48,3,FALSE)</f>
        <v>Cash</v>
      </c>
      <c r="J2349" s="5">
        <f>VLOOKUP(F2349,'Set up'!$A$2:$D$48,4,FALSE)</f>
        <v>0</v>
      </c>
      <c r="K2349" s="4">
        <f t="shared" si="815"/>
        <v>45257</v>
      </c>
      <c r="L2349" s="5">
        <f t="shared" si="816"/>
        <v>11</v>
      </c>
      <c r="M2349" s="5">
        <f t="shared" si="817"/>
        <v>2023</v>
      </c>
      <c r="N2349" s="96">
        <v>281.60000000000002</v>
      </c>
      <c r="P2349" s="6">
        <f t="shared" si="810"/>
        <v>281.60000000000002</v>
      </c>
      <c r="Q2349" s="7">
        <f t="shared" si="812"/>
        <v>3897025.8500000024</v>
      </c>
      <c r="R2349" s="44" t="str">
        <f>VLOOKUP(F2349,'Set up'!$A$2:$E$48,5,FALSE)</f>
        <v>Trsf</v>
      </c>
    </row>
    <row r="2350" spans="1:18" ht="15" hidden="1" customHeight="1" x14ac:dyDescent="0.3">
      <c r="A2350" s="4">
        <v>45257</v>
      </c>
      <c r="B2350" s="5">
        <f t="shared" si="813"/>
        <v>11</v>
      </c>
      <c r="C2350" s="5">
        <f t="shared" si="814"/>
        <v>2023</v>
      </c>
      <c r="D2350" s="88" t="s">
        <v>2246</v>
      </c>
      <c r="E2350" s="5" t="str">
        <f>VLOOKUP(F2350,'Set up'!$A$2:$C$48,2,FALSE)</f>
        <v>C00000027</v>
      </c>
      <c r="F2350" s="1" t="s">
        <v>860</v>
      </c>
      <c r="G2350" s="99" t="s">
        <v>1461</v>
      </c>
      <c r="H2350" s="5">
        <v>1</v>
      </c>
      <c r="I2350" s="5" t="str">
        <f>VLOOKUP(F2350,'Set up'!$A$2:$C$48,3,FALSE)</f>
        <v>Cash</v>
      </c>
      <c r="J2350" s="5">
        <f>VLOOKUP(F2350,'Set up'!$A$2:$D$48,4,FALSE)</f>
        <v>0</v>
      </c>
      <c r="K2350" s="4">
        <f t="shared" si="815"/>
        <v>45257</v>
      </c>
      <c r="L2350" s="5">
        <f t="shared" si="816"/>
        <v>11</v>
      </c>
      <c r="M2350" s="5">
        <f t="shared" si="817"/>
        <v>2023</v>
      </c>
      <c r="N2350" s="96">
        <v>170</v>
      </c>
      <c r="P2350" s="6">
        <f t="shared" si="810"/>
        <v>170</v>
      </c>
      <c r="Q2350" s="7">
        <f t="shared" si="812"/>
        <v>3897195.8500000024</v>
      </c>
      <c r="R2350" s="44" t="str">
        <f>VLOOKUP(F2350,'Set up'!$A$2:$E$48,5,FALSE)</f>
        <v>Trsf</v>
      </c>
    </row>
    <row r="2351" spans="1:18" ht="15" hidden="1" customHeight="1" x14ac:dyDescent="0.3">
      <c r="A2351" s="4">
        <v>45257</v>
      </c>
      <c r="B2351" s="5">
        <f t="shared" si="813"/>
        <v>11</v>
      </c>
      <c r="C2351" s="5">
        <f t="shared" si="814"/>
        <v>2023</v>
      </c>
      <c r="D2351" s="88" t="s">
        <v>2246</v>
      </c>
      <c r="E2351" s="5" t="str">
        <f>VLOOKUP(F2351,'Set up'!$A$2:$C$48,2,FALSE)</f>
        <v>C00000027</v>
      </c>
      <c r="F2351" s="1" t="s">
        <v>860</v>
      </c>
      <c r="G2351" s="99" t="s">
        <v>1745</v>
      </c>
      <c r="H2351" s="5">
        <v>1</v>
      </c>
      <c r="I2351" s="5" t="str">
        <f>VLOOKUP(F2351,'Set up'!$A$2:$C$48,3,FALSE)</f>
        <v>Cash</v>
      </c>
      <c r="J2351" s="5">
        <f>VLOOKUP(F2351,'Set up'!$A$2:$D$48,4,FALSE)</f>
        <v>0</v>
      </c>
      <c r="K2351" s="4">
        <f t="shared" si="815"/>
        <v>45257</v>
      </c>
      <c r="L2351" s="5">
        <f t="shared" si="816"/>
        <v>11</v>
      </c>
      <c r="M2351" s="5">
        <f t="shared" si="817"/>
        <v>2023</v>
      </c>
      <c r="N2351" s="96">
        <v>1059.5</v>
      </c>
      <c r="P2351" s="6">
        <f t="shared" si="810"/>
        <v>1059.5</v>
      </c>
      <c r="Q2351" s="7">
        <f t="shared" si="812"/>
        <v>3898255.3500000024</v>
      </c>
      <c r="R2351" s="44" t="str">
        <f>VLOOKUP(F2351,'Set up'!$A$2:$E$48,5,FALSE)</f>
        <v>Trsf</v>
      </c>
    </row>
    <row r="2352" spans="1:18" ht="15" customHeight="1" x14ac:dyDescent="0.3">
      <c r="A2352" s="4">
        <v>45258</v>
      </c>
      <c r="B2352" s="5">
        <f t="shared" si="813"/>
        <v>11</v>
      </c>
      <c r="C2352" s="5">
        <f t="shared" si="814"/>
        <v>2023</v>
      </c>
      <c r="D2352" s="88" t="s">
        <v>2247</v>
      </c>
      <c r="E2352" s="5" t="str">
        <f>VLOOKUP(F2352,'Set up'!$A$2:$C$48,2,FALSE)</f>
        <v>C00000042</v>
      </c>
      <c r="F2352" s="1" t="s">
        <v>2014</v>
      </c>
      <c r="G2352" s="99" t="s">
        <v>1111</v>
      </c>
      <c r="H2352" s="5">
        <v>3</v>
      </c>
      <c r="I2352" s="5" t="str">
        <f>VLOOKUP(F2352,'Set up'!$A$2:$C$48,3,FALSE)</f>
        <v>Cash</v>
      </c>
      <c r="J2352" s="5">
        <f>VLOOKUP(F2352,'Set up'!$A$2:$D$48,4,FALSE)</f>
        <v>0</v>
      </c>
      <c r="K2352" s="4">
        <f t="shared" si="815"/>
        <v>45258</v>
      </c>
      <c r="L2352" s="5">
        <f t="shared" si="816"/>
        <v>11</v>
      </c>
      <c r="M2352" s="5">
        <f t="shared" si="817"/>
        <v>2023</v>
      </c>
      <c r="N2352" s="96">
        <v>187.5</v>
      </c>
      <c r="P2352" s="6">
        <f t="shared" si="810"/>
        <v>187.5</v>
      </c>
      <c r="Q2352" s="7">
        <f t="shared" si="812"/>
        <v>3898442.8500000024</v>
      </c>
      <c r="R2352" s="44" t="str">
        <f>VLOOKUP(F2352,'Set up'!$A$2:$E$48,5,FALSE)</f>
        <v>Trsf</v>
      </c>
    </row>
    <row r="2353" spans="1:18" ht="15" customHeight="1" x14ac:dyDescent="0.3">
      <c r="A2353" s="4">
        <v>45258</v>
      </c>
      <c r="B2353" s="5">
        <f t="shared" si="813"/>
        <v>11</v>
      </c>
      <c r="C2353" s="5">
        <f t="shared" si="814"/>
        <v>2023</v>
      </c>
      <c r="D2353" s="88" t="s">
        <v>2248</v>
      </c>
      <c r="E2353" s="5" t="str">
        <f>VLOOKUP(F2353,'Set up'!$A$2:$C$48,2,FALSE)</f>
        <v>C00000042</v>
      </c>
      <c r="F2353" s="1" t="s">
        <v>2014</v>
      </c>
      <c r="G2353" s="99" t="s">
        <v>1734</v>
      </c>
      <c r="H2353" s="5">
        <v>3</v>
      </c>
      <c r="I2353" s="5" t="str">
        <f>VLOOKUP(F2353,'Set up'!$A$2:$C$48,3,FALSE)</f>
        <v>Cash</v>
      </c>
      <c r="J2353" s="5">
        <f>VLOOKUP(F2353,'Set up'!$A$2:$D$48,4,FALSE)</f>
        <v>0</v>
      </c>
      <c r="K2353" s="4">
        <f t="shared" si="815"/>
        <v>45258</v>
      </c>
      <c r="L2353" s="5">
        <f t="shared" si="816"/>
        <v>11</v>
      </c>
      <c r="M2353" s="5">
        <f t="shared" si="817"/>
        <v>2023</v>
      </c>
      <c r="N2353" s="96">
        <v>4818</v>
      </c>
      <c r="P2353" s="6">
        <f t="shared" si="810"/>
        <v>4818</v>
      </c>
      <c r="Q2353" s="7">
        <f t="shared" si="812"/>
        <v>3903260.8500000024</v>
      </c>
      <c r="R2353" s="44" t="str">
        <f>VLOOKUP(F2353,'Set up'!$A$2:$E$48,5,FALSE)</f>
        <v>Trsf</v>
      </c>
    </row>
    <row r="2354" spans="1:18" ht="15" customHeight="1" x14ac:dyDescent="0.3">
      <c r="A2354" s="4">
        <v>45258</v>
      </c>
      <c r="B2354" s="5">
        <f t="shared" si="813"/>
        <v>11</v>
      </c>
      <c r="C2354" s="5">
        <f t="shared" si="814"/>
        <v>2023</v>
      </c>
      <c r="D2354" s="88" t="s">
        <v>2248</v>
      </c>
      <c r="E2354" s="5" t="str">
        <f>VLOOKUP(F2354,'Set up'!$A$2:$C$48,2,FALSE)</f>
        <v>C00000042</v>
      </c>
      <c r="F2354" s="1" t="s">
        <v>2014</v>
      </c>
      <c r="G2354" s="99" t="s">
        <v>2110</v>
      </c>
      <c r="H2354" s="5">
        <v>9</v>
      </c>
      <c r="I2354" s="5" t="str">
        <f>VLOOKUP(F2354,'Set up'!$A$2:$C$48,3,FALSE)</f>
        <v>Cash</v>
      </c>
      <c r="J2354" s="5">
        <f>VLOOKUP(F2354,'Set up'!$A$2:$D$48,4,FALSE)</f>
        <v>0</v>
      </c>
      <c r="K2354" s="4">
        <f t="shared" si="815"/>
        <v>45258</v>
      </c>
      <c r="L2354" s="5">
        <f t="shared" si="816"/>
        <v>11</v>
      </c>
      <c r="M2354" s="5">
        <f t="shared" si="817"/>
        <v>2023</v>
      </c>
      <c r="N2354" s="96">
        <v>1931.4</v>
      </c>
      <c r="P2354" s="6">
        <f t="shared" si="810"/>
        <v>1931.4</v>
      </c>
      <c r="Q2354" s="7">
        <f t="shared" si="812"/>
        <v>3905192.2500000023</v>
      </c>
      <c r="R2354" s="44" t="str">
        <f>VLOOKUP(F2354,'Set up'!$A$2:$E$48,5,FALSE)</f>
        <v>Trsf</v>
      </c>
    </row>
    <row r="2355" spans="1:18" ht="15" customHeight="1" x14ac:dyDescent="0.3">
      <c r="A2355" s="4">
        <v>45258</v>
      </c>
      <c r="B2355" s="5">
        <f t="shared" si="813"/>
        <v>11</v>
      </c>
      <c r="C2355" s="5">
        <f t="shared" si="814"/>
        <v>2023</v>
      </c>
      <c r="D2355" s="88" t="s">
        <v>2248</v>
      </c>
      <c r="E2355" s="5" t="str">
        <f>VLOOKUP(F2355,'Set up'!$A$2:$C$48,2,FALSE)</f>
        <v>C00000042</v>
      </c>
      <c r="F2355" s="1" t="s">
        <v>2014</v>
      </c>
      <c r="G2355" s="99" t="s">
        <v>1923</v>
      </c>
      <c r="H2355" s="5">
        <v>4</v>
      </c>
      <c r="I2355" s="5" t="str">
        <f>VLOOKUP(F2355,'Set up'!$A$2:$C$48,3,FALSE)</f>
        <v>Cash</v>
      </c>
      <c r="J2355" s="5">
        <f>VLOOKUP(F2355,'Set up'!$A$2:$D$48,4,FALSE)</f>
        <v>0</v>
      </c>
      <c r="K2355" s="4">
        <f t="shared" si="815"/>
        <v>45258</v>
      </c>
      <c r="L2355" s="5">
        <f t="shared" si="816"/>
        <v>11</v>
      </c>
      <c r="M2355" s="5">
        <f t="shared" si="817"/>
        <v>2023</v>
      </c>
      <c r="N2355" s="96">
        <v>936</v>
      </c>
      <c r="P2355" s="6">
        <f t="shared" si="810"/>
        <v>936</v>
      </c>
      <c r="Q2355" s="7">
        <f t="shared" si="812"/>
        <v>3906128.2500000023</v>
      </c>
      <c r="R2355" s="44" t="str">
        <f>VLOOKUP(F2355,'Set up'!$A$2:$E$48,5,FALSE)</f>
        <v>Trsf</v>
      </c>
    </row>
    <row r="2356" spans="1:18" ht="15" customHeight="1" x14ac:dyDescent="0.3">
      <c r="A2356" s="4">
        <v>45258</v>
      </c>
      <c r="B2356" s="5">
        <f t="shared" si="813"/>
        <v>11</v>
      </c>
      <c r="C2356" s="5">
        <f t="shared" si="814"/>
        <v>2023</v>
      </c>
      <c r="D2356" s="88" t="s">
        <v>2248</v>
      </c>
      <c r="E2356" s="5" t="str">
        <f>VLOOKUP(F2356,'Set up'!$A$2:$C$48,2,FALSE)</f>
        <v>C00000042</v>
      </c>
      <c r="F2356" s="1" t="s">
        <v>2014</v>
      </c>
      <c r="G2356" s="99" t="s">
        <v>1062</v>
      </c>
      <c r="H2356" s="5">
        <v>4</v>
      </c>
      <c r="I2356" s="5" t="str">
        <f>VLOOKUP(F2356,'Set up'!$A$2:$C$48,3,FALSE)</f>
        <v>Cash</v>
      </c>
      <c r="J2356" s="5">
        <f>VLOOKUP(F2356,'Set up'!$A$2:$D$48,4,FALSE)</f>
        <v>0</v>
      </c>
      <c r="K2356" s="4">
        <f t="shared" si="815"/>
        <v>45258</v>
      </c>
      <c r="L2356" s="5">
        <f t="shared" si="816"/>
        <v>11</v>
      </c>
      <c r="M2356" s="5">
        <f t="shared" si="817"/>
        <v>2023</v>
      </c>
      <c r="N2356" s="96">
        <v>380</v>
      </c>
      <c r="P2356" s="6">
        <f t="shared" si="810"/>
        <v>380</v>
      </c>
      <c r="Q2356" s="7">
        <f t="shared" si="812"/>
        <v>3906508.2500000023</v>
      </c>
      <c r="R2356" s="44" t="str">
        <f>VLOOKUP(F2356,'Set up'!$A$2:$E$48,5,FALSE)</f>
        <v>Trsf</v>
      </c>
    </row>
    <row r="2357" spans="1:18" ht="15" hidden="1" customHeight="1" x14ac:dyDescent="0.3">
      <c r="A2357" s="4">
        <v>45259</v>
      </c>
      <c r="B2357" s="5">
        <f t="shared" si="813"/>
        <v>11</v>
      </c>
      <c r="C2357" s="5">
        <f t="shared" si="814"/>
        <v>2023</v>
      </c>
      <c r="D2357" s="88" t="s">
        <v>2249</v>
      </c>
      <c r="E2357" s="5" t="str">
        <f>VLOOKUP(F2357,'Set up'!$A$2:$C$48,2,FALSE)</f>
        <v>C00000019</v>
      </c>
      <c r="F2357" s="1" t="s">
        <v>401</v>
      </c>
      <c r="G2357" s="99" t="s">
        <v>95</v>
      </c>
      <c r="H2357" s="5">
        <v>1</v>
      </c>
      <c r="I2357" s="5" t="str">
        <f>VLOOKUP(F2357,'Set up'!$A$2:$C$48,3,FALSE)</f>
        <v>Cash</v>
      </c>
      <c r="J2357" s="5">
        <f>VLOOKUP(F2357,'Set up'!$A$2:$D$48,4,FALSE)</f>
        <v>0</v>
      </c>
      <c r="K2357" s="4">
        <f t="shared" si="815"/>
        <v>45259</v>
      </c>
      <c r="L2357" s="5">
        <f t="shared" si="816"/>
        <v>11</v>
      </c>
      <c r="M2357" s="5">
        <f t="shared" si="817"/>
        <v>2023</v>
      </c>
      <c r="N2357" s="96">
        <v>1738</v>
      </c>
      <c r="P2357" s="6">
        <f t="shared" si="810"/>
        <v>1738</v>
      </c>
      <c r="Q2357" s="7">
        <f t="shared" si="812"/>
        <v>3908246.2500000023</v>
      </c>
      <c r="R2357" s="44" t="str">
        <f>VLOOKUP(F2357,'Set up'!$A$2:$E$48,5,FALSE)</f>
        <v>Trsf</v>
      </c>
    </row>
    <row r="2358" spans="1:18" ht="15" hidden="1" customHeight="1" x14ac:dyDescent="0.3">
      <c r="A2358" s="4">
        <v>45259</v>
      </c>
      <c r="B2358" s="5">
        <f t="shared" si="813"/>
        <v>11</v>
      </c>
      <c r="C2358" s="5">
        <f t="shared" si="814"/>
        <v>2023</v>
      </c>
      <c r="D2358" s="88" t="s">
        <v>2249</v>
      </c>
      <c r="E2358" s="5" t="str">
        <f>VLOOKUP(F2358,'Set up'!$A$2:$C$48,2,FALSE)</f>
        <v>C00000019</v>
      </c>
      <c r="F2358" s="1" t="s">
        <v>401</v>
      </c>
      <c r="G2358" s="99" t="s">
        <v>1412</v>
      </c>
      <c r="H2358" s="5">
        <v>1</v>
      </c>
      <c r="I2358" s="5" t="str">
        <f>VLOOKUP(F2358,'Set up'!$A$2:$C$48,3,FALSE)</f>
        <v>Cash</v>
      </c>
      <c r="J2358" s="5">
        <f>VLOOKUP(F2358,'Set up'!$A$2:$D$48,4,FALSE)</f>
        <v>0</v>
      </c>
      <c r="K2358" s="4">
        <f t="shared" si="815"/>
        <v>45259</v>
      </c>
      <c r="L2358" s="5">
        <f t="shared" si="816"/>
        <v>11</v>
      </c>
      <c r="M2358" s="5">
        <f t="shared" si="817"/>
        <v>2023</v>
      </c>
      <c r="N2358" s="96">
        <v>405</v>
      </c>
      <c r="P2358" s="6">
        <f t="shared" si="810"/>
        <v>405</v>
      </c>
      <c r="Q2358" s="7">
        <f t="shared" si="812"/>
        <v>3908651.2500000023</v>
      </c>
      <c r="R2358" s="44" t="str">
        <f>VLOOKUP(F2358,'Set up'!$A$2:$E$48,5,FALSE)</f>
        <v>Trsf</v>
      </c>
    </row>
    <row r="2359" spans="1:18" ht="15" hidden="1" customHeight="1" x14ac:dyDescent="0.3">
      <c r="A2359" s="4">
        <v>45259</v>
      </c>
      <c r="B2359" s="5">
        <f t="shared" si="813"/>
        <v>11</v>
      </c>
      <c r="C2359" s="5">
        <f t="shared" si="814"/>
        <v>2023</v>
      </c>
      <c r="D2359" s="88" t="s">
        <v>2249</v>
      </c>
      <c r="E2359" s="5" t="str">
        <f>VLOOKUP(F2359,'Set up'!$A$2:$C$48,2,FALSE)</f>
        <v>C00000019</v>
      </c>
      <c r="F2359" s="1" t="s">
        <v>401</v>
      </c>
      <c r="G2359" s="99" t="s">
        <v>792</v>
      </c>
      <c r="H2359" s="5">
        <v>3</v>
      </c>
      <c r="I2359" s="5" t="str">
        <f>VLOOKUP(F2359,'Set up'!$A$2:$C$48,3,FALSE)</f>
        <v>Cash</v>
      </c>
      <c r="J2359" s="5">
        <f>VLOOKUP(F2359,'Set up'!$A$2:$D$48,4,FALSE)</f>
        <v>0</v>
      </c>
      <c r="K2359" s="4">
        <f t="shared" si="815"/>
        <v>45259</v>
      </c>
      <c r="L2359" s="5">
        <f t="shared" si="816"/>
        <v>11</v>
      </c>
      <c r="M2359" s="5">
        <f t="shared" si="817"/>
        <v>2023</v>
      </c>
      <c r="N2359" s="96">
        <v>187.5</v>
      </c>
      <c r="P2359" s="6">
        <f t="shared" si="810"/>
        <v>187.5</v>
      </c>
      <c r="Q2359" s="7">
        <f t="shared" si="812"/>
        <v>3908838.7500000023</v>
      </c>
      <c r="R2359" s="44" t="str">
        <f>VLOOKUP(F2359,'Set up'!$A$2:$E$48,5,FALSE)</f>
        <v>Trsf</v>
      </c>
    </row>
    <row r="2360" spans="1:18" ht="15" hidden="1" customHeight="1" x14ac:dyDescent="0.3">
      <c r="A2360" s="4">
        <v>45259</v>
      </c>
      <c r="B2360" s="5">
        <f t="shared" si="813"/>
        <v>11</v>
      </c>
      <c r="C2360" s="5">
        <f t="shared" si="814"/>
        <v>2023</v>
      </c>
      <c r="D2360" s="88" t="s">
        <v>2249</v>
      </c>
      <c r="E2360" s="5" t="str">
        <f>VLOOKUP(F2360,'Set up'!$A$2:$C$48,2,FALSE)</f>
        <v>C00000019</v>
      </c>
      <c r="F2360" s="1" t="s">
        <v>401</v>
      </c>
      <c r="G2360" s="99" t="s">
        <v>2130</v>
      </c>
      <c r="H2360" s="5">
        <v>1</v>
      </c>
      <c r="I2360" s="5" t="str">
        <f>VLOOKUP(F2360,'Set up'!$A$2:$C$48,3,FALSE)</f>
        <v>Cash</v>
      </c>
      <c r="J2360" s="5">
        <f>VLOOKUP(F2360,'Set up'!$A$2:$D$48,4,FALSE)</f>
        <v>0</v>
      </c>
      <c r="K2360" s="4">
        <f t="shared" si="815"/>
        <v>45259</v>
      </c>
      <c r="L2360" s="5">
        <f t="shared" si="816"/>
        <v>11</v>
      </c>
      <c r="M2360" s="5">
        <f t="shared" si="817"/>
        <v>2023</v>
      </c>
      <c r="N2360" s="96">
        <v>283.8</v>
      </c>
      <c r="P2360" s="6">
        <f t="shared" si="810"/>
        <v>283.8</v>
      </c>
      <c r="Q2360" s="7">
        <f t="shared" si="812"/>
        <v>3909122.5500000021</v>
      </c>
      <c r="R2360" s="44" t="str">
        <f>VLOOKUP(F2360,'Set up'!$A$2:$E$48,5,FALSE)</f>
        <v>Trsf</v>
      </c>
    </row>
    <row r="2361" spans="1:18" ht="15" hidden="1" customHeight="1" x14ac:dyDescent="0.3">
      <c r="A2361" s="4">
        <v>45259</v>
      </c>
      <c r="B2361" s="5">
        <f t="shared" si="813"/>
        <v>11</v>
      </c>
      <c r="C2361" s="5">
        <f t="shared" si="814"/>
        <v>2023</v>
      </c>
      <c r="D2361" s="88" t="s">
        <v>2249</v>
      </c>
      <c r="E2361" s="5" t="str">
        <f>VLOOKUP(F2361,'Set up'!$A$2:$C$48,2,FALSE)</f>
        <v>C00000019</v>
      </c>
      <c r="F2361" s="1" t="s">
        <v>401</v>
      </c>
      <c r="G2361" s="99" t="s">
        <v>1470</v>
      </c>
      <c r="H2361" s="5">
        <v>1</v>
      </c>
      <c r="I2361" s="5" t="str">
        <f>VLOOKUP(F2361,'Set up'!$A$2:$C$48,3,FALSE)</f>
        <v>Cash</v>
      </c>
      <c r="J2361" s="5">
        <f>VLOOKUP(F2361,'Set up'!$A$2:$D$48,4,FALSE)</f>
        <v>0</v>
      </c>
      <c r="K2361" s="4">
        <f t="shared" si="815"/>
        <v>45259</v>
      </c>
      <c r="L2361" s="5">
        <f t="shared" si="816"/>
        <v>11</v>
      </c>
      <c r="M2361" s="5">
        <f t="shared" si="817"/>
        <v>2023</v>
      </c>
      <c r="N2361" s="96">
        <v>390</v>
      </c>
      <c r="P2361" s="6">
        <f t="shared" si="810"/>
        <v>390</v>
      </c>
      <c r="Q2361" s="7">
        <f t="shared" si="812"/>
        <v>3909512.5500000021</v>
      </c>
      <c r="R2361" s="44" t="str">
        <f>VLOOKUP(F2361,'Set up'!$A$2:$E$48,5,FALSE)</f>
        <v>Trsf</v>
      </c>
    </row>
    <row r="2362" spans="1:18" ht="15" hidden="1" customHeight="1" x14ac:dyDescent="0.3">
      <c r="A2362" s="4">
        <v>45259</v>
      </c>
      <c r="B2362" s="5">
        <f t="shared" si="813"/>
        <v>11</v>
      </c>
      <c r="C2362" s="5">
        <f t="shared" si="814"/>
        <v>2023</v>
      </c>
      <c r="D2362" s="88" t="s">
        <v>2249</v>
      </c>
      <c r="E2362" s="5" t="str">
        <f>VLOOKUP(F2362,'Set up'!$A$2:$C$48,2,FALSE)</f>
        <v>C00000019</v>
      </c>
      <c r="F2362" s="1" t="s">
        <v>401</v>
      </c>
      <c r="G2362" s="99" t="s">
        <v>945</v>
      </c>
      <c r="H2362" s="5">
        <v>1</v>
      </c>
      <c r="I2362" s="5" t="str">
        <f>VLOOKUP(F2362,'Set up'!$A$2:$C$48,3,FALSE)</f>
        <v>Cash</v>
      </c>
      <c r="J2362" s="5">
        <f>VLOOKUP(F2362,'Set up'!$A$2:$D$48,4,FALSE)</f>
        <v>0</v>
      </c>
      <c r="K2362" s="4">
        <f t="shared" si="815"/>
        <v>45259</v>
      </c>
      <c r="L2362" s="5">
        <f t="shared" si="816"/>
        <v>11</v>
      </c>
      <c r="M2362" s="5">
        <f t="shared" si="817"/>
        <v>2023</v>
      </c>
      <c r="N2362" s="96">
        <v>420</v>
      </c>
      <c r="P2362" s="6">
        <f t="shared" si="810"/>
        <v>420</v>
      </c>
      <c r="Q2362" s="7">
        <f t="shared" si="812"/>
        <v>3909932.5500000021</v>
      </c>
      <c r="R2362" s="44" t="str">
        <f>VLOOKUP(F2362,'Set up'!$A$2:$E$48,5,FALSE)</f>
        <v>Trsf</v>
      </c>
    </row>
    <row r="2363" spans="1:18" ht="15" hidden="1" customHeight="1" x14ac:dyDescent="0.3">
      <c r="A2363" s="4">
        <v>45261</v>
      </c>
      <c r="B2363" s="5">
        <f t="shared" ref="B2363:B2426" si="818">MONTH(A2363)</f>
        <v>12</v>
      </c>
      <c r="C2363" s="5">
        <f t="shared" ref="C2363:C2426" si="819">YEAR(A2363)</f>
        <v>2023</v>
      </c>
      <c r="D2363" s="88" t="s">
        <v>2250</v>
      </c>
      <c r="E2363" s="5" t="str">
        <f>VLOOKUP(F2363,'Set up'!$A$2:$C$48,2,FALSE)</f>
        <v>C00000010</v>
      </c>
      <c r="F2363" s="1" t="s">
        <v>62</v>
      </c>
      <c r="G2363" s="99" t="s">
        <v>1179</v>
      </c>
      <c r="H2363" s="5">
        <v>1</v>
      </c>
      <c r="I2363" s="5">
        <f>VLOOKUP(F2363,'Set up'!$A$2:$C$48,3,FALSE)</f>
        <v>120</v>
      </c>
      <c r="J2363" s="5">
        <f>VLOOKUP(F2363,'Set up'!$A$2:$D$48,4,FALSE)</f>
        <v>120</v>
      </c>
      <c r="K2363" s="4">
        <f t="shared" ref="K2363:K2426" si="820">A2363+J2363</f>
        <v>45381</v>
      </c>
      <c r="L2363" s="5">
        <f t="shared" ref="L2363:L2426" si="821">MONTH(K2363)</f>
        <v>3</v>
      </c>
      <c r="M2363" s="5">
        <f t="shared" ref="M2363:M2426" si="822">YEAR(K2363)</f>
        <v>2024</v>
      </c>
      <c r="N2363" s="96">
        <v>9636</v>
      </c>
      <c r="P2363" s="6">
        <f t="shared" si="810"/>
        <v>9636</v>
      </c>
      <c r="Q2363" s="7">
        <f t="shared" si="812"/>
        <v>3919568.5500000021</v>
      </c>
      <c r="R2363" s="44" t="str">
        <f>VLOOKUP(F2363,'Set up'!$A$2:$E$48,5,FALSE)</f>
        <v>Trsf</v>
      </c>
    </row>
    <row r="2364" spans="1:18" ht="15" hidden="1" customHeight="1" x14ac:dyDescent="0.3">
      <c r="A2364" s="4">
        <v>45261</v>
      </c>
      <c r="B2364" s="5">
        <f t="shared" si="818"/>
        <v>12</v>
      </c>
      <c r="C2364" s="5">
        <f t="shared" si="819"/>
        <v>2023</v>
      </c>
      <c r="D2364" s="88" t="s">
        <v>2250</v>
      </c>
      <c r="E2364" s="5" t="str">
        <f>VLOOKUP(F2364,'Set up'!$A$2:$C$48,2,FALSE)</f>
        <v>C00000010</v>
      </c>
      <c r="F2364" s="1" t="s">
        <v>62</v>
      </c>
      <c r="G2364" s="99" t="s">
        <v>1393</v>
      </c>
      <c r="H2364" s="5">
        <v>10</v>
      </c>
      <c r="I2364" s="5">
        <f>VLOOKUP(F2364,'Set up'!$A$2:$C$48,3,FALSE)</f>
        <v>120</v>
      </c>
      <c r="J2364" s="5">
        <f>VLOOKUP(F2364,'Set up'!$A$2:$D$48,4,FALSE)</f>
        <v>120</v>
      </c>
      <c r="K2364" s="4">
        <f t="shared" si="820"/>
        <v>45381</v>
      </c>
      <c r="L2364" s="5">
        <f t="shared" si="821"/>
        <v>3</v>
      </c>
      <c r="M2364" s="5">
        <f t="shared" si="822"/>
        <v>2024</v>
      </c>
      <c r="N2364" s="96">
        <v>1740</v>
      </c>
      <c r="P2364" s="6">
        <f t="shared" si="810"/>
        <v>1740</v>
      </c>
      <c r="Q2364" s="7">
        <f t="shared" si="812"/>
        <v>3921308.5500000021</v>
      </c>
      <c r="R2364" s="44" t="str">
        <f>VLOOKUP(F2364,'Set up'!$A$2:$E$48,5,FALSE)</f>
        <v>Trsf</v>
      </c>
    </row>
    <row r="2365" spans="1:18" ht="15" hidden="1" customHeight="1" x14ac:dyDescent="0.3">
      <c r="A2365" s="4">
        <v>45261</v>
      </c>
      <c r="B2365" s="5">
        <f t="shared" si="818"/>
        <v>12</v>
      </c>
      <c r="C2365" s="5">
        <f t="shared" si="819"/>
        <v>2023</v>
      </c>
      <c r="D2365" s="88" t="s">
        <v>2250</v>
      </c>
      <c r="E2365" s="5" t="str">
        <f>VLOOKUP(F2365,'Set up'!$A$2:$C$48,2,FALSE)</f>
        <v>C00000010</v>
      </c>
      <c r="F2365" s="1" t="s">
        <v>62</v>
      </c>
      <c r="G2365" s="99" t="s">
        <v>792</v>
      </c>
      <c r="H2365" s="5">
        <v>10</v>
      </c>
      <c r="I2365" s="5">
        <f>VLOOKUP(F2365,'Set up'!$A$2:$C$48,3,FALSE)</f>
        <v>120</v>
      </c>
      <c r="J2365" s="5">
        <f>VLOOKUP(F2365,'Set up'!$A$2:$D$48,4,FALSE)</f>
        <v>120</v>
      </c>
      <c r="K2365" s="4">
        <f t="shared" si="820"/>
        <v>45381</v>
      </c>
      <c r="L2365" s="5">
        <f t="shared" si="821"/>
        <v>3</v>
      </c>
      <c r="M2365" s="5">
        <f t="shared" si="822"/>
        <v>2024</v>
      </c>
      <c r="N2365" s="96">
        <v>575</v>
      </c>
      <c r="P2365" s="6">
        <f t="shared" si="810"/>
        <v>575</v>
      </c>
      <c r="Q2365" s="7">
        <f t="shared" si="812"/>
        <v>3921883.5500000021</v>
      </c>
      <c r="R2365" s="44" t="str">
        <f>VLOOKUP(F2365,'Set up'!$A$2:$E$48,5,FALSE)</f>
        <v>Trsf</v>
      </c>
    </row>
    <row r="2366" spans="1:18" ht="15" hidden="1" customHeight="1" x14ac:dyDescent="0.3">
      <c r="A2366" s="4">
        <v>45261</v>
      </c>
      <c r="B2366" s="5">
        <f t="shared" si="818"/>
        <v>12</v>
      </c>
      <c r="C2366" s="5">
        <f t="shared" si="819"/>
        <v>2023</v>
      </c>
      <c r="D2366" s="88" t="s">
        <v>2250</v>
      </c>
      <c r="E2366" s="5" t="str">
        <f>VLOOKUP(F2366,'Set up'!$A$2:$C$48,2,FALSE)</f>
        <v>C00000010</v>
      </c>
      <c r="F2366" s="1" t="s">
        <v>62</v>
      </c>
      <c r="G2366" s="99" t="s">
        <v>46</v>
      </c>
      <c r="H2366" s="5">
        <v>4</v>
      </c>
      <c r="I2366" s="5">
        <f>VLOOKUP(F2366,'Set up'!$A$2:$C$48,3,FALSE)</f>
        <v>120</v>
      </c>
      <c r="J2366" s="5">
        <f>VLOOKUP(F2366,'Set up'!$A$2:$D$48,4,FALSE)</f>
        <v>120</v>
      </c>
      <c r="K2366" s="4">
        <f t="shared" si="820"/>
        <v>45381</v>
      </c>
      <c r="L2366" s="5">
        <f t="shared" si="821"/>
        <v>3</v>
      </c>
      <c r="M2366" s="5">
        <f t="shared" si="822"/>
        <v>2024</v>
      </c>
      <c r="N2366" s="96">
        <v>420</v>
      </c>
      <c r="P2366" s="6">
        <f t="shared" si="810"/>
        <v>420</v>
      </c>
      <c r="Q2366" s="7">
        <f t="shared" si="812"/>
        <v>3922303.5500000021</v>
      </c>
      <c r="R2366" s="44" t="str">
        <f>VLOOKUP(F2366,'Set up'!$A$2:$E$48,5,FALSE)</f>
        <v>Trsf</v>
      </c>
    </row>
    <row r="2367" spans="1:18" ht="15" hidden="1" customHeight="1" x14ac:dyDescent="0.3">
      <c r="A2367" s="4">
        <v>45261</v>
      </c>
      <c r="B2367" s="5">
        <f t="shared" si="818"/>
        <v>12</v>
      </c>
      <c r="C2367" s="5">
        <f t="shared" si="819"/>
        <v>2023</v>
      </c>
      <c r="D2367" s="88" t="s">
        <v>2250</v>
      </c>
      <c r="E2367" s="5" t="str">
        <f>VLOOKUP(F2367,'Set up'!$A$2:$C$48,2,FALSE)</f>
        <v>C00000010</v>
      </c>
      <c r="F2367" s="1" t="s">
        <v>62</v>
      </c>
      <c r="G2367" s="99" t="s">
        <v>1094</v>
      </c>
      <c r="H2367" s="5">
        <v>4</v>
      </c>
      <c r="I2367" s="5">
        <f>VLOOKUP(F2367,'Set up'!$A$2:$C$48,3,FALSE)</f>
        <v>120</v>
      </c>
      <c r="J2367" s="5">
        <f>VLOOKUP(F2367,'Set up'!$A$2:$D$48,4,FALSE)</f>
        <v>120</v>
      </c>
      <c r="K2367" s="4">
        <f t="shared" si="820"/>
        <v>45381</v>
      </c>
      <c r="L2367" s="5">
        <f t="shared" si="821"/>
        <v>3</v>
      </c>
      <c r="M2367" s="5">
        <f t="shared" si="822"/>
        <v>2024</v>
      </c>
      <c r="N2367" s="96">
        <v>230.4</v>
      </c>
      <c r="P2367" s="6">
        <f t="shared" si="810"/>
        <v>230.4</v>
      </c>
      <c r="Q2367" s="7">
        <f t="shared" si="812"/>
        <v>3922533.950000002</v>
      </c>
      <c r="R2367" s="44" t="str">
        <f>VLOOKUP(F2367,'Set up'!$A$2:$E$48,5,FALSE)</f>
        <v>Trsf</v>
      </c>
    </row>
    <row r="2368" spans="1:18" ht="15" hidden="1" customHeight="1" x14ac:dyDescent="0.3">
      <c r="A2368" s="4">
        <v>45261</v>
      </c>
      <c r="B2368" s="5">
        <f t="shared" si="818"/>
        <v>12</v>
      </c>
      <c r="C2368" s="5">
        <f t="shared" si="819"/>
        <v>2023</v>
      </c>
      <c r="D2368" s="88" t="s">
        <v>2250</v>
      </c>
      <c r="E2368" s="5" t="str">
        <f>VLOOKUP(F2368,'Set up'!$A$2:$C$48,2,FALSE)</f>
        <v>C00000010</v>
      </c>
      <c r="F2368" s="1" t="s">
        <v>62</v>
      </c>
      <c r="G2368" s="99" t="s">
        <v>615</v>
      </c>
      <c r="H2368" s="5">
        <v>1</v>
      </c>
      <c r="I2368" s="5">
        <f>VLOOKUP(F2368,'Set up'!$A$2:$C$48,3,FALSE)</f>
        <v>120</v>
      </c>
      <c r="J2368" s="5">
        <f>VLOOKUP(F2368,'Set up'!$A$2:$D$48,4,FALSE)</f>
        <v>120</v>
      </c>
      <c r="K2368" s="4">
        <f t="shared" si="820"/>
        <v>45381</v>
      </c>
      <c r="L2368" s="5">
        <f t="shared" si="821"/>
        <v>3</v>
      </c>
      <c r="M2368" s="5">
        <f t="shared" si="822"/>
        <v>2024</v>
      </c>
      <c r="N2368" s="96">
        <v>395</v>
      </c>
      <c r="P2368" s="6">
        <f t="shared" si="810"/>
        <v>395</v>
      </c>
      <c r="Q2368" s="7">
        <f t="shared" si="812"/>
        <v>3922928.950000002</v>
      </c>
      <c r="R2368" s="44" t="str">
        <f>VLOOKUP(F2368,'Set up'!$A$2:$E$48,5,FALSE)</f>
        <v>Trsf</v>
      </c>
    </row>
    <row r="2369" spans="1:19" ht="15" customHeight="1" x14ac:dyDescent="0.3">
      <c r="A2369" s="4">
        <v>45261</v>
      </c>
      <c r="B2369" s="5">
        <f t="shared" si="818"/>
        <v>12</v>
      </c>
      <c r="C2369" s="5">
        <f t="shared" si="819"/>
        <v>2023</v>
      </c>
      <c r="D2369" s="88" t="s">
        <v>2251</v>
      </c>
      <c r="E2369" s="5" t="str">
        <f>VLOOKUP(F2369,'Set up'!$A$2:$C$48,2,FALSE)</f>
        <v>C00000042</v>
      </c>
      <c r="F2369" s="1" t="s">
        <v>2014</v>
      </c>
      <c r="G2369" s="99" t="s">
        <v>1111</v>
      </c>
      <c r="H2369" s="5">
        <v>2</v>
      </c>
      <c r="I2369" s="5" t="str">
        <f>VLOOKUP(F2369,'Set up'!$A$2:$C$48,3,FALSE)</f>
        <v>Cash</v>
      </c>
      <c r="J2369" s="5">
        <f>VLOOKUP(F2369,'Set up'!$A$2:$D$48,4,FALSE)</f>
        <v>0</v>
      </c>
      <c r="K2369" s="4">
        <f t="shared" si="820"/>
        <v>45261</v>
      </c>
      <c r="L2369" s="5">
        <f t="shared" si="821"/>
        <v>12</v>
      </c>
      <c r="M2369" s="5">
        <f t="shared" si="822"/>
        <v>2023</v>
      </c>
      <c r="N2369" s="96">
        <v>125</v>
      </c>
      <c r="P2369" s="6">
        <f t="shared" si="810"/>
        <v>125</v>
      </c>
      <c r="Q2369" s="7">
        <f t="shared" si="812"/>
        <v>3923053.950000002</v>
      </c>
      <c r="R2369" s="44" t="str">
        <f>VLOOKUP(F2369,'Set up'!$A$2:$E$48,5,FALSE)</f>
        <v>Trsf</v>
      </c>
    </row>
    <row r="2370" spans="1:19" ht="15" customHeight="1" x14ac:dyDescent="0.3">
      <c r="A2370" s="4">
        <v>45261</v>
      </c>
      <c r="B2370" s="5">
        <f t="shared" si="818"/>
        <v>12</v>
      </c>
      <c r="C2370" s="5">
        <f t="shared" si="819"/>
        <v>2023</v>
      </c>
      <c r="D2370" s="88" t="s">
        <v>2252</v>
      </c>
      <c r="E2370" s="5" t="str">
        <f>VLOOKUP(F2370,'Set up'!$A$2:$C$48,2,FALSE)</f>
        <v>C00000042</v>
      </c>
      <c r="F2370" s="1" t="s">
        <v>2014</v>
      </c>
      <c r="G2370" s="99" t="s">
        <v>1734</v>
      </c>
      <c r="H2370" s="5">
        <v>2</v>
      </c>
      <c r="I2370" s="5" t="str">
        <f>VLOOKUP(F2370,'Set up'!$A$2:$C$48,3,FALSE)</f>
        <v>Cash</v>
      </c>
      <c r="J2370" s="5">
        <f>VLOOKUP(F2370,'Set up'!$A$2:$D$48,4,FALSE)</f>
        <v>0</v>
      </c>
      <c r="K2370" s="4">
        <f t="shared" si="820"/>
        <v>45261</v>
      </c>
      <c r="L2370" s="5">
        <f t="shared" si="821"/>
        <v>12</v>
      </c>
      <c r="M2370" s="5">
        <f t="shared" si="822"/>
        <v>2023</v>
      </c>
      <c r="N2370" s="96">
        <v>3212</v>
      </c>
      <c r="P2370" s="6">
        <f t="shared" si="810"/>
        <v>3212</v>
      </c>
      <c r="Q2370" s="7">
        <f t="shared" si="812"/>
        <v>3926265.950000002</v>
      </c>
      <c r="R2370" s="44" t="str">
        <f>VLOOKUP(F2370,'Set up'!$A$2:$E$48,5,FALSE)</f>
        <v>Trsf</v>
      </c>
    </row>
    <row r="2371" spans="1:19" ht="15" customHeight="1" x14ac:dyDescent="0.3">
      <c r="A2371" s="4">
        <v>45261</v>
      </c>
      <c r="B2371" s="5">
        <f t="shared" si="818"/>
        <v>12</v>
      </c>
      <c r="C2371" s="5">
        <f t="shared" si="819"/>
        <v>2023</v>
      </c>
      <c r="D2371" s="88" t="s">
        <v>2252</v>
      </c>
      <c r="E2371" s="5" t="str">
        <f>VLOOKUP(F2371,'Set up'!$A$2:$C$48,2,FALSE)</f>
        <v>C00000042</v>
      </c>
      <c r="F2371" s="1" t="s">
        <v>2014</v>
      </c>
      <c r="G2371" s="99" t="s">
        <v>1393</v>
      </c>
      <c r="H2371" s="5">
        <v>4</v>
      </c>
      <c r="I2371" s="5" t="str">
        <f>VLOOKUP(F2371,'Set up'!$A$2:$C$48,3,FALSE)</f>
        <v>Cash</v>
      </c>
      <c r="J2371" s="5">
        <f>VLOOKUP(F2371,'Set up'!$A$2:$D$48,4,FALSE)</f>
        <v>0</v>
      </c>
      <c r="K2371" s="4">
        <f t="shared" si="820"/>
        <v>45261</v>
      </c>
      <c r="L2371" s="5">
        <f t="shared" si="821"/>
        <v>12</v>
      </c>
      <c r="M2371" s="5">
        <f t="shared" si="822"/>
        <v>2023</v>
      </c>
      <c r="N2371" s="96">
        <v>870</v>
      </c>
      <c r="P2371" s="6">
        <f t="shared" si="810"/>
        <v>870</v>
      </c>
      <c r="Q2371" s="7">
        <f t="shared" si="812"/>
        <v>3927135.950000002</v>
      </c>
      <c r="R2371" s="44" t="str">
        <f>VLOOKUP(F2371,'Set up'!$A$2:$E$48,5,FALSE)</f>
        <v>Trsf</v>
      </c>
    </row>
    <row r="2372" spans="1:19" ht="15" customHeight="1" x14ac:dyDescent="0.3">
      <c r="A2372" s="4">
        <v>45261</v>
      </c>
      <c r="B2372" s="5">
        <f t="shared" si="818"/>
        <v>12</v>
      </c>
      <c r="C2372" s="5">
        <f t="shared" si="819"/>
        <v>2023</v>
      </c>
      <c r="D2372" s="88" t="s">
        <v>2252</v>
      </c>
      <c r="E2372" s="5" t="str">
        <f>VLOOKUP(F2372,'Set up'!$A$2:$C$48,2,FALSE)</f>
        <v>C00000042</v>
      </c>
      <c r="F2372" s="1" t="s">
        <v>2014</v>
      </c>
      <c r="G2372" s="99" t="s">
        <v>1923</v>
      </c>
      <c r="H2372" s="5">
        <v>3</v>
      </c>
      <c r="I2372" s="5" t="str">
        <f>VLOOKUP(F2372,'Set up'!$A$2:$C$48,3,FALSE)</f>
        <v>Cash</v>
      </c>
      <c r="J2372" s="5">
        <f>VLOOKUP(F2372,'Set up'!$A$2:$D$48,4,FALSE)</f>
        <v>0</v>
      </c>
      <c r="K2372" s="4">
        <f t="shared" si="820"/>
        <v>45261</v>
      </c>
      <c r="L2372" s="5">
        <f t="shared" si="821"/>
        <v>12</v>
      </c>
      <c r="M2372" s="5">
        <f t="shared" si="822"/>
        <v>2023</v>
      </c>
      <c r="N2372" s="96">
        <v>702</v>
      </c>
      <c r="P2372" s="6">
        <f t="shared" si="810"/>
        <v>702</v>
      </c>
      <c r="Q2372" s="7">
        <f t="shared" si="812"/>
        <v>3927837.950000002</v>
      </c>
      <c r="R2372" s="44" t="str">
        <f>VLOOKUP(F2372,'Set up'!$A$2:$E$48,5,FALSE)</f>
        <v>Trsf</v>
      </c>
    </row>
    <row r="2373" spans="1:19" ht="15" hidden="1" customHeight="1" x14ac:dyDescent="0.3">
      <c r="A2373" s="4">
        <v>45261</v>
      </c>
      <c r="B2373" s="5">
        <f t="shared" si="818"/>
        <v>12</v>
      </c>
      <c r="C2373" s="5">
        <f t="shared" si="819"/>
        <v>2023</v>
      </c>
      <c r="D2373" s="88" t="s">
        <v>2253</v>
      </c>
      <c r="E2373" s="5" t="str">
        <f>VLOOKUP(F2373,'Set up'!$A$2:$C$48,2,FALSE)</f>
        <v>C00000041</v>
      </c>
      <c r="F2373" s="1" t="s">
        <v>1705</v>
      </c>
      <c r="G2373" s="99" t="s">
        <v>1393</v>
      </c>
      <c r="H2373" s="5">
        <v>1</v>
      </c>
      <c r="I2373" s="5" t="str">
        <f>VLOOKUP(F2373,'Set up'!$A$2:$C$48,3,FALSE)</f>
        <v>Cash</v>
      </c>
      <c r="J2373" s="5">
        <f>VLOOKUP(F2373,'Set up'!$A$2:$D$48,4,FALSE)</f>
        <v>0</v>
      </c>
      <c r="K2373" s="4">
        <f t="shared" si="820"/>
        <v>45261</v>
      </c>
      <c r="L2373" s="5">
        <f t="shared" si="821"/>
        <v>12</v>
      </c>
      <c r="M2373" s="5">
        <f t="shared" si="822"/>
        <v>2023</v>
      </c>
      <c r="N2373" s="96">
        <v>237</v>
      </c>
      <c r="O2373" s="6">
        <f t="shared" ref="O2373:O2379" si="823">-N2373</f>
        <v>-237</v>
      </c>
      <c r="P2373" s="6">
        <f t="shared" si="810"/>
        <v>0</v>
      </c>
      <c r="Q2373" s="7">
        <f t="shared" si="812"/>
        <v>3928074.950000002</v>
      </c>
      <c r="R2373" s="44" t="str">
        <f>VLOOKUP(F2373,'Set up'!$A$2:$E$48,5,FALSE)</f>
        <v>Trsf</v>
      </c>
      <c r="S2373" s="1" t="s">
        <v>2290</v>
      </c>
    </row>
    <row r="2374" spans="1:19" ht="15" hidden="1" customHeight="1" x14ac:dyDescent="0.3">
      <c r="A2374" s="4">
        <v>45262</v>
      </c>
      <c r="B2374" s="5">
        <f t="shared" si="818"/>
        <v>12</v>
      </c>
      <c r="C2374" s="5">
        <f t="shared" si="819"/>
        <v>2023</v>
      </c>
      <c r="D2374" s="88" t="s">
        <v>2254</v>
      </c>
      <c r="E2374" s="5" t="str">
        <f>VLOOKUP(F2374,'Set up'!$A$2:$C$48,2,FALSE)</f>
        <v>C00000014</v>
      </c>
      <c r="F2374" s="1" t="s">
        <v>263</v>
      </c>
      <c r="G2374" s="99" t="s">
        <v>304</v>
      </c>
      <c r="H2374" s="5">
        <v>1</v>
      </c>
      <c r="I2374" s="5" t="str">
        <f>VLOOKUP(F2374,'Set up'!$A$2:$C$48,3,FALSE)</f>
        <v>Cash</v>
      </c>
      <c r="J2374" s="5">
        <f>VLOOKUP(F2374,'Set up'!$A$2:$D$48,4,FALSE)</f>
        <v>0</v>
      </c>
      <c r="K2374" s="4">
        <f t="shared" si="820"/>
        <v>45262</v>
      </c>
      <c r="L2374" s="5">
        <f t="shared" si="821"/>
        <v>12</v>
      </c>
      <c r="M2374" s="5">
        <f t="shared" si="822"/>
        <v>2023</v>
      </c>
      <c r="N2374" s="96">
        <v>1606</v>
      </c>
      <c r="O2374" s="6">
        <f t="shared" si="823"/>
        <v>-1606</v>
      </c>
      <c r="P2374" s="6">
        <f t="shared" si="810"/>
        <v>0</v>
      </c>
      <c r="Q2374" s="7">
        <f t="shared" si="812"/>
        <v>3929680.950000002</v>
      </c>
      <c r="R2374" s="44" t="str">
        <f>VLOOKUP(F2374,'Set up'!$A$2:$E$48,5,FALSE)</f>
        <v>Cash</v>
      </c>
      <c r="S2374" s="1" t="s">
        <v>2291</v>
      </c>
    </row>
    <row r="2375" spans="1:19" ht="15" hidden="1" customHeight="1" x14ac:dyDescent="0.3">
      <c r="A2375" s="4">
        <v>45262</v>
      </c>
      <c r="B2375" s="5">
        <f t="shared" si="818"/>
        <v>12</v>
      </c>
      <c r="C2375" s="5">
        <f t="shared" si="819"/>
        <v>2023</v>
      </c>
      <c r="D2375" s="88" t="s">
        <v>2254</v>
      </c>
      <c r="E2375" s="5" t="str">
        <f>VLOOKUP(F2375,'Set up'!$A$2:$C$48,2,FALSE)</f>
        <v>C00000014</v>
      </c>
      <c r="F2375" s="1" t="s">
        <v>263</v>
      </c>
      <c r="G2375" s="99" t="s">
        <v>2115</v>
      </c>
      <c r="H2375" s="5">
        <v>1</v>
      </c>
      <c r="I2375" s="5" t="str">
        <f>VLOOKUP(F2375,'Set up'!$A$2:$C$48,3,FALSE)</f>
        <v>Cash</v>
      </c>
      <c r="J2375" s="5">
        <f>VLOOKUP(F2375,'Set up'!$A$2:$D$48,4,FALSE)</f>
        <v>0</v>
      </c>
      <c r="K2375" s="4">
        <f t="shared" si="820"/>
        <v>45262</v>
      </c>
      <c r="L2375" s="5">
        <f t="shared" si="821"/>
        <v>12</v>
      </c>
      <c r="M2375" s="5">
        <f t="shared" si="822"/>
        <v>2023</v>
      </c>
      <c r="N2375" s="96">
        <v>1597.5</v>
      </c>
      <c r="O2375" s="6">
        <f t="shared" si="823"/>
        <v>-1597.5</v>
      </c>
      <c r="P2375" s="6">
        <f t="shared" si="810"/>
        <v>0</v>
      </c>
      <c r="Q2375" s="7">
        <f t="shared" si="812"/>
        <v>3931278.450000002</v>
      </c>
      <c r="R2375" s="44" t="str">
        <f>VLOOKUP(F2375,'Set up'!$A$2:$E$48,5,FALSE)</f>
        <v>Cash</v>
      </c>
      <c r="S2375" s="1" t="s">
        <v>2291</v>
      </c>
    </row>
    <row r="2376" spans="1:19" ht="15" hidden="1" customHeight="1" x14ac:dyDescent="0.3">
      <c r="A2376" s="4">
        <v>45262</v>
      </c>
      <c r="B2376" s="5">
        <f t="shared" si="818"/>
        <v>12</v>
      </c>
      <c r="C2376" s="5">
        <f t="shared" si="819"/>
        <v>2023</v>
      </c>
      <c r="D2376" s="88" t="s">
        <v>2254</v>
      </c>
      <c r="E2376" s="5" t="str">
        <f>VLOOKUP(F2376,'Set up'!$A$2:$C$48,2,FALSE)</f>
        <v>C00000014</v>
      </c>
      <c r="F2376" s="1" t="s">
        <v>263</v>
      </c>
      <c r="G2376" s="99" t="s">
        <v>1393</v>
      </c>
      <c r="H2376" s="5">
        <v>4</v>
      </c>
      <c r="I2376" s="5" t="str">
        <f>VLOOKUP(F2376,'Set up'!$A$2:$C$48,3,FALSE)</f>
        <v>Cash</v>
      </c>
      <c r="J2376" s="5">
        <f>VLOOKUP(F2376,'Set up'!$A$2:$D$48,4,FALSE)</f>
        <v>0</v>
      </c>
      <c r="K2376" s="4">
        <f t="shared" si="820"/>
        <v>45262</v>
      </c>
      <c r="L2376" s="5">
        <f t="shared" si="821"/>
        <v>12</v>
      </c>
      <c r="M2376" s="5">
        <f t="shared" si="822"/>
        <v>2023</v>
      </c>
      <c r="N2376" s="96">
        <v>840</v>
      </c>
      <c r="O2376" s="6">
        <f t="shared" si="823"/>
        <v>-840</v>
      </c>
      <c r="P2376" s="6">
        <f t="shared" si="810"/>
        <v>0</v>
      </c>
      <c r="Q2376" s="7">
        <f t="shared" si="812"/>
        <v>3932118.450000002</v>
      </c>
      <c r="R2376" s="44" t="str">
        <f>VLOOKUP(F2376,'Set up'!$A$2:$E$48,5,FALSE)</f>
        <v>Cash</v>
      </c>
      <c r="S2376" s="1" t="s">
        <v>2291</v>
      </c>
    </row>
    <row r="2377" spans="1:19" ht="15" hidden="1" customHeight="1" x14ac:dyDescent="0.3">
      <c r="A2377" s="4">
        <v>45262</v>
      </c>
      <c r="B2377" s="5">
        <f t="shared" si="818"/>
        <v>12</v>
      </c>
      <c r="C2377" s="5">
        <f t="shared" si="819"/>
        <v>2023</v>
      </c>
      <c r="D2377" s="88" t="s">
        <v>2254</v>
      </c>
      <c r="E2377" s="5" t="str">
        <f>VLOOKUP(F2377,'Set up'!$A$2:$C$48,2,FALSE)</f>
        <v>C00000014</v>
      </c>
      <c r="F2377" s="1" t="s">
        <v>263</v>
      </c>
      <c r="G2377" s="99" t="s">
        <v>2112</v>
      </c>
      <c r="H2377" s="5">
        <v>3</v>
      </c>
      <c r="I2377" s="5" t="str">
        <f>VLOOKUP(F2377,'Set up'!$A$2:$C$48,3,FALSE)</f>
        <v>Cash</v>
      </c>
      <c r="J2377" s="5">
        <f>VLOOKUP(F2377,'Set up'!$A$2:$D$48,4,FALSE)</f>
        <v>0</v>
      </c>
      <c r="K2377" s="4">
        <f t="shared" si="820"/>
        <v>45262</v>
      </c>
      <c r="L2377" s="5">
        <f t="shared" si="821"/>
        <v>12</v>
      </c>
      <c r="M2377" s="5">
        <f t="shared" si="822"/>
        <v>2023</v>
      </c>
      <c r="N2377" s="96">
        <v>851.4</v>
      </c>
      <c r="O2377" s="6">
        <f t="shared" si="823"/>
        <v>-851.4</v>
      </c>
      <c r="P2377" s="6">
        <f t="shared" si="810"/>
        <v>0</v>
      </c>
      <c r="Q2377" s="7">
        <f t="shared" si="812"/>
        <v>3932969.850000002</v>
      </c>
      <c r="R2377" s="44" t="str">
        <f>VLOOKUP(F2377,'Set up'!$A$2:$E$48,5,FALSE)</f>
        <v>Cash</v>
      </c>
      <c r="S2377" s="1" t="s">
        <v>2291</v>
      </c>
    </row>
    <row r="2378" spans="1:19" ht="15" hidden="1" customHeight="1" x14ac:dyDescent="0.3">
      <c r="A2378" s="4">
        <v>45262</v>
      </c>
      <c r="B2378" s="5">
        <f t="shared" si="818"/>
        <v>12</v>
      </c>
      <c r="C2378" s="5">
        <f t="shared" si="819"/>
        <v>2023</v>
      </c>
      <c r="D2378" s="88" t="s">
        <v>2254</v>
      </c>
      <c r="E2378" s="5" t="str">
        <f>VLOOKUP(F2378,'Set up'!$A$2:$C$48,2,FALSE)</f>
        <v>C00000014</v>
      </c>
      <c r="F2378" s="1" t="s">
        <v>263</v>
      </c>
      <c r="G2378" s="99" t="s">
        <v>17</v>
      </c>
      <c r="H2378" s="5">
        <v>1</v>
      </c>
      <c r="I2378" s="5" t="str">
        <f>VLOOKUP(F2378,'Set up'!$A$2:$C$48,3,FALSE)</f>
        <v>Cash</v>
      </c>
      <c r="J2378" s="5">
        <f>VLOOKUP(F2378,'Set up'!$A$2:$D$48,4,FALSE)</f>
        <v>0</v>
      </c>
      <c r="K2378" s="4">
        <f t="shared" si="820"/>
        <v>45262</v>
      </c>
      <c r="L2378" s="5">
        <f t="shared" si="821"/>
        <v>12</v>
      </c>
      <c r="M2378" s="5">
        <f t="shared" si="822"/>
        <v>2023</v>
      </c>
      <c r="N2378" s="96">
        <v>105</v>
      </c>
      <c r="O2378" s="6">
        <f t="shared" si="823"/>
        <v>-105</v>
      </c>
      <c r="P2378" s="6">
        <f t="shared" si="810"/>
        <v>0</v>
      </c>
      <c r="Q2378" s="7">
        <f t="shared" si="812"/>
        <v>3933074.850000002</v>
      </c>
      <c r="R2378" s="44" t="str">
        <f>VLOOKUP(F2378,'Set up'!$A$2:$E$48,5,FALSE)</f>
        <v>Cash</v>
      </c>
      <c r="S2378" s="1" t="s">
        <v>2291</v>
      </c>
    </row>
    <row r="2379" spans="1:19" ht="15" hidden="1" customHeight="1" x14ac:dyDescent="0.3">
      <c r="A2379" s="4">
        <v>45262</v>
      </c>
      <c r="B2379" s="5">
        <f t="shared" si="818"/>
        <v>12</v>
      </c>
      <c r="C2379" s="5">
        <f t="shared" si="819"/>
        <v>2023</v>
      </c>
      <c r="D2379" s="88" t="s">
        <v>2254</v>
      </c>
      <c r="E2379" s="5" t="str">
        <f>VLOOKUP(F2379,'Set up'!$A$2:$C$48,2,FALSE)</f>
        <v>C00000014</v>
      </c>
      <c r="F2379" s="1" t="s">
        <v>263</v>
      </c>
      <c r="G2379" s="99" t="s">
        <v>1887</v>
      </c>
      <c r="H2379" s="5">
        <v>3</v>
      </c>
      <c r="I2379" s="5" t="str">
        <f>VLOOKUP(F2379,'Set up'!$A$2:$C$48,3,FALSE)</f>
        <v>Cash</v>
      </c>
      <c r="J2379" s="5">
        <f>VLOOKUP(F2379,'Set up'!$A$2:$D$48,4,FALSE)</f>
        <v>0</v>
      </c>
      <c r="K2379" s="4">
        <f t="shared" si="820"/>
        <v>45262</v>
      </c>
      <c r="L2379" s="5">
        <f t="shared" si="821"/>
        <v>12</v>
      </c>
      <c r="M2379" s="5">
        <f t="shared" si="822"/>
        <v>2023</v>
      </c>
      <c r="N2379" s="96">
        <v>480</v>
      </c>
      <c r="O2379" s="6">
        <f t="shared" si="823"/>
        <v>-480</v>
      </c>
      <c r="P2379" s="6">
        <f t="shared" si="810"/>
        <v>0</v>
      </c>
      <c r="Q2379" s="7">
        <f t="shared" si="812"/>
        <v>3933554.850000002</v>
      </c>
      <c r="R2379" s="44" t="str">
        <f>VLOOKUP(F2379,'Set up'!$A$2:$E$48,5,FALSE)</f>
        <v>Cash</v>
      </c>
      <c r="S2379" s="1" t="s">
        <v>2291</v>
      </c>
    </row>
    <row r="2380" spans="1:19" ht="15" hidden="1" customHeight="1" x14ac:dyDescent="0.3">
      <c r="A2380" s="4">
        <v>45262</v>
      </c>
      <c r="B2380" s="5">
        <f t="shared" si="818"/>
        <v>12</v>
      </c>
      <c r="C2380" s="5">
        <f t="shared" si="819"/>
        <v>2023</v>
      </c>
      <c r="D2380" s="88" t="s">
        <v>2255</v>
      </c>
      <c r="E2380" s="5" t="str">
        <f>VLOOKUP(F2380,'Set up'!$A$2:$C$48,2,FALSE)</f>
        <v>C00000021</v>
      </c>
      <c r="F2380" s="1" t="s">
        <v>492</v>
      </c>
      <c r="G2380" s="99" t="s">
        <v>67</v>
      </c>
      <c r="H2380" s="5">
        <v>1</v>
      </c>
      <c r="I2380" s="5" t="str">
        <f>VLOOKUP(F2380,'Set up'!$A$2:$C$48,3,FALSE)</f>
        <v>Cash</v>
      </c>
      <c r="J2380" s="5">
        <f>VLOOKUP(F2380,'Set up'!$A$2:$D$48,4,FALSE)</f>
        <v>0</v>
      </c>
      <c r="K2380" s="4">
        <f t="shared" si="820"/>
        <v>45262</v>
      </c>
      <c r="L2380" s="5">
        <f t="shared" si="821"/>
        <v>12</v>
      </c>
      <c r="M2380" s="5">
        <f t="shared" si="822"/>
        <v>2023</v>
      </c>
      <c r="N2380" s="96">
        <v>1738</v>
      </c>
      <c r="P2380" s="6">
        <f t="shared" si="810"/>
        <v>1738</v>
      </c>
      <c r="Q2380" s="7">
        <f t="shared" si="812"/>
        <v>3935292.850000002</v>
      </c>
      <c r="R2380" s="44" t="str">
        <f>VLOOKUP(F2380,'Set up'!$A$2:$E$48,5,FALSE)</f>
        <v>PD Chq</v>
      </c>
    </row>
    <row r="2381" spans="1:19" ht="15" hidden="1" customHeight="1" x14ac:dyDescent="0.3">
      <c r="A2381" s="4">
        <v>45262</v>
      </c>
      <c r="B2381" s="5">
        <f t="shared" si="818"/>
        <v>12</v>
      </c>
      <c r="C2381" s="5">
        <f t="shared" si="819"/>
        <v>2023</v>
      </c>
      <c r="D2381" s="88" t="s">
        <v>2255</v>
      </c>
      <c r="E2381" s="5" t="str">
        <f>VLOOKUP(F2381,'Set up'!$A$2:$C$48,2,FALSE)</f>
        <v>C00000021</v>
      </c>
      <c r="F2381" s="1" t="s">
        <v>492</v>
      </c>
      <c r="G2381" s="99" t="s">
        <v>2202</v>
      </c>
      <c r="H2381" s="5">
        <v>1</v>
      </c>
      <c r="I2381" s="5" t="str">
        <f>VLOOKUP(F2381,'Set up'!$A$2:$C$48,3,FALSE)</f>
        <v>Cash</v>
      </c>
      <c r="J2381" s="5">
        <f>VLOOKUP(F2381,'Set up'!$A$2:$D$48,4,FALSE)</f>
        <v>0</v>
      </c>
      <c r="K2381" s="4">
        <f t="shared" si="820"/>
        <v>45262</v>
      </c>
      <c r="L2381" s="5">
        <f t="shared" si="821"/>
        <v>12</v>
      </c>
      <c r="M2381" s="5">
        <f t="shared" si="822"/>
        <v>2023</v>
      </c>
      <c r="N2381" s="96">
        <v>277.5</v>
      </c>
      <c r="P2381" s="6">
        <f t="shared" si="810"/>
        <v>277.5</v>
      </c>
      <c r="Q2381" s="7">
        <f t="shared" si="812"/>
        <v>3935570.350000002</v>
      </c>
      <c r="R2381" s="44" t="str">
        <f>VLOOKUP(F2381,'Set up'!$A$2:$E$48,5,FALSE)</f>
        <v>PD Chq</v>
      </c>
    </row>
    <row r="2382" spans="1:19" ht="15" hidden="1" customHeight="1" x14ac:dyDescent="0.3">
      <c r="A2382" s="4">
        <v>45262</v>
      </c>
      <c r="B2382" s="5">
        <f t="shared" si="818"/>
        <v>12</v>
      </c>
      <c r="C2382" s="5">
        <f t="shared" si="819"/>
        <v>2023</v>
      </c>
      <c r="D2382" s="88" t="s">
        <v>2255</v>
      </c>
      <c r="E2382" s="5" t="str">
        <f>VLOOKUP(F2382,'Set up'!$A$2:$C$48,2,FALSE)</f>
        <v>C00000021</v>
      </c>
      <c r="F2382" s="1" t="s">
        <v>492</v>
      </c>
      <c r="G2382" s="99" t="s">
        <v>1544</v>
      </c>
      <c r="H2382" s="5">
        <v>2</v>
      </c>
      <c r="I2382" s="5" t="str">
        <f>VLOOKUP(F2382,'Set up'!$A$2:$C$48,3,FALSE)</f>
        <v>Cash</v>
      </c>
      <c r="J2382" s="5">
        <f>VLOOKUP(F2382,'Set up'!$A$2:$D$48,4,FALSE)</f>
        <v>0</v>
      </c>
      <c r="K2382" s="4">
        <f t="shared" si="820"/>
        <v>45262</v>
      </c>
      <c r="L2382" s="5">
        <f t="shared" si="821"/>
        <v>12</v>
      </c>
      <c r="M2382" s="5">
        <f t="shared" si="822"/>
        <v>2023</v>
      </c>
      <c r="N2382" s="96">
        <v>450</v>
      </c>
      <c r="P2382" s="6">
        <f t="shared" si="810"/>
        <v>450</v>
      </c>
      <c r="Q2382" s="7">
        <f t="shared" si="812"/>
        <v>3936020.350000002</v>
      </c>
      <c r="R2382" s="44" t="str">
        <f>VLOOKUP(F2382,'Set up'!$A$2:$E$48,5,FALSE)</f>
        <v>PD Chq</v>
      </c>
    </row>
    <row r="2383" spans="1:19" ht="15" hidden="1" customHeight="1" x14ac:dyDescent="0.3">
      <c r="A2383" s="4">
        <v>45262</v>
      </c>
      <c r="B2383" s="5">
        <f t="shared" si="818"/>
        <v>12</v>
      </c>
      <c r="C2383" s="5">
        <f t="shared" si="819"/>
        <v>2023</v>
      </c>
      <c r="D2383" s="88" t="s">
        <v>2255</v>
      </c>
      <c r="E2383" s="5" t="str">
        <f>VLOOKUP(F2383,'Set up'!$A$2:$C$48,2,FALSE)</f>
        <v>C00000021</v>
      </c>
      <c r="F2383" s="1" t="s">
        <v>492</v>
      </c>
      <c r="G2383" s="99" t="s">
        <v>1062</v>
      </c>
      <c r="H2383" s="5">
        <v>1</v>
      </c>
      <c r="I2383" s="5" t="str">
        <f>VLOOKUP(F2383,'Set up'!$A$2:$C$48,3,FALSE)</f>
        <v>Cash</v>
      </c>
      <c r="J2383" s="5">
        <f>VLOOKUP(F2383,'Set up'!$A$2:$D$48,4,FALSE)</f>
        <v>0</v>
      </c>
      <c r="K2383" s="4">
        <f t="shared" si="820"/>
        <v>45262</v>
      </c>
      <c r="L2383" s="5">
        <f t="shared" si="821"/>
        <v>12</v>
      </c>
      <c r="M2383" s="5">
        <f t="shared" si="822"/>
        <v>2023</v>
      </c>
      <c r="N2383" s="96">
        <v>95</v>
      </c>
      <c r="P2383" s="6">
        <f t="shared" si="810"/>
        <v>95</v>
      </c>
      <c r="Q2383" s="7">
        <f t="shared" si="812"/>
        <v>3936115.350000002</v>
      </c>
      <c r="R2383" s="44" t="str">
        <f>VLOOKUP(F2383,'Set up'!$A$2:$E$48,5,FALSE)</f>
        <v>PD Chq</v>
      </c>
    </row>
    <row r="2384" spans="1:19" ht="15" hidden="1" customHeight="1" x14ac:dyDescent="0.3">
      <c r="A2384" s="4">
        <v>45262</v>
      </c>
      <c r="B2384" s="5">
        <f t="shared" si="818"/>
        <v>12</v>
      </c>
      <c r="C2384" s="5">
        <f t="shared" si="819"/>
        <v>2023</v>
      </c>
      <c r="D2384" s="88" t="s">
        <v>2255</v>
      </c>
      <c r="E2384" s="5" t="str">
        <f>VLOOKUP(F2384,'Set up'!$A$2:$C$48,2,FALSE)</f>
        <v>C00000021</v>
      </c>
      <c r="F2384" s="1" t="s">
        <v>492</v>
      </c>
      <c r="G2384" s="99" t="s">
        <v>2203</v>
      </c>
      <c r="H2384" s="5">
        <v>5</v>
      </c>
      <c r="I2384" s="5" t="str">
        <f>VLOOKUP(F2384,'Set up'!$A$2:$C$48,3,FALSE)</f>
        <v>Cash</v>
      </c>
      <c r="J2384" s="5">
        <f>VLOOKUP(F2384,'Set up'!$A$2:$D$48,4,FALSE)</f>
        <v>0</v>
      </c>
      <c r="K2384" s="4">
        <f t="shared" si="820"/>
        <v>45262</v>
      </c>
      <c r="L2384" s="5">
        <f t="shared" si="821"/>
        <v>12</v>
      </c>
      <c r="M2384" s="5">
        <f t="shared" si="822"/>
        <v>2023</v>
      </c>
      <c r="N2384" s="96">
        <v>312.5</v>
      </c>
      <c r="P2384" s="6">
        <f t="shared" si="810"/>
        <v>312.5</v>
      </c>
      <c r="Q2384" s="7">
        <f t="shared" si="812"/>
        <v>3936427.850000002</v>
      </c>
      <c r="R2384" s="44" t="str">
        <f>VLOOKUP(F2384,'Set up'!$A$2:$E$48,5,FALSE)</f>
        <v>PD Chq</v>
      </c>
    </row>
    <row r="2385" spans="1:18" ht="15" hidden="1" customHeight="1" x14ac:dyDescent="0.3">
      <c r="A2385" s="4">
        <v>45262</v>
      </c>
      <c r="B2385" s="5">
        <f t="shared" si="818"/>
        <v>12</v>
      </c>
      <c r="C2385" s="5">
        <f t="shared" si="819"/>
        <v>2023</v>
      </c>
      <c r="D2385" s="88" t="s">
        <v>2255</v>
      </c>
      <c r="E2385" s="5" t="str">
        <f>VLOOKUP(F2385,'Set up'!$A$2:$C$48,2,FALSE)</f>
        <v>C00000021</v>
      </c>
      <c r="F2385" s="1" t="s">
        <v>492</v>
      </c>
      <c r="G2385" s="99" t="s">
        <v>2204</v>
      </c>
      <c r="H2385" s="5">
        <v>10</v>
      </c>
      <c r="I2385" s="5" t="str">
        <f>VLOOKUP(F2385,'Set up'!$A$2:$C$48,3,FALSE)</f>
        <v>Cash</v>
      </c>
      <c r="J2385" s="5">
        <f>VLOOKUP(F2385,'Set up'!$A$2:$D$48,4,FALSE)</f>
        <v>0</v>
      </c>
      <c r="K2385" s="4">
        <f t="shared" si="820"/>
        <v>45262</v>
      </c>
      <c r="L2385" s="5">
        <f t="shared" si="821"/>
        <v>12</v>
      </c>
      <c r="M2385" s="5">
        <f t="shared" si="822"/>
        <v>2023</v>
      </c>
      <c r="N2385" s="96">
        <v>576</v>
      </c>
      <c r="P2385" s="6">
        <f t="shared" si="810"/>
        <v>576</v>
      </c>
      <c r="Q2385" s="7">
        <f t="shared" si="812"/>
        <v>3937003.850000002</v>
      </c>
      <c r="R2385" s="44" t="str">
        <f>VLOOKUP(F2385,'Set up'!$A$2:$E$48,5,FALSE)</f>
        <v>PD Chq</v>
      </c>
    </row>
    <row r="2386" spans="1:18" ht="15" customHeight="1" x14ac:dyDescent="0.3">
      <c r="A2386" s="4">
        <v>45264</v>
      </c>
      <c r="B2386" s="5">
        <f t="shared" si="818"/>
        <v>12</v>
      </c>
      <c r="C2386" s="5">
        <f t="shared" si="819"/>
        <v>2023</v>
      </c>
      <c r="D2386" s="88" t="s">
        <v>2256</v>
      </c>
      <c r="E2386" s="5" t="str">
        <f>VLOOKUP(F2386,'Set up'!$A$2:$C$48,2,FALSE)</f>
        <v>C00000042</v>
      </c>
      <c r="F2386" s="1" t="s">
        <v>2014</v>
      </c>
      <c r="G2386" s="99" t="s">
        <v>1111</v>
      </c>
      <c r="H2386" s="5">
        <v>4</v>
      </c>
      <c r="I2386" s="5" t="str">
        <f>VLOOKUP(F2386,'Set up'!$A$2:$C$48,3,FALSE)</f>
        <v>Cash</v>
      </c>
      <c r="J2386" s="5">
        <f>VLOOKUP(F2386,'Set up'!$A$2:$D$48,4,FALSE)</f>
        <v>0</v>
      </c>
      <c r="K2386" s="4">
        <f t="shared" si="820"/>
        <v>45264</v>
      </c>
      <c r="L2386" s="5">
        <f t="shared" si="821"/>
        <v>12</v>
      </c>
      <c r="M2386" s="5">
        <f t="shared" si="822"/>
        <v>2023</v>
      </c>
      <c r="N2386" s="96">
        <v>250</v>
      </c>
      <c r="P2386" s="6">
        <f t="shared" si="810"/>
        <v>250</v>
      </c>
      <c r="Q2386" s="7">
        <f t="shared" si="812"/>
        <v>3937253.850000002</v>
      </c>
      <c r="R2386" s="44" t="str">
        <f>VLOOKUP(F2386,'Set up'!$A$2:$E$48,5,FALSE)</f>
        <v>Trsf</v>
      </c>
    </row>
    <row r="2387" spans="1:18" ht="15" customHeight="1" x14ac:dyDescent="0.3">
      <c r="A2387" s="4">
        <v>45264</v>
      </c>
      <c r="B2387" s="5">
        <f t="shared" si="818"/>
        <v>12</v>
      </c>
      <c r="C2387" s="5">
        <f t="shared" si="819"/>
        <v>2023</v>
      </c>
      <c r="D2387" s="88" t="s">
        <v>2257</v>
      </c>
      <c r="E2387" s="5" t="str">
        <f>VLOOKUP(F2387,'Set up'!$A$2:$C$48,2,FALSE)</f>
        <v>C00000042</v>
      </c>
      <c r="F2387" s="1" t="s">
        <v>2014</v>
      </c>
      <c r="G2387" s="99" t="s">
        <v>1734</v>
      </c>
      <c r="H2387" s="5">
        <v>4</v>
      </c>
      <c r="I2387" s="5" t="str">
        <f>VLOOKUP(F2387,'Set up'!$A$2:$C$48,3,FALSE)</f>
        <v>Cash</v>
      </c>
      <c r="J2387" s="5">
        <f>VLOOKUP(F2387,'Set up'!$A$2:$D$48,4,FALSE)</f>
        <v>0</v>
      </c>
      <c r="K2387" s="4">
        <f t="shared" si="820"/>
        <v>45264</v>
      </c>
      <c r="L2387" s="5">
        <f t="shared" si="821"/>
        <v>12</v>
      </c>
      <c r="M2387" s="5">
        <f t="shared" si="822"/>
        <v>2023</v>
      </c>
      <c r="N2387" s="96">
        <v>6424</v>
      </c>
      <c r="P2387" s="6">
        <f t="shared" ref="P2387:P2452" si="824">SUM(N2387+O2387)</f>
        <v>6424</v>
      </c>
      <c r="Q2387" s="7">
        <f t="shared" si="812"/>
        <v>3943677.850000002</v>
      </c>
      <c r="R2387" s="44" t="str">
        <f>VLOOKUP(F2387,'Set up'!$A$2:$E$48,5,FALSE)</f>
        <v>Trsf</v>
      </c>
    </row>
    <row r="2388" spans="1:18" ht="15" customHeight="1" x14ac:dyDescent="0.3">
      <c r="A2388" s="4">
        <v>45264</v>
      </c>
      <c r="B2388" s="5">
        <f t="shared" si="818"/>
        <v>12</v>
      </c>
      <c r="C2388" s="5">
        <f t="shared" si="819"/>
        <v>2023</v>
      </c>
      <c r="D2388" s="88" t="s">
        <v>2257</v>
      </c>
      <c r="E2388" s="5" t="str">
        <f>VLOOKUP(F2388,'Set up'!$A$2:$C$48,2,FALSE)</f>
        <v>C00000042</v>
      </c>
      <c r="F2388" s="1" t="s">
        <v>2014</v>
      </c>
      <c r="G2388" s="99" t="s">
        <v>1544</v>
      </c>
      <c r="H2388" s="5">
        <v>12</v>
      </c>
      <c r="I2388" s="5" t="str">
        <f>VLOOKUP(F2388,'Set up'!$A$2:$C$48,3,FALSE)</f>
        <v>Cash</v>
      </c>
      <c r="J2388" s="5">
        <f>VLOOKUP(F2388,'Set up'!$A$2:$D$48,4,FALSE)</f>
        <v>0</v>
      </c>
      <c r="K2388" s="4">
        <f t="shared" si="820"/>
        <v>45264</v>
      </c>
      <c r="L2388" s="5">
        <f t="shared" si="821"/>
        <v>12</v>
      </c>
      <c r="M2388" s="5">
        <f t="shared" si="822"/>
        <v>2023</v>
      </c>
      <c r="N2388" s="96">
        <v>2088</v>
      </c>
      <c r="P2388" s="6">
        <f t="shared" si="824"/>
        <v>2088</v>
      </c>
      <c r="Q2388" s="7">
        <f t="shared" si="812"/>
        <v>3945765.850000002</v>
      </c>
      <c r="R2388" s="44" t="str">
        <f>VLOOKUP(F2388,'Set up'!$A$2:$E$48,5,FALSE)</f>
        <v>Trsf</v>
      </c>
    </row>
    <row r="2389" spans="1:18" ht="15" customHeight="1" x14ac:dyDescent="0.3">
      <c r="A2389" s="4">
        <v>45264</v>
      </c>
      <c r="B2389" s="5">
        <f t="shared" si="818"/>
        <v>12</v>
      </c>
      <c r="C2389" s="5">
        <f t="shared" si="819"/>
        <v>2023</v>
      </c>
      <c r="D2389" s="88" t="s">
        <v>2257</v>
      </c>
      <c r="E2389" s="5" t="str">
        <f>VLOOKUP(F2389,'Set up'!$A$2:$C$48,2,FALSE)</f>
        <v>C00000042</v>
      </c>
      <c r="F2389" s="1" t="s">
        <v>2014</v>
      </c>
      <c r="G2389" s="99" t="s">
        <v>1923</v>
      </c>
      <c r="H2389" s="5">
        <v>5</v>
      </c>
      <c r="I2389" s="5" t="str">
        <f>VLOOKUP(F2389,'Set up'!$A$2:$C$48,3,FALSE)</f>
        <v>Cash</v>
      </c>
      <c r="J2389" s="5">
        <f>VLOOKUP(F2389,'Set up'!$A$2:$D$48,4,FALSE)</f>
        <v>0</v>
      </c>
      <c r="K2389" s="4">
        <f t="shared" si="820"/>
        <v>45264</v>
      </c>
      <c r="L2389" s="5">
        <f t="shared" si="821"/>
        <v>12</v>
      </c>
      <c r="M2389" s="5">
        <f t="shared" si="822"/>
        <v>2023</v>
      </c>
      <c r="N2389" s="96">
        <v>1170</v>
      </c>
      <c r="P2389" s="6">
        <f t="shared" si="824"/>
        <v>1170</v>
      </c>
      <c r="Q2389" s="7">
        <f t="shared" si="812"/>
        <v>3946935.850000002</v>
      </c>
      <c r="R2389" s="44" t="str">
        <f>VLOOKUP(F2389,'Set up'!$A$2:$E$48,5,FALSE)</f>
        <v>Trsf</v>
      </c>
    </row>
    <row r="2390" spans="1:18" ht="15" hidden="1" customHeight="1" x14ac:dyDescent="0.3">
      <c r="A2390" s="4">
        <v>45267</v>
      </c>
      <c r="B2390" s="5">
        <f t="shared" si="818"/>
        <v>12</v>
      </c>
      <c r="C2390" s="5">
        <f t="shared" si="819"/>
        <v>2023</v>
      </c>
      <c r="D2390" s="88" t="s">
        <v>2258</v>
      </c>
      <c r="E2390" s="5" t="str">
        <f>VLOOKUP(F2390,'Set up'!$A$2:$C$48,2,FALSE)</f>
        <v>C00000021</v>
      </c>
      <c r="F2390" s="1" t="s">
        <v>492</v>
      </c>
      <c r="G2390" s="99" t="s">
        <v>67</v>
      </c>
      <c r="H2390" s="5">
        <v>1</v>
      </c>
      <c r="I2390" s="5" t="str">
        <f>VLOOKUP(F2390,'Set up'!$A$2:$C$48,3,FALSE)</f>
        <v>Cash</v>
      </c>
      <c r="J2390" s="5">
        <f>VLOOKUP(F2390,'Set up'!$A$2:$D$48,4,FALSE)</f>
        <v>0</v>
      </c>
      <c r="K2390" s="4">
        <f t="shared" si="820"/>
        <v>45267</v>
      </c>
      <c r="L2390" s="5">
        <f t="shared" si="821"/>
        <v>12</v>
      </c>
      <c r="M2390" s="5">
        <f t="shared" si="822"/>
        <v>2023</v>
      </c>
      <c r="N2390" s="96">
        <v>1738</v>
      </c>
      <c r="P2390" s="6">
        <f t="shared" si="824"/>
        <v>1738</v>
      </c>
      <c r="Q2390" s="7">
        <f t="shared" si="812"/>
        <v>3948673.850000002</v>
      </c>
      <c r="R2390" s="44" t="str">
        <f>VLOOKUP(F2390,'Set up'!$A$2:$E$48,5,FALSE)</f>
        <v>PD Chq</v>
      </c>
    </row>
    <row r="2391" spans="1:18" ht="15" hidden="1" customHeight="1" x14ac:dyDescent="0.3">
      <c r="A2391" s="4">
        <v>45267</v>
      </c>
      <c r="B2391" s="5">
        <f t="shared" si="818"/>
        <v>12</v>
      </c>
      <c r="C2391" s="5">
        <f t="shared" si="819"/>
        <v>2023</v>
      </c>
      <c r="D2391" s="88" t="s">
        <v>2258</v>
      </c>
      <c r="E2391" s="5" t="str">
        <f>VLOOKUP(F2391,'Set up'!$A$2:$C$48,2,FALSE)</f>
        <v>C00000021</v>
      </c>
      <c r="F2391" s="1" t="s">
        <v>492</v>
      </c>
      <c r="G2391" s="99" t="s">
        <v>2202</v>
      </c>
      <c r="H2391" s="5">
        <v>2</v>
      </c>
      <c r="I2391" s="5" t="str">
        <f>VLOOKUP(F2391,'Set up'!$A$2:$C$48,3,FALSE)</f>
        <v>Cash</v>
      </c>
      <c r="J2391" s="5">
        <f>VLOOKUP(F2391,'Set up'!$A$2:$D$48,4,FALSE)</f>
        <v>0</v>
      </c>
      <c r="K2391" s="4">
        <f t="shared" si="820"/>
        <v>45267</v>
      </c>
      <c r="L2391" s="5">
        <f t="shared" si="821"/>
        <v>12</v>
      </c>
      <c r="M2391" s="5">
        <f t="shared" si="822"/>
        <v>2023</v>
      </c>
      <c r="N2391" s="96">
        <v>555</v>
      </c>
      <c r="P2391" s="6">
        <f t="shared" si="824"/>
        <v>555</v>
      </c>
      <c r="Q2391" s="7">
        <f t="shared" si="812"/>
        <v>3949228.850000002</v>
      </c>
      <c r="R2391" s="44" t="str">
        <f>VLOOKUP(F2391,'Set up'!$A$2:$E$48,5,FALSE)</f>
        <v>PD Chq</v>
      </c>
    </row>
    <row r="2392" spans="1:18" ht="15" hidden="1" customHeight="1" x14ac:dyDescent="0.3">
      <c r="A2392" s="4">
        <v>45267</v>
      </c>
      <c r="B2392" s="5">
        <f t="shared" si="818"/>
        <v>12</v>
      </c>
      <c r="C2392" s="5">
        <f t="shared" si="819"/>
        <v>2023</v>
      </c>
      <c r="D2392" s="88" t="s">
        <v>2258</v>
      </c>
      <c r="E2392" s="5" t="str">
        <f>VLOOKUP(F2392,'Set up'!$A$2:$C$48,2,FALSE)</f>
        <v>C00000021</v>
      </c>
      <c r="F2392" s="1" t="s">
        <v>492</v>
      </c>
      <c r="G2392" s="99" t="s">
        <v>1062</v>
      </c>
      <c r="H2392" s="5">
        <v>1</v>
      </c>
      <c r="I2392" s="5" t="str">
        <f>VLOOKUP(F2392,'Set up'!$A$2:$C$48,3,FALSE)</f>
        <v>Cash</v>
      </c>
      <c r="J2392" s="5">
        <f>VLOOKUP(F2392,'Set up'!$A$2:$D$48,4,FALSE)</f>
        <v>0</v>
      </c>
      <c r="K2392" s="4">
        <f t="shared" si="820"/>
        <v>45267</v>
      </c>
      <c r="L2392" s="5">
        <f t="shared" si="821"/>
        <v>12</v>
      </c>
      <c r="M2392" s="5">
        <f t="shared" si="822"/>
        <v>2023</v>
      </c>
      <c r="N2392" s="96">
        <v>95</v>
      </c>
      <c r="P2392" s="6">
        <f t="shared" si="824"/>
        <v>95</v>
      </c>
      <c r="Q2392" s="7">
        <f t="shared" si="812"/>
        <v>3949323.850000002</v>
      </c>
      <c r="R2392" s="44" t="str">
        <f>VLOOKUP(F2392,'Set up'!$A$2:$E$48,5,FALSE)</f>
        <v>PD Chq</v>
      </c>
    </row>
    <row r="2393" spans="1:18" ht="15" hidden="1" customHeight="1" x14ac:dyDescent="0.3">
      <c r="A2393" s="4">
        <v>45267</v>
      </c>
      <c r="B2393" s="5">
        <f t="shared" si="818"/>
        <v>12</v>
      </c>
      <c r="C2393" s="5">
        <f t="shared" si="819"/>
        <v>2023</v>
      </c>
      <c r="D2393" s="88" t="s">
        <v>2258</v>
      </c>
      <c r="E2393" s="5" t="str">
        <f>VLOOKUP(F2393,'Set up'!$A$2:$C$48,2,FALSE)</f>
        <v>C00000021</v>
      </c>
      <c r="F2393" s="1" t="s">
        <v>492</v>
      </c>
      <c r="G2393" s="99" t="s">
        <v>2203</v>
      </c>
      <c r="H2393" s="5">
        <v>5</v>
      </c>
      <c r="I2393" s="5" t="str">
        <f>VLOOKUP(F2393,'Set up'!$A$2:$C$48,3,FALSE)</f>
        <v>Cash</v>
      </c>
      <c r="J2393" s="5">
        <f>VLOOKUP(F2393,'Set up'!$A$2:$D$48,4,FALSE)</f>
        <v>0</v>
      </c>
      <c r="K2393" s="4">
        <f t="shared" si="820"/>
        <v>45267</v>
      </c>
      <c r="L2393" s="5">
        <f t="shared" si="821"/>
        <v>12</v>
      </c>
      <c r="M2393" s="5">
        <f t="shared" si="822"/>
        <v>2023</v>
      </c>
      <c r="N2393" s="96">
        <v>312.5</v>
      </c>
      <c r="P2393" s="6">
        <f t="shared" si="824"/>
        <v>312.5</v>
      </c>
      <c r="Q2393" s="7">
        <f t="shared" si="812"/>
        <v>3949636.350000002</v>
      </c>
      <c r="R2393" s="44" t="str">
        <f>VLOOKUP(F2393,'Set up'!$A$2:$E$48,5,FALSE)</f>
        <v>PD Chq</v>
      </c>
    </row>
    <row r="2394" spans="1:18" ht="15" hidden="1" customHeight="1" x14ac:dyDescent="0.3">
      <c r="A2394" s="4">
        <v>45268</v>
      </c>
      <c r="B2394" s="5">
        <f t="shared" si="818"/>
        <v>12</v>
      </c>
      <c r="C2394" s="5">
        <f t="shared" si="819"/>
        <v>2023</v>
      </c>
      <c r="D2394" s="88" t="s">
        <v>2259</v>
      </c>
      <c r="E2394" s="5" t="str">
        <f>VLOOKUP(F2394,'Set up'!$A$2:$C$48,2,FALSE)</f>
        <v>C00000022</v>
      </c>
      <c r="F2394" s="1" t="s">
        <v>638</v>
      </c>
      <c r="G2394" s="99" t="s">
        <v>2205</v>
      </c>
      <c r="H2394" s="5">
        <v>1</v>
      </c>
      <c r="I2394" s="5" t="str">
        <f>VLOOKUP(F2394,'Set up'!$A$2:$C$48,3,FALSE)</f>
        <v>Cash</v>
      </c>
      <c r="J2394" s="5">
        <f>VLOOKUP(F2394,'Set up'!$A$2:$D$48,4,FALSE)</f>
        <v>0</v>
      </c>
      <c r="K2394" s="4">
        <f t="shared" si="820"/>
        <v>45268</v>
      </c>
      <c r="L2394" s="5">
        <f t="shared" si="821"/>
        <v>12</v>
      </c>
      <c r="M2394" s="5">
        <f t="shared" si="822"/>
        <v>2023</v>
      </c>
      <c r="N2394" s="96">
        <v>250</v>
      </c>
      <c r="P2394" s="6">
        <f t="shared" si="824"/>
        <v>250</v>
      </c>
      <c r="Q2394" s="7">
        <f t="shared" si="812"/>
        <v>3949886.350000002</v>
      </c>
      <c r="R2394" s="44" t="str">
        <f>VLOOKUP(F2394,'Set up'!$A$2:$E$48,5,FALSE)</f>
        <v>Trsf</v>
      </c>
    </row>
    <row r="2395" spans="1:18" ht="15" hidden="1" customHeight="1" x14ac:dyDescent="0.3">
      <c r="A2395" s="4">
        <v>45268</v>
      </c>
      <c r="B2395" s="5">
        <f t="shared" si="818"/>
        <v>12</v>
      </c>
      <c r="C2395" s="5">
        <f t="shared" si="819"/>
        <v>2023</v>
      </c>
      <c r="D2395" s="88" t="s">
        <v>2260</v>
      </c>
      <c r="E2395" s="5" t="str">
        <f>VLOOKUP(F2395,'Set up'!$A$2:$C$48,2,FALSE)</f>
        <v>C00000022</v>
      </c>
      <c r="F2395" s="1" t="s">
        <v>638</v>
      </c>
      <c r="G2395" s="99" t="s">
        <v>1999</v>
      </c>
      <c r="H2395" s="5">
        <v>1</v>
      </c>
      <c r="I2395" s="5" t="str">
        <f>VLOOKUP(F2395,'Set up'!$A$2:$C$48,3,FALSE)</f>
        <v>Cash</v>
      </c>
      <c r="J2395" s="5">
        <f>VLOOKUP(F2395,'Set up'!$A$2:$D$48,4,FALSE)</f>
        <v>0</v>
      </c>
      <c r="K2395" s="4">
        <f t="shared" si="820"/>
        <v>45268</v>
      </c>
      <c r="L2395" s="5">
        <f t="shared" si="821"/>
        <v>12</v>
      </c>
      <c r="M2395" s="5">
        <f t="shared" si="822"/>
        <v>2023</v>
      </c>
      <c r="N2395" s="96">
        <v>3600</v>
      </c>
      <c r="P2395" s="6">
        <f t="shared" si="824"/>
        <v>3600</v>
      </c>
      <c r="Q2395" s="7">
        <f t="shared" si="812"/>
        <v>3953486.350000002</v>
      </c>
      <c r="R2395" s="44" t="str">
        <f>VLOOKUP(F2395,'Set up'!$A$2:$E$48,5,FALSE)</f>
        <v>Trsf</v>
      </c>
    </row>
    <row r="2396" spans="1:18" ht="15" hidden="1" customHeight="1" x14ac:dyDescent="0.3">
      <c r="A2396" s="4">
        <v>45268</v>
      </c>
      <c r="B2396" s="5">
        <f t="shared" si="818"/>
        <v>12</v>
      </c>
      <c r="C2396" s="5">
        <f t="shared" si="819"/>
        <v>2023</v>
      </c>
      <c r="D2396" s="88" t="s">
        <v>2260</v>
      </c>
      <c r="E2396" s="5" t="str">
        <f>VLOOKUP(F2396,'Set up'!$A$2:$C$48,2,FALSE)</f>
        <v>C00000022</v>
      </c>
      <c r="F2396" s="1" t="s">
        <v>638</v>
      </c>
      <c r="G2396" s="99" t="s">
        <v>1544</v>
      </c>
      <c r="H2396" s="5">
        <v>2</v>
      </c>
      <c r="I2396" s="5" t="str">
        <f>VLOOKUP(F2396,'Set up'!$A$2:$C$48,3,FALSE)</f>
        <v>Cash</v>
      </c>
      <c r="J2396" s="5">
        <f>VLOOKUP(F2396,'Set up'!$A$2:$D$48,4,FALSE)</f>
        <v>0</v>
      </c>
      <c r="K2396" s="4">
        <f t="shared" si="820"/>
        <v>45268</v>
      </c>
      <c r="L2396" s="5">
        <f t="shared" si="821"/>
        <v>12</v>
      </c>
      <c r="M2396" s="5">
        <f t="shared" si="822"/>
        <v>2023</v>
      </c>
      <c r="N2396" s="96">
        <v>468</v>
      </c>
      <c r="P2396" s="6">
        <f t="shared" si="824"/>
        <v>468</v>
      </c>
      <c r="Q2396" s="7">
        <f t="shared" si="812"/>
        <v>3953954.350000002</v>
      </c>
      <c r="R2396" s="44" t="str">
        <f>VLOOKUP(F2396,'Set up'!$A$2:$E$48,5,FALSE)</f>
        <v>Trsf</v>
      </c>
    </row>
    <row r="2397" spans="1:18" ht="15" hidden="1" customHeight="1" x14ac:dyDescent="0.3">
      <c r="A2397" s="4">
        <v>45268</v>
      </c>
      <c r="B2397" s="5">
        <f t="shared" si="818"/>
        <v>12</v>
      </c>
      <c r="C2397" s="5">
        <f t="shared" si="819"/>
        <v>2023</v>
      </c>
      <c r="D2397" s="88" t="s">
        <v>2261</v>
      </c>
      <c r="E2397" s="5" t="str">
        <f>VLOOKUP(F2397,'Set up'!$A$2:$C$48,2,FALSE)</f>
        <v>C00000019</v>
      </c>
      <c r="F2397" s="1" t="s">
        <v>401</v>
      </c>
      <c r="G2397" s="99" t="s">
        <v>95</v>
      </c>
      <c r="H2397" s="5">
        <v>1</v>
      </c>
      <c r="I2397" s="5" t="str">
        <f>VLOOKUP(F2397,'Set up'!$A$2:$C$48,3,FALSE)</f>
        <v>Cash</v>
      </c>
      <c r="J2397" s="5">
        <f>VLOOKUP(F2397,'Set up'!$A$2:$D$48,4,FALSE)</f>
        <v>0</v>
      </c>
      <c r="K2397" s="4">
        <f t="shared" si="820"/>
        <v>45268</v>
      </c>
      <c r="L2397" s="5">
        <f t="shared" si="821"/>
        <v>12</v>
      </c>
      <c r="M2397" s="5">
        <f t="shared" si="822"/>
        <v>2023</v>
      </c>
      <c r="N2397" s="96">
        <v>1738</v>
      </c>
      <c r="P2397" s="6">
        <f t="shared" si="824"/>
        <v>1738</v>
      </c>
      <c r="Q2397" s="7">
        <f t="shared" ref="Q2397:Q2463" si="825">SUM(Q2396+N2397)</f>
        <v>3955692.350000002</v>
      </c>
      <c r="R2397" s="44" t="str">
        <f>VLOOKUP(F2397,'Set up'!$A$2:$E$48,5,FALSE)</f>
        <v>Trsf</v>
      </c>
    </row>
    <row r="2398" spans="1:18" ht="15" hidden="1" customHeight="1" x14ac:dyDescent="0.3">
      <c r="A2398" s="4">
        <v>45268</v>
      </c>
      <c r="B2398" s="5">
        <f t="shared" si="818"/>
        <v>12</v>
      </c>
      <c r="C2398" s="5">
        <f t="shared" si="819"/>
        <v>2023</v>
      </c>
      <c r="D2398" s="88" t="s">
        <v>2261</v>
      </c>
      <c r="E2398" s="5" t="str">
        <f>VLOOKUP(F2398,'Set up'!$A$2:$C$48,2,FALSE)</f>
        <v>C00000019</v>
      </c>
      <c r="F2398" s="1" t="s">
        <v>401</v>
      </c>
      <c r="G2398" s="99" t="s">
        <v>1412</v>
      </c>
      <c r="H2398" s="5">
        <v>1</v>
      </c>
      <c r="I2398" s="5" t="str">
        <f>VLOOKUP(F2398,'Set up'!$A$2:$C$48,3,FALSE)</f>
        <v>Cash</v>
      </c>
      <c r="J2398" s="5">
        <f>VLOOKUP(F2398,'Set up'!$A$2:$D$48,4,FALSE)</f>
        <v>0</v>
      </c>
      <c r="K2398" s="4">
        <f t="shared" si="820"/>
        <v>45268</v>
      </c>
      <c r="L2398" s="5">
        <f t="shared" si="821"/>
        <v>12</v>
      </c>
      <c r="M2398" s="5">
        <f t="shared" si="822"/>
        <v>2023</v>
      </c>
      <c r="N2398" s="96">
        <v>405</v>
      </c>
      <c r="P2398" s="6">
        <f t="shared" si="824"/>
        <v>405</v>
      </c>
      <c r="Q2398" s="7">
        <f t="shared" si="825"/>
        <v>3956097.350000002</v>
      </c>
      <c r="R2398" s="44" t="str">
        <f>VLOOKUP(F2398,'Set up'!$A$2:$E$48,5,FALSE)</f>
        <v>Trsf</v>
      </c>
    </row>
    <row r="2399" spans="1:18" ht="15" hidden="1" customHeight="1" x14ac:dyDescent="0.3">
      <c r="A2399" s="4">
        <v>45268</v>
      </c>
      <c r="B2399" s="5">
        <f t="shared" si="818"/>
        <v>12</v>
      </c>
      <c r="C2399" s="5">
        <f t="shared" si="819"/>
        <v>2023</v>
      </c>
      <c r="D2399" s="88" t="s">
        <v>2261</v>
      </c>
      <c r="E2399" s="5" t="str">
        <f>VLOOKUP(F2399,'Set up'!$A$2:$C$48,2,FALSE)</f>
        <v>C00000019</v>
      </c>
      <c r="F2399" s="1" t="s">
        <v>401</v>
      </c>
      <c r="G2399" s="99" t="s">
        <v>1661</v>
      </c>
      <c r="H2399" s="5">
        <v>1</v>
      </c>
      <c r="I2399" s="5" t="str">
        <f>VLOOKUP(F2399,'Set up'!$A$2:$C$48,3,FALSE)</f>
        <v>Cash</v>
      </c>
      <c r="J2399" s="5">
        <f>VLOOKUP(F2399,'Set up'!$A$2:$D$48,4,FALSE)</f>
        <v>0</v>
      </c>
      <c r="K2399" s="4">
        <f t="shared" si="820"/>
        <v>45268</v>
      </c>
      <c r="L2399" s="5">
        <f t="shared" si="821"/>
        <v>12</v>
      </c>
      <c r="M2399" s="5">
        <f t="shared" si="822"/>
        <v>2023</v>
      </c>
      <c r="N2399" s="96">
        <v>160</v>
      </c>
      <c r="P2399" s="6">
        <f t="shared" si="824"/>
        <v>160</v>
      </c>
      <c r="Q2399" s="7">
        <f t="shared" si="825"/>
        <v>3956257.350000002</v>
      </c>
      <c r="R2399" s="44" t="str">
        <f>VLOOKUP(F2399,'Set up'!$A$2:$E$48,5,FALSE)</f>
        <v>Trsf</v>
      </c>
    </row>
    <row r="2400" spans="1:18" ht="15" hidden="1" customHeight="1" x14ac:dyDescent="0.3">
      <c r="A2400" s="4">
        <v>45268</v>
      </c>
      <c r="B2400" s="5">
        <f t="shared" si="818"/>
        <v>12</v>
      </c>
      <c r="C2400" s="5">
        <f t="shared" si="819"/>
        <v>2023</v>
      </c>
      <c r="D2400" s="88" t="s">
        <v>2261</v>
      </c>
      <c r="E2400" s="5" t="str">
        <f>VLOOKUP(F2400,'Set up'!$A$2:$C$48,2,FALSE)</f>
        <v>C00000019</v>
      </c>
      <c r="F2400" s="1" t="s">
        <v>401</v>
      </c>
      <c r="G2400" s="99" t="s">
        <v>1470</v>
      </c>
      <c r="H2400" s="5">
        <v>1</v>
      </c>
      <c r="I2400" s="5" t="str">
        <f>VLOOKUP(F2400,'Set up'!$A$2:$C$48,3,FALSE)</f>
        <v>Cash</v>
      </c>
      <c r="J2400" s="5">
        <f>VLOOKUP(F2400,'Set up'!$A$2:$D$48,4,FALSE)</f>
        <v>0</v>
      </c>
      <c r="K2400" s="4">
        <f t="shared" si="820"/>
        <v>45268</v>
      </c>
      <c r="L2400" s="5">
        <f t="shared" si="821"/>
        <v>12</v>
      </c>
      <c r="M2400" s="5">
        <f t="shared" si="822"/>
        <v>2023</v>
      </c>
      <c r="N2400" s="96">
        <v>390</v>
      </c>
      <c r="P2400" s="6">
        <f t="shared" si="824"/>
        <v>390</v>
      </c>
      <c r="Q2400" s="7">
        <f t="shared" si="825"/>
        <v>3956647.350000002</v>
      </c>
      <c r="R2400" s="44" t="str">
        <f>VLOOKUP(F2400,'Set up'!$A$2:$E$48,5,FALSE)</f>
        <v>Trsf</v>
      </c>
    </row>
    <row r="2401" spans="1:18" ht="15" customHeight="1" x14ac:dyDescent="0.3">
      <c r="A2401" s="4">
        <v>45269</v>
      </c>
      <c r="B2401" s="5">
        <f t="shared" si="818"/>
        <v>12</v>
      </c>
      <c r="C2401" s="5">
        <f t="shared" si="819"/>
        <v>2023</v>
      </c>
      <c r="D2401" s="88" t="s">
        <v>2262</v>
      </c>
      <c r="E2401" s="5" t="str">
        <f>VLOOKUP(F2401,'Set up'!$A$2:$C$48,2,FALSE)</f>
        <v>C00000042</v>
      </c>
      <c r="F2401" s="1" t="s">
        <v>2014</v>
      </c>
      <c r="G2401" s="99" t="s">
        <v>1111</v>
      </c>
      <c r="H2401" s="5">
        <v>4</v>
      </c>
      <c r="I2401" s="5" t="str">
        <f>VLOOKUP(F2401,'Set up'!$A$2:$C$48,3,FALSE)</f>
        <v>Cash</v>
      </c>
      <c r="J2401" s="5">
        <f>VLOOKUP(F2401,'Set up'!$A$2:$D$48,4,FALSE)</f>
        <v>0</v>
      </c>
      <c r="K2401" s="4">
        <f t="shared" si="820"/>
        <v>45269</v>
      </c>
      <c r="L2401" s="5">
        <f t="shared" si="821"/>
        <v>12</v>
      </c>
      <c r="M2401" s="5">
        <f t="shared" si="822"/>
        <v>2023</v>
      </c>
      <c r="N2401" s="96">
        <v>250</v>
      </c>
      <c r="P2401" s="6">
        <f t="shared" si="824"/>
        <v>250</v>
      </c>
      <c r="Q2401" s="7">
        <f t="shared" si="825"/>
        <v>3956897.350000002</v>
      </c>
      <c r="R2401" s="44" t="str">
        <f>VLOOKUP(F2401,'Set up'!$A$2:$E$48,5,FALSE)</f>
        <v>Trsf</v>
      </c>
    </row>
    <row r="2402" spans="1:18" ht="15" customHeight="1" x14ac:dyDescent="0.3">
      <c r="A2402" s="4">
        <v>45269</v>
      </c>
      <c r="B2402" s="5">
        <f t="shared" si="818"/>
        <v>12</v>
      </c>
      <c r="C2402" s="5">
        <f t="shared" si="819"/>
        <v>2023</v>
      </c>
      <c r="D2402" s="88" t="s">
        <v>2263</v>
      </c>
      <c r="E2402" s="5" t="str">
        <f>VLOOKUP(F2402,'Set up'!$A$2:$C$48,2,FALSE)</f>
        <v>C00000042</v>
      </c>
      <c r="F2402" s="1" t="s">
        <v>2014</v>
      </c>
      <c r="G2402" s="99" t="s">
        <v>1734</v>
      </c>
      <c r="H2402" s="5">
        <v>4</v>
      </c>
      <c r="I2402" s="5" t="str">
        <f>VLOOKUP(F2402,'Set up'!$A$2:$C$48,3,FALSE)</f>
        <v>Cash</v>
      </c>
      <c r="J2402" s="5">
        <f>VLOOKUP(F2402,'Set up'!$A$2:$D$48,4,FALSE)</f>
        <v>0</v>
      </c>
      <c r="K2402" s="4">
        <f t="shared" si="820"/>
        <v>45269</v>
      </c>
      <c r="L2402" s="5">
        <f t="shared" si="821"/>
        <v>12</v>
      </c>
      <c r="M2402" s="5">
        <f t="shared" si="822"/>
        <v>2023</v>
      </c>
      <c r="N2402" s="96">
        <v>6424</v>
      </c>
      <c r="P2402" s="6">
        <f t="shared" si="824"/>
        <v>6424</v>
      </c>
      <c r="Q2402" s="7">
        <f t="shared" si="825"/>
        <v>3963321.350000002</v>
      </c>
      <c r="R2402" s="44" t="str">
        <f>VLOOKUP(F2402,'Set up'!$A$2:$E$48,5,FALSE)</f>
        <v>Trsf</v>
      </c>
    </row>
    <row r="2403" spans="1:18" ht="15" customHeight="1" x14ac:dyDescent="0.3">
      <c r="A2403" s="4">
        <v>45269</v>
      </c>
      <c r="B2403" s="5">
        <f t="shared" si="818"/>
        <v>12</v>
      </c>
      <c r="C2403" s="5">
        <f t="shared" si="819"/>
        <v>2023</v>
      </c>
      <c r="D2403" s="88" t="s">
        <v>2263</v>
      </c>
      <c r="E2403" s="5" t="str">
        <f>VLOOKUP(F2403,'Set up'!$A$2:$C$48,2,FALSE)</f>
        <v>C00000042</v>
      </c>
      <c r="F2403" s="1" t="s">
        <v>2014</v>
      </c>
      <c r="G2403" s="99" t="s">
        <v>2110</v>
      </c>
      <c r="H2403" s="5">
        <v>15</v>
      </c>
      <c r="I2403" s="5" t="str">
        <f>VLOOKUP(F2403,'Set up'!$A$2:$C$48,3,FALSE)</f>
        <v>Cash</v>
      </c>
      <c r="J2403" s="5">
        <f>VLOOKUP(F2403,'Set up'!$A$2:$D$48,4,FALSE)</f>
        <v>0</v>
      </c>
      <c r="K2403" s="4">
        <f t="shared" si="820"/>
        <v>45269</v>
      </c>
      <c r="L2403" s="5">
        <f t="shared" si="821"/>
        <v>12</v>
      </c>
      <c r="M2403" s="5">
        <f t="shared" si="822"/>
        <v>2023</v>
      </c>
      <c r="N2403" s="96">
        <v>3219</v>
      </c>
      <c r="P2403" s="6">
        <f t="shared" si="824"/>
        <v>3219</v>
      </c>
      <c r="Q2403" s="7">
        <f t="shared" si="825"/>
        <v>3966540.350000002</v>
      </c>
      <c r="R2403" s="44" t="str">
        <f>VLOOKUP(F2403,'Set up'!$A$2:$E$48,5,FALSE)</f>
        <v>Trsf</v>
      </c>
    </row>
    <row r="2404" spans="1:18" ht="15" customHeight="1" x14ac:dyDescent="0.3">
      <c r="A2404" s="4">
        <v>45269</v>
      </c>
      <c r="B2404" s="5">
        <f t="shared" si="818"/>
        <v>12</v>
      </c>
      <c r="C2404" s="5">
        <f t="shared" si="819"/>
        <v>2023</v>
      </c>
      <c r="D2404" s="88" t="s">
        <v>2263</v>
      </c>
      <c r="E2404" s="5" t="str">
        <f>VLOOKUP(F2404,'Set up'!$A$2:$C$48,2,FALSE)</f>
        <v>C00000042</v>
      </c>
      <c r="F2404" s="1" t="s">
        <v>2014</v>
      </c>
      <c r="G2404" s="99" t="s">
        <v>1923</v>
      </c>
      <c r="H2404" s="5">
        <v>3</v>
      </c>
      <c r="I2404" s="5" t="str">
        <f>VLOOKUP(F2404,'Set up'!$A$2:$C$48,3,FALSE)</f>
        <v>Cash</v>
      </c>
      <c r="J2404" s="5">
        <f>VLOOKUP(F2404,'Set up'!$A$2:$D$48,4,FALSE)</f>
        <v>0</v>
      </c>
      <c r="K2404" s="4">
        <f t="shared" si="820"/>
        <v>45269</v>
      </c>
      <c r="L2404" s="5">
        <f t="shared" si="821"/>
        <v>12</v>
      </c>
      <c r="M2404" s="5">
        <f t="shared" si="822"/>
        <v>2023</v>
      </c>
      <c r="N2404" s="96">
        <v>702</v>
      </c>
      <c r="P2404" s="6">
        <f t="shared" si="824"/>
        <v>702</v>
      </c>
      <c r="Q2404" s="7">
        <f t="shared" si="825"/>
        <v>3967242.350000002</v>
      </c>
      <c r="R2404" s="44" t="str">
        <f>VLOOKUP(F2404,'Set up'!$A$2:$E$48,5,FALSE)</f>
        <v>Trsf</v>
      </c>
    </row>
    <row r="2405" spans="1:18" ht="15" customHeight="1" x14ac:dyDescent="0.3">
      <c r="A2405" s="4">
        <v>45269</v>
      </c>
      <c r="B2405" s="5">
        <f t="shared" si="818"/>
        <v>12</v>
      </c>
      <c r="C2405" s="5">
        <f t="shared" si="819"/>
        <v>2023</v>
      </c>
      <c r="D2405" s="88" t="s">
        <v>2263</v>
      </c>
      <c r="E2405" s="5" t="str">
        <f>VLOOKUP(F2405,'Set up'!$A$2:$C$48,2,FALSE)</f>
        <v>C00000042</v>
      </c>
      <c r="F2405" s="1" t="s">
        <v>2014</v>
      </c>
      <c r="G2405" s="99" t="s">
        <v>1062</v>
      </c>
      <c r="H2405" s="5">
        <v>4</v>
      </c>
      <c r="I2405" s="5" t="str">
        <f>VLOOKUP(F2405,'Set up'!$A$2:$C$48,3,FALSE)</f>
        <v>Cash</v>
      </c>
      <c r="J2405" s="5">
        <f>VLOOKUP(F2405,'Set up'!$A$2:$D$48,4,FALSE)</f>
        <v>0</v>
      </c>
      <c r="K2405" s="4">
        <f t="shared" si="820"/>
        <v>45269</v>
      </c>
      <c r="L2405" s="5">
        <f t="shared" si="821"/>
        <v>12</v>
      </c>
      <c r="M2405" s="5">
        <f t="shared" si="822"/>
        <v>2023</v>
      </c>
      <c r="N2405" s="96">
        <v>380</v>
      </c>
      <c r="P2405" s="6">
        <f t="shared" si="824"/>
        <v>380</v>
      </c>
      <c r="Q2405" s="7">
        <f t="shared" si="825"/>
        <v>3967622.350000002</v>
      </c>
      <c r="R2405" s="44" t="str">
        <f>VLOOKUP(F2405,'Set up'!$A$2:$E$48,5,FALSE)</f>
        <v>Trsf</v>
      </c>
    </row>
    <row r="2406" spans="1:18" ht="15" hidden="1" customHeight="1" x14ac:dyDescent="0.3">
      <c r="A2406" s="4">
        <v>45273</v>
      </c>
      <c r="B2406" s="5">
        <f t="shared" si="818"/>
        <v>12</v>
      </c>
      <c r="C2406" s="5">
        <f t="shared" si="819"/>
        <v>2023</v>
      </c>
      <c r="D2406" s="88" t="s">
        <v>2264</v>
      </c>
      <c r="E2406" s="5" t="str">
        <f>VLOOKUP(F2406,'Set up'!$A$2:$C$48,2,FALSE)</f>
        <v>C00000009</v>
      </c>
      <c r="F2406" s="1" t="s">
        <v>58</v>
      </c>
      <c r="G2406" s="99" t="s">
        <v>95</v>
      </c>
      <c r="H2406" s="5">
        <v>2</v>
      </c>
      <c r="I2406" s="5">
        <f>VLOOKUP(F2406,'Set up'!$A$2:$C$48,3,FALSE)</f>
        <v>60</v>
      </c>
      <c r="J2406" s="5">
        <f>VLOOKUP(F2406,'Set up'!$A$2:$D$48,4,FALSE)</f>
        <v>60</v>
      </c>
      <c r="K2406" s="4">
        <f t="shared" si="820"/>
        <v>45333</v>
      </c>
      <c r="L2406" s="5">
        <f t="shared" si="821"/>
        <v>2</v>
      </c>
      <c r="M2406" s="5">
        <f t="shared" si="822"/>
        <v>2024</v>
      </c>
      <c r="N2406" s="96">
        <v>3212</v>
      </c>
      <c r="P2406" s="6">
        <f t="shared" si="824"/>
        <v>3212</v>
      </c>
      <c r="Q2406" s="7">
        <f t="shared" si="825"/>
        <v>3970834.350000002</v>
      </c>
      <c r="R2406" s="44" t="str">
        <f>VLOOKUP(F2406,'Set up'!$A$2:$E$48,5,FALSE)</f>
        <v>Chq</v>
      </c>
    </row>
    <row r="2407" spans="1:18" ht="15" hidden="1" customHeight="1" x14ac:dyDescent="0.3">
      <c r="A2407" s="4">
        <v>45273</v>
      </c>
      <c r="B2407" s="5">
        <f t="shared" si="818"/>
        <v>12</v>
      </c>
      <c r="C2407" s="5">
        <f t="shared" si="819"/>
        <v>2023</v>
      </c>
      <c r="D2407" s="88" t="s">
        <v>2264</v>
      </c>
      <c r="E2407" s="5" t="str">
        <f>VLOOKUP(F2407,'Set up'!$A$2:$C$48,2,FALSE)</f>
        <v>C00000009</v>
      </c>
      <c r="F2407" s="1" t="s">
        <v>58</v>
      </c>
      <c r="G2407" s="99" t="s">
        <v>287</v>
      </c>
      <c r="H2407" s="5">
        <v>1</v>
      </c>
      <c r="I2407" s="5">
        <f>VLOOKUP(F2407,'Set up'!$A$2:$C$48,3,FALSE)</f>
        <v>60</v>
      </c>
      <c r="J2407" s="5">
        <f>VLOOKUP(F2407,'Set up'!$A$2:$D$48,4,FALSE)</f>
        <v>60</v>
      </c>
      <c r="K2407" s="4">
        <f t="shared" si="820"/>
        <v>45333</v>
      </c>
      <c r="L2407" s="5">
        <f t="shared" si="821"/>
        <v>2</v>
      </c>
      <c r="M2407" s="5">
        <f t="shared" si="822"/>
        <v>2024</v>
      </c>
      <c r="N2407" s="96">
        <v>1606</v>
      </c>
      <c r="P2407" s="6">
        <f t="shared" si="824"/>
        <v>1606</v>
      </c>
      <c r="Q2407" s="7">
        <f t="shared" si="825"/>
        <v>3972440.350000002</v>
      </c>
      <c r="R2407" s="44" t="str">
        <f>VLOOKUP(F2407,'Set up'!$A$2:$E$48,5,FALSE)</f>
        <v>Chq</v>
      </c>
    </row>
    <row r="2408" spans="1:18" ht="15" hidden="1" customHeight="1" x14ac:dyDescent="0.3">
      <c r="A2408" s="4">
        <v>45273</v>
      </c>
      <c r="B2408" s="5">
        <f t="shared" si="818"/>
        <v>12</v>
      </c>
      <c r="C2408" s="5">
        <f t="shared" si="819"/>
        <v>2023</v>
      </c>
      <c r="D2408" s="88" t="s">
        <v>2264</v>
      </c>
      <c r="E2408" s="5" t="str">
        <f>VLOOKUP(F2408,'Set up'!$A$2:$C$48,2,FALSE)</f>
        <v>C00000009</v>
      </c>
      <c r="F2408" s="1" t="s">
        <v>58</v>
      </c>
      <c r="G2408" s="99" t="s">
        <v>1412</v>
      </c>
      <c r="H2408" s="5">
        <v>2</v>
      </c>
      <c r="I2408" s="5">
        <f>VLOOKUP(F2408,'Set up'!$A$2:$C$48,3,FALSE)</f>
        <v>60</v>
      </c>
      <c r="J2408" s="5">
        <f>VLOOKUP(F2408,'Set up'!$A$2:$D$48,4,FALSE)</f>
        <v>60</v>
      </c>
      <c r="K2408" s="4">
        <f t="shared" si="820"/>
        <v>45333</v>
      </c>
      <c r="L2408" s="5">
        <f t="shared" si="821"/>
        <v>2</v>
      </c>
      <c r="M2408" s="5">
        <f t="shared" si="822"/>
        <v>2024</v>
      </c>
      <c r="N2408" s="96">
        <v>626.4</v>
      </c>
      <c r="P2408" s="6">
        <f t="shared" si="824"/>
        <v>626.4</v>
      </c>
      <c r="Q2408" s="7">
        <f t="shared" si="825"/>
        <v>3973066.7500000019</v>
      </c>
      <c r="R2408" s="44" t="str">
        <f>VLOOKUP(F2408,'Set up'!$A$2:$E$48,5,FALSE)</f>
        <v>Chq</v>
      </c>
    </row>
    <row r="2409" spans="1:18" ht="15" hidden="1" customHeight="1" x14ac:dyDescent="0.3">
      <c r="A2409" s="4">
        <v>45273</v>
      </c>
      <c r="B2409" s="5">
        <f t="shared" si="818"/>
        <v>12</v>
      </c>
      <c r="C2409" s="5">
        <f t="shared" si="819"/>
        <v>2023</v>
      </c>
      <c r="D2409" s="88" t="s">
        <v>2264</v>
      </c>
      <c r="E2409" s="5" t="str">
        <f>VLOOKUP(F2409,'Set up'!$A$2:$C$48,2,FALSE)</f>
        <v>C00000009</v>
      </c>
      <c r="F2409" s="1" t="s">
        <v>58</v>
      </c>
      <c r="G2409" s="99" t="s">
        <v>2206</v>
      </c>
      <c r="H2409" s="5">
        <v>2</v>
      </c>
      <c r="I2409" s="5">
        <f>VLOOKUP(F2409,'Set up'!$A$2:$C$48,3,FALSE)</f>
        <v>60</v>
      </c>
      <c r="J2409" s="5">
        <f>VLOOKUP(F2409,'Set up'!$A$2:$D$48,4,FALSE)</f>
        <v>60</v>
      </c>
      <c r="K2409" s="4">
        <f t="shared" si="820"/>
        <v>45333</v>
      </c>
      <c r="L2409" s="5">
        <f t="shared" si="821"/>
        <v>2</v>
      </c>
      <c r="M2409" s="5">
        <f t="shared" si="822"/>
        <v>2024</v>
      </c>
      <c r="N2409" s="96">
        <v>626.4</v>
      </c>
      <c r="P2409" s="6">
        <f t="shared" si="824"/>
        <v>626.4</v>
      </c>
      <c r="Q2409" s="7">
        <f t="shared" si="825"/>
        <v>3973693.1500000018</v>
      </c>
      <c r="R2409" s="44" t="str">
        <f>VLOOKUP(F2409,'Set up'!$A$2:$E$48,5,FALSE)</f>
        <v>Chq</v>
      </c>
    </row>
    <row r="2410" spans="1:18" ht="15" customHeight="1" x14ac:dyDescent="0.3">
      <c r="A2410" s="4">
        <v>45274</v>
      </c>
      <c r="B2410" s="5">
        <f t="shared" si="818"/>
        <v>12</v>
      </c>
      <c r="C2410" s="5">
        <f t="shared" si="819"/>
        <v>2023</v>
      </c>
      <c r="D2410" s="88" t="s">
        <v>2265</v>
      </c>
      <c r="E2410" s="5" t="str">
        <f>VLOOKUP(F2410,'Set up'!$A$2:$C$48,2,FALSE)</f>
        <v>C00000042</v>
      </c>
      <c r="F2410" s="1" t="s">
        <v>2014</v>
      </c>
      <c r="G2410" s="99" t="s">
        <v>1111</v>
      </c>
      <c r="H2410" s="5">
        <v>2</v>
      </c>
      <c r="I2410" s="5" t="str">
        <f>VLOOKUP(F2410,'Set up'!$A$2:$C$48,3,FALSE)</f>
        <v>Cash</v>
      </c>
      <c r="J2410" s="5">
        <f>VLOOKUP(F2410,'Set up'!$A$2:$D$48,4,FALSE)</f>
        <v>0</v>
      </c>
      <c r="K2410" s="4">
        <f t="shared" si="820"/>
        <v>45274</v>
      </c>
      <c r="L2410" s="5">
        <f t="shared" si="821"/>
        <v>12</v>
      </c>
      <c r="M2410" s="5">
        <f t="shared" si="822"/>
        <v>2023</v>
      </c>
      <c r="N2410" s="96">
        <v>125</v>
      </c>
      <c r="P2410" s="6">
        <f t="shared" si="824"/>
        <v>125</v>
      </c>
      <c r="Q2410" s="7">
        <f t="shared" si="825"/>
        <v>3973818.1500000018</v>
      </c>
      <c r="R2410" s="44" t="str">
        <f>VLOOKUP(F2410,'Set up'!$A$2:$E$48,5,FALSE)</f>
        <v>Trsf</v>
      </c>
    </row>
    <row r="2411" spans="1:18" ht="15" customHeight="1" x14ac:dyDescent="0.3">
      <c r="A2411" s="4">
        <v>45275</v>
      </c>
      <c r="B2411" s="5">
        <f t="shared" si="818"/>
        <v>12</v>
      </c>
      <c r="C2411" s="5">
        <f t="shared" si="819"/>
        <v>2023</v>
      </c>
      <c r="D2411" s="88" t="s">
        <v>2266</v>
      </c>
      <c r="E2411" s="5" t="str">
        <f>VLOOKUP(F2411,'Set up'!$A$2:$C$48,2,FALSE)</f>
        <v>C00000042</v>
      </c>
      <c r="F2411" s="1" t="s">
        <v>2014</v>
      </c>
      <c r="G2411" s="99" t="s">
        <v>1734</v>
      </c>
      <c r="H2411" s="5">
        <v>2</v>
      </c>
      <c r="I2411" s="5" t="str">
        <f>VLOOKUP(F2411,'Set up'!$A$2:$C$48,3,FALSE)</f>
        <v>Cash</v>
      </c>
      <c r="J2411" s="5">
        <f>VLOOKUP(F2411,'Set up'!$A$2:$D$48,4,FALSE)</f>
        <v>0</v>
      </c>
      <c r="K2411" s="4">
        <f t="shared" si="820"/>
        <v>45275</v>
      </c>
      <c r="L2411" s="5">
        <f t="shared" si="821"/>
        <v>12</v>
      </c>
      <c r="M2411" s="5">
        <f t="shared" si="822"/>
        <v>2023</v>
      </c>
      <c r="N2411" s="96">
        <v>3212</v>
      </c>
      <c r="P2411" s="6">
        <f t="shared" si="824"/>
        <v>3212</v>
      </c>
      <c r="Q2411" s="7">
        <f t="shared" si="825"/>
        <v>3977030.1500000018</v>
      </c>
      <c r="R2411" s="44" t="str">
        <f>VLOOKUP(F2411,'Set up'!$A$2:$E$48,5,FALSE)</f>
        <v>Trsf</v>
      </c>
    </row>
    <row r="2412" spans="1:18" ht="15" customHeight="1" x14ac:dyDescent="0.3">
      <c r="A2412" s="4">
        <v>45275</v>
      </c>
      <c r="B2412" s="5">
        <f t="shared" si="818"/>
        <v>12</v>
      </c>
      <c r="C2412" s="5">
        <f t="shared" si="819"/>
        <v>2023</v>
      </c>
      <c r="D2412" s="88" t="s">
        <v>2266</v>
      </c>
      <c r="E2412" s="5" t="str">
        <f>VLOOKUP(F2412,'Set up'!$A$2:$C$48,2,FALSE)</f>
        <v>C00000042</v>
      </c>
      <c r="F2412" s="1" t="s">
        <v>2014</v>
      </c>
      <c r="G2412" s="99" t="s">
        <v>2110</v>
      </c>
      <c r="H2412" s="5">
        <v>7</v>
      </c>
      <c r="I2412" s="5" t="str">
        <f>VLOOKUP(F2412,'Set up'!$A$2:$C$48,3,FALSE)</f>
        <v>Cash</v>
      </c>
      <c r="J2412" s="5">
        <f>VLOOKUP(F2412,'Set up'!$A$2:$D$48,4,FALSE)</f>
        <v>0</v>
      </c>
      <c r="K2412" s="4">
        <f t="shared" si="820"/>
        <v>45275</v>
      </c>
      <c r="L2412" s="5">
        <f t="shared" si="821"/>
        <v>12</v>
      </c>
      <c r="M2412" s="5">
        <f t="shared" si="822"/>
        <v>2023</v>
      </c>
      <c r="N2412" s="96">
        <v>1502.2</v>
      </c>
      <c r="P2412" s="6">
        <f t="shared" si="824"/>
        <v>1502.2</v>
      </c>
      <c r="Q2412" s="7">
        <f t="shared" si="825"/>
        <v>3978532.350000002</v>
      </c>
      <c r="R2412" s="44" t="str">
        <f>VLOOKUP(F2412,'Set up'!$A$2:$E$48,5,FALSE)</f>
        <v>Trsf</v>
      </c>
    </row>
    <row r="2413" spans="1:18" ht="15" customHeight="1" x14ac:dyDescent="0.3">
      <c r="A2413" s="4">
        <v>45275</v>
      </c>
      <c r="B2413" s="5">
        <f t="shared" si="818"/>
        <v>12</v>
      </c>
      <c r="C2413" s="5">
        <f t="shared" si="819"/>
        <v>2023</v>
      </c>
      <c r="D2413" s="88" t="s">
        <v>2266</v>
      </c>
      <c r="E2413" s="5" t="str">
        <f>VLOOKUP(F2413,'Set up'!$A$2:$C$48,2,FALSE)</f>
        <v>C00000042</v>
      </c>
      <c r="F2413" s="1" t="s">
        <v>2014</v>
      </c>
      <c r="G2413" s="99" t="s">
        <v>1923</v>
      </c>
      <c r="H2413" s="5">
        <v>4</v>
      </c>
      <c r="I2413" s="5" t="str">
        <f>VLOOKUP(F2413,'Set up'!$A$2:$C$48,3,FALSE)</f>
        <v>Cash</v>
      </c>
      <c r="J2413" s="5">
        <f>VLOOKUP(F2413,'Set up'!$A$2:$D$48,4,FALSE)</f>
        <v>0</v>
      </c>
      <c r="K2413" s="4">
        <f t="shared" si="820"/>
        <v>45275</v>
      </c>
      <c r="L2413" s="5">
        <f t="shared" si="821"/>
        <v>12</v>
      </c>
      <c r="M2413" s="5">
        <f t="shared" si="822"/>
        <v>2023</v>
      </c>
      <c r="N2413" s="96">
        <v>936</v>
      </c>
      <c r="P2413" s="6">
        <f t="shared" si="824"/>
        <v>936</v>
      </c>
      <c r="Q2413" s="7">
        <f t="shared" si="825"/>
        <v>3979468.350000002</v>
      </c>
      <c r="R2413" s="44" t="str">
        <f>VLOOKUP(F2413,'Set up'!$A$2:$E$48,5,FALSE)</f>
        <v>Trsf</v>
      </c>
    </row>
    <row r="2414" spans="1:18" ht="15" customHeight="1" x14ac:dyDescent="0.3">
      <c r="A2414" s="4">
        <v>45275</v>
      </c>
      <c r="B2414" s="5">
        <f t="shared" si="818"/>
        <v>12</v>
      </c>
      <c r="C2414" s="5">
        <f t="shared" si="819"/>
        <v>2023</v>
      </c>
      <c r="D2414" s="88" t="s">
        <v>2266</v>
      </c>
      <c r="E2414" s="5" t="str">
        <f>VLOOKUP(F2414,'Set up'!$A$2:$C$48,2,FALSE)</f>
        <v>C00000042</v>
      </c>
      <c r="F2414" s="1" t="s">
        <v>2014</v>
      </c>
      <c r="G2414" s="99" t="s">
        <v>1074</v>
      </c>
      <c r="H2414" s="5">
        <v>1</v>
      </c>
      <c r="I2414" s="5" t="str">
        <f>VLOOKUP(F2414,'Set up'!$A$2:$C$48,3,FALSE)</f>
        <v>Cash</v>
      </c>
      <c r="J2414" s="5">
        <f>VLOOKUP(F2414,'Set up'!$A$2:$D$48,4,FALSE)</f>
        <v>0</v>
      </c>
      <c r="K2414" s="4">
        <f t="shared" si="820"/>
        <v>45275</v>
      </c>
      <c r="L2414" s="5">
        <f t="shared" si="821"/>
        <v>12</v>
      </c>
      <c r="M2414" s="5">
        <f t="shared" si="822"/>
        <v>2023</v>
      </c>
      <c r="N2414" s="96">
        <v>1000</v>
      </c>
      <c r="P2414" s="6">
        <f t="shared" si="824"/>
        <v>1000</v>
      </c>
      <c r="Q2414" s="7">
        <f t="shared" si="825"/>
        <v>3980468.350000002</v>
      </c>
      <c r="R2414" s="44" t="str">
        <f>VLOOKUP(F2414,'Set up'!$A$2:$E$48,5,FALSE)</f>
        <v>Trsf</v>
      </c>
    </row>
    <row r="2415" spans="1:18" ht="15" hidden="1" customHeight="1" x14ac:dyDescent="0.3">
      <c r="A2415" s="4">
        <v>45275</v>
      </c>
      <c r="B2415" s="5">
        <f t="shared" si="818"/>
        <v>12</v>
      </c>
      <c r="C2415" s="5">
        <f t="shared" si="819"/>
        <v>2023</v>
      </c>
      <c r="D2415" s="88" t="s">
        <v>2267</v>
      </c>
      <c r="E2415" s="5" t="str">
        <f>VLOOKUP(F2415,'Set up'!$A$2:$C$48,2,FALSE)</f>
        <v>C00000021</v>
      </c>
      <c r="F2415" s="1" t="s">
        <v>492</v>
      </c>
      <c r="G2415" s="99" t="s">
        <v>67</v>
      </c>
      <c r="H2415" s="5">
        <v>1</v>
      </c>
      <c r="I2415" s="5" t="str">
        <f>VLOOKUP(F2415,'Set up'!$A$2:$C$48,3,FALSE)</f>
        <v>Cash</v>
      </c>
      <c r="J2415" s="5">
        <f>VLOOKUP(F2415,'Set up'!$A$2:$D$48,4,FALSE)</f>
        <v>0</v>
      </c>
      <c r="K2415" s="4">
        <f t="shared" si="820"/>
        <v>45275</v>
      </c>
      <c r="L2415" s="5">
        <f t="shared" si="821"/>
        <v>12</v>
      </c>
      <c r="M2415" s="5">
        <f t="shared" si="822"/>
        <v>2023</v>
      </c>
      <c r="N2415" s="96">
        <v>1738</v>
      </c>
      <c r="P2415" s="6">
        <f t="shared" si="824"/>
        <v>1738</v>
      </c>
      <c r="Q2415" s="7">
        <f t="shared" si="825"/>
        <v>3982206.350000002</v>
      </c>
      <c r="R2415" s="44" t="str">
        <f>VLOOKUP(F2415,'Set up'!$A$2:$E$48,5,FALSE)</f>
        <v>PD Chq</v>
      </c>
    </row>
    <row r="2416" spans="1:18" ht="15" hidden="1" customHeight="1" x14ac:dyDescent="0.3">
      <c r="A2416" s="4">
        <v>45275</v>
      </c>
      <c r="B2416" s="5">
        <f t="shared" si="818"/>
        <v>12</v>
      </c>
      <c r="C2416" s="5">
        <f t="shared" si="819"/>
        <v>2023</v>
      </c>
      <c r="D2416" s="88" t="s">
        <v>2267</v>
      </c>
      <c r="E2416" s="5" t="str">
        <f>VLOOKUP(F2416,'Set up'!$A$2:$C$48,2,FALSE)</f>
        <v>C00000021</v>
      </c>
      <c r="F2416" s="1" t="s">
        <v>492</v>
      </c>
      <c r="G2416" s="99" t="s">
        <v>2202</v>
      </c>
      <c r="H2416" s="5">
        <v>3</v>
      </c>
      <c r="I2416" s="5" t="str">
        <f>VLOOKUP(F2416,'Set up'!$A$2:$C$48,3,FALSE)</f>
        <v>Cash</v>
      </c>
      <c r="J2416" s="5">
        <f>VLOOKUP(F2416,'Set up'!$A$2:$D$48,4,FALSE)</f>
        <v>0</v>
      </c>
      <c r="K2416" s="4">
        <f t="shared" si="820"/>
        <v>45275</v>
      </c>
      <c r="L2416" s="5">
        <f t="shared" si="821"/>
        <v>12</v>
      </c>
      <c r="M2416" s="5">
        <f t="shared" si="822"/>
        <v>2023</v>
      </c>
      <c r="N2416" s="96">
        <v>832.5</v>
      </c>
      <c r="P2416" s="6">
        <f t="shared" si="824"/>
        <v>832.5</v>
      </c>
      <c r="Q2416" s="7">
        <f t="shared" si="825"/>
        <v>3983038.850000002</v>
      </c>
      <c r="R2416" s="44" t="str">
        <f>VLOOKUP(F2416,'Set up'!$A$2:$E$48,5,FALSE)</f>
        <v>PD Chq</v>
      </c>
    </row>
    <row r="2417" spans="1:19" ht="15" hidden="1" customHeight="1" x14ac:dyDescent="0.3">
      <c r="A2417" s="4">
        <v>45275</v>
      </c>
      <c r="B2417" s="5">
        <f t="shared" si="818"/>
        <v>12</v>
      </c>
      <c r="C2417" s="5">
        <f t="shared" si="819"/>
        <v>2023</v>
      </c>
      <c r="D2417" s="88" t="s">
        <v>2267</v>
      </c>
      <c r="E2417" s="5" t="str">
        <f>VLOOKUP(F2417,'Set up'!$A$2:$C$48,2,FALSE)</f>
        <v>C00000021</v>
      </c>
      <c r="F2417" s="1" t="s">
        <v>492</v>
      </c>
      <c r="G2417" s="99" t="s">
        <v>1062</v>
      </c>
      <c r="H2417" s="5">
        <v>1</v>
      </c>
      <c r="I2417" s="5" t="str">
        <f>VLOOKUP(F2417,'Set up'!$A$2:$C$48,3,FALSE)</f>
        <v>Cash</v>
      </c>
      <c r="J2417" s="5">
        <f>VLOOKUP(F2417,'Set up'!$A$2:$D$48,4,FALSE)</f>
        <v>0</v>
      </c>
      <c r="K2417" s="4">
        <f t="shared" si="820"/>
        <v>45275</v>
      </c>
      <c r="L2417" s="5">
        <f t="shared" si="821"/>
        <v>12</v>
      </c>
      <c r="M2417" s="5">
        <f t="shared" si="822"/>
        <v>2023</v>
      </c>
      <c r="N2417" s="96">
        <v>95</v>
      </c>
      <c r="P2417" s="6">
        <f t="shared" si="824"/>
        <v>95</v>
      </c>
      <c r="Q2417" s="7">
        <f t="shared" si="825"/>
        <v>3983133.850000002</v>
      </c>
      <c r="R2417" s="44" t="str">
        <f>VLOOKUP(F2417,'Set up'!$A$2:$E$48,5,FALSE)</f>
        <v>PD Chq</v>
      </c>
    </row>
    <row r="2418" spans="1:19" ht="15" hidden="1" customHeight="1" x14ac:dyDescent="0.3">
      <c r="A2418" s="4">
        <v>45275</v>
      </c>
      <c r="B2418" s="5">
        <f t="shared" si="818"/>
        <v>12</v>
      </c>
      <c r="C2418" s="5">
        <f t="shared" si="819"/>
        <v>2023</v>
      </c>
      <c r="D2418" s="88" t="s">
        <v>2268</v>
      </c>
      <c r="E2418" s="5" t="str">
        <f>VLOOKUP(F2418,'Set up'!$A$2:$C$48,2,FALSE)</f>
        <v>C00000043</v>
      </c>
      <c r="F2418" s="1" t="s">
        <v>2207</v>
      </c>
      <c r="G2418" s="99" t="s">
        <v>1739</v>
      </c>
      <c r="H2418" s="5">
        <v>1</v>
      </c>
      <c r="I2418" s="5" t="str">
        <f>VLOOKUP(F2418,'Set up'!$A$2:$C$48,3,FALSE)</f>
        <v>Cash</v>
      </c>
      <c r="J2418" s="5">
        <f>VLOOKUP(F2418,'Set up'!$A$2:$D$48,4,FALSE)</f>
        <v>0</v>
      </c>
      <c r="K2418" s="4">
        <f t="shared" si="820"/>
        <v>45275</v>
      </c>
      <c r="L2418" s="5">
        <f t="shared" si="821"/>
        <v>12</v>
      </c>
      <c r="M2418" s="5">
        <f t="shared" si="822"/>
        <v>2023</v>
      </c>
      <c r="N2418" s="96">
        <v>1760</v>
      </c>
      <c r="O2418" s="6">
        <f t="shared" ref="O2418:O2429" si="826">-N2418</f>
        <v>-1760</v>
      </c>
      <c r="P2418" s="6">
        <f t="shared" si="824"/>
        <v>0</v>
      </c>
      <c r="Q2418" s="7">
        <f t="shared" si="825"/>
        <v>3984893.850000002</v>
      </c>
      <c r="R2418" s="44" t="str">
        <f>VLOOKUP(F2418,'Set up'!$A$2:$E$48,5,FALSE)</f>
        <v>Trsf</v>
      </c>
      <c r="S2418" s="1" t="s">
        <v>2341</v>
      </c>
    </row>
    <row r="2419" spans="1:19" ht="15" hidden="1" customHeight="1" x14ac:dyDescent="0.3">
      <c r="A2419" s="4">
        <v>45275</v>
      </c>
      <c r="B2419" s="5">
        <f t="shared" si="818"/>
        <v>12</v>
      </c>
      <c r="C2419" s="5">
        <f t="shared" si="819"/>
        <v>2023</v>
      </c>
      <c r="D2419" s="88" t="s">
        <v>2268</v>
      </c>
      <c r="E2419" s="5" t="str">
        <f>VLOOKUP(F2419,'Set up'!$A$2:$C$48,2,FALSE)</f>
        <v>C00000043</v>
      </c>
      <c r="F2419" s="1" t="s">
        <v>2207</v>
      </c>
      <c r="G2419" s="99" t="s">
        <v>1391</v>
      </c>
      <c r="H2419" s="5">
        <v>1</v>
      </c>
      <c r="I2419" s="5" t="str">
        <f>VLOOKUP(F2419,'Set up'!$A$2:$C$48,3,FALSE)</f>
        <v>Cash</v>
      </c>
      <c r="J2419" s="5">
        <f>VLOOKUP(F2419,'Set up'!$A$2:$D$48,4,FALSE)</f>
        <v>0</v>
      </c>
      <c r="K2419" s="4">
        <f t="shared" si="820"/>
        <v>45275</v>
      </c>
      <c r="L2419" s="5">
        <f t="shared" si="821"/>
        <v>12</v>
      </c>
      <c r="M2419" s="5">
        <f t="shared" si="822"/>
        <v>2023</v>
      </c>
      <c r="N2419" s="96">
        <v>432</v>
      </c>
      <c r="O2419" s="6">
        <f t="shared" si="826"/>
        <v>-432</v>
      </c>
      <c r="P2419" s="6">
        <f t="shared" si="824"/>
        <v>0</v>
      </c>
      <c r="Q2419" s="7">
        <f t="shared" si="825"/>
        <v>3985325.850000002</v>
      </c>
      <c r="R2419" s="44" t="str">
        <f>VLOOKUP(F2419,'Set up'!$A$2:$E$48,5,FALSE)</f>
        <v>Trsf</v>
      </c>
      <c r="S2419" s="1" t="s">
        <v>2341</v>
      </c>
    </row>
    <row r="2420" spans="1:19" ht="15" hidden="1" customHeight="1" x14ac:dyDescent="0.3">
      <c r="A2420" s="4">
        <v>45275</v>
      </c>
      <c r="B2420" s="5">
        <f t="shared" si="818"/>
        <v>12</v>
      </c>
      <c r="C2420" s="5">
        <f t="shared" si="819"/>
        <v>2023</v>
      </c>
      <c r="D2420" s="88" t="s">
        <v>2268</v>
      </c>
      <c r="E2420" s="5" t="str">
        <f>VLOOKUP(F2420,'Set up'!$A$2:$C$48,2,FALSE)</f>
        <v>C00000043</v>
      </c>
      <c r="F2420" s="1" t="s">
        <v>2207</v>
      </c>
      <c r="G2420" s="99" t="s">
        <v>1470</v>
      </c>
      <c r="H2420" s="5">
        <v>2</v>
      </c>
      <c r="I2420" s="5" t="str">
        <f>VLOOKUP(F2420,'Set up'!$A$2:$C$48,3,FALSE)</f>
        <v>Cash</v>
      </c>
      <c r="J2420" s="5">
        <f>VLOOKUP(F2420,'Set up'!$A$2:$D$48,4,FALSE)</f>
        <v>0</v>
      </c>
      <c r="K2420" s="4">
        <f t="shared" si="820"/>
        <v>45275</v>
      </c>
      <c r="L2420" s="5">
        <f t="shared" si="821"/>
        <v>12</v>
      </c>
      <c r="M2420" s="5">
        <f t="shared" si="822"/>
        <v>2023</v>
      </c>
      <c r="N2420" s="96">
        <v>840</v>
      </c>
      <c r="O2420" s="6">
        <f t="shared" si="826"/>
        <v>-840</v>
      </c>
      <c r="P2420" s="6">
        <f t="shared" si="824"/>
        <v>0</v>
      </c>
      <c r="Q2420" s="7">
        <f t="shared" si="825"/>
        <v>3986165.850000002</v>
      </c>
      <c r="R2420" s="44" t="str">
        <f>VLOOKUP(F2420,'Set up'!$A$2:$E$48,5,FALSE)</f>
        <v>Trsf</v>
      </c>
      <c r="S2420" s="1" t="s">
        <v>2341</v>
      </c>
    </row>
    <row r="2421" spans="1:19" ht="15" hidden="1" customHeight="1" x14ac:dyDescent="0.3">
      <c r="A2421" s="4">
        <v>45275</v>
      </c>
      <c r="B2421" s="5">
        <f t="shared" si="818"/>
        <v>12</v>
      </c>
      <c r="C2421" s="5">
        <f t="shared" si="819"/>
        <v>2023</v>
      </c>
      <c r="D2421" s="88" t="s">
        <v>2268</v>
      </c>
      <c r="E2421" s="5" t="str">
        <f>VLOOKUP(F2421,'Set up'!$A$2:$C$48,2,FALSE)</f>
        <v>C00000043</v>
      </c>
      <c r="F2421" s="1" t="s">
        <v>2207</v>
      </c>
      <c r="G2421" s="99" t="s">
        <v>2208</v>
      </c>
      <c r="H2421" s="5">
        <v>5</v>
      </c>
      <c r="I2421" s="5" t="str">
        <f>VLOOKUP(F2421,'Set up'!$A$2:$C$48,3,FALSE)</f>
        <v>Cash</v>
      </c>
      <c r="J2421" s="5">
        <f>VLOOKUP(F2421,'Set up'!$A$2:$D$48,4,FALSE)</f>
        <v>0</v>
      </c>
      <c r="K2421" s="4">
        <f t="shared" si="820"/>
        <v>45275</v>
      </c>
      <c r="L2421" s="5">
        <f t="shared" si="821"/>
        <v>12</v>
      </c>
      <c r="M2421" s="5">
        <f t="shared" si="822"/>
        <v>2023</v>
      </c>
      <c r="N2421" s="96">
        <v>325</v>
      </c>
      <c r="O2421" s="6">
        <f t="shared" si="826"/>
        <v>-325</v>
      </c>
      <c r="P2421" s="6">
        <f t="shared" si="824"/>
        <v>0</v>
      </c>
      <c r="Q2421" s="7">
        <f t="shared" si="825"/>
        <v>3986490.850000002</v>
      </c>
      <c r="R2421" s="44" t="str">
        <f>VLOOKUP(F2421,'Set up'!$A$2:$E$48,5,FALSE)</f>
        <v>Trsf</v>
      </c>
      <c r="S2421" s="1" t="s">
        <v>2341</v>
      </c>
    </row>
    <row r="2422" spans="1:19" ht="15" hidden="1" customHeight="1" x14ac:dyDescent="0.3">
      <c r="A2422" s="4">
        <v>45275</v>
      </c>
      <c r="B2422" s="5">
        <f t="shared" si="818"/>
        <v>12</v>
      </c>
      <c r="C2422" s="5">
        <f t="shared" si="819"/>
        <v>2023</v>
      </c>
      <c r="D2422" s="88" t="s">
        <v>2268</v>
      </c>
      <c r="E2422" s="5" t="str">
        <f>VLOOKUP(F2422,'Set up'!$A$2:$C$48,2,FALSE)</f>
        <v>C00000043</v>
      </c>
      <c r="F2422" s="1" t="s">
        <v>2207</v>
      </c>
      <c r="G2422" s="99" t="s">
        <v>2209</v>
      </c>
      <c r="H2422" s="5">
        <v>1</v>
      </c>
      <c r="I2422" s="5" t="str">
        <f>VLOOKUP(F2422,'Set up'!$A$2:$C$48,3,FALSE)</f>
        <v>Cash</v>
      </c>
      <c r="J2422" s="5">
        <f>VLOOKUP(F2422,'Set up'!$A$2:$D$48,4,FALSE)</f>
        <v>0</v>
      </c>
      <c r="K2422" s="4">
        <f t="shared" si="820"/>
        <v>45275</v>
      </c>
      <c r="L2422" s="5">
        <f t="shared" si="821"/>
        <v>12</v>
      </c>
      <c r="M2422" s="5">
        <f t="shared" si="822"/>
        <v>2023</v>
      </c>
      <c r="N2422" s="96">
        <v>225</v>
      </c>
      <c r="O2422" s="6">
        <f t="shared" si="826"/>
        <v>-225</v>
      </c>
      <c r="P2422" s="6">
        <f t="shared" si="824"/>
        <v>0</v>
      </c>
      <c r="Q2422" s="7">
        <f t="shared" si="825"/>
        <v>3986715.850000002</v>
      </c>
      <c r="R2422" s="44" t="str">
        <f>VLOOKUP(F2422,'Set up'!$A$2:$E$48,5,FALSE)</f>
        <v>Trsf</v>
      </c>
      <c r="S2422" s="1" t="s">
        <v>2341</v>
      </c>
    </row>
    <row r="2423" spans="1:19" ht="15" hidden="1" customHeight="1" x14ac:dyDescent="0.3">
      <c r="A2423" s="4">
        <v>45275</v>
      </c>
      <c r="B2423" s="5">
        <f t="shared" si="818"/>
        <v>12</v>
      </c>
      <c r="C2423" s="5">
        <f t="shared" si="819"/>
        <v>2023</v>
      </c>
      <c r="D2423" s="88" t="s">
        <v>2268</v>
      </c>
      <c r="E2423" s="5" t="str">
        <f>VLOOKUP(F2423,'Set up'!$A$2:$C$48,2,FALSE)</f>
        <v>C00000043</v>
      </c>
      <c r="F2423" s="1" t="s">
        <v>2207</v>
      </c>
      <c r="G2423" s="99" t="s">
        <v>2210</v>
      </c>
      <c r="H2423" s="5">
        <v>1</v>
      </c>
      <c r="I2423" s="5" t="str">
        <f>VLOOKUP(F2423,'Set up'!$A$2:$C$48,3,FALSE)</f>
        <v>Cash</v>
      </c>
      <c r="J2423" s="5">
        <f>VLOOKUP(F2423,'Set up'!$A$2:$D$48,4,FALSE)</f>
        <v>0</v>
      </c>
      <c r="K2423" s="4">
        <f t="shared" si="820"/>
        <v>45275</v>
      </c>
      <c r="L2423" s="5">
        <f t="shared" si="821"/>
        <v>12</v>
      </c>
      <c r="M2423" s="5">
        <f t="shared" si="822"/>
        <v>2023</v>
      </c>
      <c r="N2423" s="96">
        <v>170</v>
      </c>
      <c r="O2423" s="6">
        <f t="shared" si="826"/>
        <v>-170</v>
      </c>
      <c r="P2423" s="6">
        <f t="shared" si="824"/>
        <v>0</v>
      </c>
      <c r="Q2423" s="7">
        <f t="shared" si="825"/>
        <v>3986885.850000002</v>
      </c>
      <c r="R2423" s="44" t="str">
        <f>VLOOKUP(F2423,'Set up'!$A$2:$E$48,5,FALSE)</f>
        <v>Trsf</v>
      </c>
      <c r="S2423" s="1" t="s">
        <v>2341</v>
      </c>
    </row>
    <row r="2424" spans="1:19" ht="15" hidden="1" customHeight="1" x14ac:dyDescent="0.3">
      <c r="A2424" s="4">
        <v>45275</v>
      </c>
      <c r="B2424" s="5">
        <f t="shared" si="818"/>
        <v>12</v>
      </c>
      <c r="C2424" s="5">
        <f t="shared" si="819"/>
        <v>2023</v>
      </c>
      <c r="D2424" s="88" t="s">
        <v>2268</v>
      </c>
      <c r="E2424" s="5" t="str">
        <f>VLOOKUP(F2424,'Set up'!$A$2:$C$48,2,FALSE)</f>
        <v>C00000043</v>
      </c>
      <c r="F2424" s="1" t="s">
        <v>2207</v>
      </c>
      <c r="G2424" s="99" t="s">
        <v>2112</v>
      </c>
      <c r="H2424" s="5">
        <v>1</v>
      </c>
      <c r="I2424" s="5" t="str">
        <f>VLOOKUP(F2424,'Set up'!$A$2:$C$48,3,FALSE)</f>
        <v>Cash</v>
      </c>
      <c r="J2424" s="5">
        <f>VLOOKUP(F2424,'Set up'!$A$2:$D$48,4,FALSE)</f>
        <v>0</v>
      </c>
      <c r="K2424" s="4">
        <f t="shared" si="820"/>
        <v>45275</v>
      </c>
      <c r="L2424" s="5">
        <f t="shared" si="821"/>
        <v>12</v>
      </c>
      <c r="M2424" s="5">
        <f t="shared" si="822"/>
        <v>2023</v>
      </c>
      <c r="N2424" s="96">
        <v>283.8</v>
      </c>
      <c r="O2424" s="6">
        <f t="shared" si="826"/>
        <v>-283.8</v>
      </c>
      <c r="P2424" s="6">
        <f t="shared" si="824"/>
        <v>0</v>
      </c>
      <c r="Q2424" s="7">
        <f t="shared" si="825"/>
        <v>3987169.6500000018</v>
      </c>
      <c r="R2424" s="44" t="str">
        <f>VLOOKUP(F2424,'Set up'!$A$2:$E$48,5,FALSE)</f>
        <v>Trsf</v>
      </c>
      <c r="S2424" s="1" t="s">
        <v>2341</v>
      </c>
    </row>
    <row r="2425" spans="1:19" ht="15" hidden="1" customHeight="1" x14ac:dyDescent="0.3">
      <c r="A2425" s="4">
        <v>45275</v>
      </c>
      <c r="B2425" s="5">
        <f t="shared" si="818"/>
        <v>12</v>
      </c>
      <c r="C2425" s="5">
        <f t="shared" si="819"/>
        <v>2023</v>
      </c>
      <c r="D2425" s="88" t="s">
        <v>2268</v>
      </c>
      <c r="E2425" s="5" t="str">
        <f>VLOOKUP(F2425,'Set up'!$A$2:$C$48,2,FALSE)</f>
        <v>C00000043</v>
      </c>
      <c r="F2425" s="1" t="s">
        <v>2207</v>
      </c>
      <c r="G2425" s="99" t="s">
        <v>1661</v>
      </c>
      <c r="H2425" s="5">
        <v>1</v>
      </c>
      <c r="I2425" s="5" t="str">
        <f>VLOOKUP(F2425,'Set up'!$A$2:$C$48,3,FALSE)</f>
        <v>Cash</v>
      </c>
      <c r="J2425" s="5">
        <f>VLOOKUP(F2425,'Set up'!$A$2:$D$48,4,FALSE)</f>
        <v>0</v>
      </c>
      <c r="K2425" s="4">
        <f t="shared" si="820"/>
        <v>45275</v>
      </c>
      <c r="L2425" s="5">
        <f t="shared" si="821"/>
        <v>12</v>
      </c>
      <c r="M2425" s="5">
        <f t="shared" si="822"/>
        <v>2023</v>
      </c>
      <c r="N2425" s="96">
        <v>175</v>
      </c>
      <c r="O2425" s="6">
        <f t="shared" si="826"/>
        <v>-175</v>
      </c>
      <c r="P2425" s="6">
        <f t="shared" si="824"/>
        <v>0</v>
      </c>
      <c r="Q2425" s="7">
        <f t="shared" si="825"/>
        <v>3987344.6500000018</v>
      </c>
      <c r="R2425" s="44" t="str">
        <f>VLOOKUP(F2425,'Set up'!$A$2:$E$48,5,FALSE)</f>
        <v>Trsf</v>
      </c>
      <c r="S2425" s="1" t="s">
        <v>2341</v>
      </c>
    </row>
    <row r="2426" spans="1:19" ht="15" hidden="1" customHeight="1" x14ac:dyDescent="0.3">
      <c r="A2426" s="4">
        <v>45275</v>
      </c>
      <c r="B2426" s="5">
        <f t="shared" si="818"/>
        <v>12</v>
      </c>
      <c r="C2426" s="5">
        <f t="shared" si="819"/>
        <v>2023</v>
      </c>
      <c r="D2426" s="88" t="s">
        <v>2268</v>
      </c>
      <c r="E2426" s="5" t="str">
        <f>VLOOKUP(F2426,'Set up'!$A$2:$C$48,2,FALSE)</f>
        <v>C00000043</v>
      </c>
      <c r="F2426" s="1" t="s">
        <v>2207</v>
      </c>
      <c r="G2426" s="99" t="s">
        <v>2211</v>
      </c>
      <c r="H2426" s="5">
        <v>1</v>
      </c>
      <c r="I2426" s="5" t="str">
        <f>VLOOKUP(F2426,'Set up'!$A$2:$C$48,3,FALSE)</f>
        <v>Cash</v>
      </c>
      <c r="J2426" s="5">
        <f>VLOOKUP(F2426,'Set up'!$A$2:$D$48,4,FALSE)</f>
        <v>0</v>
      </c>
      <c r="K2426" s="4">
        <f t="shared" si="820"/>
        <v>45275</v>
      </c>
      <c r="L2426" s="5">
        <f t="shared" si="821"/>
        <v>12</v>
      </c>
      <c r="M2426" s="5">
        <f t="shared" si="822"/>
        <v>2023</v>
      </c>
      <c r="N2426" s="96">
        <v>625</v>
      </c>
      <c r="O2426" s="6">
        <f t="shared" si="826"/>
        <v>-625</v>
      </c>
      <c r="P2426" s="6">
        <f t="shared" si="824"/>
        <v>0</v>
      </c>
      <c r="Q2426" s="7">
        <f t="shared" si="825"/>
        <v>3987969.6500000018</v>
      </c>
      <c r="R2426" s="44" t="str">
        <f>VLOOKUP(F2426,'Set up'!$A$2:$E$48,5,FALSE)</f>
        <v>Trsf</v>
      </c>
      <c r="S2426" s="1" t="s">
        <v>2341</v>
      </c>
    </row>
    <row r="2427" spans="1:19" ht="15" hidden="1" customHeight="1" x14ac:dyDescent="0.3">
      <c r="A2427" s="4">
        <v>45275</v>
      </c>
      <c r="B2427" s="5">
        <f t="shared" ref="B2427" si="827">MONTH(A2427)</f>
        <v>12</v>
      </c>
      <c r="C2427" s="5">
        <f t="shared" ref="C2427" si="828">YEAR(A2427)</f>
        <v>2023</v>
      </c>
      <c r="D2427" s="88" t="s">
        <v>2268</v>
      </c>
      <c r="E2427" s="5" t="str">
        <f>VLOOKUP(F2427,'Set up'!$A$2:$C$48,2,FALSE)</f>
        <v>C00000043</v>
      </c>
      <c r="F2427" s="1" t="s">
        <v>2207</v>
      </c>
      <c r="G2427" s="99" t="s">
        <v>2211</v>
      </c>
      <c r="H2427" s="5">
        <v>0</v>
      </c>
      <c r="I2427" s="5" t="str">
        <f>VLOOKUP(F2427,'Set up'!$A$2:$C$48,3,FALSE)</f>
        <v>Cash</v>
      </c>
      <c r="J2427" s="5">
        <f>VLOOKUP(F2427,'Set up'!$A$2:$D$48,4,FALSE)</f>
        <v>0</v>
      </c>
      <c r="K2427" s="4">
        <f t="shared" ref="K2427" si="829">A2427+J2427</f>
        <v>45275</v>
      </c>
      <c r="L2427" s="5">
        <f t="shared" ref="L2427" si="830">MONTH(K2427)</f>
        <v>12</v>
      </c>
      <c r="M2427" s="5">
        <f t="shared" ref="M2427" si="831">YEAR(K2427)</f>
        <v>2023</v>
      </c>
      <c r="N2427" s="96">
        <v>525</v>
      </c>
      <c r="O2427" s="6">
        <f>-N2427</f>
        <v>-525</v>
      </c>
      <c r="P2427" s="6">
        <f>SUM(N2427+O2427)</f>
        <v>0</v>
      </c>
      <c r="Q2427" s="7">
        <f t="shared" si="825"/>
        <v>3988494.6500000018</v>
      </c>
      <c r="R2427" s="44" t="str">
        <f>VLOOKUP(F2427,'Set up'!$A$2:$E$48,5,FALSE)</f>
        <v>Trsf</v>
      </c>
      <c r="S2427" s="1" t="s">
        <v>2341</v>
      </c>
    </row>
    <row r="2428" spans="1:19" ht="15" hidden="1" customHeight="1" x14ac:dyDescent="0.3">
      <c r="A2428" s="4">
        <v>45275</v>
      </c>
      <c r="B2428" s="5">
        <f t="shared" ref="B2428:B2430" si="832">MONTH(A2428)</f>
        <v>12</v>
      </c>
      <c r="C2428" s="5">
        <f t="shared" ref="C2428:C2430" si="833">YEAR(A2428)</f>
        <v>2023</v>
      </c>
      <c r="D2428" s="88" t="s">
        <v>2343</v>
      </c>
      <c r="E2428" s="5" t="str">
        <f>VLOOKUP(F2428,'Set up'!$A$2:$C$48,2,FALSE)</f>
        <v>C00000043</v>
      </c>
      <c r="F2428" s="1" t="s">
        <v>2207</v>
      </c>
      <c r="G2428" s="99" t="s">
        <v>2344</v>
      </c>
      <c r="H2428" s="5">
        <v>0</v>
      </c>
      <c r="I2428" s="5" t="str">
        <f>VLOOKUP(F2428,'Set up'!$A$2:$C$48,3,FALSE)</f>
        <v>Cash</v>
      </c>
      <c r="J2428" s="5">
        <f>VLOOKUP(F2428,'Set up'!$A$2:$D$48,4,FALSE)</f>
        <v>0</v>
      </c>
      <c r="K2428" s="4">
        <f t="shared" ref="K2428:K2429" si="834">A2428+J2428</f>
        <v>45275</v>
      </c>
      <c r="L2428" s="5">
        <f t="shared" ref="L2428:L2429" si="835">MONTH(K2428)</f>
        <v>12</v>
      </c>
      <c r="M2428" s="5">
        <f t="shared" ref="M2428:M2429" si="836">YEAR(K2428)</f>
        <v>2023</v>
      </c>
      <c r="N2428" s="96">
        <v>-525</v>
      </c>
      <c r="O2428" s="6">
        <f>-N2428</f>
        <v>525</v>
      </c>
      <c r="P2428" s="6">
        <f>SUM(N2428+O2428)</f>
        <v>0</v>
      </c>
      <c r="Q2428" s="7">
        <f t="shared" si="825"/>
        <v>3987969.6500000018</v>
      </c>
      <c r="R2428" s="44" t="str">
        <f>VLOOKUP(F2428,'Set up'!$A$2:$E$48,5,FALSE)</f>
        <v>Trsf</v>
      </c>
      <c r="S2428" s="1" t="s">
        <v>2346</v>
      </c>
    </row>
    <row r="2429" spans="1:19" ht="15" hidden="1" customHeight="1" x14ac:dyDescent="0.3">
      <c r="A2429" s="4">
        <v>45275</v>
      </c>
      <c r="B2429" s="5">
        <f t="shared" si="832"/>
        <v>12</v>
      </c>
      <c r="C2429" s="5">
        <f t="shared" si="833"/>
        <v>2023</v>
      </c>
      <c r="D2429" s="88" t="s">
        <v>2268</v>
      </c>
      <c r="E2429" s="5" t="str">
        <f>VLOOKUP(F2429,'Set up'!$A$2:$C$48,2,FALSE)</f>
        <v>C00000043</v>
      </c>
      <c r="F2429" s="1" t="s">
        <v>2207</v>
      </c>
      <c r="G2429" s="99" t="s">
        <v>2212</v>
      </c>
      <c r="H2429" s="5">
        <v>20</v>
      </c>
      <c r="I2429" s="5" t="str">
        <f>VLOOKUP(F2429,'Set up'!$A$2:$C$48,3,FALSE)</f>
        <v>Cash</v>
      </c>
      <c r="J2429" s="5">
        <f>VLOOKUP(F2429,'Set up'!$A$2:$D$48,4,FALSE)</f>
        <v>0</v>
      </c>
      <c r="K2429" s="4">
        <f t="shared" si="834"/>
        <v>45275</v>
      </c>
      <c r="L2429" s="5">
        <f t="shared" si="835"/>
        <v>12</v>
      </c>
      <c r="M2429" s="5">
        <f t="shared" si="836"/>
        <v>2023</v>
      </c>
      <c r="N2429" s="96">
        <v>90</v>
      </c>
      <c r="O2429" s="6">
        <f t="shared" si="826"/>
        <v>-90</v>
      </c>
      <c r="P2429" s="6">
        <f t="shared" si="824"/>
        <v>0</v>
      </c>
      <c r="Q2429" s="7">
        <f t="shared" si="825"/>
        <v>3988059.6500000018</v>
      </c>
      <c r="R2429" s="44" t="str">
        <f>VLOOKUP(F2429,'Set up'!$A$2:$E$48,5,FALSE)</f>
        <v>Trsf</v>
      </c>
      <c r="S2429" s="1" t="s">
        <v>2341</v>
      </c>
    </row>
    <row r="2430" spans="1:19" ht="15" hidden="1" customHeight="1" x14ac:dyDescent="0.3">
      <c r="A2430" s="4">
        <v>45276</v>
      </c>
      <c r="B2430" s="5">
        <f t="shared" si="832"/>
        <v>12</v>
      </c>
      <c r="C2430" s="5">
        <f t="shared" si="833"/>
        <v>2023</v>
      </c>
      <c r="D2430" s="88" t="s">
        <v>2269</v>
      </c>
      <c r="E2430" s="5" t="str">
        <f>VLOOKUP(F2430,'Set up'!$A$2:$C$48,2,FALSE)</f>
        <v>C00000014</v>
      </c>
      <c r="F2430" s="1" t="s">
        <v>263</v>
      </c>
      <c r="G2430" s="99" t="s">
        <v>304</v>
      </c>
      <c r="H2430" s="5">
        <v>1</v>
      </c>
      <c r="I2430" s="5" t="str">
        <f>VLOOKUP(F2430,'Set up'!$A$2:$C$48,3,FALSE)</f>
        <v>Cash</v>
      </c>
      <c r="J2430" s="5">
        <f>VLOOKUP(F2430,'Set up'!$A$2:$D$48,4,FALSE)</f>
        <v>0</v>
      </c>
      <c r="K2430" s="4">
        <f t="shared" ref="K2430:K2493" si="837">A2430+J2430</f>
        <v>45276</v>
      </c>
      <c r="L2430" s="5">
        <f t="shared" ref="L2430:L2493" si="838">MONTH(K2430)</f>
        <v>12</v>
      </c>
      <c r="M2430" s="5">
        <f t="shared" ref="M2430:M2493" si="839">YEAR(K2430)</f>
        <v>2023</v>
      </c>
      <c r="N2430" s="96">
        <v>1606</v>
      </c>
      <c r="O2430" s="6">
        <f t="shared" ref="O2430:O2440" si="840">-N2430</f>
        <v>-1606</v>
      </c>
      <c r="P2430" s="6">
        <f t="shared" si="824"/>
        <v>0</v>
      </c>
      <c r="Q2430" s="7">
        <f t="shared" si="825"/>
        <v>3989665.6500000018</v>
      </c>
      <c r="R2430" s="44" t="str">
        <f>VLOOKUP(F2430,'Set up'!$A$2:$E$48,5,FALSE)</f>
        <v>Cash</v>
      </c>
      <c r="S2430" s="1" t="s">
        <v>2292</v>
      </c>
    </row>
    <row r="2431" spans="1:19" ht="15" hidden="1" customHeight="1" x14ac:dyDescent="0.3">
      <c r="A2431" s="4">
        <v>45276</v>
      </c>
      <c r="B2431" s="5">
        <f t="shared" ref="B2431:B2493" si="841">MONTH(A2431)</f>
        <v>12</v>
      </c>
      <c r="C2431" s="5">
        <f t="shared" ref="C2431:C2493" si="842">YEAR(A2431)</f>
        <v>2023</v>
      </c>
      <c r="D2431" s="88" t="s">
        <v>2269</v>
      </c>
      <c r="E2431" s="5" t="str">
        <f>VLOOKUP(F2431,'Set up'!$A$2:$C$48,2,FALSE)</f>
        <v>C00000014</v>
      </c>
      <c r="F2431" s="1" t="s">
        <v>263</v>
      </c>
      <c r="G2431" s="99" t="s">
        <v>2115</v>
      </c>
      <c r="H2431" s="5">
        <v>1</v>
      </c>
      <c r="I2431" s="5" t="str">
        <f>VLOOKUP(F2431,'Set up'!$A$2:$C$48,3,FALSE)</f>
        <v>Cash</v>
      </c>
      <c r="J2431" s="5">
        <f>VLOOKUP(F2431,'Set up'!$A$2:$D$48,4,FALSE)</f>
        <v>0</v>
      </c>
      <c r="K2431" s="4">
        <f t="shared" si="837"/>
        <v>45276</v>
      </c>
      <c r="L2431" s="5">
        <f t="shared" si="838"/>
        <v>12</v>
      </c>
      <c r="M2431" s="5">
        <f t="shared" si="839"/>
        <v>2023</v>
      </c>
      <c r="N2431" s="96">
        <v>1597.5</v>
      </c>
      <c r="O2431" s="6">
        <f t="shared" si="840"/>
        <v>-1597.5</v>
      </c>
      <c r="P2431" s="6">
        <f t="shared" si="824"/>
        <v>0</v>
      </c>
      <c r="Q2431" s="7">
        <f t="shared" si="825"/>
        <v>3991263.1500000018</v>
      </c>
      <c r="R2431" s="44" t="str">
        <f>VLOOKUP(F2431,'Set up'!$A$2:$E$48,5,FALSE)</f>
        <v>Cash</v>
      </c>
      <c r="S2431" s="1" t="s">
        <v>2292</v>
      </c>
    </row>
    <row r="2432" spans="1:19" ht="15" hidden="1" customHeight="1" x14ac:dyDescent="0.3">
      <c r="A2432" s="4">
        <v>45276</v>
      </c>
      <c r="B2432" s="5">
        <f t="shared" si="841"/>
        <v>12</v>
      </c>
      <c r="C2432" s="5">
        <f t="shared" si="842"/>
        <v>2023</v>
      </c>
      <c r="D2432" s="88" t="s">
        <v>2269</v>
      </c>
      <c r="E2432" s="5" t="str">
        <f>VLOOKUP(F2432,'Set up'!$A$2:$C$48,2,FALSE)</f>
        <v>C00000014</v>
      </c>
      <c r="F2432" s="1" t="s">
        <v>263</v>
      </c>
      <c r="G2432" s="99" t="s">
        <v>1544</v>
      </c>
      <c r="H2432" s="5">
        <v>5</v>
      </c>
      <c r="I2432" s="5" t="str">
        <f>VLOOKUP(F2432,'Set up'!$A$2:$C$48,3,FALSE)</f>
        <v>Cash</v>
      </c>
      <c r="J2432" s="5">
        <f>VLOOKUP(F2432,'Set up'!$A$2:$D$48,4,FALSE)</f>
        <v>0</v>
      </c>
      <c r="K2432" s="4">
        <f t="shared" si="837"/>
        <v>45276</v>
      </c>
      <c r="L2432" s="5">
        <f t="shared" si="838"/>
        <v>12</v>
      </c>
      <c r="M2432" s="5">
        <f t="shared" si="839"/>
        <v>2023</v>
      </c>
      <c r="N2432" s="96">
        <v>1050</v>
      </c>
      <c r="O2432" s="6">
        <f t="shared" si="840"/>
        <v>-1050</v>
      </c>
      <c r="P2432" s="6">
        <f t="shared" si="824"/>
        <v>0</v>
      </c>
      <c r="Q2432" s="7">
        <f t="shared" si="825"/>
        <v>3992313.1500000018</v>
      </c>
      <c r="R2432" s="44" t="str">
        <f>VLOOKUP(F2432,'Set up'!$A$2:$E$48,5,FALSE)</f>
        <v>Cash</v>
      </c>
      <c r="S2432" s="1" t="s">
        <v>2292</v>
      </c>
    </row>
    <row r="2433" spans="1:19" ht="15" hidden="1" customHeight="1" x14ac:dyDescent="0.3">
      <c r="A2433" s="4">
        <v>45276</v>
      </c>
      <c r="B2433" s="5">
        <f t="shared" si="841"/>
        <v>12</v>
      </c>
      <c r="C2433" s="5">
        <f t="shared" si="842"/>
        <v>2023</v>
      </c>
      <c r="D2433" s="88" t="s">
        <v>2269</v>
      </c>
      <c r="E2433" s="5" t="str">
        <f>VLOOKUP(F2433,'Set up'!$A$2:$C$48,2,FALSE)</f>
        <v>C00000014</v>
      </c>
      <c r="F2433" s="1" t="s">
        <v>263</v>
      </c>
      <c r="G2433" s="99" t="s">
        <v>2112</v>
      </c>
      <c r="H2433" s="5">
        <v>3</v>
      </c>
      <c r="I2433" s="5" t="str">
        <f>VLOOKUP(F2433,'Set up'!$A$2:$C$48,3,FALSE)</f>
        <v>Cash</v>
      </c>
      <c r="J2433" s="5">
        <f>VLOOKUP(F2433,'Set up'!$A$2:$D$48,4,FALSE)</f>
        <v>0</v>
      </c>
      <c r="K2433" s="4">
        <f t="shared" si="837"/>
        <v>45276</v>
      </c>
      <c r="L2433" s="5">
        <f t="shared" si="838"/>
        <v>12</v>
      </c>
      <c r="M2433" s="5">
        <f t="shared" si="839"/>
        <v>2023</v>
      </c>
      <c r="N2433" s="96">
        <v>851.4</v>
      </c>
      <c r="O2433" s="6">
        <f t="shared" si="840"/>
        <v>-851.4</v>
      </c>
      <c r="P2433" s="6">
        <f t="shared" si="824"/>
        <v>0</v>
      </c>
      <c r="Q2433" s="7">
        <f t="shared" si="825"/>
        <v>3993164.5500000017</v>
      </c>
      <c r="R2433" s="44" t="str">
        <f>VLOOKUP(F2433,'Set up'!$A$2:$E$48,5,FALSE)</f>
        <v>Cash</v>
      </c>
      <c r="S2433" s="1" t="s">
        <v>2292</v>
      </c>
    </row>
    <row r="2434" spans="1:19" ht="15" hidden="1" customHeight="1" x14ac:dyDescent="0.3">
      <c r="A2434" s="4">
        <v>45276</v>
      </c>
      <c r="B2434" s="5">
        <f t="shared" si="841"/>
        <v>12</v>
      </c>
      <c r="C2434" s="5">
        <f t="shared" si="842"/>
        <v>2023</v>
      </c>
      <c r="D2434" s="88" t="s">
        <v>2269</v>
      </c>
      <c r="E2434" s="5" t="str">
        <f>VLOOKUP(F2434,'Set up'!$A$2:$C$48,2,FALSE)</f>
        <v>C00000014</v>
      </c>
      <c r="F2434" s="1" t="s">
        <v>263</v>
      </c>
      <c r="G2434" s="99" t="s">
        <v>17</v>
      </c>
      <c r="H2434" s="5">
        <v>1</v>
      </c>
      <c r="I2434" s="5" t="str">
        <f>VLOOKUP(F2434,'Set up'!$A$2:$C$48,3,FALSE)</f>
        <v>Cash</v>
      </c>
      <c r="J2434" s="5">
        <f>VLOOKUP(F2434,'Set up'!$A$2:$D$48,4,FALSE)</f>
        <v>0</v>
      </c>
      <c r="K2434" s="4">
        <f t="shared" si="837"/>
        <v>45276</v>
      </c>
      <c r="L2434" s="5">
        <f t="shared" si="838"/>
        <v>12</v>
      </c>
      <c r="M2434" s="5">
        <f t="shared" si="839"/>
        <v>2023</v>
      </c>
      <c r="N2434" s="96">
        <v>105</v>
      </c>
      <c r="O2434" s="6">
        <f t="shared" si="840"/>
        <v>-105</v>
      </c>
      <c r="P2434" s="6">
        <f t="shared" si="824"/>
        <v>0</v>
      </c>
      <c r="Q2434" s="7">
        <f t="shared" si="825"/>
        <v>3993269.5500000017</v>
      </c>
      <c r="R2434" s="44" t="str">
        <f>VLOOKUP(F2434,'Set up'!$A$2:$E$48,5,FALSE)</f>
        <v>Cash</v>
      </c>
      <c r="S2434" s="1" t="s">
        <v>2292</v>
      </c>
    </row>
    <row r="2435" spans="1:19" ht="15" hidden="1" customHeight="1" x14ac:dyDescent="0.3">
      <c r="A2435" s="4">
        <v>45276</v>
      </c>
      <c r="B2435" s="5">
        <f t="shared" si="841"/>
        <v>12</v>
      </c>
      <c r="C2435" s="5">
        <f t="shared" si="842"/>
        <v>2023</v>
      </c>
      <c r="D2435" s="88" t="s">
        <v>2269</v>
      </c>
      <c r="E2435" s="5" t="str">
        <f>VLOOKUP(F2435,'Set up'!$A$2:$C$48,2,FALSE)</f>
        <v>C00000014</v>
      </c>
      <c r="F2435" s="1" t="s">
        <v>263</v>
      </c>
      <c r="G2435" s="99" t="s">
        <v>1887</v>
      </c>
      <c r="H2435" s="5">
        <v>3</v>
      </c>
      <c r="I2435" s="5" t="str">
        <f>VLOOKUP(F2435,'Set up'!$A$2:$C$48,3,FALSE)</f>
        <v>Cash</v>
      </c>
      <c r="J2435" s="5">
        <f>VLOOKUP(F2435,'Set up'!$A$2:$D$48,4,FALSE)</f>
        <v>0</v>
      </c>
      <c r="K2435" s="4">
        <f t="shared" si="837"/>
        <v>45276</v>
      </c>
      <c r="L2435" s="5">
        <f t="shared" si="838"/>
        <v>12</v>
      </c>
      <c r="M2435" s="5">
        <f t="shared" si="839"/>
        <v>2023</v>
      </c>
      <c r="N2435" s="96">
        <v>480</v>
      </c>
      <c r="O2435" s="6">
        <f t="shared" si="840"/>
        <v>-480</v>
      </c>
      <c r="P2435" s="6">
        <f t="shared" si="824"/>
        <v>0</v>
      </c>
      <c r="Q2435" s="7">
        <f t="shared" si="825"/>
        <v>3993749.5500000017</v>
      </c>
      <c r="R2435" s="44" t="str">
        <f>VLOOKUP(F2435,'Set up'!$A$2:$E$48,5,FALSE)</f>
        <v>Cash</v>
      </c>
      <c r="S2435" s="1" t="s">
        <v>2292</v>
      </c>
    </row>
    <row r="2436" spans="1:19" ht="15" hidden="1" customHeight="1" x14ac:dyDescent="0.3">
      <c r="A2436" s="4">
        <v>45276</v>
      </c>
      <c r="B2436" s="5">
        <f t="shared" si="841"/>
        <v>12</v>
      </c>
      <c r="C2436" s="5">
        <f t="shared" si="842"/>
        <v>2023</v>
      </c>
      <c r="D2436" s="88" t="s">
        <v>2269</v>
      </c>
      <c r="E2436" s="5" t="str">
        <f>VLOOKUP(F2436,'Set up'!$A$2:$C$48,2,FALSE)</f>
        <v>C00000014</v>
      </c>
      <c r="F2436" s="1" t="s">
        <v>263</v>
      </c>
      <c r="G2436" s="99" t="s">
        <v>1661</v>
      </c>
      <c r="H2436" s="5">
        <v>1</v>
      </c>
      <c r="I2436" s="5" t="str">
        <f>VLOOKUP(F2436,'Set up'!$A$2:$C$48,3,FALSE)</f>
        <v>Cash</v>
      </c>
      <c r="J2436" s="5">
        <f>VLOOKUP(F2436,'Set up'!$A$2:$D$48,4,FALSE)</f>
        <v>0</v>
      </c>
      <c r="K2436" s="4">
        <f t="shared" si="837"/>
        <v>45276</v>
      </c>
      <c r="L2436" s="5">
        <f t="shared" si="838"/>
        <v>12</v>
      </c>
      <c r="M2436" s="5">
        <f t="shared" si="839"/>
        <v>2023</v>
      </c>
      <c r="N2436" s="96">
        <v>170</v>
      </c>
      <c r="O2436" s="6">
        <f t="shared" si="840"/>
        <v>-170</v>
      </c>
      <c r="P2436" s="6">
        <f t="shared" si="824"/>
        <v>0</v>
      </c>
      <c r="Q2436" s="7">
        <f t="shared" si="825"/>
        <v>3993919.5500000017</v>
      </c>
      <c r="R2436" s="44" t="str">
        <f>VLOOKUP(F2436,'Set up'!$A$2:$E$48,5,FALSE)</f>
        <v>Cash</v>
      </c>
      <c r="S2436" s="1" t="s">
        <v>2292</v>
      </c>
    </row>
    <row r="2437" spans="1:19" ht="15" hidden="1" customHeight="1" x14ac:dyDescent="0.3">
      <c r="A2437" s="4">
        <v>45276</v>
      </c>
      <c r="B2437" s="5">
        <f t="shared" si="841"/>
        <v>12</v>
      </c>
      <c r="C2437" s="5">
        <f t="shared" si="842"/>
        <v>2023</v>
      </c>
      <c r="D2437" s="88" t="s">
        <v>2269</v>
      </c>
      <c r="E2437" s="5" t="str">
        <f>VLOOKUP(F2437,'Set up'!$A$2:$C$48,2,FALSE)</f>
        <v>C00000014</v>
      </c>
      <c r="F2437" s="1" t="s">
        <v>263</v>
      </c>
      <c r="G2437" s="99" t="s">
        <v>1406</v>
      </c>
      <c r="H2437" s="5">
        <v>2</v>
      </c>
      <c r="I2437" s="5" t="str">
        <f>VLOOKUP(F2437,'Set up'!$A$2:$C$48,3,FALSE)</f>
        <v>Cash</v>
      </c>
      <c r="J2437" s="5">
        <f>VLOOKUP(F2437,'Set up'!$A$2:$D$48,4,FALSE)</f>
        <v>0</v>
      </c>
      <c r="K2437" s="4">
        <f t="shared" si="837"/>
        <v>45276</v>
      </c>
      <c r="L2437" s="5">
        <f t="shared" si="838"/>
        <v>12</v>
      </c>
      <c r="M2437" s="5">
        <f t="shared" si="839"/>
        <v>2023</v>
      </c>
      <c r="N2437" s="96">
        <v>96</v>
      </c>
      <c r="O2437" s="6">
        <f t="shared" si="840"/>
        <v>-96</v>
      </c>
      <c r="P2437" s="6">
        <f t="shared" si="824"/>
        <v>0</v>
      </c>
      <c r="Q2437" s="7">
        <f t="shared" si="825"/>
        <v>3994015.5500000017</v>
      </c>
      <c r="R2437" s="44" t="str">
        <f>VLOOKUP(F2437,'Set up'!$A$2:$E$48,5,FALSE)</f>
        <v>Cash</v>
      </c>
      <c r="S2437" s="1" t="s">
        <v>2292</v>
      </c>
    </row>
    <row r="2438" spans="1:19" ht="15" hidden="1" customHeight="1" x14ac:dyDescent="0.3">
      <c r="A2438" s="4">
        <v>45276</v>
      </c>
      <c r="B2438" s="5">
        <f t="shared" si="841"/>
        <v>12</v>
      </c>
      <c r="C2438" s="5">
        <f t="shared" si="842"/>
        <v>2023</v>
      </c>
      <c r="D2438" s="88" t="s">
        <v>2270</v>
      </c>
      <c r="E2438" s="5" t="str">
        <f>VLOOKUP(F2438,'Set up'!$A$2:$C$48,2,FALSE)</f>
        <v>C00000044</v>
      </c>
      <c r="F2438" s="1" t="s">
        <v>2213</v>
      </c>
      <c r="G2438" s="99" t="s">
        <v>304</v>
      </c>
      <c r="H2438" s="5">
        <v>1</v>
      </c>
      <c r="I2438" s="5" t="str">
        <f>VLOOKUP(F2438,'Set up'!$A$2:$C$48,3,FALSE)</f>
        <v>Cash</v>
      </c>
      <c r="J2438" s="5">
        <f>VLOOKUP(F2438,'Set up'!$A$2:$D$48,4,FALSE)</f>
        <v>0</v>
      </c>
      <c r="K2438" s="4">
        <f t="shared" si="837"/>
        <v>45276</v>
      </c>
      <c r="L2438" s="5">
        <f t="shared" si="838"/>
        <v>12</v>
      </c>
      <c r="M2438" s="5">
        <f t="shared" si="839"/>
        <v>2023</v>
      </c>
      <c r="N2438" s="96">
        <v>1606</v>
      </c>
      <c r="O2438" s="6">
        <f t="shared" si="840"/>
        <v>-1606</v>
      </c>
      <c r="P2438" s="6">
        <f t="shared" si="824"/>
        <v>0</v>
      </c>
      <c r="Q2438" s="7">
        <f t="shared" si="825"/>
        <v>3995621.5500000017</v>
      </c>
      <c r="R2438" s="44" t="str">
        <f>VLOOKUP(F2438,'Set up'!$A$2:$E$48,5,FALSE)</f>
        <v>Trsf</v>
      </c>
      <c r="S2438" s="1" t="s">
        <v>2330</v>
      </c>
    </row>
    <row r="2439" spans="1:19" ht="15" hidden="1" customHeight="1" x14ac:dyDescent="0.3">
      <c r="A2439" s="4">
        <v>45276</v>
      </c>
      <c r="B2439" s="5">
        <f t="shared" si="841"/>
        <v>12</v>
      </c>
      <c r="C2439" s="5">
        <f t="shared" si="842"/>
        <v>2023</v>
      </c>
      <c r="D2439" s="88" t="s">
        <v>2270</v>
      </c>
      <c r="E2439" s="5" t="str">
        <f>VLOOKUP(F2439,'Set up'!$A$2:$C$48,2,FALSE)</f>
        <v>C00000044</v>
      </c>
      <c r="F2439" s="1" t="s">
        <v>2213</v>
      </c>
      <c r="G2439" s="99" t="s">
        <v>1544</v>
      </c>
      <c r="H2439" s="5">
        <v>2</v>
      </c>
      <c r="I2439" s="5" t="str">
        <f>VLOOKUP(F2439,'Set up'!$A$2:$C$48,3,FALSE)</f>
        <v>Cash</v>
      </c>
      <c r="J2439" s="5">
        <f>VLOOKUP(F2439,'Set up'!$A$2:$D$48,4,FALSE)</f>
        <v>0</v>
      </c>
      <c r="K2439" s="4">
        <f t="shared" si="837"/>
        <v>45276</v>
      </c>
      <c r="L2439" s="5">
        <f t="shared" si="838"/>
        <v>12</v>
      </c>
      <c r="M2439" s="5">
        <f t="shared" si="839"/>
        <v>2023</v>
      </c>
      <c r="N2439" s="96">
        <v>420</v>
      </c>
      <c r="O2439" s="6">
        <f t="shared" si="840"/>
        <v>-420</v>
      </c>
      <c r="P2439" s="6">
        <f t="shared" si="824"/>
        <v>0</v>
      </c>
      <c r="Q2439" s="7">
        <f t="shared" si="825"/>
        <v>3996041.5500000017</v>
      </c>
      <c r="R2439" s="44" t="str">
        <f>VLOOKUP(F2439,'Set up'!$A$2:$E$48,5,FALSE)</f>
        <v>Trsf</v>
      </c>
      <c r="S2439" s="1" t="s">
        <v>2330</v>
      </c>
    </row>
    <row r="2440" spans="1:19" ht="15" hidden="1" customHeight="1" x14ac:dyDescent="0.3">
      <c r="A2440" s="4">
        <v>45276</v>
      </c>
      <c r="B2440" s="5">
        <f t="shared" si="841"/>
        <v>12</v>
      </c>
      <c r="C2440" s="5">
        <f t="shared" si="842"/>
        <v>2023</v>
      </c>
      <c r="D2440" s="88" t="s">
        <v>2270</v>
      </c>
      <c r="E2440" s="5" t="str">
        <f>VLOOKUP(F2440,'Set up'!$A$2:$C$48,2,FALSE)</f>
        <v>C00000044</v>
      </c>
      <c r="F2440" s="1" t="s">
        <v>2213</v>
      </c>
      <c r="G2440" s="99" t="s">
        <v>17</v>
      </c>
      <c r="H2440" s="5">
        <v>1</v>
      </c>
      <c r="I2440" s="5" t="str">
        <f>VLOOKUP(F2440,'Set up'!$A$2:$C$48,3,FALSE)</f>
        <v>Cash</v>
      </c>
      <c r="J2440" s="5">
        <f>VLOOKUP(F2440,'Set up'!$A$2:$D$48,4,FALSE)</f>
        <v>0</v>
      </c>
      <c r="K2440" s="4">
        <f t="shared" si="837"/>
        <v>45276</v>
      </c>
      <c r="L2440" s="5">
        <f t="shared" si="838"/>
        <v>12</v>
      </c>
      <c r="M2440" s="5">
        <f t="shared" si="839"/>
        <v>2023</v>
      </c>
      <c r="N2440" s="96">
        <v>105</v>
      </c>
      <c r="O2440" s="6">
        <f t="shared" si="840"/>
        <v>-105</v>
      </c>
      <c r="P2440" s="6">
        <f t="shared" si="824"/>
        <v>0</v>
      </c>
      <c r="Q2440" s="7">
        <f t="shared" si="825"/>
        <v>3996146.5500000017</v>
      </c>
      <c r="R2440" s="44" t="str">
        <f>VLOOKUP(F2440,'Set up'!$A$2:$E$48,5,FALSE)</f>
        <v>Trsf</v>
      </c>
      <c r="S2440" s="1" t="s">
        <v>2330</v>
      </c>
    </row>
    <row r="2441" spans="1:19" ht="15" customHeight="1" x14ac:dyDescent="0.3">
      <c r="A2441" s="4">
        <v>45276</v>
      </c>
      <c r="B2441" s="5">
        <f t="shared" si="841"/>
        <v>12</v>
      </c>
      <c r="C2441" s="5">
        <f t="shared" si="842"/>
        <v>2023</v>
      </c>
      <c r="D2441" s="88" t="s">
        <v>2271</v>
      </c>
      <c r="E2441" s="5" t="str">
        <f>VLOOKUP(F2441,'Set up'!$A$2:$C$48,2,FALSE)</f>
        <v>C00000042</v>
      </c>
      <c r="F2441" s="1" t="s">
        <v>2014</v>
      </c>
      <c r="G2441" s="99" t="s">
        <v>1111</v>
      </c>
      <c r="H2441" s="5">
        <v>4</v>
      </c>
      <c r="I2441" s="5" t="str">
        <f>VLOOKUP(F2441,'Set up'!$A$2:$C$48,3,FALSE)</f>
        <v>Cash</v>
      </c>
      <c r="J2441" s="5">
        <f>VLOOKUP(F2441,'Set up'!$A$2:$D$48,4,FALSE)</f>
        <v>0</v>
      </c>
      <c r="K2441" s="4">
        <f t="shared" si="837"/>
        <v>45276</v>
      </c>
      <c r="L2441" s="5">
        <f t="shared" si="838"/>
        <v>12</v>
      </c>
      <c r="M2441" s="5">
        <f t="shared" si="839"/>
        <v>2023</v>
      </c>
      <c r="N2441" s="96">
        <v>250</v>
      </c>
      <c r="P2441" s="6">
        <f t="shared" si="824"/>
        <v>250</v>
      </c>
      <c r="Q2441" s="7">
        <f t="shared" si="825"/>
        <v>3996396.5500000017</v>
      </c>
      <c r="R2441" s="44" t="str">
        <f>VLOOKUP(F2441,'Set up'!$A$2:$E$48,5,FALSE)</f>
        <v>Trsf</v>
      </c>
    </row>
    <row r="2442" spans="1:19" ht="15" customHeight="1" x14ac:dyDescent="0.3">
      <c r="A2442" s="4">
        <v>45276</v>
      </c>
      <c r="B2442" s="5">
        <f t="shared" si="841"/>
        <v>12</v>
      </c>
      <c r="C2442" s="5">
        <f t="shared" si="842"/>
        <v>2023</v>
      </c>
      <c r="D2442" s="88" t="s">
        <v>2272</v>
      </c>
      <c r="E2442" s="5" t="str">
        <f>VLOOKUP(F2442,'Set up'!$A$2:$C$48,2,FALSE)</f>
        <v>C00000042</v>
      </c>
      <c r="F2442" s="1" t="s">
        <v>2014</v>
      </c>
      <c r="G2442" s="99" t="s">
        <v>1895</v>
      </c>
      <c r="H2442" s="5">
        <v>4</v>
      </c>
      <c r="I2442" s="5" t="str">
        <f>VLOOKUP(F2442,'Set up'!$A$2:$C$48,3,FALSE)</f>
        <v>Cash</v>
      </c>
      <c r="J2442" s="5">
        <f>VLOOKUP(F2442,'Set up'!$A$2:$D$48,4,FALSE)</f>
        <v>0</v>
      </c>
      <c r="K2442" s="4">
        <f t="shared" si="837"/>
        <v>45276</v>
      </c>
      <c r="L2442" s="5">
        <f t="shared" si="838"/>
        <v>12</v>
      </c>
      <c r="M2442" s="5">
        <f t="shared" si="839"/>
        <v>2023</v>
      </c>
      <c r="N2442" s="96">
        <v>6424</v>
      </c>
      <c r="P2442" s="6">
        <f t="shared" si="824"/>
        <v>6424</v>
      </c>
      <c r="Q2442" s="7">
        <f t="shared" si="825"/>
        <v>4002820.5500000017</v>
      </c>
      <c r="R2442" s="44" t="str">
        <f>VLOOKUP(F2442,'Set up'!$A$2:$E$48,5,FALSE)</f>
        <v>Trsf</v>
      </c>
    </row>
    <row r="2443" spans="1:19" ht="15" customHeight="1" x14ac:dyDescent="0.3">
      <c r="A2443" s="4">
        <v>45276</v>
      </c>
      <c r="B2443" s="5">
        <f t="shared" si="841"/>
        <v>12</v>
      </c>
      <c r="C2443" s="5">
        <f t="shared" si="842"/>
        <v>2023</v>
      </c>
      <c r="D2443" s="88" t="s">
        <v>2272</v>
      </c>
      <c r="E2443" s="5" t="str">
        <f>VLOOKUP(F2443,'Set up'!$A$2:$C$48,2,FALSE)</f>
        <v>C00000042</v>
      </c>
      <c r="F2443" s="1" t="s">
        <v>2014</v>
      </c>
      <c r="G2443" s="99" t="s">
        <v>2214</v>
      </c>
      <c r="H2443" s="5">
        <v>6</v>
      </c>
      <c r="I2443" s="5" t="str">
        <f>VLOOKUP(F2443,'Set up'!$A$2:$C$48,3,FALSE)</f>
        <v>Cash</v>
      </c>
      <c r="J2443" s="5">
        <f>VLOOKUP(F2443,'Set up'!$A$2:$D$48,4,FALSE)</f>
        <v>0</v>
      </c>
      <c r="K2443" s="4">
        <f t="shared" si="837"/>
        <v>45276</v>
      </c>
      <c r="L2443" s="5">
        <f t="shared" si="838"/>
        <v>12</v>
      </c>
      <c r="M2443" s="5">
        <f t="shared" si="839"/>
        <v>2023</v>
      </c>
      <c r="N2443" s="96">
        <v>2331.6</v>
      </c>
      <c r="P2443" s="6">
        <f t="shared" si="824"/>
        <v>2331.6</v>
      </c>
      <c r="Q2443" s="7">
        <f t="shared" si="825"/>
        <v>4005152.1500000018</v>
      </c>
      <c r="R2443" s="44" t="str">
        <f>VLOOKUP(F2443,'Set up'!$A$2:$E$48,5,FALSE)</f>
        <v>Trsf</v>
      </c>
    </row>
    <row r="2444" spans="1:19" ht="15" customHeight="1" x14ac:dyDescent="0.3">
      <c r="A2444" s="4">
        <v>45276</v>
      </c>
      <c r="B2444" s="5">
        <f t="shared" si="841"/>
        <v>12</v>
      </c>
      <c r="C2444" s="5">
        <f t="shared" si="842"/>
        <v>2023</v>
      </c>
      <c r="D2444" s="88" t="s">
        <v>2272</v>
      </c>
      <c r="E2444" s="5" t="str">
        <f>VLOOKUP(F2444,'Set up'!$A$2:$C$48,2,FALSE)</f>
        <v>C00000042</v>
      </c>
      <c r="F2444" s="1" t="s">
        <v>2014</v>
      </c>
      <c r="G2444" s="99" t="s">
        <v>1923</v>
      </c>
      <c r="H2444" s="5">
        <v>6</v>
      </c>
      <c r="I2444" s="5" t="str">
        <f>VLOOKUP(F2444,'Set up'!$A$2:$C$48,3,FALSE)</f>
        <v>Cash</v>
      </c>
      <c r="J2444" s="5">
        <f>VLOOKUP(F2444,'Set up'!$A$2:$D$48,4,FALSE)</f>
        <v>0</v>
      </c>
      <c r="K2444" s="4">
        <f t="shared" si="837"/>
        <v>45276</v>
      </c>
      <c r="L2444" s="5">
        <f t="shared" si="838"/>
        <v>12</v>
      </c>
      <c r="M2444" s="5">
        <f t="shared" si="839"/>
        <v>2023</v>
      </c>
      <c r="N2444" s="96">
        <v>1404</v>
      </c>
      <c r="P2444" s="6">
        <f t="shared" si="824"/>
        <v>1404</v>
      </c>
      <c r="Q2444" s="7">
        <f t="shared" si="825"/>
        <v>4006556.1500000018</v>
      </c>
      <c r="R2444" s="44" t="str">
        <f>VLOOKUP(F2444,'Set up'!$A$2:$E$48,5,FALSE)</f>
        <v>Trsf</v>
      </c>
    </row>
    <row r="2445" spans="1:19" ht="15" customHeight="1" x14ac:dyDescent="0.3">
      <c r="A2445" s="4">
        <v>45276</v>
      </c>
      <c r="B2445" s="5">
        <f t="shared" si="841"/>
        <v>12</v>
      </c>
      <c r="C2445" s="5">
        <f t="shared" si="842"/>
        <v>2023</v>
      </c>
      <c r="D2445" s="88" t="s">
        <v>2272</v>
      </c>
      <c r="E2445" s="5" t="str">
        <f>VLOOKUP(F2445,'Set up'!$A$2:$C$48,2,FALSE)</f>
        <v>C00000042</v>
      </c>
      <c r="F2445" s="1" t="s">
        <v>2014</v>
      </c>
      <c r="G2445" s="99" t="s">
        <v>1062</v>
      </c>
      <c r="H2445" s="5">
        <v>4</v>
      </c>
      <c r="I2445" s="5" t="str">
        <f>VLOOKUP(F2445,'Set up'!$A$2:$C$48,3,FALSE)</f>
        <v>Cash</v>
      </c>
      <c r="J2445" s="5">
        <f>VLOOKUP(F2445,'Set up'!$A$2:$D$48,4,FALSE)</f>
        <v>0</v>
      </c>
      <c r="K2445" s="4">
        <f t="shared" si="837"/>
        <v>45276</v>
      </c>
      <c r="L2445" s="5">
        <f t="shared" si="838"/>
        <v>12</v>
      </c>
      <c r="M2445" s="5">
        <f t="shared" si="839"/>
        <v>2023</v>
      </c>
      <c r="N2445" s="96">
        <v>380</v>
      </c>
      <c r="P2445" s="6">
        <f t="shared" si="824"/>
        <v>380</v>
      </c>
      <c r="Q2445" s="7">
        <f t="shared" si="825"/>
        <v>4006936.1500000018</v>
      </c>
      <c r="R2445" s="44" t="str">
        <f>VLOOKUP(F2445,'Set up'!$A$2:$E$48,5,FALSE)</f>
        <v>Trsf</v>
      </c>
    </row>
    <row r="2446" spans="1:19" ht="15" hidden="1" customHeight="1" x14ac:dyDescent="0.3">
      <c r="A2446" s="4">
        <v>45278</v>
      </c>
      <c r="B2446" s="5">
        <f t="shared" si="841"/>
        <v>12</v>
      </c>
      <c r="C2446" s="5">
        <f t="shared" si="842"/>
        <v>2023</v>
      </c>
      <c r="D2446" s="88" t="s">
        <v>2273</v>
      </c>
      <c r="E2446" s="5" t="str">
        <f>VLOOKUP(F2446,'Set up'!$A$2:$C$48,2,FALSE)</f>
        <v>C00000021</v>
      </c>
      <c r="F2446" s="1" t="s">
        <v>492</v>
      </c>
      <c r="G2446" s="99" t="s">
        <v>67</v>
      </c>
      <c r="H2446" s="5">
        <v>1</v>
      </c>
      <c r="I2446" s="5" t="str">
        <f>VLOOKUP(F2446,'Set up'!$A$2:$C$48,3,FALSE)</f>
        <v>Cash</v>
      </c>
      <c r="J2446" s="5">
        <f>VLOOKUP(F2446,'Set up'!$A$2:$D$48,4,FALSE)</f>
        <v>0</v>
      </c>
      <c r="K2446" s="4">
        <f t="shared" si="837"/>
        <v>45278</v>
      </c>
      <c r="L2446" s="5">
        <f t="shared" si="838"/>
        <v>12</v>
      </c>
      <c r="M2446" s="5">
        <f t="shared" si="839"/>
        <v>2023</v>
      </c>
      <c r="N2446" s="96">
        <v>1738</v>
      </c>
      <c r="P2446" s="6">
        <f t="shared" si="824"/>
        <v>1738</v>
      </c>
      <c r="Q2446" s="7">
        <f t="shared" si="825"/>
        <v>4008674.1500000018</v>
      </c>
      <c r="R2446" s="44" t="str">
        <f>VLOOKUP(F2446,'Set up'!$A$2:$E$48,5,FALSE)</f>
        <v>PD Chq</v>
      </c>
    </row>
    <row r="2447" spans="1:19" ht="15" hidden="1" customHeight="1" x14ac:dyDescent="0.3">
      <c r="A2447" s="4">
        <v>45278</v>
      </c>
      <c r="B2447" s="5">
        <f t="shared" si="841"/>
        <v>12</v>
      </c>
      <c r="C2447" s="5">
        <f t="shared" si="842"/>
        <v>2023</v>
      </c>
      <c r="D2447" s="88" t="s">
        <v>2273</v>
      </c>
      <c r="E2447" s="5" t="str">
        <f>VLOOKUP(F2447,'Set up'!$A$2:$C$48,2,FALSE)</f>
        <v>C00000021</v>
      </c>
      <c r="F2447" s="1" t="s">
        <v>492</v>
      </c>
      <c r="G2447" s="99" t="s">
        <v>2202</v>
      </c>
      <c r="H2447" s="5">
        <v>3</v>
      </c>
      <c r="I2447" s="5" t="str">
        <f>VLOOKUP(F2447,'Set up'!$A$2:$C$48,3,FALSE)</f>
        <v>Cash</v>
      </c>
      <c r="J2447" s="5">
        <f>VLOOKUP(F2447,'Set up'!$A$2:$D$48,4,FALSE)</f>
        <v>0</v>
      </c>
      <c r="K2447" s="4">
        <f t="shared" si="837"/>
        <v>45278</v>
      </c>
      <c r="L2447" s="5">
        <f t="shared" si="838"/>
        <v>12</v>
      </c>
      <c r="M2447" s="5">
        <f t="shared" si="839"/>
        <v>2023</v>
      </c>
      <c r="N2447" s="96">
        <v>832.5</v>
      </c>
      <c r="P2447" s="6">
        <f t="shared" si="824"/>
        <v>832.5</v>
      </c>
      <c r="Q2447" s="7">
        <f t="shared" si="825"/>
        <v>4009506.6500000018</v>
      </c>
      <c r="R2447" s="44" t="str">
        <f>VLOOKUP(F2447,'Set up'!$A$2:$E$48,5,FALSE)</f>
        <v>PD Chq</v>
      </c>
    </row>
    <row r="2448" spans="1:19" ht="15" hidden="1" customHeight="1" x14ac:dyDescent="0.3">
      <c r="A2448" s="4">
        <v>45278</v>
      </c>
      <c r="B2448" s="5">
        <f t="shared" si="841"/>
        <v>12</v>
      </c>
      <c r="C2448" s="5">
        <f t="shared" si="842"/>
        <v>2023</v>
      </c>
      <c r="D2448" s="88" t="s">
        <v>2273</v>
      </c>
      <c r="E2448" s="5" t="str">
        <f>VLOOKUP(F2448,'Set up'!$A$2:$C$48,2,FALSE)</f>
        <v>C00000021</v>
      </c>
      <c r="F2448" s="1" t="s">
        <v>492</v>
      </c>
      <c r="G2448" s="99" t="s">
        <v>1062</v>
      </c>
      <c r="H2448" s="5">
        <v>1</v>
      </c>
      <c r="I2448" s="5" t="str">
        <f>VLOOKUP(F2448,'Set up'!$A$2:$C$48,3,FALSE)</f>
        <v>Cash</v>
      </c>
      <c r="J2448" s="5">
        <f>VLOOKUP(F2448,'Set up'!$A$2:$D$48,4,FALSE)</f>
        <v>0</v>
      </c>
      <c r="K2448" s="4">
        <f t="shared" si="837"/>
        <v>45278</v>
      </c>
      <c r="L2448" s="5">
        <f t="shared" si="838"/>
        <v>12</v>
      </c>
      <c r="M2448" s="5">
        <f t="shared" si="839"/>
        <v>2023</v>
      </c>
      <c r="N2448" s="96">
        <v>95</v>
      </c>
      <c r="P2448" s="6">
        <f t="shared" si="824"/>
        <v>95</v>
      </c>
      <c r="Q2448" s="7">
        <f t="shared" si="825"/>
        <v>4009601.6500000018</v>
      </c>
      <c r="R2448" s="44" t="str">
        <f>VLOOKUP(F2448,'Set up'!$A$2:$E$48,5,FALSE)</f>
        <v>PD Chq</v>
      </c>
    </row>
    <row r="2449" spans="1:19" ht="15" hidden="1" customHeight="1" x14ac:dyDescent="0.3">
      <c r="A2449" s="4">
        <v>45278</v>
      </c>
      <c r="B2449" s="5">
        <f t="shared" si="841"/>
        <v>12</v>
      </c>
      <c r="C2449" s="5">
        <f t="shared" si="842"/>
        <v>2023</v>
      </c>
      <c r="D2449" s="88" t="s">
        <v>2273</v>
      </c>
      <c r="E2449" s="5" t="str">
        <f>VLOOKUP(F2449,'Set up'!$A$2:$C$48,2,FALSE)</f>
        <v>C00000021</v>
      </c>
      <c r="F2449" s="1" t="s">
        <v>492</v>
      </c>
      <c r="G2449" s="99" t="s">
        <v>2203</v>
      </c>
      <c r="H2449" s="5">
        <v>5</v>
      </c>
      <c r="I2449" s="5" t="str">
        <f>VLOOKUP(F2449,'Set up'!$A$2:$C$48,3,FALSE)</f>
        <v>Cash</v>
      </c>
      <c r="J2449" s="5">
        <f>VLOOKUP(F2449,'Set up'!$A$2:$D$48,4,FALSE)</f>
        <v>0</v>
      </c>
      <c r="K2449" s="4">
        <f t="shared" si="837"/>
        <v>45278</v>
      </c>
      <c r="L2449" s="5">
        <f t="shared" si="838"/>
        <v>12</v>
      </c>
      <c r="M2449" s="5">
        <f t="shared" si="839"/>
        <v>2023</v>
      </c>
      <c r="N2449" s="96">
        <v>312.5</v>
      </c>
      <c r="P2449" s="6">
        <f t="shared" si="824"/>
        <v>312.5</v>
      </c>
      <c r="Q2449" s="7">
        <f t="shared" si="825"/>
        <v>4009914.1500000018</v>
      </c>
      <c r="R2449" s="44" t="str">
        <f>VLOOKUP(F2449,'Set up'!$A$2:$E$48,5,FALSE)</f>
        <v>PD Chq</v>
      </c>
    </row>
    <row r="2450" spans="1:19" ht="15" hidden="1" customHeight="1" x14ac:dyDescent="0.3">
      <c r="A2450" s="4">
        <v>45278</v>
      </c>
      <c r="B2450" s="5">
        <f t="shared" si="841"/>
        <v>12</v>
      </c>
      <c r="C2450" s="5">
        <f t="shared" si="842"/>
        <v>2023</v>
      </c>
      <c r="D2450" s="88" t="s">
        <v>2274</v>
      </c>
      <c r="E2450" s="5" t="str">
        <f>VLOOKUP(F2450,'Set up'!$A$2:$C$48,2,FALSE)</f>
        <v>C00000010</v>
      </c>
      <c r="F2450" s="1" t="s">
        <v>62</v>
      </c>
      <c r="G2450" s="99" t="s">
        <v>2204</v>
      </c>
      <c r="H2450" s="5">
        <v>12</v>
      </c>
      <c r="I2450" s="5">
        <f>VLOOKUP(F2450,'Set up'!$A$2:$C$48,3,FALSE)</f>
        <v>120</v>
      </c>
      <c r="J2450" s="5">
        <f>VLOOKUP(F2450,'Set up'!$A$2:$D$48,4,FALSE)</f>
        <v>120</v>
      </c>
      <c r="K2450" s="4">
        <f t="shared" si="837"/>
        <v>45398</v>
      </c>
      <c r="L2450" s="5">
        <f t="shared" si="838"/>
        <v>4</v>
      </c>
      <c r="M2450" s="5">
        <f t="shared" si="839"/>
        <v>2024</v>
      </c>
      <c r="N2450" s="96">
        <v>696</v>
      </c>
      <c r="P2450" s="6">
        <f t="shared" si="824"/>
        <v>696</v>
      </c>
      <c r="Q2450" s="7">
        <f t="shared" si="825"/>
        <v>4010610.1500000018</v>
      </c>
      <c r="R2450" s="44" t="str">
        <f>VLOOKUP(F2450,'Set up'!$A$2:$E$48,5,FALSE)</f>
        <v>Trsf</v>
      </c>
    </row>
    <row r="2451" spans="1:19" ht="15" hidden="1" customHeight="1" x14ac:dyDescent="0.3">
      <c r="A2451" s="4">
        <v>45279</v>
      </c>
      <c r="B2451" s="5">
        <f t="shared" si="841"/>
        <v>12</v>
      </c>
      <c r="C2451" s="5">
        <f t="shared" si="842"/>
        <v>2023</v>
      </c>
      <c r="D2451" s="88" t="s">
        <v>2275</v>
      </c>
      <c r="E2451" s="5" t="str">
        <f>VLOOKUP(F2451,'Set up'!$A$2:$C$48,2,FALSE)</f>
        <v>C00000019</v>
      </c>
      <c r="F2451" s="1" t="s">
        <v>401</v>
      </c>
      <c r="G2451" s="99" t="s">
        <v>95</v>
      </c>
      <c r="H2451" s="5">
        <v>1</v>
      </c>
      <c r="I2451" s="5" t="str">
        <f>VLOOKUP(F2451,'Set up'!$A$2:$C$48,3,FALSE)</f>
        <v>Cash</v>
      </c>
      <c r="J2451" s="5">
        <f>VLOOKUP(F2451,'Set up'!$A$2:$D$48,4,FALSE)</f>
        <v>0</v>
      </c>
      <c r="K2451" s="4">
        <f t="shared" si="837"/>
        <v>45279</v>
      </c>
      <c r="L2451" s="5">
        <f t="shared" si="838"/>
        <v>12</v>
      </c>
      <c r="M2451" s="5">
        <f t="shared" si="839"/>
        <v>2023</v>
      </c>
      <c r="N2451" s="96">
        <v>1738</v>
      </c>
      <c r="P2451" s="6">
        <f t="shared" si="824"/>
        <v>1738</v>
      </c>
      <c r="Q2451" s="7">
        <f t="shared" si="825"/>
        <v>4012348.1500000018</v>
      </c>
      <c r="R2451" s="44" t="str">
        <f>VLOOKUP(F2451,'Set up'!$A$2:$E$48,5,FALSE)</f>
        <v>Trsf</v>
      </c>
    </row>
    <row r="2452" spans="1:19" ht="15" hidden="1" customHeight="1" x14ac:dyDescent="0.3">
      <c r="A2452" s="4">
        <v>45279</v>
      </c>
      <c r="B2452" s="5">
        <f t="shared" si="841"/>
        <v>12</v>
      </c>
      <c r="C2452" s="5">
        <f t="shared" si="842"/>
        <v>2023</v>
      </c>
      <c r="D2452" s="88" t="s">
        <v>2275</v>
      </c>
      <c r="E2452" s="5" t="str">
        <f>VLOOKUP(F2452,'Set up'!$A$2:$C$48,2,FALSE)</f>
        <v>C00000019</v>
      </c>
      <c r="F2452" s="1" t="s">
        <v>401</v>
      </c>
      <c r="G2452" s="99" t="s">
        <v>2215</v>
      </c>
      <c r="H2452" s="5">
        <v>1</v>
      </c>
      <c r="I2452" s="5" t="str">
        <f>VLOOKUP(F2452,'Set up'!$A$2:$C$48,3,FALSE)</f>
        <v>Cash</v>
      </c>
      <c r="J2452" s="5">
        <f>VLOOKUP(F2452,'Set up'!$A$2:$D$48,4,FALSE)</f>
        <v>0</v>
      </c>
      <c r="K2452" s="4">
        <f t="shared" si="837"/>
        <v>45279</v>
      </c>
      <c r="L2452" s="5">
        <f t="shared" si="838"/>
        <v>12</v>
      </c>
      <c r="M2452" s="5">
        <f t="shared" si="839"/>
        <v>2023</v>
      </c>
      <c r="N2452" s="96">
        <v>405</v>
      </c>
      <c r="P2452" s="6">
        <f t="shared" si="824"/>
        <v>405</v>
      </c>
      <c r="Q2452" s="7">
        <f t="shared" si="825"/>
        <v>4012753.1500000018</v>
      </c>
      <c r="R2452" s="44" t="str">
        <f>VLOOKUP(F2452,'Set up'!$A$2:$E$48,5,FALSE)</f>
        <v>Trsf</v>
      </c>
    </row>
    <row r="2453" spans="1:19" ht="15" hidden="1" customHeight="1" x14ac:dyDescent="0.3">
      <c r="A2453" s="4">
        <v>45279</v>
      </c>
      <c r="B2453" s="5">
        <f t="shared" si="841"/>
        <v>12</v>
      </c>
      <c r="C2453" s="5">
        <f t="shared" si="842"/>
        <v>2023</v>
      </c>
      <c r="D2453" s="88" t="s">
        <v>2275</v>
      </c>
      <c r="E2453" s="5" t="str">
        <f>VLOOKUP(F2453,'Set up'!$A$2:$C$48,2,FALSE)</f>
        <v>C00000019</v>
      </c>
      <c r="F2453" s="1" t="s">
        <v>401</v>
      </c>
      <c r="G2453" s="99" t="s">
        <v>2208</v>
      </c>
      <c r="H2453" s="5">
        <v>4</v>
      </c>
      <c r="I2453" s="5" t="str">
        <f>VLOOKUP(F2453,'Set up'!$A$2:$C$48,3,FALSE)</f>
        <v>Cash</v>
      </c>
      <c r="J2453" s="5">
        <f>VLOOKUP(F2453,'Set up'!$A$2:$D$48,4,FALSE)</f>
        <v>0</v>
      </c>
      <c r="K2453" s="4">
        <f t="shared" si="837"/>
        <v>45279</v>
      </c>
      <c r="L2453" s="5">
        <f t="shared" si="838"/>
        <v>12</v>
      </c>
      <c r="M2453" s="5">
        <f t="shared" si="839"/>
        <v>2023</v>
      </c>
      <c r="N2453" s="96">
        <v>250</v>
      </c>
      <c r="P2453" s="6">
        <f t="shared" ref="P2453:P2516" si="843">SUM(N2453+O2453)</f>
        <v>250</v>
      </c>
      <c r="Q2453" s="7">
        <f t="shared" si="825"/>
        <v>4013003.1500000018</v>
      </c>
      <c r="R2453" s="44" t="str">
        <f>VLOOKUP(F2453,'Set up'!$A$2:$E$48,5,FALSE)</f>
        <v>Trsf</v>
      </c>
    </row>
    <row r="2454" spans="1:19" ht="15" hidden="1" customHeight="1" x14ac:dyDescent="0.3">
      <c r="A2454" s="4">
        <v>45279</v>
      </c>
      <c r="B2454" s="5">
        <f t="shared" si="841"/>
        <v>12</v>
      </c>
      <c r="C2454" s="5">
        <f t="shared" si="842"/>
        <v>2023</v>
      </c>
      <c r="D2454" s="88" t="s">
        <v>2275</v>
      </c>
      <c r="E2454" s="5" t="str">
        <f>VLOOKUP(F2454,'Set up'!$A$2:$C$48,2,FALSE)</f>
        <v>C00000019</v>
      </c>
      <c r="F2454" s="1" t="s">
        <v>401</v>
      </c>
      <c r="G2454" s="99" t="s">
        <v>46</v>
      </c>
      <c r="H2454" s="5">
        <v>1</v>
      </c>
      <c r="I2454" s="5" t="str">
        <f>VLOOKUP(F2454,'Set up'!$A$2:$C$48,3,FALSE)</f>
        <v>Cash</v>
      </c>
      <c r="J2454" s="5">
        <f>VLOOKUP(F2454,'Set up'!$A$2:$D$48,4,FALSE)</f>
        <v>0</v>
      </c>
      <c r="K2454" s="4">
        <f t="shared" si="837"/>
        <v>45279</v>
      </c>
      <c r="L2454" s="5">
        <f t="shared" si="838"/>
        <v>12</v>
      </c>
      <c r="M2454" s="5">
        <f t="shared" si="839"/>
        <v>2023</v>
      </c>
      <c r="N2454" s="96">
        <v>105</v>
      </c>
      <c r="P2454" s="6">
        <f t="shared" si="843"/>
        <v>105</v>
      </c>
      <c r="Q2454" s="7">
        <f t="shared" si="825"/>
        <v>4013108.1500000018</v>
      </c>
      <c r="R2454" s="44" t="str">
        <f>VLOOKUP(F2454,'Set up'!$A$2:$E$48,5,FALSE)</f>
        <v>Trsf</v>
      </c>
    </row>
    <row r="2455" spans="1:19" ht="15" hidden="1" customHeight="1" x14ac:dyDescent="0.3">
      <c r="A2455" s="4">
        <v>45279</v>
      </c>
      <c r="B2455" s="5">
        <f t="shared" si="841"/>
        <v>12</v>
      </c>
      <c r="C2455" s="5">
        <f t="shared" si="842"/>
        <v>2023</v>
      </c>
      <c r="D2455" s="88" t="s">
        <v>2275</v>
      </c>
      <c r="E2455" s="5" t="str">
        <f>VLOOKUP(F2455,'Set up'!$A$2:$C$48,2,FALSE)</f>
        <v>C00000019</v>
      </c>
      <c r="F2455" s="1" t="s">
        <v>401</v>
      </c>
      <c r="G2455" s="99" t="s">
        <v>945</v>
      </c>
      <c r="H2455" s="5">
        <v>1</v>
      </c>
      <c r="I2455" s="5" t="str">
        <f>VLOOKUP(F2455,'Set up'!$A$2:$C$48,3,FALSE)</f>
        <v>Cash</v>
      </c>
      <c r="J2455" s="5">
        <f>VLOOKUP(F2455,'Set up'!$A$2:$D$48,4,FALSE)</f>
        <v>0</v>
      </c>
      <c r="K2455" s="4">
        <f t="shared" si="837"/>
        <v>45279</v>
      </c>
      <c r="L2455" s="5">
        <f t="shared" si="838"/>
        <v>12</v>
      </c>
      <c r="M2455" s="5">
        <f t="shared" si="839"/>
        <v>2023</v>
      </c>
      <c r="N2455" s="96">
        <v>420</v>
      </c>
      <c r="P2455" s="6">
        <f t="shared" si="843"/>
        <v>420</v>
      </c>
      <c r="Q2455" s="7">
        <f t="shared" si="825"/>
        <v>4013528.1500000018</v>
      </c>
      <c r="R2455" s="44" t="str">
        <f>VLOOKUP(F2455,'Set up'!$A$2:$E$48,5,FALSE)</f>
        <v>Trsf</v>
      </c>
    </row>
    <row r="2456" spans="1:19" ht="15" hidden="1" customHeight="1" x14ac:dyDescent="0.3">
      <c r="A2456" s="4">
        <v>45279</v>
      </c>
      <c r="B2456" s="5">
        <f t="shared" si="841"/>
        <v>12</v>
      </c>
      <c r="C2456" s="5">
        <f t="shared" si="842"/>
        <v>2023</v>
      </c>
      <c r="D2456" s="88" t="s">
        <v>2276</v>
      </c>
      <c r="E2456" s="5" t="str">
        <f>VLOOKUP(F2456,'Set up'!$A$2:$C$48,2,FALSE)</f>
        <v>C00000022</v>
      </c>
      <c r="F2456" s="1" t="s">
        <v>638</v>
      </c>
      <c r="G2456" s="99" t="s">
        <v>1999</v>
      </c>
      <c r="H2456" s="5">
        <v>1</v>
      </c>
      <c r="I2456" s="5" t="str">
        <f>VLOOKUP(F2456,'Set up'!$A$2:$C$48,3,FALSE)</f>
        <v>Cash</v>
      </c>
      <c r="J2456" s="5">
        <f>VLOOKUP(F2456,'Set up'!$A$2:$D$48,4,FALSE)</f>
        <v>0</v>
      </c>
      <c r="K2456" s="4">
        <f t="shared" si="837"/>
        <v>45279</v>
      </c>
      <c r="L2456" s="5">
        <f t="shared" si="838"/>
        <v>12</v>
      </c>
      <c r="M2456" s="5">
        <f t="shared" si="839"/>
        <v>2023</v>
      </c>
      <c r="N2456" s="96">
        <v>4250</v>
      </c>
      <c r="O2456" s="6">
        <f t="shared" ref="O2456:O2459" si="844">-N2456</f>
        <v>-4250</v>
      </c>
      <c r="P2456" s="6">
        <f t="shared" si="843"/>
        <v>0</v>
      </c>
      <c r="Q2456" s="7">
        <f t="shared" si="825"/>
        <v>4017778.1500000018</v>
      </c>
      <c r="R2456" s="44" t="str">
        <f>VLOOKUP(F2456,'Set up'!$A$2:$E$48,5,FALSE)</f>
        <v>Trsf</v>
      </c>
      <c r="S2456" s="1" t="s">
        <v>2331</v>
      </c>
    </row>
    <row r="2457" spans="1:19" ht="15" hidden="1" customHeight="1" x14ac:dyDescent="0.3">
      <c r="A2457" s="4">
        <v>45279</v>
      </c>
      <c r="B2457" s="5">
        <f t="shared" si="841"/>
        <v>12</v>
      </c>
      <c r="C2457" s="5">
        <f t="shared" si="842"/>
        <v>2023</v>
      </c>
      <c r="D2457" s="88" t="s">
        <v>2276</v>
      </c>
      <c r="E2457" s="5" t="str">
        <f>VLOOKUP(F2457,'Set up'!$A$2:$C$48,2,FALSE)</f>
        <v>C00000022</v>
      </c>
      <c r="F2457" s="1" t="s">
        <v>638</v>
      </c>
      <c r="G2457" s="99" t="s">
        <v>1544</v>
      </c>
      <c r="H2457" s="5">
        <v>1</v>
      </c>
      <c r="I2457" s="5" t="str">
        <f>VLOOKUP(F2457,'Set up'!$A$2:$C$48,3,FALSE)</f>
        <v>Cash</v>
      </c>
      <c r="J2457" s="5">
        <f>VLOOKUP(F2457,'Set up'!$A$2:$D$48,4,FALSE)</f>
        <v>0</v>
      </c>
      <c r="K2457" s="4">
        <f t="shared" si="837"/>
        <v>45279</v>
      </c>
      <c r="L2457" s="5">
        <f t="shared" si="838"/>
        <v>12</v>
      </c>
      <c r="M2457" s="5">
        <f t="shared" si="839"/>
        <v>2023</v>
      </c>
      <c r="N2457" s="96">
        <v>300</v>
      </c>
      <c r="O2457" s="6">
        <f t="shared" si="844"/>
        <v>-300</v>
      </c>
      <c r="P2457" s="6">
        <f t="shared" si="843"/>
        <v>0</v>
      </c>
      <c r="Q2457" s="7">
        <f t="shared" si="825"/>
        <v>4018078.1500000018</v>
      </c>
      <c r="R2457" s="44" t="str">
        <f>VLOOKUP(F2457,'Set up'!$A$2:$E$48,5,FALSE)</f>
        <v>Trsf</v>
      </c>
      <c r="S2457" s="1" t="s">
        <v>2331</v>
      </c>
    </row>
    <row r="2458" spans="1:19" ht="15" hidden="1" customHeight="1" x14ac:dyDescent="0.3">
      <c r="A2458" s="4">
        <v>45279</v>
      </c>
      <c r="B2458" s="5">
        <f t="shared" si="841"/>
        <v>12</v>
      </c>
      <c r="C2458" s="5">
        <f t="shared" si="842"/>
        <v>2023</v>
      </c>
      <c r="D2458" s="88" t="s">
        <v>2276</v>
      </c>
      <c r="E2458" s="5" t="str">
        <f>VLOOKUP(F2458,'Set up'!$A$2:$C$48,2,FALSE)</f>
        <v>C00000022</v>
      </c>
      <c r="F2458" s="1" t="s">
        <v>638</v>
      </c>
      <c r="G2458" s="99" t="s">
        <v>2216</v>
      </c>
      <c r="H2458" s="5">
        <v>1</v>
      </c>
      <c r="I2458" s="5" t="str">
        <f>VLOOKUP(F2458,'Set up'!$A$2:$C$48,3,FALSE)</f>
        <v>Cash</v>
      </c>
      <c r="J2458" s="5">
        <f>VLOOKUP(F2458,'Set up'!$A$2:$D$48,4,FALSE)</f>
        <v>0</v>
      </c>
      <c r="K2458" s="4">
        <f t="shared" si="837"/>
        <v>45279</v>
      </c>
      <c r="L2458" s="5">
        <f t="shared" si="838"/>
        <v>12</v>
      </c>
      <c r="M2458" s="5">
        <f t="shared" si="839"/>
        <v>2023</v>
      </c>
      <c r="N2458" s="96">
        <v>150</v>
      </c>
      <c r="O2458" s="6">
        <f t="shared" si="844"/>
        <v>-150</v>
      </c>
      <c r="P2458" s="6">
        <f t="shared" si="843"/>
        <v>0</v>
      </c>
      <c r="Q2458" s="7">
        <f t="shared" si="825"/>
        <v>4018228.1500000018</v>
      </c>
      <c r="R2458" s="44" t="str">
        <f>VLOOKUP(F2458,'Set up'!$A$2:$E$48,5,FALSE)</f>
        <v>Trsf</v>
      </c>
      <c r="S2458" s="1" t="s">
        <v>2331</v>
      </c>
    </row>
    <row r="2459" spans="1:19" ht="15" hidden="1" customHeight="1" x14ac:dyDescent="0.3">
      <c r="A2459" s="4">
        <v>45279</v>
      </c>
      <c r="B2459" s="5">
        <f t="shared" ref="B2459" si="845">MONTH(A2459)</f>
        <v>12</v>
      </c>
      <c r="C2459" s="5">
        <f t="shared" ref="C2459" si="846">YEAR(A2459)</f>
        <v>2023</v>
      </c>
      <c r="D2459" s="88" t="s">
        <v>2345</v>
      </c>
      <c r="E2459" s="5" t="str">
        <f>VLOOKUP(F2459,'Set up'!$A$2:$C$48,2,FALSE)</f>
        <v>C00000022</v>
      </c>
      <c r="F2459" s="1" t="s">
        <v>638</v>
      </c>
      <c r="G2459" s="99" t="s">
        <v>2344</v>
      </c>
      <c r="H2459" s="5">
        <v>0</v>
      </c>
      <c r="I2459" s="5" t="str">
        <f>VLOOKUP(F2459,'Set up'!$A$2:$C$48,3,FALSE)</f>
        <v>Cash</v>
      </c>
      <c r="J2459" s="5">
        <f>VLOOKUP(F2459,'Set up'!$A$2:$D$48,4,FALSE)</f>
        <v>0</v>
      </c>
      <c r="K2459" s="4">
        <f t="shared" ref="K2459" si="847">A2459+J2459</f>
        <v>45279</v>
      </c>
      <c r="L2459" s="5">
        <f t="shared" ref="L2459" si="848">MONTH(K2459)</f>
        <v>12</v>
      </c>
      <c r="M2459" s="5">
        <f t="shared" ref="M2459" si="849">YEAR(K2459)</f>
        <v>2023</v>
      </c>
      <c r="N2459" s="96">
        <v>-866</v>
      </c>
      <c r="O2459" s="6">
        <f t="shared" si="844"/>
        <v>866</v>
      </c>
      <c r="P2459" s="6">
        <f t="shared" si="843"/>
        <v>0</v>
      </c>
      <c r="Q2459" s="7">
        <f t="shared" si="825"/>
        <v>4017362.1500000018</v>
      </c>
      <c r="R2459" s="44" t="str">
        <f>VLOOKUP(F2459,'Set up'!$A$2:$E$48,5,FALSE)</f>
        <v>Trsf</v>
      </c>
      <c r="S2459" s="99" t="s">
        <v>2347</v>
      </c>
    </row>
    <row r="2460" spans="1:19" ht="15" hidden="1" customHeight="1" x14ac:dyDescent="0.3">
      <c r="A2460" s="4">
        <v>45280</v>
      </c>
      <c r="B2460" s="5">
        <f t="shared" si="841"/>
        <v>12</v>
      </c>
      <c r="C2460" s="5">
        <f t="shared" si="842"/>
        <v>2023</v>
      </c>
      <c r="D2460" s="88" t="s">
        <v>2277</v>
      </c>
      <c r="E2460" s="5" t="str">
        <f>VLOOKUP(F2460,'Set up'!$A$2:$C$48,2,FALSE)</f>
        <v>C00000037</v>
      </c>
      <c r="F2460" s="1" t="s">
        <v>1310</v>
      </c>
      <c r="G2460" s="99" t="s">
        <v>1895</v>
      </c>
      <c r="H2460" s="5">
        <v>4</v>
      </c>
      <c r="I2460" s="5">
        <f>VLOOKUP(F2460,'Set up'!$A$2:$C$48,3,FALSE)</f>
        <v>30</v>
      </c>
      <c r="J2460" s="5">
        <f>VLOOKUP(F2460,'Set up'!$A$2:$D$48,4,FALSE)</f>
        <v>30</v>
      </c>
      <c r="K2460" s="4">
        <f t="shared" si="837"/>
        <v>45310</v>
      </c>
      <c r="L2460" s="5">
        <f t="shared" si="838"/>
        <v>1</v>
      </c>
      <c r="M2460" s="5">
        <f t="shared" si="839"/>
        <v>2024</v>
      </c>
      <c r="N2460" s="96">
        <v>6952</v>
      </c>
      <c r="P2460" s="6">
        <f t="shared" si="843"/>
        <v>6952</v>
      </c>
      <c r="Q2460" s="7">
        <f t="shared" si="825"/>
        <v>4024314.1500000018</v>
      </c>
      <c r="R2460" s="44" t="str">
        <f>VLOOKUP(F2460,'Set up'!$A$2:$E$48,5,FALSE)</f>
        <v>Chq</v>
      </c>
    </row>
    <row r="2461" spans="1:19" ht="15" hidden="1" customHeight="1" x14ac:dyDescent="0.3">
      <c r="A2461" s="4">
        <v>45280</v>
      </c>
      <c r="B2461" s="5">
        <f t="shared" si="841"/>
        <v>12</v>
      </c>
      <c r="C2461" s="5">
        <f t="shared" si="842"/>
        <v>2023</v>
      </c>
      <c r="D2461" s="88" t="s">
        <v>2277</v>
      </c>
      <c r="E2461" s="5" t="str">
        <f>VLOOKUP(F2461,'Set up'!$A$2:$C$48,2,FALSE)</f>
        <v>C00000037</v>
      </c>
      <c r="F2461" s="1" t="s">
        <v>1310</v>
      </c>
      <c r="G2461" s="99" t="s">
        <v>2217</v>
      </c>
      <c r="H2461" s="5">
        <v>5</v>
      </c>
      <c r="I2461" s="5">
        <f>VLOOKUP(F2461,'Set up'!$A$2:$C$48,3,FALSE)</f>
        <v>30</v>
      </c>
      <c r="J2461" s="5">
        <f>VLOOKUP(F2461,'Set up'!$A$2:$D$48,4,FALSE)</f>
        <v>30</v>
      </c>
      <c r="K2461" s="4">
        <f t="shared" si="837"/>
        <v>45310</v>
      </c>
      <c r="L2461" s="5">
        <f t="shared" si="838"/>
        <v>1</v>
      </c>
      <c r="M2461" s="5">
        <f t="shared" si="839"/>
        <v>2024</v>
      </c>
      <c r="N2461" s="96">
        <v>2613</v>
      </c>
      <c r="P2461" s="6">
        <f t="shared" si="843"/>
        <v>2613</v>
      </c>
      <c r="Q2461" s="7">
        <f t="shared" si="825"/>
        <v>4026927.1500000018</v>
      </c>
      <c r="R2461" s="44" t="str">
        <f>VLOOKUP(F2461,'Set up'!$A$2:$E$48,5,FALSE)</f>
        <v>Chq</v>
      </c>
    </row>
    <row r="2462" spans="1:19" ht="15" hidden="1" customHeight="1" x14ac:dyDescent="0.3">
      <c r="A2462" s="4">
        <v>45280</v>
      </c>
      <c r="B2462" s="5">
        <f t="shared" si="841"/>
        <v>12</v>
      </c>
      <c r="C2462" s="5">
        <f t="shared" si="842"/>
        <v>2023</v>
      </c>
      <c r="D2462" s="88" t="s">
        <v>2277</v>
      </c>
      <c r="E2462" s="5" t="str">
        <f>VLOOKUP(F2462,'Set up'!$A$2:$C$48,2,FALSE)</f>
        <v>C00000037</v>
      </c>
      <c r="F2462" s="1" t="s">
        <v>1310</v>
      </c>
      <c r="G2462" s="99" t="s">
        <v>1406</v>
      </c>
      <c r="H2462" s="5">
        <v>5</v>
      </c>
      <c r="I2462" s="5">
        <f>VLOOKUP(F2462,'Set up'!$A$2:$C$48,3,FALSE)</f>
        <v>30</v>
      </c>
      <c r="J2462" s="5">
        <f>VLOOKUP(F2462,'Set up'!$A$2:$D$48,4,FALSE)</f>
        <v>30</v>
      </c>
      <c r="K2462" s="4">
        <f t="shared" si="837"/>
        <v>45310</v>
      </c>
      <c r="L2462" s="5">
        <f t="shared" si="838"/>
        <v>1</v>
      </c>
      <c r="M2462" s="5">
        <f t="shared" si="839"/>
        <v>2024</v>
      </c>
      <c r="N2462" s="96">
        <v>240</v>
      </c>
      <c r="P2462" s="6">
        <f t="shared" si="843"/>
        <v>240</v>
      </c>
      <c r="Q2462" s="7">
        <f t="shared" si="825"/>
        <v>4027167.1500000018</v>
      </c>
      <c r="R2462" s="44" t="str">
        <f>VLOOKUP(F2462,'Set up'!$A$2:$E$48,5,FALSE)</f>
        <v>Chq</v>
      </c>
    </row>
    <row r="2463" spans="1:19" ht="15" hidden="1" customHeight="1" x14ac:dyDescent="0.3">
      <c r="A2463" s="4">
        <v>45280</v>
      </c>
      <c r="B2463" s="5">
        <f t="shared" si="841"/>
        <v>12</v>
      </c>
      <c r="C2463" s="5">
        <f t="shared" si="842"/>
        <v>2023</v>
      </c>
      <c r="D2463" s="88" t="s">
        <v>2277</v>
      </c>
      <c r="E2463" s="5" t="str">
        <f>VLOOKUP(F2463,'Set up'!$A$2:$C$48,2,FALSE)</f>
        <v>C00000037</v>
      </c>
      <c r="F2463" s="1" t="s">
        <v>1310</v>
      </c>
      <c r="G2463" s="99" t="s">
        <v>2203</v>
      </c>
      <c r="H2463" s="5">
        <v>5</v>
      </c>
      <c r="I2463" s="5">
        <f>VLOOKUP(F2463,'Set up'!$A$2:$C$48,3,FALSE)</f>
        <v>30</v>
      </c>
      <c r="J2463" s="5">
        <f>VLOOKUP(F2463,'Set up'!$A$2:$D$48,4,FALSE)</f>
        <v>30</v>
      </c>
      <c r="K2463" s="4">
        <f t="shared" si="837"/>
        <v>45310</v>
      </c>
      <c r="L2463" s="5">
        <f t="shared" si="838"/>
        <v>1</v>
      </c>
      <c r="M2463" s="5">
        <f t="shared" si="839"/>
        <v>2024</v>
      </c>
      <c r="N2463" s="96">
        <v>312.5</v>
      </c>
      <c r="P2463" s="6">
        <f t="shared" si="843"/>
        <v>312.5</v>
      </c>
      <c r="Q2463" s="7">
        <f t="shared" si="825"/>
        <v>4027479.6500000018</v>
      </c>
      <c r="R2463" s="44" t="str">
        <f>VLOOKUP(F2463,'Set up'!$A$2:$E$48,5,FALSE)</f>
        <v>Chq</v>
      </c>
    </row>
    <row r="2464" spans="1:19" ht="15" hidden="1" customHeight="1" x14ac:dyDescent="0.3">
      <c r="A2464" s="4">
        <v>45280</v>
      </c>
      <c r="B2464" s="5">
        <f t="shared" si="841"/>
        <v>12</v>
      </c>
      <c r="C2464" s="5">
        <f t="shared" si="842"/>
        <v>2023</v>
      </c>
      <c r="D2464" s="88" t="s">
        <v>2277</v>
      </c>
      <c r="E2464" s="5" t="str">
        <f>VLOOKUP(F2464,'Set up'!$A$2:$C$48,2,FALSE)</f>
        <v>C00000037</v>
      </c>
      <c r="F2464" s="1" t="s">
        <v>1310</v>
      </c>
      <c r="G2464" s="99" t="s">
        <v>2218</v>
      </c>
      <c r="H2464" s="5">
        <v>2</v>
      </c>
      <c r="I2464" s="5">
        <f>VLOOKUP(F2464,'Set up'!$A$2:$C$48,3,FALSE)</f>
        <v>30</v>
      </c>
      <c r="J2464" s="5">
        <f>VLOOKUP(F2464,'Set up'!$A$2:$D$48,4,FALSE)</f>
        <v>30</v>
      </c>
      <c r="K2464" s="4">
        <f t="shared" si="837"/>
        <v>45310</v>
      </c>
      <c r="L2464" s="5">
        <f t="shared" si="838"/>
        <v>1</v>
      </c>
      <c r="M2464" s="5">
        <f t="shared" si="839"/>
        <v>2024</v>
      </c>
      <c r="N2464" s="96">
        <v>572</v>
      </c>
      <c r="P2464" s="6">
        <f t="shared" si="843"/>
        <v>572</v>
      </c>
      <c r="Q2464" s="7">
        <f t="shared" ref="Q2464:Q2527" si="850">SUM(Q2463+N2464)</f>
        <v>4028051.6500000018</v>
      </c>
      <c r="R2464" s="44" t="str">
        <f>VLOOKUP(F2464,'Set up'!$A$2:$E$48,5,FALSE)</f>
        <v>Chq</v>
      </c>
    </row>
    <row r="2465" spans="1:19" ht="15" hidden="1" customHeight="1" x14ac:dyDescent="0.3">
      <c r="A2465" s="4">
        <v>45280</v>
      </c>
      <c r="B2465" s="5">
        <f t="shared" si="841"/>
        <v>12</v>
      </c>
      <c r="C2465" s="5">
        <f t="shared" si="842"/>
        <v>2023</v>
      </c>
      <c r="D2465" s="88" t="s">
        <v>2277</v>
      </c>
      <c r="E2465" s="5" t="str">
        <f>VLOOKUP(F2465,'Set up'!$A$2:$C$48,2,FALSE)</f>
        <v>C00000037</v>
      </c>
      <c r="F2465" s="1" t="s">
        <v>1310</v>
      </c>
      <c r="G2465" s="99" t="s">
        <v>1062</v>
      </c>
      <c r="H2465" s="5">
        <v>3</v>
      </c>
      <c r="I2465" s="5">
        <f>VLOOKUP(F2465,'Set up'!$A$2:$C$48,3,FALSE)</f>
        <v>30</v>
      </c>
      <c r="J2465" s="5">
        <f>VLOOKUP(F2465,'Set up'!$A$2:$D$48,4,FALSE)</f>
        <v>30</v>
      </c>
      <c r="K2465" s="4">
        <f t="shared" si="837"/>
        <v>45310</v>
      </c>
      <c r="L2465" s="5">
        <f t="shared" si="838"/>
        <v>1</v>
      </c>
      <c r="M2465" s="5">
        <f t="shared" si="839"/>
        <v>2024</v>
      </c>
      <c r="N2465" s="96">
        <v>285</v>
      </c>
      <c r="P2465" s="6">
        <f t="shared" si="843"/>
        <v>285</v>
      </c>
      <c r="Q2465" s="7">
        <f t="shared" si="850"/>
        <v>4028336.6500000018</v>
      </c>
      <c r="R2465" s="44" t="str">
        <f>VLOOKUP(F2465,'Set up'!$A$2:$E$48,5,FALSE)</f>
        <v>Chq</v>
      </c>
    </row>
    <row r="2466" spans="1:19" ht="15" hidden="1" customHeight="1" x14ac:dyDescent="0.3">
      <c r="A2466" s="4">
        <v>45280</v>
      </c>
      <c r="B2466" s="5">
        <f t="shared" si="841"/>
        <v>12</v>
      </c>
      <c r="C2466" s="5">
        <f t="shared" si="842"/>
        <v>2023</v>
      </c>
      <c r="D2466" s="88" t="s">
        <v>2277</v>
      </c>
      <c r="E2466" s="5" t="str">
        <f>VLOOKUP(F2466,'Set up'!$A$2:$C$48,2,FALSE)</f>
        <v>C00000037</v>
      </c>
      <c r="F2466" s="1" t="s">
        <v>1310</v>
      </c>
      <c r="G2466" s="99" t="s">
        <v>1400</v>
      </c>
      <c r="H2466" s="5">
        <v>6</v>
      </c>
      <c r="I2466" s="5">
        <f>VLOOKUP(F2466,'Set up'!$A$2:$C$48,3,FALSE)</f>
        <v>30</v>
      </c>
      <c r="J2466" s="5">
        <f>VLOOKUP(F2466,'Set up'!$A$2:$D$48,4,FALSE)</f>
        <v>30</v>
      </c>
      <c r="K2466" s="4">
        <f t="shared" si="837"/>
        <v>45310</v>
      </c>
      <c r="L2466" s="5">
        <f t="shared" si="838"/>
        <v>1</v>
      </c>
      <c r="M2466" s="5">
        <f t="shared" si="839"/>
        <v>2024</v>
      </c>
      <c r="N2466" s="96">
        <v>930</v>
      </c>
      <c r="P2466" s="6">
        <f t="shared" si="843"/>
        <v>930</v>
      </c>
      <c r="Q2466" s="7">
        <f t="shared" si="850"/>
        <v>4029266.6500000018</v>
      </c>
      <c r="R2466" s="44" t="str">
        <f>VLOOKUP(F2466,'Set up'!$A$2:$E$48,5,FALSE)</f>
        <v>Chq</v>
      </c>
    </row>
    <row r="2467" spans="1:19" ht="15" customHeight="1" x14ac:dyDescent="0.3">
      <c r="A2467" s="4">
        <v>45281</v>
      </c>
      <c r="B2467" s="5">
        <f t="shared" si="841"/>
        <v>12</v>
      </c>
      <c r="C2467" s="5">
        <f t="shared" si="842"/>
        <v>2023</v>
      </c>
      <c r="D2467" s="88" t="s">
        <v>2278</v>
      </c>
      <c r="E2467" s="5" t="str">
        <f>VLOOKUP(F2467,'Set up'!$A$2:$C$48,2,FALSE)</f>
        <v>C00000042</v>
      </c>
      <c r="F2467" s="1" t="s">
        <v>2014</v>
      </c>
      <c r="G2467" s="99" t="s">
        <v>1111</v>
      </c>
      <c r="H2467" s="5">
        <v>4</v>
      </c>
      <c r="I2467" s="5" t="str">
        <f>VLOOKUP(F2467,'Set up'!$A$2:$C$48,3,FALSE)</f>
        <v>Cash</v>
      </c>
      <c r="J2467" s="5">
        <f>VLOOKUP(F2467,'Set up'!$A$2:$D$48,4,FALSE)</f>
        <v>0</v>
      </c>
      <c r="K2467" s="4">
        <f t="shared" si="837"/>
        <v>45281</v>
      </c>
      <c r="L2467" s="5">
        <f t="shared" si="838"/>
        <v>12</v>
      </c>
      <c r="M2467" s="5">
        <f t="shared" si="839"/>
        <v>2023</v>
      </c>
      <c r="N2467" s="96">
        <v>250</v>
      </c>
      <c r="P2467" s="6">
        <f t="shared" si="843"/>
        <v>250</v>
      </c>
      <c r="Q2467" s="7">
        <f t="shared" si="850"/>
        <v>4029516.6500000018</v>
      </c>
      <c r="R2467" s="44" t="str">
        <f>VLOOKUP(F2467,'Set up'!$A$2:$E$50,5,FALSE)</f>
        <v>Trsf</v>
      </c>
    </row>
    <row r="2468" spans="1:19" ht="15" customHeight="1" x14ac:dyDescent="0.3">
      <c r="A2468" s="4">
        <v>45281</v>
      </c>
      <c r="B2468" s="5">
        <f t="shared" si="841"/>
        <v>12</v>
      </c>
      <c r="C2468" s="5">
        <f t="shared" si="842"/>
        <v>2023</v>
      </c>
      <c r="D2468" s="88" t="s">
        <v>2279</v>
      </c>
      <c r="E2468" s="5" t="str">
        <f>VLOOKUP(F2468,'Set up'!$A$2:$C$48,2,FALSE)</f>
        <v>C00000042</v>
      </c>
      <c r="F2468" s="1" t="s">
        <v>2014</v>
      </c>
      <c r="G2468" s="99" t="s">
        <v>1895</v>
      </c>
      <c r="H2468" s="5">
        <v>4</v>
      </c>
      <c r="I2468" s="5" t="str">
        <f>VLOOKUP(F2468,'Set up'!$A$2:$C$48,3,FALSE)</f>
        <v>Cash</v>
      </c>
      <c r="J2468" s="5">
        <f>VLOOKUP(F2468,'Set up'!$A$2:$D$48,4,FALSE)</f>
        <v>0</v>
      </c>
      <c r="K2468" s="4">
        <f t="shared" si="837"/>
        <v>45281</v>
      </c>
      <c r="L2468" s="5">
        <f t="shared" si="838"/>
        <v>12</v>
      </c>
      <c r="M2468" s="5">
        <f t="shared" si="839"/>
        <v>2023</v>
      </c>
      <c r="N2468" s="96">
        <v>6424</v>
      </c>
      <c r="P2468" s="6">
        <f t="shared" si="843"/>
        <v>6424</v>
      </c>
      <c r="Q2468" s="7">
        <f t="shared" si="850"/>
        <v>4035940.6500000018</v>
      </c>
      <c r="R2468" s="44" t="str">
        <f>VLOOKUP(F2468,'Set up'!$A$2:$E$50,5,FALSE)</f>
        <v>Trsf</v>
      </c>
    </row>
    <row r="2469" spans="1:19" ht="15" customHeight="1" x14ac:dyDescent="0.3">
      <c r="A2469" s="4">
        <v>45281</v>
      </c>
      <c r="B2469" s="5">
        <f t="shared" si="841"/>
        <v>12</v>
      </c>
      <c r="C2469" s="5">
        <f t="shared" si="842"/>
        <v>2023</v>
      </c>
      <c r="D2469" s="88" t="s">
        <v>2279</v>
      </c>
      <c r="E2469" s="5" t="str">
        <f>VLOOKUP(F2469,'Set up'!$A$2:$C$48,2,FALSE)</f>
        <v>C00000042</v>
      </c>
      <c r="F2469" s="1" t="s">
        <v>2014</v>
      </c>
      <c r="G2469" s="99" t="s">
        <v>2110</v>
      </c>
      <c r="H2469" s="5">
        <v>12</v>
      </c>
      <c r="I2469" s="5" t="str">
        <f>VLOOKUP(F2469,'Set up'!$A$2:$C$48,3,FALSE)</f>
        <v>Cash</v>
      </c>
      <c r="J2469" s="5">
        <f>VLOOKUP(F2469,'Set up'!$A$2:$D$48,4,FALSE)</f>
        <v>0</v>
      </c>
      <c r="K2469" s="4">
        <f t="shared" si="837"/>
        <v>45281</v>
      </c>
      <c r="L2469" s="5">
        <f t="shared" si="838"/>
        <v>12</v>
      </c>
      <c r="M2469" s="5">
        <f t="shared" si="839"/>
        <v>2023</v>
      </c>
      <c r="N2469" s="96">
        <v>2575.1999999999998</v>
      </c>
      <c r="P2469" s="6">
        <f t="shared" si="843"/>
        <v>2575.1999999999998</v>
      </c>
      <c r="Q2469" s="7">
        <f t="shared" si="850"/>
        <v>4038515.850000002</v>
      </c>
      <c r="R2469" s="44" t="str">
        <f>VLOOKUP(F2469,'Set up'!$A$2:$E$50,5,FALSE)</f>
        <v>Trsf</v>
      </c>
    </row>
    <row r="2470" spans="1:19" ht="15" customHeight="1" x14ac:dyDescent="0.3">
      <c r="A2470" s="4">
        <v>45281</v>
      </c>
      <c r="B2470" s="5">
        <f t="shared" si="841"/>
        <v>12</v>
      </c>
      <c r="C2470" s="5">
        <f t="shared" si="842"/>
        <v>2023</v>
      </c>
      <c r="D2470" s="88" t="s">
        <v>2279</v>
      </c>
      <c r="E2470" s="5" t="str">
        <f>VLOOKUP(F2470,'Set up'!$A$2:$C$48,2,FALSE)</f>
        <v>C00000042</v>
      </c>
      <c r="F2470" s="1" t="s">
        <v>2014</v>
      </c>
      <c r="G2470" s="99" t="s">
        <v>1923</v>
      </c>
      <c r="H2470" s="5">
        <v>6</v>
      </c>
      <c r="I2470" s="5" t="str">
        <f>VLOOKUP(F2470,'Set up'!$A$2:$C$48,3,FALSE)</f>
        <v>Cash</v>
      </c>
      <c r="J2470" s="5">
        <f>VLOOKUP(F2470,'Set up'!$A$2:$D$48,4,FALSE)</f>
        <v>0</v>
      </c>
      <c r="K2470" s="4">
        <f t="shared" si="837"/>
        <v>45281</v>
      </c>
      <c r="L2470" s="5">
        <f t="shared" si="838"/>
        <v>12</v>
      </c>
      <c r="M2470" s="5">
        <f t="shared" si="839"/>
        <v>2023</v>
      </c>
      <c r="N2470" s="96">
        <v>1404</v>
      </c>
      <c r="P2470" s="6">
        <f t="shared" si="843"/>
        <v>1404</v>
      </c>
      <c r="Q2470" s="7">
        <f t="shared" si="850"/>
        <v>4039919.850000002</v>
      </c>
      <c r="R2470" s="44" t="str">
        <f>VLOOKUP(F2470,'Set up'!$A$2:$E$50,5,FALSE)</f>
        <v>Trsf</v>
      </c>
    </row>
    <row r="2471" spans="1:19" ht="15" customHeight="1" x14ac:dyDescent="0.3">
      <c r="A2471" s="4">
        <v>45281</v>
      </c>
      <c r="B2471" s="5">
        <f t="shared" si="841"/>
        <v>12</v>
      </c>
      <c r="C2471" s="5">
        <f t="shared" si="842"/>
        <v>2023</v>
      </c>
      <c r="D2471" s="88" t="s">
        <v>2279</v>
      </c>
      <c r="E2471" s="5" t="str">
        <f>VLOOKUP(F2471,'Set up'!$A$2:$C$48,2,FALSE)</f>
        <v>C00000042</v>
      </c>
      <c r="F2471" s="1" t="s">
        <v>2014</v>
      </c>
      <c r="G2471" s="99" t="s">
        <v>1062</v>
      </c>
      <c r="H2471" s="5">
        <v>4</v>
      </c>
      <c r="I2471" s="5" t="str">
        <f>VLOOKUP(F2471,'Set up'!$A$2:$C$48,3,FALSE)</f>
        <v>Cash</v>
      </c>
      <c r="J2471" s="5">
        <f>VLOOKUP(F2471,'Set up'!$A$2:$D$48,4,FALSE)</f>
        <v>0</v>
      </c>
      <c r="K2471" s="4">
        <f t="shared" si="837"/>
        <v>45281</v>
      </c>
      <c r="L2471" s="5">
        <f t="shared" si="838"/>
        <v>12</v>
      </c>
      <c r="M2471" s="5">
        <f t="shared" si="839"/>
        <v>2023</v>
      </c>
      <c r="N2471" s="96">
        <v>380</v>
      </c>
      <c r="P2471" s="6">
        <f t="shared" si="843"/>
        <v>380</v>
      </c>
      <c r="Q2471" s="7">
        <f t="shared" si="850"/>
        <v>4040299.850000002</v>
      </c>
      <c r="R2471" s="44" t="str">
        <f>VLOOKUP(F2471,'Set up'!$A$2:$E$50,5,FALSE)</f>
        <v>Trsf</v>
      </c>
    </row>
    <row r="2472" spans="1:19" ht="15" customHeight="1" x14ac:dyDescent="0.3">
      <c r="A2472" s="4">
        <v>45281</v>
      </c>
      <c r="B2472" s="5">
        <f t="shared" si="841"/>
        <v>12</v>
      </c>
      <c r="C2472" s="5">
        <f t="shared" si="842"/>
        <v>2023</v>
      </c>
      <c r="D2472" s="88" t="s">
        <v>2279</v>
      </c>
      <c r="E2472" s="5" t="str">
        <f>VLOOKUP(F2472,'Set up'!$A$2:$C$48,2,FALSE)</f>
        <v>C00000042</v>
      </c>
      <c r="F2472" s="1" t="s">
        <v>2014</v>
      </c>
      <c r="G2472" s="99" t="s">
        <v>1074</v>
      </c>
      <c r="H2472" s="5">
        <v>1</v>
      </c>
      <c r="I2472" s="5" t="str">
        <f>VLOOKUP(F2472,'Set up'!$A$2:$C$48,3,FALSE)</f>
        <v>Cash</v>
      </c>
      <c r="J2472" s="5">
        <f>VLOOKUP(F2472,'Set up'!$A$2:$D$48,4,FALSE)</f>
        <v>0</v>
      </c>
      <c r="K2472" s="4">
        <f t="shared" si="837"/>
        <v>45281</v>
      </c>
      <c r="L2472" s="5">
        <f t="shared" si="838"/>
        <v>12</v>
      </c>
      <c r="M2472" s="5">
        <f t="shared" si="839"/>
        <v>2023</v>
      </c>
      <c r="N2472" s="96">
        <v>1000</v>
      </c>
      <c r="P2472" s="6">
        <f t="shared" si="843"/>
        <v>1000</v>
      </c>
      <c r="Q2472" s="7">
        <f t="shared" si="850"/>
        <v>4041299.850000002</v>
      </c>
      <c r="R2472" s="44" t="str">
        <f>VLOOKUP(F2472,'Set up'!$A$2:$E$50,5,FALSE)</f>
        <v>Trsf</v>
      </c>
    </row>
    <row r="2473" spans="1:19" ht="15" hidden="1" customHeight="1" x14ac:dyDescent="0.3">
      <c r="A2473" s="4">
        <v>45281</v>
      </c>
      <c r="B2473" s="5">
        <f t="shared" si="841"/>
        <v>12</v>
      </c>
      <c r="C2473" s="5">
        <f t="shared" si="842"/>
        <v>2023</v>
      </c>
      <c r="D2473" s="88" t="s">
        <v>2280</v>
      </c>
      <c r="E2473" s="5" t="str">
        <f>VLOOKUP(F2473,'Set up'!$A$2:$C$48,2,FALSE)</f>
        <v>C00000026</v>
      </c>
      <c r="F2473" s="1" t="s">
        <v>785</v>
      </c>
      <c r="G2473" s="99" t="s">
        <v>17</v>
      </c>
      <c r="H2473" s="5">
        <v>1</v>
      </c>
      <c r="I2473" s="5" t="str">
        <f>VLOOKUP(F2473,'Set up'!$A$2:$C$48,3,FALSE)</f>
        <v>Cash</v>
      </c>
      <c r="J2473" s="5">
        <f>VLOOKUP(F2473,'Set up'!$A$2:$D$48,4,FALSE)</f>
        <v>0</v>
      </c>
      <c r="K2473" s="4">
        <f t="shared" si="837"/>
        <v>45281</v>
      </c>
      <c r="L2473" s="5">
        <f t="shared" si="838"/>
        <v>12</v>
      </c>
      <c r="M2473" s="5">
        <f t="shared" si="839"/>
        <v>2023</v>
      </c>
      <c r="N2473" s="96">
        <v>110</v>
      </c>
      <c r="O2473" s="6">
        <f t="shared" ref="O2473:O2480" si="851">-N2473</f>
        <v>-110</v>
      </c>
      <c r="P2473" s="6">
        <f t="shared" si="843"/>
        <v>0</v>
      </c>
      <c r="Q2473" s="7">
        <f t="shared" si="850"/>
        <v>4041409.850000002</v>
      </c>
      <c r="R2473" s="44" t="str">
        <f>VLOOKUP(F2473,'Set up'!$A$2:$E$48,5,FALSE)</f>
        <v>Trsf</v>
      </c>
      <c r="S2473" s="1" t="s">
        <v>2334</v>
      </c>
    </row>
    <row r="2474" spans="1:19" ht="15" hidden="1" customHeight="1" x14ac:dyDescent="0.3">
      <c r="A2474" s="4">
        <v>45281</v>
      </c>
      <c r="B2474" s="5">
        <f t="shared" si="841"/>
        <v>12</v>
      </c>
      <c r="C2474" s="5">
        <f t="shared" si="842"/>
        <v>2023</v>
      </c>
      <c r="D2474" s="88" t="s">
        <v>2280</v>
      </c>
      <c r="E2474" s="5" t="str">
        <f>VLOOKUP(F2474,'Set up'!$A$2:$C$48,2,FALSE)</f>
        <v>C00000026</v>
      </c>
      <c r="F2474" s="1" t="s">
        <v>785</v>
      </c>
      <c r="G2474" s="99" t="s">
        <v>2203</v>
      </c>
      <c r="H2474" s="5">
        <v>1</v>
      </c>
      <c r="I2474" s="5" t="str">
        <f>VLOOKUP(F2474,'Set up'!$A$2:$C$48,3,FALSE)</f>
        <v>Cash</v>
      </c>
      <c r="J2474" s="5">
        <f>VLOOKUP(F2474,'Set up'!$A$2:$D$48,4,FALSE)</f>
        <v>0</v>
      </c>
      <c r="K2474" s="4">
        <f t="shared" si="837"/>
        <v>45281</v>
      </c>
      <c r="L2474" s="5">
        <f t="shared" si="838"/>
        <v>12</v>
      </c>
      <c r="M2474" s="5">
        <f t="shared" si="839"/>
        <v>2023</v>
      </c>
      <c r="N2474" s="96">
        <v>62.5</v>
      </c>
      <c r="O2474" s="6">
        <f t="shared" si="851"/>
        <v>-62.5</v>
      </c>
      <c r="P2474" s="6">
        <f t="shared" si="843"/>
        <v>0</v>
      </c>
      <c r="Q2474" s="7">
        <f t="shared" si="850"/>
        <v>4041472.350000002</v>
      </c>
      <c r="R2474" s="44" t="str">
        <f>VLOOKUP(F2474,'Set up'!$A$2:$E$48,5,FALSE)</f>
        <v>Trsf</v>
      </c>
      <c r="S2474" s="1" t="s">
        <v>2334</v>
      </c>
    </row>
    <row r="2475" spans="1:19" ht="15" hidden="1" customHeight="1" x14ac:dyDescent="0.3">
      <c r="A2475" s="4">
        <v>45281</v>
      </c>
      <c r="B2475" s="5">
        <f t="shared" si="841"/>
        <v>12</v>
      </c>
      <c r="C2475" s="5">
        <f t="shared" si="842"/>
        <v>2023</v>
      </c>
      <c r="D2475" s="88" t="s">
        <v>2280</v>
      </c>
      <c r="E2475" s="5" t="str">
        <f>VLOOKUP(F2475,'Set up'!$A$2:$C$48,2,FALSE)</f>
        <v>C00000026</v>
      </c>
      <c r="F2475" s="1" t="s">
        <v>785</v>
      </c>
      <c r="G2475" s="99" t="s">
        <v>2218</v>
      </c>
      <c r="H2475" s="5">
        <v>1</v>
      </c>
      <c r="I2475" s="5" t="str">
        <f>VLOOKUP(F2475,'Set up'!$A$2:$C$48,3,FALSE)</f>
        <v>Cash</v>
      </c>
      <c r="J2475" s="5">
        <f>VLOOKUP(F2475,'Set up'!$A$2:$D$48,4,FALSE)</f>
        <v>0</v>
      </c>
      <c r="K2475" s="4">
        <f t="shared" si="837"/>
        <v>45281</v>
      </c>
      <c r="L2475" s="5">
        <f t="shared" si="838"/>
        <v>12</v>
      </c>
      <c r="M2475" s="5">
        <f t="shared" si="839"/>
        <v>2023</v>
      </c>
      <c r="N2475" s="96">
        <v>283.8</v>
      </c>
      <c r="O2475" s="6">
        <f t="shared" si="851"/>
        <v>-283.8</v>
      </c>
      <c r="P2475" s="6">
        <f t="shared" si="843"/>
        <v>0</v>
      </c>
      <c r="Q2475" s="7">
        <f t="shared" si="850"/>
        <v>4041756.1500000018</v>
      </c>
      <c r="R2475" s="44" t="str">
        <f>VLOOKUP(F2475,'Set up'!$A$2:$E$48,5,FALSE)</f>
        <v>Trsf</v>
      </c>
      <c r="S2475" s="1" t="s">
        <v>2334</v>
      </c>
    </row>
    <row r="2476" spans="1:19" ht="15" hidden="1" customHeight="1" x14ac:dyDescent="0.3">
      <c r="A2476" s="4">
        <v>45281</v>
      </c>
      <c r="B2476" s="5">
        <f t="shared" si="841"/>
        <v>12</v>
      </c>
      <c r="C2476" s="5">
        <f t="shared" si="842"/>
        <v>2023</v>
      </c>
      <c r="D2476" s="88" t="s">
        <v>2280</v>
      </c>
      <c r="E2476" s="5" t="str">
        <f>VLOOKUP(F2476,'Set up'!$A$2:$C$48,2,FALSE)</f>
        <v>C00000026</v>
      </c>
      <c r="F2476" s="1" t="s">
        <v>785</v>
      </c>
      <c r="G2476" s="99" t="s">
        <v>2219</v>
      </c>
      <c r="H2476" s="5">
        <v>1</v>
      </c>
      <c r="I2476" s="5" t="str">
        <f>VLOOKUP(F2476,'Set up'!$A$2:$C$48,3,FALSE)</f>
        <v>Cash</v>
      </c>
      <c r="J2476" s="5">
        <f>VLOOKUP(F2476,'Set up'!$A$2:$D$48,4,FALSE)</f>
        <v>0</v>
      </c>
      <c r="K2476" s="4">
        <f t="shared" si="837"/>
        <v>45281</v>
      </c>
      <c r="L2476" s="5">
        <f t="shared" si="838"/>
        <v>12</v>
      </c>
      <c r="M2476" s="5">
        <f t="shared" si="839"/>
        <v>2023</v>
      </c>
      <c r="N2476" s="96">
        <v>315</v>
      </c>
      <c r="O2476" s="6">
        <f t="shared" si="851"/>
        <v>-315</v>
      </c>
      <c r="P2476" s="6">
        <f t="shared" si="843"/>
        <v>0</v>
      </c>
      <c r="Q2476" s="7">
        <f t="shared" si="850"/>
        <v>4042071.1500000018</v>
      </c>
      <c r="R2476" s="44" t="str">
        <f>VLOOKUP(F2476,'Set up'!$A$2:$E$48,5,FALSE)</f>
        <v>Trsf</v>
      </c>
      <c r="S2476" s="1" t="s">
        <v>2334</v>
      </c>
    </row>
    <row r="2477" spans="1:19" ht="15" hidden="1" customHeight="1" x14ac:dyDescent="0.3">
      <c r="A2477" s="4">
        <v>45281</v>
      </c>
      <c r="B2477" s="5">
        <f t="shared" si="841"/>
        <v>12</v>
      </c>
      <c r="C2477" s="5">
        <f t="shared" si="842"/>
        <v>2023</v>
      </c>
      <c r="D2477" s="88" t="s">
        <v>2281</v>
      </c>
      <c r="E2477" s="5" t="str">
        <f>VLOOKUP(F2477,'Set up'!$A$2:$C$48,2,FALSE)</f>
        <v>C00000043</v>
      </c>
      <c r="F2477" s="1" t="s">
        <v>2207</v>
      </c>
      <c r="G2477" s="99" t="s">
        <v>1739</v>
      </c>
      <c r="H2477" s="5">
        <v>2</v>
      </c>
      <c r="I2477" s="5" t="str">
        <f>VLOOKUP(F2477,'Set up'!$A$2:$C$48,3,FALSE)</f>
        <v>Cash</v>
      </c>
      <c r="J2477" s="5">
        <f>VLOOKUP(F2477,'Set up'!$A$2:$D$48,4,FALSE)</f>
        <v>0</v>
      </c>
      <c r="K2477" s="4">
        <f t="shared" si="837"/>
        <v>45281</v>
      </c>
      <c r="L2477" s="5">
        <f t="shared" si="838"/>
        <v>12</v>
      </c>
      <c r="M2477" s="5">
        <f t="shared" si="839"/>
        <v>2023</v>
      </c>
      <c r="N2477" s="96">
        <v>3476</v>
      </c>
      <c r="O2477" s="6">
        <f t="shared" si="851"/>
        <v>-3476</v>
      </c>
      <c r="P2477" s="6">
        <f t="shared" si="843"/>
        <v>0</v>
      </c>
      <c r="Q2477" s="7">
        <f t="shared" si="850"/>
        <v>4045547.1500000018</v>
      </c>
      <c r="R2477" s="44" t="str">
        <f>VLOOKUP(F2477,'Set up'!$A$2:$E$48,5,FALSE)</f>
        <v>Trsf</v>
      </c>
      <c r="S2477" s="1" t="s">
        <v>2329</v>
      </c>
    </row>
    <row r="2478" spans="1:19" ht="15" hidden="1" customHeight="1" x14ac:dyDescent="0.3">
      <c r="A2478" s="4">
        <v>45281</v>
      </c>
      <c r="B2478" s="5">
        <f t="shared" si="841"/>
        <v>12</v>
      </c>
      <c r="C2478" s="5">
        <f t="shared" si="842"/>
        <v>2023</v>
      </c>
      <c r="D2478" s="88" t="s">
        <v>2281</v>
      </c>
      <c r="E2478" s="5" t="str">
        <f>VLOOKUP(F2478,'Set up'!$A$2:$C$48,2,FALSE)</f>
        <v>C00000043</v>
      </c>
      <c r="F2478" s="1" t="s">
        <v>2207</v>
      </c>
      <c r="G2478" s="99" t="s">
        <v>1391</v>
      </c>
      <c r="H2478" s="5">
        <v>1</v>
      </c>
      <c r="I2478" s="5" t="str">
        <f>VLOOKUP(F2478,'Set up'!$A$2:$C$48,3,FALSE)</f>
        <v>Cash</v>
      </c>
      <c r="J2478" s="5">
        <f>VLOOKUP(F2478,'Set up'!$A$2:$D$48,4,FALSE)</f>
        <v>0</v>
      </c>
      <c r="K2478" s="4">
        <f t="shared" si="837"/>
        <v>45281</v>
      </c>
      <c r="L2478" s="5">
        <f t="shared" si="838"/>
        <v>12</v>
      </c>
      <c r="M2478" s="5">
        <f t="shared" si="839"/>
        <v>2023</v>
      </c>
      <c r="N2478" s="96">
        <v>432</v>
      </c>
      <c r="O2478" s="6">
        <f t="shared" si="851"/>
        <v>-432</v>
      </c>
      <c r="P2478" s="6">
        <f t="shared" si="843"/>
        <v>0</v>
      </c>
      <c r="Q2478" s="7">
        <f t="shared" si="850"/>
        <v>4045979.1500000018</v>
      </c>
      <c r="R2478" s="44" t="str">
        <f>VLOOKUP(F2478,'Set up'!$A$2:$E$48,5,FALSE)</f>
        <v>Trsf</v>
      </c>
      <c r="S2478" s="1" t="s">
        <v>2329</v>
      </c>
    </row>
    <row r="2479" spans="1:19" ht="15" hidden="1" customHeight="1" x14ac:dyDescent="0.3">
      <c r="A2479" s="4">
        <v>45281</v>
      </c>
      <c r="B2479" s="5">
        <f t="shared" si="841"/>
        <v>12</v>
      </c>
      <c r="C2479" s="5">
        <f t="shared" si="842"/>
        <v>2023</v>
      </c>
      <c r="D2479" s="88" t="s">
        <v>2281</v>
      </c>
      <c r="E2479" s="5" t="str">
        <f>VLOOKUP(F2479,'Set up'!$A$2:$C$48,2,FALSE)</f>
        <v>C00000043</v>
      </c>
      <c r="F2479" s="1" t="s">
        <v>2207</v>
      </c>
      <c r="G2479" s="99" t="s">
        <v>2204</v>
      </c>
      <c r="H2479" s="5">
        <v>10</v>
      </c>
      <c r="I2479" s="5" t="str">
        <f>VLOOKUP(F2479,'Set up'!$A$2:$C$48,3,FALSE)</f>
        <v>Cash</v>
      </c>
      <c r="J2479" s="5">
        <f>VLOOKUP(F2479,'Set up'!$A$2:$D$48,4,FALSE)</f>
        <v>0</v>
      </c>
      <c r="K2479" s="4">
        <f t="shared" si="837"/>
        <v>45281</v>
      </c>
      <c r="L2479" s="5">
        <f t="shared" si="838"/>
        <v>12</v>
      </c>
      <c r="M2479" s="5">
        <f t="shared" si="839"/>
        <v>2023</v>
      </c>
      <c r="N2479" s="96">
        <v>600</v>
      </c>
      <c r="O2479" s="6">
        <f t="shared" si="851"/>
        <v>-600</v>
      </c>
      <c r="P2479" s="6">
        <f t="shared" si="843"/>
        <v>0</v>
      </c>
      <c r="Q2479" s="7">
        <f t="shared" si="850"/>
        <v>4046579.1500000018</v>
      </c>
      <c r="R2479" s="44" t="str">
        <f>VLOOKUP(F2479,'Set up'!$A$2:$E$48,5,FALSE)</f>
        <v>Trsf</v>
      </c>
      <c r="S2479" s="1" t="s">
        <v>2329</v>
      </c>
    </row>
    <row r="2480" spans="1:19" ht="15" hidden="1" customHeight="1" x14ac:dyDescent="0.3">
      <c r="A2480" s="4">
        <v>45281</v>
      </c>
      <c r="B2480" s="5">
        <f t="shared" si="841"/>
        <v>12</v>
      </c>
      <c r="C2480" s="5">
        <f t="shared" si="842"/>
        <v>2023</v>
      </c>
      <c r="D2480" s="88" t="s">
        <v>2281</v>
      </c>
      <c r="E2480" s="5" t="str">
        <f>VLOOKUP(F2480,'Set up'!$A$2:$C$48,2,FALSE)</f>
        <v>C00000043</v>
      </c>
      <c r="F2480" s="1" t="s">
        <v>2207</v>
      </c>
      <c r="G2480" s="99" t="s">
        <v>46</v>
      </c>
      <c r="H2480" s="5">
        <v>2</v>
      </c>
      <c r="I2480" s="5" t="str">
        <f>VLOOKUP(F2480,'Set up'!$A$2:$C$48,3,FALSE)</f>
        <v>Cash</v>
      </c>
      <c r="J2480" s="5">
        <f>VLOOKUP(F2480,'Set up'!$A$2:$D$48,4,FALSE)</f>
        <v>0</v>
      </c>
      <c r="K2480" s="4">
        <f t="shared" si="837"/>
        <v>45281</v>
      </c>
      <c r="L2480" s="5">
        <f t="shared" si="838"/>
        <v>12</v>
      </c>
      <c r="M2480" s="5">
        <f t="shared" si="839"/>
        <v>2023</v>
      </c>
      <c r="N2480" s="96">
        <v>220</v>
      </c>
      <c r="O2480" s="6">
        <f t="shared" si="851"/>
        <v>-220</v>
      </c>
      <c r="P2480" s="6">
        <f t="shared" si="843"/>
        <v>0</v>
      </c>
      <c r="Q2480" s="7">
        <f t="shared" si="850"/>
        <v>4046799.1500000018</v>
      </c>
      <c r="R2480" s="44" t="str">
        <f>VLOOKUP(F2480,'Set up'!$A$2:$E$48,5,FALSE)</f>
        <v>Trsf</v>
      </c>
      <c r="S2480" s="1" t="s">
        <v>2329</v>
      </c>
    </row>
    <row r="2481" spans="1:19" ht="15" hidden="1" customHeight="1" x14ac:dyDescent="0.3">
      <c r="A2481" s="4">
        <v>45282</v>
      </c>
      <c r="B2481" s="5">
        <f t="shared" si="841"/>
        <v>12</v>
      </c>
      <c r="C2481" s="5">
        <f t="shared" si="842"/>
        <v>2023</v>
      </c>
      <c r="D2481" s="88" t="s">
        <v>2282</v>
      </c>
      <c r="E2481" s="5" t="str">
        <f>VLOOKUP(F2481,'Set up'!$A$2:$C$48,2,FALSE)</f>
        <v>C00000026</v>
      </c>
      <c r="F2481" s="1" t="s">
        <v>785</v>
      </c>
      <c r="G2481" s="99" t="s">
        <v>1400</v>
      </c>
      <c r="H2481" s="5">
        <v>1</v>
      </c>
      <c r="I2481" s="5" t="str">
        <f>VLOOKUP(F2481,'Set up'!$A$2:$C$48,3,FALSE)</f>
        <v>Cash</v>
      </c>
      <c r="J2481" s="5">
        <f>VLOOKUP(F2481,'Set up'!$A$2:$D$48,4,FALSE)</f>
        <v>0</v>
      </c>
      <c r="K2481" s="4">
        <f t="shared" si="837"/>
        <v>45282</v>
      </c>
      <c r="L2481" s="5">
        <f t="shared" si="838"/>
        <v>12</v>
      </c>
      <c r="M2481" s="5">
        <f t="shared" si="839"/>
        <v>2023</v>
      </c>
      <c r="N2481" s="96">
        <v>175</v>
      </c>
      <c r="O2481" s="6">
        <f t="shared" ref="O2481" si="852">-N2481</f>
        <v>-175</v>
      </c>
      <c r="P2481" s="6">
        <f t="shared" si="843"/>
        <v>0</v>
      </c>
      <c r="Q2481" s="7">
        <f t="shared" si="850"/>
        <v>4046974.1500000018</v>
      </c>
      <c r="R2481" s="44" t="str">
        <f>VLOOKUP(F2481,'Set up'!$A$2:$E$48,5,FALSE)</f>
        <v>Trsf</v>
      </c>
      <c r="S2481" s="1" t="s">
        <v>2335</v>
      </c>
    </row>
    <row r="2482" spans="1:19" ht="15" hidden="1" customHeight="1" x14ac:dyDescent="0.3">
      <c r="A2482" s="4">
        <v>45282</v>
      </c>
      <c r="B2482" s="5">
        <f t="shared" si="841"/>
        <v>12</v>
      </c>
      <c r="C2482" s="5">
        <f t="shared" si="842"/>
        <v>2023</v>
      </c>
      <c r="D2482" s="88" t="s">
        <v>2283</v>
      </c>
      <c r="E2482" s="5" t="str">
        <f>VLOOKUP(F2482,'Set up'!$A$2:$C$48,2,FALSE)</f>
        <v>C00000021</v>
      </c>
      <c r="F2482" s="1" t="s">
        <v>492</v>
      </c>
      <c r="G2482" s="99" t="s">
        <v>67</v>
      </c>
      <c r="H2482" s="5">
        <v>1</v>
      </c>
      <c r="I2482" s="5" t="str">
        <f>VLOOKUP(F2482,'Set up'!$A$2:$C$48,3,FALSE)</f>
        <v>Cash</v>
      </c>
      <c r="J2482" s="5">
        <f>VLOOKUP(F2482,'Set up'!$A$2:$D$48,4,FALSE)</f>
        <v>0</v>
      </c>
      <c r="K2482" s="4">
        <f t="shared" si="837"/>
        <v>45282</v>
      </c>
      <c r="L2482" s="5">
        <f t="shared" si="838"/>
        <v>12</v>
      </c>
      <c r="M2482" s="5">
        <f t="shared" si="839"/>
        <v>2023</v>
      </c>
      <c r="N2482" s="96">
        <v>1738</v>
      </c>
      <c r="P2482" s="6">
        <f t="shared" si="843"/>
        <v>1738</v>
      </c>
      <c r="Q2482" s="7">
        <f t="shared" si="850"/>
        <v>4048712.1500000018</v>
      </c>
      <c r="R2482" s="44" t="str">
        <f>VLOOKUP(F2482,'Set up'!$A$2:$E$48,5,FALSE)</f>
        <v>PD Chq</v>
      </c>
    </row>
    <row r="2483" spans="1:19" ht="15" hidden="1" customHeight="1" x14ac:dyDescent="0.3">
      <c r="A2483" s="4">
        <v>45282</v>
      </c>
      <c r="B2483" s="5">
        <f t="shared" si="841"/>
        <v>12</v>
      </c>
      <c r="C2483" s="5">
        <f t="shared" si="842"/>
        <v>2023</v>
      </c>
      <c r="D2483" s="88" t="s">
        <v>2283</v>
      </c>
      <c r="E2483" s="5" t="str">
        <f>VLOOKUP(F2483,'Set up'!$A$2:$C$48,2,FALSE)</f>
        <v>C00000021</v>
      </c>
      <c r="F2483" s="1" t="s">
        <v>492</v>
      </c>
      <c r="G2483" s="99" t="s">
        <v>1062</v>
      </c>
      <c r="H2483" s="5">
        <v>1</v>
      </c>
      <c r="I2483" s="5" t="str">
        <f>VLOOKUP(F2483,'Set up'!$A$2:$C$48,3,FALSE)</f>
        <v>Cash</v>
      </c>
      <c r="J2483" s="5">
        <f>VLOOKUP(F2483,'Set up'!$A$2:$D$48,4,FALSE)</f>
        <v>0</v>
      </c>
      <c r="K2483" s="4">
        <f t="shared" si="837"/>
        <v>45282</v>
      </c>
      <c r="L2483" s="5">
        <f t="shared" si="838"/>
        <v>12</v>
      </c>
      <c r="M2483" s="5">
        <f t="shared" si="839"/>
        <v>2023</v>
      </c>
      <c r="N2483" s="96">
        <v>95</v>
      </c>
      <c r="P2483" s="6">
        <f t="shared" si="843"/>
        <v>95</v>
      </c>
      <c r="Q2483" s="7">
        <f t="shared" si="850"/>
        <v>4048807.1500000018</v>
      </c>
      <c r="R2483" s="44" t="str">
        <f>VLOOKUP(F2483,'Set up'!$A$2:$E$48,5,FALSE)</f>
        <v>PD Chq</v>
      </c>
    </row>
    <row r="2484" spans="1:19" ht="15" hidden="1" customHeight="1" x14ac:dyDescent="0.3">
      <c r="A2484" s="4">
        <v>45282</v>
      </c>
      <c r="B2484" s="5">
        <f t="shared" si="841"/>
        <v>12</v>
      </c>
      <c r="C2484" s="5">
        <f t="shared" si="842"/>
        <v>2023</v>
      </c>
      <c r="D2484" s="88" t="s">
        <v>2283</v>
      </c>
      <c r="E2484" s="5" t="str">
        <f>VLOOKUP(F2484,'Set up'!$A$2:$C$48,2,FALSE)</f>
        <v>C00000021</v>
      </c>
      <c r="F2484" s="1" t="s">
        <v>492</v>
      </c>
      <c r="G2484" s="99" t="s">
        <v>2203</v>
      </c>
      <c r="H2484" s="5">
        <v>5</v>
      </c>
      <c r="I2484" s="5" t="str">
        <f>VLOOKUP(F2484,'Set up'!$A$2:$C$48,3,FALSE)</f>
        <v>Cash</v>
      </c>
      <c r="J2484" s="5">
        <f>VLOOKUP(F2484,'Set up'!$A$2:$D$48,4,FALSE)</f>
        <v>0</v>
      </c>
      <c r="K2484" s="4">
        <f t="shared" si="837"/>
        <v>45282</v>
      </c>
      <c r="L2484" s="5">
        <f t="shared" si="838"/>
        <v>12</v>
      </c>
      <c r="M2484" s="5">
        <f t="shared" si="839"/>
        <v>2023</v>
      </c>
      <c r="N2484" s="96">
        <v>312.5</v>
      </c>
      <c r="P2484" s="6">
        <f t="shared" si="843"/>
        <v>312.5</v>
      </c>
      <c r="Q2484" s="7">
        <f t="shared" si="850"/>
        <v>4049119.6500000018</v>
      </c>
      <c r="R2484" s="44" t="str">
        <f>VLOOKUP(F2484,'Set up'!$A$2:$E$48,5,FALSE)</f>
        <v>PD Chq</v>
      </c>
    </row>
    <row r="2485" spans="1:19" ht="15" customHeight="1" x14ac:dyDescent="0.3">
      <c r="A2485" s="4">
        <v>45287</v>
      </c>
      <c r="B2485" s="5">
        <f t="shared" si="841"/>
        <v>12</v>
      </c>
      <c r="C2485" s="5">
        <f t="shared" si="842"/>
        <v>2023</v>
      </c>
      <c r="D2485" s="88" t="s">
        <v>2284</v>
      </c>
      <c r="E2485" s="5" t="str">
        <f>VLOOKUP(F2485,'Set up'!$A$2:$C$48,2,FALSE)</f>
        <v>C00000042</v>
      </c>
      <c r="F2485" s="1" t="s">
        <v>2014</v>
      </c>
      <c r="G2485" s="99" t="s">
        <v>2203</v>
      </c>
      <c r="H2485" s="5">
        <v>5</v>
      </c>
      <c r="I2485" s="5" t="str">
        <f>VLOOKUP(F2485,'Set up'!$A$2:$C$48,3,FALSE)</f>
        <v>Cash</v>
      </c>
      <c r="J2485" s="5">
        <f>VLOOKUP(F2485,'Set up'!$A$2:$D$48,4,FALSE)</f>
        <v>0</v>
      </c>
      <c r="K2485" s="4">
        <f t="shared" si="837"/>
        <v>45287</v>
      </c>
      <c r="L2485" s="5">
        <f t="shared" si="838"/>
        <v>12</v>
      </c>
      <c r="M2485" s="5">
        <f t="shared" si="839"/>
        <v>2023</v>
      </c>
      <c r="N2485" s="96">
        <v>312.5</v>
      </c>
      <c r="P2485" s="6">
        <f t="shared" si="843"/>
        <v>312.5</v>
      </c>
      <c r="Q2485" s="7">
        <f t="shared" si="850"/>
        <v>4049432.1500000018</v>
      </c>
      <c r="R2485" s="44" t="str">
        <f>VLOOKUP(F2485,'Set up'!$A$2:$E$50,5,FALSE)</f>
        <v>Trsf</v>
      </c>
    </row>
    <row r="2486" spans="1:19" ht="15" customHeight="1" x14ac:dyDescent="0.3">
      <c r="A2486" s="4">
        <v>45287</v>
      </c>
      <c r="B2486" s="5">
        <f t="shared" si="841"/>
        <v>12</v>
      </c>
      <c r="C2486" s="5">
        <f t="shared" si="842"/>
        <v>2023</v>
      </c>
      <c r="D2486" s="88" t="s">
        <v>2285</v>
      </c>
      <c r="E2486" s="5" t="str">
        <f>VLOOKUP(F2486,'Set up'!$A$2:$C$48,2,FALSE)</f>
        <v>C00000042</v>
      </c>
      <c r="F2486" s="1" t="s">
        <v>2014</v>
      </c>
      <c r="G2486" s="99" t="s">
        <v>1734</v>
      </c>
      <c r="H2486" s="5">
        <v>5</v>
      </c>
      <c r="I2486" s="5" t="str">
        <f>VLOOKUP(F2486,'Set up'!$A$2:$C$48,3,FALSE)</f>
        <v>Cash</v>
      </c>
      <c r="J2486" s="5">
        <f>VLOOKUP(F2486,'Set up'!$A$2:$D$48,4,FALSE)</f>
        <v>0</v>
      </c>
      <c r="K2486" s="4">
        <f t="shared" si="837"/>
        <v>45287</v>
      </c>
      <c r="L2486" s="5">
        <f t="shared" si="838"/>
        <v>12</v>
      </c>
      <c r="M2486" s="5">
        <f t="shared" si="839"/>
        <v>2023</v>
      </c>
      <c r="N2486" s="96">
        <v>8030</v>
      </c>
      <c r="P2486" s="6">
        <f t="shared" si="843"/>
        <v>8030</v>
      </c>
      <c r="Q2486" s="7">
        <f t="shared" si="850"/>
        <v>4057462.1500000018</v>
      </c>
      <c r="R2486" s="44" t="str">
        <f>VLOOKUP(F2486,'Set up'!$A$2:$E$50,5,FALSE)</f>
        <v>Trsf</v>
      </c>
    </row>
    <row r="2487" spans="1:19" ht="15" customHeight="1" x14ac:dyDescent="0.3">
      <c r="A2487" s="4">
        <v>45287</v>
      </c>
      <c r="B2487" s="5">
        <f t="shared" si="841"/>
        <v>12</v>
      </c>
      <c r="C2487" s="5">
        <f t="shared" si="842"/>
        <v>2023</v>
      </c>
      <c r="D2487" s="88" t="s">
        <v>2285</v>
      </c>
      <c r="E2487" s="5" t="str">
        <f>VLOOKUP(F2487,'Set up'!$A$2:$C$48,2,FALSE)</f>
        <v>C00000042</v>
      </c>
      <c r="F2487" s="1" t="s">
        <v>2014</v>
      </c>
      <c r="G2487" s="99" t="s">
        <v>1797</v>
      </c>
      <c r="H2487" s="5">
        <v>11</v>
      </c>
      <c r="I2487" s="5" t="str">
        <f>VLOOKUP(F2487,'Set up'!$A$2:$C$48,3,FALSE)</f>
        <v>Cash</v>
      </c>
      <c r="J2487" s="5">
        <f>VLOOKUP(F2487,'Set up'!$A$2:$D$48,4,FALSE)</f>
        <v>0</v>
      </c>
      <c r="K2487" s="4">
        <f t="shared" si="837"/>
        <v>45287</v>
      </c>
      <c r="L2487" s="5">
        <f t="shared" si="838"/>
        <v>12</v>
      </c>
      <c r="M2487" s="5">
        <f t="shared" si="839"/>
        <v>2023</v>
      </c>
      <c r="N2487" s="96">
        <v>1914</v>
      </c>
      <c r="P2487" s="6">
        <f t="shared" si="843"/>
        <v>1914</v>
      </c>
      <c r="Q2487" s="7">
        <f t="shared" si="850"/>
        <v>4059376.1500000018</v>
      </c>
      <c r="R2487" s="44" t="str">
        <f>VLOOKUP(F2487,'Set up'!$A$2:$E$50,5,FALSE)</f>
        <v>Trsf</v>
      </c>
    </row>
    <row r="2488" spans="1:19" ht="15" customHeight="1" x14ac:dyDescent="0.3">
      <c r="A2488" s="4">
        <v>45287</v>
      </c>
      <c r="B2488" s="5">
        <f t="shared" si="841"/>
        <v>12</v>
      </c>
      <c r="C2488" s="5">
        <f t="shared" si="842"/>
        <v>2023</v>
      </c>
      <c r="D2488" s="88" t="s">
        <v>2285</v>
      </c>
      <c r="E2488" s="5" t="str">
        <f>VLOOKUP(F2488,'Set up'!$A$2:$C$48,2,FALSE)</f>
        <v>C00000042</v>
      </c>
      <c r="F2488" s="1" t="s">
        <v>2014</v>
      </c>
      <c r="G2488" s="99" t="s">
        <v>1923</v>
      </c>
      <c r="H2488" s="5">
        <v>6</v>
      </c>
      <c r="I2488" s="5" t="str">
        <f>VLOOKUP(F2488,'Set up'!$A$2:$C$48,3,FALSE)</f>
        <v>Cash</v>
      </c>
      <c r="J2488" s="5">
        <f>VLOOKUP(F2488,'Set up'!$A$2:$D$48,4,FALSE)</f>
        <v>0</v>
      </c>
      <c r="K2488" s="4">
        <f t="shared" si="837"/>
        <v>45287</v>
      </c>
      <c r="L2488" s="5">
        <f t="shared" si="838"/>
        <v>12</v>
      </c>
      <c r="M2488" s="5">
        <f t="shared" si="839"/>
        <v>2023</v>
      </c>
      <c r="N2488" s="96">
        <v>1404</v>
      </c>
      <c r="P2488" s="6">
        <f t="shared" si="843"/>
        <v>1404</v>
      </c>
      <c r="Q2488" s="7">
        <f t="shared" si="850"/>
        <v>4060780.1500000018</v>
      </c>
      <c r="R2488" s="44" t="str">
        <f>VLOOKUP(F2488,'Set up'!$A$2:$E$50,5,FALSE)</f>
        <v>Trsf</v>
      </c>
    </row>
    <row r="2489" spans="1:19" ht="15" customHeight="1" x14ac:dyDescent="0.3">
      <c r="A2489" s="4">
        <v>45287</v>
      </c>
      <c r="B2489" s="5">
        <f t="shared" si="841"/>
        <v>12</v>
      </c>
      <c r="C2489" s="5">
        <f t="shared" si="842"/>
        <v>2023</v>
      </c>
      <c r="D2489" s="88" t="s">
        <v>2285</v>
      </c>
      <c r="E2489" s="5" t="str">
        <f>VLOOKUP(F2489,'Set up'!$A$2:$C$48,2,FALSE)</f>
        <v>C00000042</v>
      </c>
      <c r="F2489" s="1" t="s">
        <v>2014</v>
      </c>
      <c r="G2489" s="99" t="s">
        <v>1074</v>
      </c>
      <c r="H2489" s="5">
        <v>1</v>
      </c>
      <c r="I2489" s="5" t="str">
        <f>VLOOKUP(F2489,'Set up'!$A$2:$C$48,3,FALSE)</f>
        <v>Cash</v>
      </c>
      <c r="J2489" s="5">
        <f>VLOOKUP(F2489,'Set up'!$A$2:$D$48,4,FALSE)</f>
        <v>0</v>
      </c>
      <c r="K2489" s="4">
        <f t="shared" si="837"/>
        <v>45287</v>
      </c>
      <c r="L2489" s="5">
        <f t="shared" si="838"/>
        <v>12</v>
      </c>
      <c r="M2489" s="5">
        <f t="shared" si="839"/>
        <v>2023</v>
      </c>
      <c r="N2489" s="96">
        <v>1000</v>
      </c>
      <c r="P2489" s="6">
        <f t="shared" si="843"/>
        <v>1000</v>
      </c>
      <c r="Q2489" s="7">
        <f t="shared" si="850"/>
        <v>4061780.1500000018</v>
      </c>
      <c r="R2489" s="44" t="str">
        <f>VLOOKUP(F2489,'Set up'!$A$2:$E$50,5,FALSE)</f>
        <v>Trsf</v>
      </c>
    </row>
    <row r="2490" spans="1:19" ht="15" customHeight="1" x14ac:dyDescent="0.3">
      <c r="A2490" s="4">
        <v>45290</v>
      </c>
      <c r="B2490" s="5">
        <f t="shared" si="841"/>
        <v>12</v>
      </c>
      <c r="C2490" s="5">
        <f t="shared" si="842"/>
        <v>2023</v>
      </c>
      <c r="D2490" s="88" t="s">
        <v>2286</v>
      </c>
      <c r="E2490" s="5" t="str">
        <f>VLOOKUP(F2490,'Set up'!$A$2:$C$48,2,FALSE)</f>
        <v>C00000042</v>
      </c>
      <c r="F2490" s="1" t="s">
        <v>2014</v>
      </c>
      <c r="G2490" s="99" t="s">
        <v>2203</v>
      </c>
      <c r="H2490" s="5">
        <v>10</v>
      </c>
      <c r="I2490" s="5" t="str">
        <f>VLOOKUP(F2490,'Set up'!$A$2:$C$48,3,FALSE)</f>
        <v>Cash</v>
      </c>
      <c r="J2490" s="5">
        <f>VLOOKUP(F2490,'Set up'!$A$2:$D$48,4,FALSE)</f>
        <v>0</v>
      </c>
      <c r="K2490" s="4">
        <f t="shared" si="837"/>
        <v>45290</v>
      </c>
      <c r="L2490" s="5">
        <f t="shared" si="838"/>
        <v>12</v>
      </c>
      <c r="M2490" s="5">
        <f t="shared" si="839"/>
        <v>2023</v>
      </c>
      <c r="N2490" s="96">
        <v>625</v>
      </c>
      <c r="P2490" s="6">
        <f t="shared" si="843"/>
        <v>625</v>
      </c>
      <c r="Q2490" s="7">
        <f t="shared" si="850"/>
        <v>4062405.1500000018</v>
      </c>
      <c r="R2490" s="44" t="str">
        <f>VLOOKUP(F2490,'Set up'!$A$2:$E$50,5,FALSE)</f>
        <v>Trsf</v>
      </c>
    </row>
    <row r="2491" spans="1:19" ht="15" customHeight="1" x14ac:dyDescent="0.3">
      <c r="A2491" s="4">
        <v>45290</v>
      </c>
      <c r="B2491" s="5">
        <f t="shared" si="841"/>
        <v>12</v>
      </c>
      <c r="C2491" s="5">
        <f t="shared" si="842"/>
        <v>2023</v>
      </c>
      <c r="D2491" s="88" t="s">
        <v>2287</v>
      </c>
      <c r="E2491" s="5" t="str">
        <f>VLOOKUP(F2491,'Set up'!$A$2:$C$48,2,FALSE)</f>
        <v>C00000042</v>
      </c>
      <c r="F2491" s="1" t="s">
        <v>2014</v>
      </c>
      <c r="G2491" s="99" t="s">
        <v>1895</v>
      </c>
      <c r="H2491" s="5">
        <v>5</v>
      </c>
      <c r="I2491" s="5" t="str">
        <f>VLOOKUP(F2491,'Set up'!$A$2:$C$48,3,FALSE)</f>
        <v>Cash</v>
      </c>
      <c r="J2491" s="5">
        <f>VLOOKUP(F2491,'Set up'!$A$2:$D$48,4,FALSE)</f>
        <v>0</v>
      </c>
      <c r="K2491" s="4">
        <f t="shared" si="837"/>
        <v>45290</v>
      </c>
      <c r="L2491" s="5">
        <f t="shared" si="838"/>
        <v>12</v>
      </c>
      <c r="M2491" s="5">
        <f t="shared" si="839"/>
        <v>2023</v>
      </c>
      <c r="N2491" s="96">
        <v>8030</v>
      </c>
      <c r="P2491" s="6">
        <f t="shared" si="843"/>
        <v>8030</v>
      </c>
      <c r="Q2491" s="7">
        <f t="shared" si="850"/>
        <v>4070435.1500000018</v>
      </c>
      <c r="R2491" s="44" t="str">
        <f>VLOOKUP(F2491,'Set up'!$A$2:$E$50,5,FALSE)</f>
        <v>Trsf</v>
      </c>
    </row>
    <row r="2492" spans="1:19" ht="15" customHeight="1" x14ac:dyDescent="0.3">
      <c r="A2492" s="4">
        <v>45290</v>
      </c>
      <c r="B2492" s="5">
        <f t="shared" si="841"/>
        <v>12</v>
      </c>
      <c r="C2492" s="5">
        <f t="shared" si="842"/>
        <v>2023</v>
      </c>
      <c r="D2492" s="88" t="s">
        <v>2287</v>
      </c>
      <c r="E2492" s="5" t="str">
        <f>VLOOKUP(F2492,'Set up'!$A$2:$C$48,2,FALSE)</f>
        <v>C00000042</v>
      </c>
      <c r="F2492" s="1" t="s">
        <v>2014</v>
      </c>
      <c r="G2492" s="99" t="s">
        <v>1797</v>
      </c>
      <c r="H2492" s="5">
        <v>15</v>
      </c>
      <c r="I2492" s="5" t="str">
        <f>VLOOKUP(F2492,'Set up'!$A$2:$C$48,3,FALSE)</f>
        <v>Cash</v>
      </c>
      <c r="J2492" s="5">
        <f>VLOOKUP(F2492,'Set up'!$A$2:$D$48,4,FALSE)</f>
        <v>0</v>
      </c>
      <c r="K2492" s="4">
        <f t="shared" si="837"/>
        <v>45290</v>
      </c>
      <c r="L2492" s="5">
        <f t="shared" si="838"/>
        <v>12</v>
      </c>
      <c r="M2492" s="5">
        <f t="shared" si="839"/>
        <v>2023</v>
      </c>
      <c r="N2492" s="96">
        <v>2610</v>
      </c>
      <c r="P2492" s="6">
        <f t="shared" si="843"/>
        <v>2610</v>
      </c>
      <c r="Q2492" s="7">
        <f t="shared" si="850"/>
        <v>4073045.1500000018</v>
      </c>
      <c r="R2492" s="44" t="str">
        <f>VLOOKUP(F2492,'Set up'!$A$2:$E$50,5,FALSE)</f>
        <v>Trsf</v>
      </c>
    </row>
    <row r="2493" spans="1:19" ht="15" customHeight="1" x14ac:dyDescent="0.3">
      <c r="A2493" s="4">
        <v>45290</v>
      </c>
      <c r="B2493" s="5">
        <f t="shared" si="841"/>
        <v>12</v>
      </c>
      <c r="C2493" s="5">
        <f t="shared" si="842"/>
        <v>2023</v>
      </c>
      <c r="D2493" s="88" t="s">
        <v>2287</v>
      </c>
      <c r="E2493" s="5" t="str">
        <f>VLOOKUP(F2493,'Set up'!$A$2:$C$48,2,FALSE)</f>
        <v>C00000042</v>
      </c>
      <c r="F2493" s="1" t="s">
        <v>2014</v>
      </c>
      <c r="G2493" s="99" t="s">
        <v>1923</v>
      </c>
      <c r="H2493" s="5">
        <v>9</v>
      </c>
      <c r="I2493" s="5" t="str">
        <f>VLOOKUP(F2493,'Set up'!$A$2:$C$48,3,FALSE)</f>
        <v>Cash</v>
      </c>
      <c r="J2493" s="5">
        <f>VLOOKUP(F2493,'Set up'!$A$2:$D$48,4,FALSE)</f>
        <v>0</v>
      </c>
      <c r="K2493" s="4">
        <f t="shared" si="837"/>
        <v>45290</v>
      </c>
      <c r="L2493" s="5">
        <f t="shared" si="838"/>
        <v>12</v>
      </c>
      <c r="M2493" s="5">
        <f t="shared" si="839"/>
        <v>2023</v>
      </c>
      <c r="N2493" s="96">
        <v>2106</v>
      </c>
      <c r="P2493" s="6">
        <f t="shared" si="843"/>
        <v>2106</v>
      </c>
      <c r="Q2493" s="7">
        <f t="shared" si="850"/>
        <v>4075151.1500000018</v>
      </c>
      <c r="R2493" s="44" t="str">
        <f>VLOOKUP(F2493,'Set up'!$A$2:$E$50,5,FALSE)</f>
        <v>Trsf</v>
      </c>
    </row>
    <row r="2494" spans="1:19" ht="15" customHeight="1" x14ac:dyDescent="0.3">
      <c r="A2494" s="4">
        <v>45290</v>
      </c>
      <c r="B2494" s="5">
        <f t="shared" ref="B2494:B2504" si="853">MONTH(A2494)</f>
        <v>12</v>
      </c>
      <c r="C2494" s="5">
        <f t="shared" ref="C2494:C2504" si="854">YEAR(A2494)</f>
        <v>2023</v>
      </c>
      <c r="D2494" s="88" t="s">
        <v>2287</v>
      </c>
      <c r="E2494" s="5" t="str">
        <f>VLOOKUP(F2494,'Set up'!$A$2:$C$48,2,FALSE)</f>
        <v>C00000042</v>
      </c>
      <c r="F2494" s="1" t="s">
        <v>2014</v>
      </c>
      <c r="G2494" s="99" t="s">
        <v>1014</v>
      </c>
      <c r="H2494" s="5">
        <v>1</v>
      </c>
      <c r="I2494" s="5" t="str">
        <f>VLOOKUP(F2494,'Set up'!$A$2:$C$48,3,FALSE)</f>
        <v>Cash</v>
      </c>
      <c r="J2494" s="5">
        <f>VLOOKUP(F2494,'Set up'!$A$2:$D$48,4,FALSE)</f>
        <v>0</v>
      </c>
      <c r="K2494" s="4">
        <f t="shared" ref="K2494:K2504" si="855">A2494+J2494</f>
        <v>45290</v>
      </c>
      <c r="L2494" s="5">
        <f t="shared" ref="L2494:L2504" si="856">MONTH(K2494)</f>
        <v>12</v>
      </c>
      <c r="M2494" s="5">
        <f t="shared" ref="M2494:M2504" si="857">YEAR(K2494)</f>
        <v>2023</v>
      </c>
      <c r="N2494" s="96">
        <v>208</v>
      </c>
      <c r="P2494" s="6">
        <f t="shared" si="843"/>
        <v>208</v>
      </c>
      <c r="Q2494" s="7">
        <f t="shared" si="850"/>
        <v>4075359.1500000018</v>
      </c>
      <c r="R2494" s="44" t="str">
        <f>VLOOKUP(F2494,'Set up'!$A$2:$E$50,5,FALSE)</f>
        <v>Trsf</v>
      </c>
    </row>
    <row r="2495" spans="1:19" ht="15" customHeight="1" x14ac:dyDescent="0.3">
      <c r="A2495" s="4">
        <v>45290</v>
      </c>
      <c r="B2495" s="5">
        <f t="shared" si="853"/>
        <v>12</v>
      </c>
      <c r="C2495" s="5">
        <f t="shared" si="854"/>
        <v>2023</v>
      </c>
      <c r="D2495" s="88" t="s">
        <v>2287</v>
      </c>
      <c r="E2495" s="5" t="str">
        <f>VLOOKUP(F2495,'Set up'!$A$2:$C$48,2,FALSE)</f>
        <v>C00000042</v>
      </c>
      <c r="F2495" s="1" t="s">
        <v>2014</v>
      </c>
      <c r="G2495" s="99" t="s">
        <v>1062</v>
      </c>
      <c r="H2495" s="5">
        <v>4</v>
      </c>
      <c r="I2495" s="5" t="str">
        <f>VLOOKUP(F2495,'Set up'!$A$2:$C$48,3,FALSE)</f>
        <v>Cash</v>
      </c>
      <c r="J2495" s="5">
        <f>VLOOKUP(F2495,'Set up'!$A$2:$D$48,4,FALSE)</f>
        <v>0</v>
      </c>
      <c r="K2495" s="4">
        <f t="shared" si="855"/>
        <v>45290</v>
      </c>
      <c r="L2495" s="5">
        <f t="shared" si="856"/>
        <v>12</v>
      </c>
      <c r="M2495" s="5">
        <f t="shared" si="857"/>
        <v>2023</v>
      </c>
      <c r="N2495" s="96">
        <v>380</v>
      </c>
      <c r="P2495" s="6">
        <f t="shared" si="843"/>
        <v>380</v>
      </c>
      <c r="Q2495" s="7">
        <f t="shared" si="850"/>
        <v>4075739.1500000018</v>
      </c>
      <c r="R2495" s="44" t="str">
        <f>VLOOKUP(F2495,'Set up'!$A$2:$E$50,5,FALSE)</f>
        <v>Trsf</v>
      </c>
    </row>
    <row r="2496" spans="1:19" ht="15" customHeight="1" x14ac:dyDescent="0.3">
      <c r="A2496" s="4">
        <v>45290</v>
      </c>
      <c r="B2496" s="5">
        <f t="shared" si="853"/>
        <v>12</v>
      </c>
      <c r="C2496" s="5">
        <f t="shared" si="854"/>
        <v>2023</v>
      </c>
      <c r="D2496" s="88" t="s">
        <v>2287</v>
      </c>
      <c r="E2496" s="5" t="str">
        <f>VLOOKUP(F2496,'Set up'!$A$2:$C$48,2,FALSE)</f>
        <v>C00000042</v>
      </c>
      <c r="F2496" s="1" t="s">
        <v>2014</v>
      </c>
      <c r="G2496" s="99" t="s">
        <v>1074</v>
      </c>
      <c r="H2496" s="5">
        <v>1</v>
      </c>
      <c r="I2496" s="5" t="str">
        <f>VLOOKUP(F2496,'Set up'!$A$2:$C$48,3,FALSE)</f>
        <v>Cash</v>
      </c>
      <c r="J2496" s="5">
        <f>VLOOKUP(F2496,'Set up'!$A$2:$D$48,4,FALSE)</f>
        <v>0</v>
      </c>
      <c r="K2496" s="4">
        <f t="shared" si="855"/>
        <v>45290</v>
      </c>
      <c r="L2496" s="5">
        <f t="shared" si="856"/>
        <v>12</v>
      </c>
      <c r="M2496" s="5">
        <f t="shared" si="857"/>
        <v>2023</v>
      </c>
      <c r="N2496" s="96">
        <v>1000</v>
      </c>
      <c r="P2496" s="6">
        <f t="shared" si="843"/>
        <v>1000</v>
      </c>
      <c r="Q2496" s="7">
        <f t="shared" si="850"/>
        <v>4076739.1500000018</v>
      </c>
      <c r="R2496" s="44" t="str">
        <f>VLOOKUP(F2496,'Set up'!$A$2:$E$50,5,FALSE)</f>
        <v>Trsf</v>
      </c>
    </row>
    <row r="2497" spans="1:18" ht="15" hidden="1" customHeight="1" x14ac:dyDescent="0.3">
      <c r="A2497" s="4">
        <v>45290</v>
      </c>
      <c r="B2497" s="5">
        <f t="shared" si="853"/>
        <v>12</v>
      </c>
      <c r="C2497" s="5">
        <f t="shared" si="854"/>
        <v>2023</v>
      </c>
      <c r="D2497" s="88" t="s">
        <v>2288</v>
      </c>
      <c r="E2497" s="5" t="str">
        <f>VLOOKUP(F2497,'Set up'!$A$2:$C$48,2,FALSE)</f>
        <v>C00000021</v>
      </c>
      <c r="F2497" s="1" t="s">
        <v>492</v>
      </c>
      <c r="G2497" s="99" t="s">
        <v>67</v>
      </c>
      <c r="H2497" s="5">
        <v>1</v>
      </c>
      <c r="I2497" s="5" t="str">
        <f>VLOOKUP(F2497,'Set up'!$A$2:$C$48,3,FALSE)</f>
        <v>Cash</v>
      </c>
      <c r="J2497" s="5">
        <f>VLOOKUP(F2497,'Set up'!$A$2:$D$48,4,FALSE)</f>
        <v>0</v>
      </c>
      <c r="K2497" s="4">
        <f t="shared" si="855"/>
        <v>45290</v>
      </c>
      <c r="L2497" s="5">
        <f t="shared" si="856"/>
        <v>12</v>
      </c>
      <c r="M2497" s="5">
        <f t="shared" si="857"/>
        <v>2023</v>
      </c>
      <c r="N2497" s="96">
        <v>1738</v>
      </c>
      <c r="P2497" s="6">
        <f t="shared" si="843"/>
        <v>1738</v>
      </c>
      <c r="Q2497" s="7">
        <f t="shared" si="850"/>
        <v>4078477.1500000018</v>
      </c>
      <c r="R2497" s="44" t="str">
        <f>VLOOKUP(F2497,'Set up'!$A$2:$E$48,5,FALSE)</f>
        <v>PD Chq</v>
      </c>
    </row>
    <row r="2498" spans="1:18" ht="15" hidden="1" customHeight="1" x14ac:dyDescent="0.3">
      <c r="A2498" s="4">
        <v>45290</v>
      </c>
      <c r="B2498" s="5">
        <f t="shared" si="853"/>
        <v>12</v>
      </c>
      <c r="C2498" s="5">
        <f t="shared" si="854"/>
        <v>2023</v>
      </c>
      <c r="D2498" s="88" t="s">
        <v>2288</v>
      </c>
      <c r="E2498" s="5" t="str">
        <f>VLOOKUP(F2498,'Set up'!$A$2:$C$48,2,FALSE)</f>
        <v>C00000021</v>
      </c>
      <c r="F2498" s="1" t="s">
        <v>492</v>
      </c>
      <c r="G2498" s="99" t="s">
        <v>2202</v>
      </c>
      <c r="H2498" s="5">
        <v>1</v>
      </c>
      <c r="I2498" s="5" t="str">
        <f>VLOOKUP(F2498,'Set up'!$A$2:$C$48,3,FALSE)</f>
        <v>Cash</v>
      </c>
      <c r="J2498" s="5">
        <f>VLOOKUP(F2498,'Set up'!$A$2:$D$48,4,FALSE)</f>
        <v>0</v>
      </c>
      <c r="K2498" s="4">
        <f t="shared" si="855"/>
        <v>45290</v>
      </c>
      <c r="L2498" s="5">
        <f t="shared" si="856"/>
        <v>12</v>
      </c>
      <c r="M2498" s="5">
        <f t="shared" si="857"/>
        <v>2023</v>
      </c>
      <c r="N2498" s="96">
        <v>277.5</v>
      </c>
      <c r="P2498" s="6">
        <f t="shared" si="843"/>
        <v>277.5</v>
      </c>
      <c r="Q2498" s="7">
        <f t="shared" si="850"/>
        <v>4078754.6500000018</v>
      </c>
      <c r="R2498" s="44" t="str">
        <f>VLOOKUP(F2498,'Set up'!$A$2:$E$48,5,FALSE)</f>
        <v>PD Chq</v>
      </c>
    </row>
    <row r="2499" spans="1:18" ht="15" hidden="1" customHeight="1" x14ac:dyDescent="0.3">
      <c r="A2499" s="4">
        <v>45290</v>
      </c>
      <c r="B2499" s="5">
        <f t="shared" si="853"/>
        <v>12</v>
      </c>
      <c r="C2499" s="5">
        <f t="shared" si="854"/>
        <v>2023</v>
      </c>
      <c r="D2499" s="88" t="s">
        <v>2288</v>
      </c>
      <c r="E2499" s="5" t="str">
        <f>VLOOKUP(F2499,'Set up'!$A$2:$C$48,2,FALSE)</f>
        <v>C00000021</v>
      </c>
      <c r="F2499" s="1" t="s">
        <v>492</v>
      </c>
      <c r="G2499" s="99" t="s">
        <v>1062</v>
      </c>
      <c r="H2499" s="5">
        <v>1</v>
      </c>
      <c r="I2499" s="5" t="str">
        <f>VLOOKUP(F2499,'Set up'!$A$2:$C$48,3,FALSE)</f>
        <v>Cash</v>
      </c>
      <c r="J2499" s="5">
        <f>VLOOKUP(F2499,'Set up'!$A$2:$D$48,4,FALSE)</f>
        <v>0</v>
      </c>
      <c r="K2499" s="4">
        <f t="shared" si="855"/>
        <v>45290</v>
      </c>
      <c r="L2499" s="5">
        <f t="shared" si="856"/>
        <v>12</v>
      </c>
      <c r="M2499" s="5">
        <f t="shared" si="857"/>
        <v>2023</v>
      </c>
      <c r="N2499" s="96">
        <v>95</v>
      </c>
      <c r="P2499" s="6">
        <f t="shared" si="843"/>
        <v>95</v>
      </c>
      <c r="Q2499" s="7">
        <f t="shared" si="850"/>
        <v>4078849.6500000018</v>
      </c>
      <c r="R2499" s="44" t="str">
        <f>VLOOKUP(F2499,'Set up'!$A$2:$E$48,5,FALSE)</f>
        <v>PD Chq</v>
      </c>
    </row>
    <row r="2500" spans="1:18" ht="15" hidden="1" customHeight="1" x14ac:dyDescent="0.3">
      <c r="A2500" s="4">
        <v>45290</v>
      </c>
      <c r="B2500" s="5">
        <f t="shared" si="853"/>
        <v>12</v>
      </c>
      <c r="C2500" s="5">
        <f t="shared" si="854"/>
        <v>2023</v>
      </c>
      <c r="D2500" s="88" t="s">
        <v>2288</v>
      </c>
      <c r="E2500" s="5" t="str">
        <f>VLOOKUP(F2500,'Set up'!$A$2:$C$48,2,FALSE)</f>
        <v>C00000021</v>
      </c>
      <c r="F2500" s="1" t="s">
        <v>492</v>
      </c>
      <c r="G2500" s="99" t="s">
        <v>2203</v>
      </c>
      <c r="H2500" s="5">
        <v>5</v>
      </c>
      <c r="I2500" s="5" t="str">
        <f>VLOOKUP(F2500,'Set up'!$A$2:$C$48,3,FALSE)</f>
        <v>Cash</v>
      </c>
      <c r="J2500" s="5">
        <f>VLOOKUP(F2500,'Set up'!$A$2:$D$48,4,FALSE)</f>
        <v>0</v>
      </c>
      <c r="K2500" s="4">
        <f t="shared" si="855"/>
        <v>45290</v>
      </c>
      <c r="L2500" s="5">
        <f t="shared" si="856"/>
        <v>12</v>
      </c>
      <c r="M2500" s="5">
        <f t="shared" si="857"/>
        <v>2023</v>
      </c>
      <c r="N2500" s="96">
        <v>312.5</v>
      </c>
      <c r="P2500" s="6">
        <f t="shared" si="843"/>
        <v>312.5</v>
      </c>
      <c r="Q2500" s="7">
        <f t="shared" si="850"/>
        <v>4079162.1500000018</v>
      </c>
      <c r="R2500" s="44" t="str">
        <f>VLOOKUP(F2500,'Set up'!$A$2:$E$48,5,FALSE)</f>
        <v>PD Chq</v>
      </c>
    </row>
    <row r="2501" spans="1:18" ht="15" hidden="1" customHeight="1" x14ac:dyDescent="0.3">
      <c r="A2501" s="4">
        <v>45290</v>
      </c>
      <c r="B2501" s="5">
        <f t="shared" si="853"/>
        <v>12</v>
      </c>
      <c r="C2501" s="5">
        <f t="shared" si="854"/>
        <v>2023</v>
      </c>
      <c r="D2501" s="88" t="s">
        <v>2289</v>
      </c>
      <c r="E2501" s="5" t="str">
        <f>VLOOKUP(F2501,'Set up'!$A$2:$C$48,2,FALSE)</f>
        <v>C00000019</v>
      </c>
      <c r="F2501" s="1" t="s">
        <v>401</v>
      </c>
      <c r="G2501" s="99" t="s">
        <v>95</v>
      </c>
      <c r="H2501" s="5">
        <v>1</v>
      </c>
      <c r="I2501" s="5" t="str">
        <f>VLOOKUP(F2501,'Set up'!$A$2:$C$48,3,FALSE)</f>
        <v>Cash</v>
      </c>
      <c r="J2501" s="5">
        <f>VLOOKUP(F2501,'Set up'!$A$2:$D$48,4,FALSE)</f>
        <v>0</v>
      </c>
      <c r="K2501" s="4">
        <f t="shared" si="855"/>
        <v>45290</v>
      </c>
      <c r="L2501" s="5">
        <f t="shared" si="856"/>
        <v>12</v>
      </c>
      <c r="M2501" s="5">
        <f t="shared" si="857"/>
        <v>2023</v>
      </c>
      <c r="N2501" s="96">
        <v>1738</v>
      </c>
      <c r="P2501" s="6">
        <f t="shared" si="843"/>
        <v>1738</v>
      </c>
      <c r="Q2501" s="7">
        <f t="shared" si="850"/>
        <v>4080900.1500000018</v>
      </c>
      <c r="R2501" s="44" t="str">
        <f>VLOOKUP(F2501,'Set up'!$A$2:$E$48,5,FALSE)</f>
        <v>Trsf</v>
      </c>
    </row>
    <row r="2502" spans="1:18" ht="15" hidden="1" customHeight="1" x14ac:dyDescent="0.3">
      <c r="A2502" s="4">
        <v>45290</v>
      </c>
      <c r="B2502" s="5">
        <f t="shared" si="853"/>
        <v>12</v>
      </c>
      <c r="C2502" s="5">
        <f t="shared" si="854"/>
        <v>2023</v>
      </c>
      <c r="D2502" s="88" t="s">
        <v>2289</v>
      </c>
      <c r="E2502" s="5" t="str">
        <f>VLOOKUP(F2502,'Set up'!$A$2:$C$48,2,FALSE)</f>
        <v>C00000019</v>
      </c>
      <c r="F2502" s="1" t="s">
        <v>401</v>
      </c>
      <c r="G2502" s="99" t="s">
        <v>1470</v>
      </c>
      <c r="H2502" s="5">
        <v>1</v>
      </c>
      <c r="I2502" s="5" t="str">
        <f>VLOOKUP(F2502,'Set up'!$A$2:$C$48,3,FALSE)</f>
        <v>Cash</v>
      </c>
      <c r="J2502" s="5">
        <f>VLOOKUP(F2502,'Set up'!$A$2:$D$48,4,FALSE)</f>
        <v>0</v>
      </c>
      <c r="K2502" s="4">
        <f t="shared" si="855"/>
        <v>45290</v>
      </c>
      <c r="L2502" s="5">
        <f t="shared" si="856"/>
        <v>12</v>
      </c>
      <c r="M2502" s="5">
        <f t="shared" si="857"/>
        <v>2023</v>
      </c>
      <c r="N2502" s="96">
        <v>390</v>
      </c>
      <c r="P2502" s="6">
        <f t="shared" si="843"/>
        <v>390</v>
      </c>
      <c r="Q2502" s="7">
        <f t="shared" si="850"/>
        <v>4081290.1500000018</v>
      </c>
      <c r="R2502" s="44" t="str">
        <f>VLOOKUP(F2502,'Set up'!$A$2:$E$48,5,FALSE)</f>
        <v>Trsf</v>
      </c>
    </row>
    <row r="2503" spans="1:18" ht="15" hidden="1" customHeight="1" x14ac:dyDescent="0.3">
      <c r="A2503" s="4">
        <v>45290</v>
      </c>
      <c r="B2503" s="5">
        <f t="shared" si="853"/>
        <v>12</v>
      </c>
      <c r="C2503" s="5">
        <f t="shared" si="854"/>
        <v>2023</v>
      </c>
      <c r="D2503" s="88" t="s">
        <v>2289</v>
      </c>
      <c r="E2503" s="5" t="str">
        <f>VLOOKUP(F2503,'Set up'!$A$2:$C$48,2,FALSE)</f>
        <v>C00000019</v>
      </c>
      <c r="F2503" s="1" t="s">
        <v>401</v>
      </c>
      <c r="G2503" s="99" t="s">
        <v>46</v>
      </c>
      <c r="H2503" s="5">
        <v>1</v>
      </c>
      <c r="I2503" s="5" t="str">
        <f>VLOOKUP(F2503,'Set up'!$A$2:$C$48,3,FALSE)</f>
        <v>Cash</v>
      </c>
      <c r="J2503" s="5">
        <f>VLOOKUP(F2503,'Set up'!$A$2:$D$48,4,FALSE)</f>
        <v>0</v>
      </c>
      <c r="K2503" s="4">
        <f t="shared" si="855"/>
        <v>45290</v>
      </c>
      <c r="L2503" s="5">
        <f t="shared" si="856"/>
        <v>12</v>
      </c>
      <c r="M2503" s="5">
        <f t="shared" si="857"/>
        <v>2023</v>
      </c>
      <c r="N2503" s="96">
        <v>105</v>
      </c>
      <c r="P2503" s="6">
        <f t="shared" si="843"/>
        <v>105</v>
      </c>
      <c r="Q2503" s="7">
        <f t="shared" si="850"/>
        <v>4081395.1500000018</v>
      </c>
      <c r="R2503" s="44" t="str">
        <f>VLOOKUP(F2503,'Set up'!$A$2:$E$48,5,FALSE)</f>
        <v>Trsf</v>
      </c>
    </row>
    <row r="2504" spans="1:18" ht="15" hidden="1" customHeight="1" x14ac:dyDescent="0.3">
      <c r="A2504" s="4">
        <v>45290</v>
      </c>
      <c r="B2504" s="5">
        <f t="shared" si="853"/>
        <v>12</v>
      </c>
      <c r="C2504" s="5">
        <f t="shared" si="854"/>
        <v>2023</v>
      </c>
      <c r="D2504" s="88" t="s">
        <v>2289</v>
      </c>
      <c r="E2504" s="5" t="str">
        <f>VLOOKUP(F2504,'Set up'!$A$2:$C$48,2,FALSE)</f>
        <v>C00000019</v>
      </c>
      <c r="F2504" s="1" t="s">
        <v>401</v>
      </c>
      <c r="G2504" s="99" t="s">
        <v>950</v>
      </c>
      <c r="H2504" s="5">
        <v>2</v>
      </c>
      <c r="I2504" s="5" t="str">
        <f>VLOOKUP(F2504,'Set up'!$A$2:$C$48,3,FALSE)</f>
        <v>Cash</v>
      </c>
      <c r="J2504" s="5">
        <f>VLOOKUP(F2504,'Set up'!$A$2:$D$48,4,FALSE)</f>
        <v>0</v>
      </c>
      <c r="K2504" s="4">
        <f t="shared" si="855"/>
        <v>45290</v>
      </c>
      <c r="L2504" s="5">
        <f t="shared" si="856"/>
        <v>12</v>
      </c>
      <c r="M2504" s="5">
        <f t="shared" si="857"/>
        <v>2023</v>
      </c>
      <c r="N2504" s="96">
        <v>120</v>
      </c>
      <c r="P2504" s="6">
        <f t="shared" si="843"/>
        <v>120</v>
      </c>
      <c r="Q2504" s="7">
        <f t="shared" si="850"/>
        <v>4081515.1500000018</v>
      </c>
      <c r="R2504" s="44" t="str">
        <f>VLOOKUP(F2504,'Set up'!$A$2:$E$48,5,FALSE)</f>
        <v>Trsf</v>
      </c>
    </row>
    <row r="2505" spans="1:18" ht="15" hidden="1" customHeight="1" x14ac:dyDescent="0.3">
      <c r="A2505" s="4">
        <v>45294</v>
      </c>
      <c r="B2505" s="5">
        <f t="shared" ref="B2505:B2568" si="858">MONTH(A2505)</f>
        <v>1</v>
      </c>
      <c r="C2505" s="5">
        <f t="shared" ref="C2505:C2568" si="859">YEAR(A2505)</f>
        <v>2024</v>
      </c>
      <c r="D2505" s="5" t="s">
        <v>2348</v>
      </c>
      <c r="E2505" s="5" t="str">
        <f>VLOOKUP(F2505,'Set up'!$A$2:$C$48,2,FALSE)</f>
        <v>C00000014</v>
      </c>
      <c r="F2505" s="1" t="s">
        <v>263</v>
      </c>
      <c r="G2505" s="122" t="s">
        <v>304</v>
      </c>
      <c r="H2505" s="5">
        <v>1</v>
      </c>
      <c r="I2505" s="5" t="str">
        <f>VLOOKUP(F2505,'Set up'!$A$2:$C$48,3,FALSE)</f>
        <v>Cash</v>
      </c>
      <c r="J2505" s="5">
        <f>VLOOKUP(F2505,'Set up'!$A$2:$D$48,4,FALSE)</f>
        <v>0</v>
      </c>
      <c r="K2505" s="4">
        <f t="shared" ref="K2505:K2568" si="860">A2505+J2505</f>
        <v>45294</v>
      </c>
      <c r="L2505" s="5">
        <f t="shared" ref="L2505:L2568" si="861">MONTH(K2505)</f>
        <v>1</v>
      </c>
      <c r="M2505" s="5">
        <f t="shared" ref="M2505:M2568" si="862">YEAR(K2505)</f>
        <v>2024</v>
      </c>
      <c r="N2505" s="96">
        <v>1606</v>
      </c>
      <c r="P2505" s="6">
        <f t="shared" si="843"/>
        <v>1606</v>
      </c>
      <c r="Q2505" s="7">
        <f t="shared" si="850"/>
        <v>4083121.1500000018</v>
      </c>
      <c r="R2505" s="44" t="str">
        <f>VLOOKUP(F2505,'Set up'!$A$2:$E$48,5,FALSE)</f>
        <v>Cash</v>
      </c>
    </row>
    <row r="2506" spans="1:18" ht="15" hidden="1" customHeight="1" x14ac:dyDescent="0.3">
      <c r="A2506" s="4">
        <v>45294</v>
      </c>
      <c r="B2506" s="5">
        <f t="shared" si="858"/>
        <v>1</v>
      </c>
      <c r="C2506" s="5">
        <f t="shared" si="859"/>
        <v>2024</v>
      </c>
      <c r="D2506" s="5" t="s">
        <v>2348</v>
      </c>
      <c r="E2506" s="5" t="str">
        <f>VLOOKUP(F2506,'Set up'!$A$2:$C$48,2,FALSE)</f>
        <v>C00000014</v>
      </c>
      <c r="F2506" s="1" t="s">
        <v>263</v>
      </c>
      <c r="G2506" s="90" t="s">
        <v>1544</v>
      </c>
      <c r="H2506" s="5">
        <v>3</v>
      </c>
      <c r="I2506" s="5" t="str">
        <f>VLOOKUP(F2506,'Set up'!$A$2:$C$48,3,FALSE)</f>
        <v>Cash</v>
      </c>
      <c r="J2506" s="5">
        <f>VLOOKUP(F2506,'Set up'!$A$2:$D$48,4,FALSE)</f>
        <v>0</v>
      </c>
      <c r="K2506" s="4">
        <f t="shared" si="860"/>
        <v>45294</v>
      </c>
      <c r="L2506" s="5">
        <f t="shared" si="861"/>
        <v>1</v>
      </c>
      <c r="M2506" s="5">
        <f t="shared" si="862"/>
        <v>2024</v>
      </c>
      <c r="N2506" s="96">
        <v>630</v>
      </c>
      <c r="P2506" s="6">
        <f t="shared" si="843"/>
        <v>630</v>
      </c>
      <c r="Q2506" s="7">
        <f t="shared" si="850"/>
        <v>4083751.1500000018</v>
      </c>
      <c r="R2506" s="44" t="str">
        <f>VLOOKUP(F2506,'Set up'!$A$2:$E$48,5,FALSE)</f>
        <v>Cash</v>
      </c>
    </row>
    <row r="2507" spans="1:18" ht="15" hidden="1" customHeight="1" x14ac:dyDescent="0.3">
      <c r="A2507" s="4">
        <v>45294</v>
      </c>
      <c r="B2507" s="5">
        <f t="shared" si="858"/>
        <v>1</v>
      </c>
      <c r="C2507" s="5">
        <f t="shared" si="859"/>
        <v>2024</v>
      </c>
      <c r="D2507" s="5" t="s">
        <v>2349</v>
      </c>
      <c r="E2507" s="5" t="str">
        <f>VLOOKUP(F2507,'Set up'!$A$2:$C$48,2,FALSE)</f>
        <v>C00000006</v>
      </c>
      <c r="F2507" s="1" t="s">
        <v>43</v>
      </c>
      <c r="G2507" s="99" t="s">
        <v>95</v>
      </c>
      <c r="H2507" s="5">
        <v>1</v>
      </c>
      <c r="I2507" s="5" t="str">
        <f>VLOOKUP(F2507,'Set up'!$A$2:$C$48,3,FALSE)</f>
        <v>Cash</v>
      </c>
      <c r="J2507" s="5">
        <f>VLOOKUP(F2507,'Set up'!$A$2:$D$48,4,FALSE)</f>
        <v>0</v>
      </c>
      <c r="K2507" s="4">
        <f t="shared" si="860"/>
        <v>45294</v>
      </c>
      <c r="L2507" s="5">
        <f t="shared" si="861"/>
        <v>1</v>
      </c>
      <c r="M2507" s="5">
        <f t="shared" si="862"/>
        <v>2024</v>
      </c>
      <c r="N2507" s="96">
        <v>1738</v>
      </c>
      <c r="P2507" s="6">
        <f t="shared" si="843"/>
        <v>1738</v>
      </c>
      <c r="Q2507" s="7">
        <f t="shared" si="850"/>
        <v>4085489.1500000018</v>
      </c>
      <c r="R2507" s="44" t="str">
        <f>VLOOKUP(F2507,'Set up'!$A$2:$E$48,5,FALSE)</f>
        <v>Chq</v>
      </c>
    </row>
    <row r="2508" spans="1:18" ht="15" hidden="1" customHeight="1" x14ac:dyDescent="0.3">
      <c r="A2508" s="4">
        <v>45294</v>
      </c>
      <c r="B2508" s="5">
        <f t="shared" si="858"/>
        <v>1</v>
      </c>
      <c r="C2508" s="5">
        <f t="shared" si="859"/>
        <v>2024</v>
      </c>
      <c r="D2508" s="5" t="s">
        <v>2349</v>
      </c>
      <c r="E2508" s="5" t="str">
        <f>VLOOKUP(F2508,'Set up'!$A$2:$C$48,2,FALSE)</f>
        <v>C00000006</v>
      </c>
      <c r="F2508" s="1" t="s">
        <v>43</v>
      </c>
      <c r="G2508" s="90" t="s">
        <v>1797</v>
      </c>
      <c r="H2508" s="5">
        <v>3</v>
      </c>
      <c r="I2508" s="5" t="str">
        <f>VLOOKUP(F2508,'Set up'!$A$2:$C$48,3,FALSE)</f>
        <v>Cash</v>
      </c>
      <c r="J2508" s="5">
        <f>VLOOKUP(F2508,'Set up'!$A$2:$D$48,4,FALSE)</f>
        <v>0</v>
      </c>
      <c r="K2508" s="4">
        <f t="shared" si="860"/>
        <v>45294</v>
      </c>
      <c r="L2508" s="5">
        <f t="shared" si="861"/>
        <v>1</v>
      </c>
      <c r="M2508" s="5">
        <f t="shared" si="862"/>
        <v>2024</v>
      </c>
      <c r="N2508" s="96">
        <v>675</v>
      </c>
      <c r="P2508" s="6">
        <f t="shared" si="843"/>
        <v>675</v>
      </c>
      <c r="Q2508" s="7">
        <f t="shared" si="850"/>
        <v>4086164.1500000018</v>
      </c>
      <c r="R2508" s="44" t="str">
        <f>VLOOKUP(F2508,'Set up'!$A$2:$E$48,5,FALSE)</f>
        <v>Chq</v>
      </c>
    </row>
    <row r="2509" spans="1:18" ht="15" hidden="1" customHeight="1" x14ac:dyDescent="0.3">
      <c r="A2509" s="4">
        <v>45294</v>
      </c>
      <c r="B2509" s="5">
        <f t="shared" si="858"/>
        <v>1</v>
      </c>
      <c r="C2509" s="5">
        <f t="shared" si="859"/>
        <v>2024</v>
      </c>
      <c r="D2509" s="5" t="s">
        <v>2349</v>
      </c>
      <c r="E2509" s="5" t="str">
        <f>VLOOKUP(F2509,'Set up'!$A$2:$C$48,2,FALSE)</f>
        <v>C00000006</v>
      </c>
      <c r="F2509" s="1" t="s">
        <v>43</v>
      </c>
      <c r="G2509" s="90" t="s">
        <v>769</v>
      </c>
      <c r="H2509" s="5">
        <v>1</v>
      </c>
      <c r="I2509" s="5" t="str">
        <f>VLOOKUP(F2509,'Set up'!$A$2:$C$48,3,FALSE)</f>
        <v>Cash</v>
      </c>
      <c r="J2509" s="5">
        <f>VLOOKUP(F2509,'Set up'!$A$2:$D$48,4,FALSE)</f>
        <v>0</v>
      </c>
      <c r="K2509" s="4">
        <f t="shared" si="860"/>
        <v>45294</v>
      </c>
      <c r="L2509" s="5">
        <f t="shared" si="861"/>
        <v>1</v>
      </c>
      <c r="M2509" s="5">
        <f t="shared" si="862"/>
        <v>2024</v>
      </c>
      <c r="N2509" s="96">
        <v>175</v>
      </c>
      <c r="P2509" s="6">
        <f t="shared" si="843"/>
        <v>175</v>
      </c>
      <c r="Q2509" s="7">
        <f t="shared" si="850"/>
        <v>4086339.1500000018</v>
      </c>
      <c r="R2509" s="44" t="str">
        <f>VLOOKUP(F2509,'Set up'!$A$2:$E$48,5,FALSE)</f>
        <v>Chq</v>
      </c>
    </row>
    <row r="2510" spans="1:18" ht="15" hidden="1" customHeight="1" x14ac:dyDescent="0.3">
      <c r="A2510" s="4">
        <v>45294</v>
      </c>
      <c r="B2510" s="5">
        <f t="shared" si="858"/>
        <v>1</v>
      </c>
      <c r="C2510" s="5">
        <f t="shared" si="859"/>
        <v>2024</v>
      </c>
      <c r="D2510" s="5" t="s">
        <v>2349</v>
      </c>
      <c r="E2510" s="5" t="str">
        <f>VLOOKUP(F2510,'Set up'!$A$2:$C$48,2,FALSE)</f>
        <v>C00000006</v>
      </c>
      <c r="F2510" s="1" t="s">
        <v>43</v>
      </c>
      <c r="G2510" s="11" t="s">
        <v>950</v>
      </c>
      <c r="H2510" s="5">
        <v>1</v>
      </c>
      <c r="I2510" s="5" t="str">
        <f>VLOOKUP(F2510,'Set up'!$A$2:$C$48,3,FALSE)</f>
        <v>Cash</v>
      </c>
      <c r="J2510" s="5">
        <f>VLOOKUP(F2510,'Set up'!$A$2:$D$48,4,FALSE)</f>
        <v>0</v>
      </c>
      <c r="K2510" s="4">
        <f t="shared" si="860"/>
        <v>45294</v>
      </c>
      <c r="L2510" s="5">
        <f t="shared" si="861"/>
        <v>1</v>
      </c>
      <c r="M2510" s="5">
        <f t="shared" si="862"/>
        <v>2024</v>
      </c>
      <c r="N2510" s="96">
        <v>60</v>
      </c>
      <c r="P2510" s="6">
        <f t="shared" si="843"/>
        <v>60</v>
      </c>
      <c r="Q2510" s="7">
        <f t="shared" si="850"/>
        <v>4086399.1500000018</v>
      </c>
      <c r="R2510" s="44" t="str">
        <f>VLOOKUP(F2510,'Set up'!$A$2:$E$48,5,FALSE)</f>
        <v>Chq</v>
      </c>
    </row>
    <row r="2511" spans="1:18" ht="15" hidden="1" customHeight="1" x14ac:dyDescent="0.3">
      <c r="A2511" s="4">
        <v>45295</v>
      </c>
      <c r="B2511" s="5">
        <f t="shared" si="858"/>
        <v>1</v>
      </c>
      <c r="C2511" s="5">
        <f t="shared" si="859"/>
        <v>2024</v>
      </c>
      <c r="D2511" s="5" t="s">
        <v>2350</v>
      </c>
      <c r="E2511" s="5" t="str">
        <f>VLOOKUP(F2511,'Set up'!$A$2:$C$48,2,FALSE)</f>
        <v>C00000045</v>
      </c>
      <c r="F2511" s="1" t="s">
        <v>2351</v>
      </c>
      <c r="G2511" s="11" t="s">
        <v>67</v>
      </c>
      <c r="H2511" s="5">
        <v>1</v>
      </c>
      <c r="I2511" s="5" t="str">
        <f>VLOOKUP(F2511,'Set up'!$A$2:$C$48,3,FALSE)</f>
        <v>Cash</v>
      </c>
      <c r="J2511" s="5">
        <f>VLOOKUP(F2511,'Set up'!$A$2:$D$48,4,FALSE)</f>
        <v>0</v>
      </c>
      <c r="K2511" s="4">
        <f t="shared" si="860"/>
        <v>45295</v>
      </c>
      <c r="L2511" s="5">
        <f t="shared" si="861"/>
        <v>1</v>
      </c>
      <c r="M2511" s="5">
        <f t="shared" si="862"/>
        <v>2024</v>
      </c>
      <c r="N2511" s="6">
        <v>1606</v>
      </c>
      <c r="P2511" s="6">
        <f t="shared" si="843"/>
        <v>1606</v>
      </c>
      <c r="Q2511" s="7">
        <f t="shared" si="850"/>
        <v>4088005.1500000018</v>
      </c>
      <c r="R2511" s="44" t="str">
        <f>VLOOKUP(F2511,'Set up'!$A$2:$E$48,5,FALSE)</f>
        <v>Cash</v>
      </c>
    </row>
    <row r="2512" spans="1:18" ht="15" hidden="1" customHeight="1" x14ac:dyDescent="0.3">
      <c r="A2512" s="4">
        <v>45295</v>
      </c>
      <c r="B2512" s="5">
        <f t="shared" si="858"/>
        <v>1</v>
      </c>
      <c r="C2512" s="5">
        <f t="shared" si="859"/>
        <v>2024</v>
      </c>
      <c r="D2512" s="5" t="s">
        <v>2350</v>
      </c>
      <c r="E2512" s="5" t="str">
        <f>VLOOKUP(F2512,'Set up'!$A$2:$C$48,2,FALSE)</f>
        <v>C00000045</v>
      </c>
      <c r="F2512" s="1" t="s">
        <v>2351</v>
      </c>
      <c r="G2512" s="11" t="s">
        <v>914</v>
      </c>
      <c r="H2512" s="5">
        <v>4</v>
      </c>
      <c r="I2512" s="5" t="str">
        <f>VLOOKUP(F2512,'Set up'!$A$2:$C$48,3,FALSE)</f>
        <v>Cash</v>
      </c>
      <c r="J2512" s="5">
        <f>VLOOKUP(F2512,'Set up'!$A$2:$D$48,4,FALSE)</f>
        <v>0</v>
      </c>
      <c r="K2512" s="4">
        <f t="shared" si="860"/>
        <v>45295</v>
      </c>
      <c r="L2512" s="5">
        <f t="shared" si="861"/>
        <v>1</v>
      </c>
      <c r="M2512" s="5">
        <f t="shared" si="862"/>
        <v>2024</v>
      </c>
      <c r="N2512" s="6">
        <v>780</v>
      </c>
      <c r="P2512" s="6">
        <f t="shared" si="843"/>
        <v>780</v>
      </c>
      <c r="Q2512" s="7">
        <f t="shared" si="850"/>
        <v>4088785.1500000018</v>
      </c>
      <c r="R2512" s="44" t="str">
        <f>VLOOKUP(F2512,'Set up'!$A$2:$E$48,5,FALSE)</f>
        <v>Cash</v>
      </c>
    </row>
    <row r="2513" spans="1:18" ht="15" hidden="1" customHeight="1" x14ac:dyDescent="0.3">
      <c r="A2513" s="4">
        <v>45295</v>
      </c>
      <c r="B2513" s="5">
        <f t="shared" si="858"/>
        <v>1</v>
      </c>
      <c r="C2513" s="5">
        <f t="shared" si="859"/>
        <v>2024</v>
      </c>
      <c r="D2513" s="5" t="s">
        <v>2350</v>
      </c>
      <c r="E2513" s="5" t="str">
        <f>VLOOKUP(F2513,'Set up'!$A$2:$C$48,2,FALSE)</f>
        <v>C00000045</v>
      </c>
      <c r="F2513" s="1" t="s">
        <v>2351</v>
      </c>
      <c r="G2513" s="90" t="s">
        <v>46</v>
      </c>
      <c r="H2513" s="5">
        <v>4</v>
      </c>
      <c r="I2513" s="5" t="str">
        <f>VLOOKUP(F2513,'Set up'!$A$2:$C$48,3,FALSE)</f>
        <v>Cash</v>
      </c>
      <c r="J2513" s="5">
        <f>VLOOKUP(F2513,'Set up'!$A$2:$D$48,4,FALSE)</f>
        <v>0</v>
      </c>
      <c r="K2513" s="4">
        <f t="shared" si="860"/>
        <v>45295</v>
      </c>
      <c r="L2513" s="5">
        <f t="shared" si="861"/>
        <v>1</v>
      </c>
      <c r="M2513" s="5">
        <f t="shared" si="862"/>
        <v>2024</v>
      </c>
      <c r="N2513" s="6">
        <v>440</v>
      </c>
      <c r="P2513" s="6">
        <f t="shared" si="843"/>
        <v>440</v>
      </c>
      <c r="Q2513" s="7">
        <f t="shared" si="850"/>
        <v>4089225.1500000018</v>
      </c>
      <c r="R2513" s="44" t="str">
        <f>VLOOKUP(F2513,'Set up'!$A$2:$E$48,5,FALSE)</f>
        <v>Cash</v>
      </c>
    </row>
    <row r="2514" spans="1:18" ht="15" hidden="1" customHeight="1" x14ac:dyDescent="0.3">
      <c r="A2514" s="4">
        <v>45296</v>
      </c>
      <c r="B2514" s="5">
        <f t="shared" si="858"/>
        <v>1</v>
      </c>
      <c r="C2514" s="5">
        <f t="shared" si="859"/>
        <v>2024</v>
      </c>
      <c r="D2514" s="5" t="s">
        <v>2352</v>
      </c>
      <c r="E2514" s="5" t="str">
        <f>VLOOKUP(F2514,'Set up'!$A$2:$C$48,2,FALSE)</f>
        <v>C00000021</v>
      </c>
      <c r="F2514" s="1" t="s">
        <v>492</v>
      </c>
      <c r="G2514" s="107" t="s">
        <v>67</v>
      </c>
      <c r="H2514" s="5">
        <v>1</v>
      </c>
      <c r="I2514" s="5" t="str">
        <f>VLOOKUP(F2514,'Set up'!$A$2:$C$48,3,FALSE)</f>
        <v>Cash</v>
      </c>
      <c r="J2514" s="5">
        <f>VLOOKUP(F2514,'Set up'!$A$2:$D$48,4,FALSE)</f>
        <v>0</v>
      </c>
      <c r="K2514" s="4">
        <f t="shared" si="860"/>
        <v>45296</v>
      </c>
      <c r="L2514" s="5">
        <f t="shared" si="861"/>
        <v>1</v>
      </c>
      <c r="M2514" s="5">
        <f t="shared" si="862"/>
        <v>2024</v>
      </c>
      <c r="N2514" s="6">
        <v>1738</v>
      </c>
      <c r="P2514" s="6">
        <f t="shared" si="843"/>
        <v>1738</v>
      </c>
      <c r="Q2514" s="7">
        <f t="shared" si="850"/>
        <v>4090963.1500000018</v>
      </c>
      <c r="R2514" s="44" t="str">
        <f>VLOOKUP(F2514,'Set up'!$A$2:$E$48,5,FALSE)</f>
        <v>PD Chq</v>
      </c>
    </row>
    <row r="2515" spans="1:18" ht="15" hidden="1" customHeight="1" x14ac:dyDescent="0.3">
      <c r="A2515" s="4">
        <v>45296</v>
      </c>
      <c r="B2515" s="5">
        <f t="shared" si="858"/>
        <v>1</v>
      </c>
      <c r="C2515" s="5">
        <f t="shared" si="859"/>
        <v>2024</v>
      </c>
      <c r="D2515" s="5" t="s">
        <v>2352</v>
      </c>
      <c r="E2515" s="5" t="str">
        <f>VLOOKUP(F2515,'Set up'!$A$2:$C$48,2,FALSE)</f>
        <v>C00000021</v>
      </c>
      <c r="F2515" s="1" t="s">
        <v>492</v>
      </c>
      <c r="G2515" s="99" t="s">
        <v>2202</v>
      </c>
      <c r="H2515" s="5">
        <v>2</v>
      </c>
      <c r="I2515" s="5" t="str">
        <f>VLOOKUP(F2515,'Set up'!$A$2:$C$48,3,FALSE)</f>
        <v>Cash</v>
      </c>
      <c r="J2515" s="5">
        <f>VLOOKUP(F2515,'Set up'!$A$2:$D$48,4,FALSE)</f>
        <v>0</v>
      </c>
      <c r="K2515" s="4">
        <f t="shared" si="860"/>
        <v>45296</v>
      </c>
      <c r="L2515" s="5">
        <f t="shared" si="861"/>
        <v>1</v>
      </c>
      <c r="M2515" s="5">
        <f t="shared" si="862"/>
        <v>2024</v>
      </c>
      <c r="N2515" s="6">
        <v>555</v>
      </c>
      <c r="P2515" s="6">
        <f t="shared" si="843"/>
        <v>555</v>
      </c>
      <c r="Q2515" s="7">
        <f t="shared" si="850"/>
        <v>4091518.1500000018</v>
      </c>
      <c r="R2515" s="44" t="str">
        <f>VLOOKUP(F2515,'Set up'!$A$2:$E$48,5,FALSE)</f>
        <v>PD Chq</v>
      </c>
    </row>
    <row r="2516" spans="1:18" ht="15" hidden="1" customHeight="1" x14ac:dyDescent="0.3">
      <c r="A2516" s="4">
        <v>45296</v>
      </c>
      <c r="B2516" s="5">
        <f t="shared" si="858"/>
        <v>1</v>
      </c>
      <c r="C2516" s="5">
        <f t="shared" si="859"/>
        <v>2024</v>
      </c>
      <c r="D2516" s="5" t="s">
        <v>2352</v>
      </c>
      <c r="E2516" s="5" t="str">
        <f>VLOOKUP(F2516,'Set up'!$A$2:$C$48,2,FALSE)</f>
        <v>C00000021</v>
      </c>
      <c r="F2516" s="1" t="s">
        <v>492</v>
      </c>
      <c r="G2516" s="99" t="s">
        <v>1062</v>
      </c>
      <c r="H2516" s="5">
        <v>1</v>
      </c>
      <c r="I2516" s="5" t="str">
        <f>VLOOKUP(F2516,'Set up'!$A$2:$C$48,3,FALSE)</f>
        <v>Cash</v>
      </c>
      <c r="J2516" s="5">
        <f>VLOOKUP(F2516,'Set up'!$A$2:$D$48,4,FALSE)</f>
        <v>0</v>
      </c>
      <c r="K2516" s="4">
        <f t="shared" si="860"/>
        <v>45296</v>
      </c>
      <c r="L2516" s="5">
        <f t="shared" si="861"/>
        <v>1</v>
      </c>
      <c r="M2516" s="5">
        <f t="shared" si="862"/>
        <v>2024</v>
      </c>
      <c r="N2516" s="6">
        <v>95</v>
      </c>
      <c r="P2516" s="6">
        <f t="shared" si="843"/>
        <v>95</v>
      </c>
      <c r="Q2516" s="7">
        <f t="shared" si="850"/>
        <v>4091613.1500000018</v>
      </c>
      <c r="R2516" s="44" t="str">
        <f>VLOOKUP(F2516,'Set up'!$A$2:$E$48,5,FALSE)</f>
        <v>PD Chq</v>
      </c>
    </row>
    <row r="2517" spans="1:18" ht="15" hidden="1" customHeight="1" x14ac:dyDescent="0.3">
      <c r="A2517" s="4">
        <v>45297</v>
      </c>
      <c r="B2517" s="5">
        <f t="shared" si="858"/>
        <v>1</v>
      </c>
      <c r="C2517" s="5">
        <f t="shared" si="859"/>
        <v>2024</v>
      </c>
      <c r="D2517" s="5" t="s">
        <v>2353</v>
      </c>
      <c r="E2517" s="5" t="str">
        <f>VLOOKUP(F2517,'Set up'!$A$2:$C$48,2,FALSE)</f>
        <v>C00000043</v>
      </c>
      <c r="F2517" s="1" t="s">
        <v>2207</v>
      </c>
      <c r="G2517" s="107" t="s">
        <v>1739</v>
      </c>
      <c r="H2517" s="5">
        <v>2</v>
      </c>
      <c r="I2517" s="5" t="str">
        <f>VLOOKUP(F2517,'Set up'!$A$2:$C$48,3,FALSE)</f>
        <v>Cash</v>
      </c>
      <c r="J2517" s="5">
        <f>VLOOKUP(F2517,'Set up'!$A$2:$D$48,4,FALSE)</f>
        <v>0</v>
      </c>
      <c r="K2517" s="4">
        <f t="shared" si="860"/>
        <v>45297</v>
      </c>
      <c r="L2517" s="5">
        <f t="shared" si="861"/>
        <v>1</v>
      </c>
      <c r="M2517" s="5">
        <f t="shared" si="862"/>
        <v>2024</v>
      </c>
      <c r="N2517" s="6">
        <v>3476</v>
      </c>
      <c r="P2517" s="6">
        <f t="shared" ref="P2517:P2580" si="863">SUM(N2517+O2517)</f>
        <v>3476</v>
      </c>
      <c r="Q2517" s="7">
        <f t="shared" si="850"/>
        <v>4095089.1500000018</v>
      </c>
      <c r="R2517" s="44" t="str">
        <f>VLOOKUP(F2517,'Set up'!$A$2:$E$48,5,FALSE)</f>
        <v>Trsf</v>
      </c>
    </row>
    <row r="2518" spans="1:18" ht="15" hidden="1" customHeight="1" x14ac:dyDescent="0.3">
      <c r="A2518" s="4">
        <v>45297</v>
      </c>
      <c r="B2518" s="5">
        <f t="shared" si="858"/>
        <v>1</v>
      </c>
      <c r="C2518" s="5">
        <f t="shared" si="859"/>
        <v>2024</v>
      </c>
      <c r="D2518" s="5" t="s">
        <v>2353</v>
      </c>
      <c r="E2518" s="5" t="str">
        <f>VLOOKUP(F2518,'Set up'!$A$2:$C$48,2,FALSE)</f>
        <v>C00000043</v>
      </c>
      <c r="F2518" s="1" t="s">
        <v>2207</v>
      </c>
      <c r="G2518" s="99" t="s">
        <v>1391</v>
      </c>
      <c r="H2518" s="5">
        <v>2</v>
      </c>
      <c r="I2518" s="5" t="str">
        <f>VLOOKUP(F2518,'Set up'!$A$2:$C$48,3,FALSE)</f>
        <v>Cash</v>
      </c>
      <c r="J2518" s="5">
        <f>VLOOKUP(F2518,'Set up'!$A$2:$D$48,4,FALSE)</f>
        <v>0</v>
      </c>
      <c r="K2518" s="4">
        <f t="shared" si="860"/>
        <v>45297</v>
      </c>
      <c r="L2518" s="5">
        <f t="shared" si="861"/>
        <v>1</v>
      </c>
      <c r="M2518" s="5">
        <f t="shared" si="862"/>
        <v>2024</v>
      </c>
      <c r="N2518" s="6">
        <v>853.2</v>
      </c>
      <c r="P2518" s="6">
        <f t="shared" si="863"/>
        <v>853.2</v>
      </c>
      <c r="Q2518" s="7">
        <f t="shared" si="850"/>
        <v>4095942.350000002</v>
      </c>
      <c r="R2518" s="44" t="str">
        <f>VLOOKUP(F2518,'Set up'!$A$2:$E$48,5,FALSE)</f>
        <v>Trsf</v>
      </c>
    </row>
    <row r="2519" spans="1:18" ht="15" hidden="1" customHeight="1" x14ac:dyDescent="0.3">
      <c r="A2519" s="4">
        <v>45297</v>
      </c>
      <c r="B2519" s="5">
        <f t="shared" si="858"/>
        <v>1</v>
      </c>
      <c r="C2519" s="5">
        <f t="shared" si="859"/>
        <v>2024</v>
      </c>
      <c r="D2519" s="5" t="s">
        <v>2353</v>
      </c>
      <c r="E2519" s="5" t="str">
        <f>VLOOKUP(F2519,'Set up'!$A$2:$C$48,2,FALSE)</f>
        <v>C00000043</v>
      </c>
      <c r="F2519" s="1" t="s">
        <v>2207</v>
      </c>
      <c r="G2519" s="99" t="s">
        <v>293</v>
      </c>
      <c r="H2519" s="5">
        <v>1</v>
      </c>
      <c r="I2519" s="5" t="str">
        <f>VLOOKUP(F2519,'Set up'!$A$2:$C$48,3,FALSE)</f>
        <v>Cash</v>
      </c>
      <c r="J2519" s="5">
        <f>VLOOKUP(F2519,'Set up'!$A$2:$D$48,4,FALSE)</f>
        <v>0</v>
      </c>
      <c r="K2519" s="4">
        <f t="shared" si="860"/>
        <v>45297</v>
      </c>
      <c r="L2519" s="5">
        <f t="shared" si="861"/>
        <v>1</v>
      </c>
      <c r="M2519" s="5">
        <f t="shared" si="862"/>
        <v>2024</v>
      </c>
      <c r="N2519" s="6">
        <v>480</v>
      </c>
      <c r="P2519" s="6">
        <f t="shared" si="863"/>
        <v>480</v>
      </c>
      <c r="Q2519" s="7">
        <f t="shared" si="850"/>
        <v>4096422.350000002</v>
      </c>
      <c r="R2519" s="44" t="str">
        <f>VLOOKUP(F2519,'Set up'!$A$2:$E$48,5,FALSE)</f>
        <v>Trsf</v>
      </c>
    </row>
    <row r="2520" spans="1:18" ht="15" hidden="1" customHeight="1" x14ac:dyDescent="0.3">
      <c r="A2520" s="4">
        <v>45297</v>
      </c>
      <c r="B2520" s="5">
        <f t="shared" si="858"/>
        <v>1</v>
      </c>
      <c r="C2520" s="5">
        <f t="shared" si="859"/>
        <v>2024</v>
      </c>
      <c r="D2520" s="5" t="s">
        <v>2353</v>
      </c>
      <c r="E2520" s="5" t="str">
        <f>VLOOKUP(F2520,'Set up'!$A$2:$C$48,2,FALSE)</f>
        <v>C00000043</v>
      </c>
      <c r="F2520" s="1" t="s">
        <v>2207</v>
      </c>
      <c r="G2520" s="90" t="s">
        <v>2208</v>
      </c>
      <c r="H2520" s="5">
        <v>10</v>
      </c>
      <c r="I2520" s="5" t="str">
        <f>VLOOKUP(F2520,'Set up'!$A$2:$C$48,3,FALSE)</f>
        <v>Cash</v>
      </c>
      <c r="J2520" s="5">
        <f>VLOOKUP(F2520,'Set up'!$A$2:$D$48,4,FALSE)</f>
        <v>0</v>
      </c>
      <c r="K2520" s="4">
        <f t="shared" si="860"/>
        <v>45297</v>
      </c>
      <c r="L2520" s="5">
        <f t="shared" si="861"/>
        <v>1</v>
      </c>
      <c r="M2520" s="5">
        <f t="shared" si="862"/>
        <v>2024</v>
      </c>
      <c r="N2520" s="6">
        <v>650</v>
      </c>
      <c r="P2520" s="6">
        <f t="shared" si="863"/>
        <v>650</v>
      </c>
      <c r="Q2520" s="7">
        <f t="shared" si="850"/>
        <v>4097072.350000002</v>
      </c>
      <c r="R2520" s="44" t="str">
        <f>VLOOKUP(F2520,'Set up'!$A$2:$E$48,5,FALSE)</f>
        <v>Trsf</v>
      </c>
    </row>
    <row r="2521" spans="1:18" ht="15" hidden="1" customHeight="1" x14ac:dyDescent="0.3">
      <c r="A2521" s="4">
        <v>45297</v>
      </c>
      <c r="B2521" s="5">
        <f t="shared" si="858"/>
        <v>1</v>
      </c>
      <c r="C2521" s="5">
        <f t="shared" si="859"/>
        <v>2024</v>
      </c>
      <c r="D2521" s="5" t="s">
        <v>2353</v>
      </c>
      <c r="E2521" s="5" t="str">
        <f>VLOOKUP(F2521,'Set up'!$A$2:$C$48,2,FALSE)</f>
        <v>C00000043</v>
      </c>
      <c r="F2521" s="1" t="s">
        <v>2207</v>
      </c>
      <c r="G2521" s="99" t="s">
        <v>2212</v>
      </c>
      <c r="H2521" s="5">
        <v>12</v>
      </c>
      <c r="I2521" s="5" t="str">
        <f>VLOOKUP(F2521,'Set up'!$A$2:$C$48,3,FALSE)</f>
        <v>Cash</v>
      </c>
      <c r="J2521" s="5">
        <f>VLOOKUP(F2521,'Set up'!$A$2:$D$48,4,FALSE)</f>
        <v>0</v>
      </c>
      <c r="K2521" s="4">
        <f t="shared" si="860"/>
        <v>45297</v>
      </c>
      <c r="L2521" s="5">
        <f t="shared" si="861"/>
        <v>1</v>
      </c>
      <c r="M2521" s="5">
        <f t="shared" si="862"/>
        <v>2024</v>
      </c>
      <c r="N2521" s="6">
        <v>54</v>
      </c>
      <c r="P2521" s="6">
        <f t="shared" si="863"/>
        <v>54</v>
      </c>
      <c r="Q2521" s="7">
        <f t="shared" si="850"/>
        <v>4097126.350000002</v>
      </c>
      <c r="R2521" s="44" t="str">
        <f>VLOOKUP(F2521,'Set up'!$A$2:$E$48,5,FALSE)</f>
        <v>Trsf</v>
      </c>
    </row>
    <row r="2522" spans="1:18" ht="15" hidden="1" customHeight="1" x14ac:dyDescent="0.3">
      <c r="A2522" s="4">
        <v>45297</v>
      </c>
      <c r="B2522" s="5">
        <f t="shared" si="858"/>
        <v>1</v>
      </c>
      <c r="C2522" s="5">
        <f t="shared" si="859"/>
        <v>2024</v>
      </c>
      <c r="D2522" s="5" t="s">
        <v>2353</v>
      </c>
      <c r="E2522" s="5" t="str">
        <f>VLOOKUP(F2522,'Set up'!$A$2:$C$48,2,FALSE)</f>
        <v>C00000043</v>
      </c>
      <c r="F2522" s="1" t="s">
        <v>2207</v>
      </c>
      <c r="G2522" s="99" t="s">
        <v>2218</v>
      </c>
      <c r="H2522" s="5">
        <v>1</v>
      </c>
      <c r="I2522" s="5" t="str">
        <f>VLOOKUP(F2522,'Set up'!$A$2:$C$48,3,FALSE)</f>
        <v>Cash</v>
      </c>
      <c r="J2522" s="5">
        <f>VLOOKUP(F2522,'Set up'!$A$2:$D$48,4,FALSE)</f>
        <v>0</v>
      </c>
      <c r="K2522" s="4">
        <f t="shared" si="860"/>
        <v>45297</v>
      </c>
      <c r="L2522" s="5">
        <f t="shared" si="861"/>
        <v>1</v>
      </c>
      <c r="M2522" s="5">
        <f t="shared" si="862"/>
        <v>2024</v>
      </c>
      <c r="N2522" s="6">
        <v>283.8</v>
      </c>
      <c r="P2522" s="6">
        <f t="shared" si="863"/>
        <v>283.8</v>
      </c>
      <c r="Q2522" s="7">
        <f t="shared" si="850"/>
        <v>4097410.1500000018</v>
      </c>
      <c r="R2522" s="44" t="str">
        <f>VLOOKUP(F2522,'Set up'!$A$2:$E$48,5,FALSE)</f>
        <v>Trsf</v>
      </c>
    </row>
    <row r="2523" spans="1:18" ht="15" hidden="1" customHeight="1" x14ac:dyDescent="0.3">
      <c r="A2523" s="4">
        <v>45297</v>
      </c>
      <c r="B2523" s="5">
        <f t="shared" si="858"/>
        <v>1</v>
      </c>
      <c r="C2523" s="5">
        <f t="shared" si="859"/>
        <v>2024</v>
      </c>
      <c r="D2523" s="5" t="s">
        <v>2353</v>
      </c>
      <c r="E2523" s="5" t="str">
        <f>VLOOKUP(F2523,'Set up'!$A$2:$C$48,2,FALSE)</f>
        <v>C00000043</v>
      </c>
      <c r="F2523" s="1" t="s">
        <v>2207</v>
      </c>
      <c r="G2523" s="99" t="s">
        <v>46</v>
      </c>
      <c r="H2523" s="5">
        <v>2</v>
      </c>
      <c r="I2523" s="5" t="str">
        <f>VLOOKUP(F2523,'Set up'!$A$2:$C$48,3,FALSE)</f>
        <v>Cash</v>
      </c>
      <c r="J2523" s="5">
        <f>VLOOKUP(F2523,'Set up'!$A$2:$D$48,4,FALSE)</f>
        <v>0</v>
      </c>
      <c r="K2523" s="4">
        <f t="shared" si="860"/>
        <v>45297</v>
      </c>
      <c r="L2523" s="5">
        <f t="shared" si="861"/>
        <v>1</v>
      </c>
      <c r="M2523" s="5">
        <f t="shared" si="862"/>
        <v>2024</v>
      </c>
      <c r="N2523" s="6">
        <v>220</v>
      </c>
      <c r="P2523" s="6">
        <f t="shared" si="863"/>
        <v>220</v>
      </c>
      <c r="Q2523" s="7">
        <f t="shared" si="850"/>
        <v>4097630.1500000018</v>
      </c>
      <c r="R2523" s="44" t="str">
        <f>VLOOKUP(F2523,'Set up'!$A$2:$E$48,5,FALSE)</f>
        <v>Trsf</v>
      </c>
    </row>
    <row r="2524" spans="1:18" ht="15" hidden="1" customHeight="1" x14ac:dyDescent="0.3">
      <c r="A2524" s="4">
        <v>45297</v>
      </c>
      <c r="B2524" s="5">
        <f t="shared" si="858"/>
        <v>1</v>
      </c>
      <c r="C2524" s="5">
        <f t="shared" si="859"/>
        <v>2024</v>
      </c>
      <c r="D2524" s="5" t="s">
        <v>2353</v>
      </c>
      <c r="E2524" s="5" t="str">
        <f>VLOOKUP(F2524,'Set up'!$A$2:$C$48,2,FALSE)</f>
        <v>C00000043</v>
      </c>
      <c r="F2524" s="1" t="s">
        <v>2207</v>
      </c>
      <c r="G2524" s="99" t="s">
        <v>1391</v>
      </c>
      <c r="H2524" s="5">
        <v>1</v>
      </c>
      <c r="I2524" s="5" t="str">
        <f>VLOOKUP(F2524,'Set up'!$A$2:$C$48,3,FALSE)</f>
        <v>Cash</v>
      </c>
      <c r="J2524" s="5">
        <f>VLOOKUP(F2524,'Set up'!$A$2:$D$48,4,FALSE)</f>
        <v>0</v>
      </c>
      <c r="K2524" s="4">
        <f t="shared" si="860"/>
        <v>45297</v>
      </c>
      <c r="L2524" s="5">
        <f t="shared" si="861"/>
        <v>1</v>
      </c>
      <c r="M2524" s="5">
        <f t="shared" si="862"/>
        <v>2024</v>
      </c>
      <c r="N2524" s="6">
        <v>424.8</v>
      </c>
      <c r="P2524" s="6">
        <f t="shared" si="863"/>
        <v>424.8</v>
      </c>
      <c r="Q2524" s="7">
        <f t="shared" si="850"/>
        <v>4098054.9500000016</v>
      </c>
      <c r="R2524" s="44" t="str">
        <f>VLOOKUP(F2524,'Set up'!$A$2:$E$48,5,FALSE)</f>
        <v>Trsf</v>
      </c>
    </row>
    <row r="2525" spans="1:18" ht="15" hidden="1" customHeight="1" x14ac:dyDescent="0.3">
      <c r="A2525" s="4">
        <v>45299</v>
      </c>
      <c r="B2525" s="5">
        <f t="shared" si="858"/>
        <v>1</v>
      </c>
      <c r="C2525" s="5">
        <f t="shared" si="859"/>
        <v>2024</v>
      </c>
      <c r="D2525" s="5" t="s">
        <v>2354</v>
      </c>
      <c r="E2525" s="5" t="str">
        <f>VLOOKUP(F2525,'Set up'!$A$2:$C$48,2,FALSE)</f>
        <v>C00000009</v>
      </c>
      <c r="F2525" s="1" t="s">
        <v>58</v>
      </c>
      <c r="G2525" s="11" t="s">
        <v>95</v>
      </c>
      <c r="H2525" s="5">
        <v>2</v>
      </c>
      <c r="I2525" s="5">
        <f>VLOOKUP(F2525,'Set up'!$A$2:$C$48,3,FALSE)</f>
        <v>60</v>
      </c>
      <c r="J2525" s="5">
        <f>VLOOKUP(F2525,'Set up'!$A$2:$D$48,4,FALSE)</f>
        <v>60</v>
      </c>
      <c r="K2525" s="4">
        <f t="shared" si="860"/>
        <v>45359</v>
      </c>
      <c r="L2525" s="5">
        <f t="shared" si="861"/>
        <v>3</v>
      </c>
      <c r="M2525" s="5">
        <f t="shared" si="862"/>
        <v>2024</v>
      </c>
      <c r="N2525" s="6">
        <v>3212</v>
      </c>
      <c r="P2525" s="6">
        <f t="shared" si="863"/>
        <v>3212</v>
      </c>
      <c r="Q2525" s="7">
        <f t="shared" si="850"/>
        <v>4101266.9500000016</v>
      </c>
      <c r="R2525" s="44" t="str">
        <f>VLOOKUP(F2525,'Set up'!$A$2:$E$48,5,FALSE)</f>
        <v>Chq</v>
      </c>
    </row>
    <row r="2526" spans="1:18" ht="15" hidden="1" customHeight="1" x14ac:dyDescent="0.3">
      <c r="A2526" s="4">
        <v>45299</v>
      </c>
      <c r="B2526" s="5">
        <f t="shared" si="858"/>
        <v>1</v>
      </c>
      <c r="C2526" s="5">
        <f t="shared" si="859"/>
        <v>2024</v>
      </c>
      <c r="D2526" s="5" t="s">
        <v>2354</v>
      </c>
      <c r="E2526" s="5" t="str">
        <f>VLOOKUP(F2526,'Set up'!$A$2:$C$48,2,FALSE)</f>
        <v>C00000009</v>
      </c>
      <c r="F2526" s="1" t="s">
        <v>58</v>
      </c>
      <c r="G2526" s="11" t="s">
        <v>287</v>
      </c>
      <c r="H2526" s="5">
        <v>1</v>
      </c>
      <c r="I2526" s="5">
        <f>VLOOKUP(F2526,'Set up'!$A$2:$C$48,3,FALSE)</f>
        <v>60</v>
      </c>
      <c r="J2526" s="5">
        <f>VLOOKUP(F2526,'Set up'!$A$2:$D$48,4,FALSE)</f>
        <v>60</v>
      </c>
      <c r="K2526" s="4">
        <f t="shared" si="860"/>
        <v>45359</v>
      </c>
      <c r="L2526" s="5">
        <f t="shared" si="861"/>
        <v>3</v>
      </c>
      <c r="M2526" s="5">
        <f t="shared" si="862"/>
        <v>2024</v>
      </c>
      <c r="N2526" s="6">
        <v>1606</v>
      </c>
      <c r="P2526" s="6">
        <f t="shared" si="863"/>
        <v>1606</v>
      </c>
      <c r="Q2526" s="7">
        <f t="shared" si="850"/>
        <v>4102872.9500000016</v>
      </c>
      <c r="R2526" s="44" t="str">
        <f>VLOOKUP(F2526,'Set up'!$A$2:$E$48,5,FALSE)</f>
        <v>Chq</v>
      </c>
    </row>
    <row r="2527" spans="1:18" ht="15" hidden="1" customHeight="1" x14ac:dyDescent="0.3">
      <c r="A2527" s="4">
        <v>45299</v>
      </c>
      <c r="B2527" s="5">
        <f t="shared" si="858"/>
        <v>1</v>
      </c>
      <c r="C2527" s="5">
        <f t="shared" si="859"/>
        <v>2024</v>
      </c>
      <c r="D2527" s="5" t="s">
        <v>2354</v>
      </c>
      <c r="E2527" s="5" t="str">
        <f>VLOOKUP(F2527,'Set up'!$A$2:$C$48,2,FALSE)</f>
        <v>C00000009</v>
      </c>
      <c r="F2527" s="1" t="s">
        <v>58</v>
      </c>
      <c r="G2527" s="89" t="s">
        <v>1412</v>
      </c>
      <c r="H2527" s="5">
        <v>2</v>
      </c>
      <c r="I2527" s="5">
        <f>VLOOKUP(F2527,'Set up'!$A$2:$C$48,3,FALSE)</f>
        <v>60</v>
      </c>
      <c r="J2527" s="5">
        <f>VLOOKUP(F2527,'Set up'!$A$2:$D$48,4,FALSE)</f>
        <v>60</v>
      </c>
      <c r="K2527" s="4">
        <f t="shared" si="860"/>
        <v>45359</v>
      </c>
      <c r="L2527" s="5">
        <f t="shared" si="861"/>
        <v>3</v>
      </c>
      <c r="M2527" s="5">
        <f t="shared" si="862"/>
        <v>2024</v>
      </c>
      <c r="N2527" s="6">
        <v>626.4</v>
      </c>
      <c r="P2527" s="6">
        <f t="shared" si="863"/>
        <v>626.4</v>
      </c>
      <c r="Q2527" s="7">
        <f t="shared" si="850"/>
        <v>4103499.3500000015</v>
      </c>
      <c r="R2527" s="44" t="str">
        <f>VLOOKUP(F2527,'Set up'!$A$2:$E$48,5,FALSE)</f>
        <v>Chq</v>
      </c>
    </row>
    <row r="2528" spans="1:18" ht="15" hidden="1" customHeight="1" x14ac:dyDescent="0.3">
      <c r="A2528" s="4">
        <v>45299</v>
      </c>
      <c r="B2528" s="5">
        <f t="shared" si="858"/>
        <v>1</v>
      </c>
      <c r="C2528" s="5">
        <f t="shared" si="859"/>
        <v>2024</v>
      </c>
      <c r="D2528" s="5" t="s">
        <v>2354</v>
      </c>
      <c r="E2528" s="5" t="str">
        <f>VLOOKUP(F2528,'Set up'!$A$2:$C$48,2,FALSE)</f>
        <v>C00000009</v>
      </c>
      <c r="F2528" s="1" t="s">
        <v>58</v>
      </c>
      <c r="G2528" s="90" t="s">
        <v>2206</v>
      </c>
      <c r="H2528" s="5">
        <v>2</v>
      </c>
      <c r="I2528" s="5">
        <f>VLOOKUP(F2528,'Set up'!$A$2:$C$48,3,FALSE)</f>
        <v>60</v>
      </c>
      <c r="J2528" s="5">
        <f>VLOOKUP(F2528,'Set up'!$A$2:$D$48,4,FALSE)</f>
        <v>60</v>
      </c>
      <c r="K2528" s="4">
        <f t="shared" si="860"/>
        <v>45359</v>
      </c>
      <c r="L2528" s="5">
        <f t="shared" si="861"/>
        <v>3</v>
      </c>
      <c r="M2528" s="5">
        <f t="shared" si="862"/>
        <v>2024</v>
      </c>
      <c r="N2528" s="6">
        <v>626.4</v>
      </c>
      <c r="P2528" s="6">
        <f t="shared" si="863"/>
        <v>626.4</v>
      </c>
      <c r="Q2528" s="7">
        <f t="shared" ref="Q2528:Q2591" si="864">SUM(Q2527+N2528)</f>
        <v>4104125.7500000014</v>
      </c>
      <c r="R2528" s="44" t="str">
        <f>VLOOKUP(F2528,'Set up'!$A$2:$E$48,5,FALSE)</f>
        <v>Chq</v>
      </c>
    </row>
    <row r="2529" spans="1:19" ht="15" hidden="1" customHeight="1" x14ac:dyDescent="0.3">
      <c r="A2529" s="4">
        <v>45299</v>
      </c>
      <c r="B2529" s="5">
        <f t="shared" si="858"/>
        <v>1</v>
      </c>
      <c r="C2529" s="5">
        <f t="shared" si="859"/>
        <v>2024</v>
      </c>
      <c r="D2529" s="5" t="s">
        <v>2354</v>
      </c>
      <c r="E2529" s="5" t="str">
        <f>VLOOKUP(F2529,'Set up'!$A$2:$C$48,2,FALSE)</f>
        <v>C00000009</v>
      </c>
      <c r="F2529" s="1" t="s">
        <v>58</v>
      </c>
      <c r="G2529" s="90" t="s">
        <v>46</v>
      </c>
      <c r="H2529" s="5">
        <v>2</v>
      </c>
      <c r="I2529" s="5">
        <f>VLOOKUP(F2529,'Set up'!$A$2:$C$48,3,FALSE)</f>
        <v>60</v>
      </c>
      <c r="J2529" s="5">
        <f>VLOOKUP(F2529,'Set up'!$A$2:$D$48,4,FALSE)</f>
        <v>60</v>
      </c>
      <c r="K2529" s="4">
        <f t="shared" si="860"/>
        <v>45359</v>
      </c>
      <c r="L2529" s="5">
        <f t="shared" si="861"/>
        <v>3</v>
      </c>
      <c r="M2529" s="5">
        <f t="shared" si="862"/>
        <v>2024</v>
      </c>
      <c r="N2529" s="6">
        <v>220</v>
      </c>
      <c r="P2529" s="6">
        <f t="shared" si="863"/>
        <v>220</v>
      </c>
      <c r="Q2529" s="7">
        <f t="shared" si="864"/>
        <v>4104345.7500000014</v>
      </c>
      <c r="R2529" s="44" t="str">
        <f>VLOOKUP(F2529,'Set up'!$A$2:$E$48,5,FALSE)</f>
        <v>Chq</v>
      </c>
    </row>
    <row r="2530" spans="1:19" ht="15" hidden="1" customHeight="1" x14ac:dyDescent="0.3">
      <c r="A2530" s="4">
        <v>45300</v>
      </c>
      <c r="B2530" s="5">
        <f t="shared" si="858"/>
        <v>1</v>
      </c>
      <c r="C2530" s="5">
        <f t="shared" si="859"/>
        <v>2024</v>
      </c>
      <c r="D2530" s="5" t="s">
        <v>2355</v>
      </c>
      <c r="E2530" s="5" t="str">
        <f>VLOOKUP(F2530,'Set up'!$A$2:$C$48,2,FALSE)</f>
        <v>C00000044</v>
      </c>
      <c r="F2530" s="1" t="s">
        <v>2213</v>
      </c>
      <c r="G2530" s="95" t="s">
        <v>304</v>
      </c>
      <c r="H2530" s="5">
        <v>1</v>
      </c>
      <c r="I2530" s="5" t="str">
        <f>VLOOKUP(F2530,'Set up'!$A$2:$C$48,3,FALSE)</f>
        <v>Cash</v>
      </c>
      <c r="J2530" s="5">
        <f>VLOOKUP(F2530,'Set up'!$A$2:$D$48,4,FALSE)</f>
        <v>0</v>
      </c>
      <c r="K2530" s="4">
        <f t="shared" si="860"/>
        <v>45300</v>
      </c>
      <c r="L2530" s="5">
        <f t="shared" si="861"/>
        <v>1</v>
      </c>
      <c r="M2530" s="5">
        <f t="shared" si="862"/>
        <v>2024</v>
      </c>
      <c r="N2530" s="6">
        <v>1606</v>
      </c>
      <c r="O2530" s="6">
        <f t="shared" ref="O2530:O2531" si="865">-N2530</f>
        <v>-1606</v>
      </c>
      <c r="P2530" s="6">
        <f t="shared" si="863"/>
        <v>0</v>
      </c>
      <c r="Q2530" s="7">
        <f t="shared" si="864"/>
        <v>4105951.7500000014</v>
      </c>
      <c r="R2530" s="44" t="str">
        <f>VLOOKUP(F2530,'Set up'!$A$2:$E$48,5,FALSE)</f>
        <v>Trsf</v>
      </c>
      <c r="S2530" s="1" t="s">
        <v>2386</v>
      </c>
    </row>
    <row r="2531" spans="1:19" ht="15" hidden="1" customHeight="1" x14ac:dyDescent="0.3">
      <c r="A2531" s="4">
        <v>45300</v>
      </c>
      <c r="B2531" s="5">
        <f t="shared" si="858"/>
        <v>1</v>
      </c>
      <c r="C2531" s="5">
        <f t="shared" si="859"/>
        <v>2024</v>
      </c>
      <c r="D2531" s="5" t="s">
        <v>2355</v>
      </c>
      <c r="E2531" s="5" t="str">
        <f>VLOOKUP(F2531,'Set up'!$A$2:$C$48,2,FALSE)</f>
        <v>C00000044</v>
      </c>
      <c r="F2531" s="1" t="s">
        <v>2213</v>
      </c>
      <c r="G2531" s="90" t="s">
        <v>1544</v>
      </c>
      <c r="H2531" s="5">
        <v>3</v>
      </c>
      <c r="I2531" s="5" t="str">
        <f>VLOOKUP(F2531,'Set up'!$A$2:$C$48,3,FALSE)</f>
        <v>Cash</v>
      </c>
      <c r="J2531" s="5">
        <f>VLOOKUP(F2531,'Set up'!$A$2:$D$48,4,FALSE)</f>
        <v>0</v>
      </c>
      <c r="K2531" s="4">
        <f t="shared" si="860"/>
        <v>45300</v>
      </c>
      <c r="L2531" s="5">
        <f t="shared" si="861"/>
        <v>1</v>
      </c>
      <c r="M2531" s="5">
        <f t="shared" si="862"/>
        <v>2024</v>
      </c>
      <c r="N2531" s="6">
        <v>630</v>
      </c>
      <c r="O2531" s="6">
        <f t="shared" si="865"/>
        <v>-630</v>
      </c>
      <c r="P2531" s="6">
        <f t="shared" si="863"/>
        <v>0</v>
      </c>
      <c r="Q2531" s="7">
        <f t="shared" si="864"/>
        <v>4106581.7500000014</v>
      </c>
      <c r="R2531" s="44" t="str">
        <f>VLOOKUP(F2531,'Set up'!$A$2:$E$48,5,FALSE)</f>
        <v>Trsf</v>
      </c>
      <c r="S2531" s="1" t="s">
        <v>2386</v>
      </c>
    </row>
    <row r="2532" spans="1:19" ht="15" hidden="1" customHeight="1" x14ac:dyDescent="0.3">
      <c r="A2532" s="4">
        <v>45301</v>
      </c>
      <c r="B2532" s="5">
        <f t="shared" si="858"/>
        <v>1</v>
      </c>
      <c r="C2532" s="5">
        <f t="shared" si="859"/>
        <v>2024</v>
      </c>
      <c r="D2532" s="5" t="s">
        <v>2356</v>
      </c>
      <c r="E2532" s="5" t="str">
        <f>VLOOKUP(F2532,'Set up'!$A$2:$C$48,2,FALSE)</f>
        <v>C00000019</v>
      </c>
      <c r="F2532" s="1" t="s">
        <v>401</v>
      </c>
      <c r="G2532" s="90" t="s">
        <v>95</v>
      </c>
      <c r="H2532" s="5">
        <v>1</v>
      </c>
      <c r="I2532" s="5" t="str">
        <f>VLOOKUP(F2532,'Set up'!$A$2:$C$48,3,FALSE)</f>
        <v>Cash</v>
      </c>
      <c r="J2532" s="5">
        <f>VLOOKUP(F2532,'Set up'!$A$2:$D$48,4,FALSE)</f>
        <v>0</v>
      </c>
      <c r="K2532" s="4">
        <f t="shared" si="860"/>
        <v>45301</v>
      </c>
      <c r="L2532" s="5">
        <f t="shared" si="861"/>
        <v>1</v>
      </c>
      <c r="M2532" s="5">
        <f t="shared" si="862"/>
        <v>2024</v>
      </c>
      <c r="N2532" s="6">
        <v>1738</v>
      </c>
      <c r="P2532" s="6">
        <f t="shared" si="863"/>
        <v>1738</v>
      </c>
      <c r="Q2532" s="7">
        <f t="shared" si="864"/>
        <v>4108319.7500000014</v>
      </c>
      <c r="R2532" s="44" t="str">
        <f>VLOOKUP(F2532,'Set up'!$A$2:$E$48,5,FALSE)</f>
        <v>Trsf</v>
      </c>
    </row>
    <row r="2533" spans="1:19" ht="15" hidden="1" customHeight="1" x14ac:dyDescent="0.3">
      <c r="A2533" s="4">
        <v>45301</v>
      </c>
      <c r="B2533" s="5">
        <f t="shared" si="858"/>
        <v>1</v>
      </c>
      <c r="C2533" s="5">
        <f t="shared" si="859"/>
        <v>2024</v>
      </c>
      <c r="D2533" s="5" t="s">
        <v>2356</v>
      </c>
      <c r="E2533" s="5" t="str">
        <f>VLOOKUP(F2533,'Set up'!$A$2:$C$48,2,FALSE)</f>
        <v>C00000019</v>
      </c>
      <c r="F2533" s="1" t="s">
        <v>401</v>
      </c>
      <c r="G2533" s="90" t="s">
        <v>895</v>
      </c>
      <c r="H2533" s="5">
        <v>1</v>
      </c>
      <c r="I2533" s="5" t="str">
        <f>VLOOKUP(F2533,'Set up'!$A$2:$C$48,3,FALSE)</f>
        <v>Cash</v>
      </c>
      <c r="J2533" s="5">
        <f>VLOOKUP(F2533,'Set up'!$A$2:$D$48,4,FALSE)</f>
        <v>0</v>
      </c>
      <c r="K2533" s="4">
        <f t="shared" si="860"/>
        <v>45301</v>
      </c>
      <c r="L2533" s="5">
        <f t="shared" si="861"/>
        <v>1</v>
      </c>
      <c r="M2533" s="5">
        <f t="shared" si="862"/>
        <v>2024</v>
      </c>
      <c r="N2533" s="6">
        <v>150</v>
      </c>
      <c r="P2533" s="6">
        <f t="shared" si="863"/>
        <v>150</v>
      </c>
      <c r="Q2533" s="7">
        <f t="shared" si="864"/>
        <v>4108469.7500000014</v>
      </c>
      <c r="R2533" s="44" t="str">
        <f>VLOOKUP(F2533,'Set up'!$A$2:$E$48,5,FALSE)</f>
        <v>Trsf</v>
      </c>
    </row>
    <row r="2534" spans="1:19" ht="15" hidden="1" customHeight="1" x14ac:dyDescent="0.3">
      <c r="A2534" s="4">
        <v>45301</v>
      </c>
      <c r="B2534" s="5">
        <f t="shared" si="858"/>
        <v>1</v>
      </c>
      <c r="C2534" s="5">
        <f t="shared" si="859"/>
        <v>2024</v>
      </c>
      <c r="D2534" s="5" t="s">
        <v>2356</v>
      </c>
      <c r="E2534" s="5" t="str">
        <f>VLOOKUP(F2534,'Set up'!$A$2:$C$48,2,FALSE)</f>
        <v>C00000019</v>
      </c>
      <c r="F2534" s="1" t="s">
        <v>401</v>
      </c>
      <c r="G2534" s="90" t="s">
        <v>2208</v>
      </c>
      <c r="H2534" s="5">
        <v>3</v>
      </c>
      <c r="I2534" s="5" t="str">
        <f>VLOOKUP(F2534,'Set up'!$A$2:$C$48,3,FALSE)</f>
        <v>Cash</v>
      </c>
      <c r="J2534" s="5">
        <f>VLOOKUP(F2534,'Set up'!$A$2:$D$48,4,FALSE)</f>
        <v>0</v>
      </c>
      <c r="K2534" s="4">
        <f t="shared" si="860"/>
        <v>45301</v>
      </c>
      <c r="L2534" s="5">
        <f t="shared" si="861"/>
        <v>1</v>
      </c>
      <c r="M2534" s="5">
        <f t="shared" si="862"/>
        <v>2024</v>
      </c>
      <c r="N2534" s="6">
        <v>187.5</v>
      </c>
      <c r="P2534" s="6">
        <f t="shared" si="863"/>
        <v>187.5</v>
      </c>
      <c r="Q2534" s="7">
        <f t="shared" si="864"/>
        <v>4108657.2500000014</v>
      </c>
      <c r="R2534" s="44" t="str">
        <f>VLOOKUP(F2534,'Set up'!$A$2:$E$48,5,FALSE)</f>
        <v>Trsf</v>
      </c>
    </row>
    <row r="2535" spans="1:19" ht="15" customHeight="1" x14ac:dyDescent="0.3">
      <c r="A2535" s="4">
        <v>45301</v>
      </c>
      <c r="B2535" s="5">
        <f t="shared" si="858"/>
        <v>1</v>
      </c>
      <c r="C2535" s="5">
        <f t="shared" si="859"/>
        <v>2024</v>
      </c>
      <c r="D2535" s="5" t="s">
        <v>2357</v>
      </c>
      <c r="E2535" s="5" t="str">
        <f>VLOOKUP(F2535,'Set up'!$A$2:$C$48,2,FALSE)</f>
        <v>C00000042</v>
      </c>
      <c r="F2535" s="1" t="s">
        <v>2014</v>
      </c>
      <c r="G2535" s="103" t="s">
        <v>2203</v>
      </c>
      <c r="H2535" s="5">
        <v>3</v>
      </c>
      <c r="I2535" s="5" t="str">
        <f>VLOOKUP(F2535,'Set up'!$A$2:$C$48,3,FALSE)</f>
        <v>Cash</v>
      </c>
      <c r="J2535" s="5">
        <f>VLOOKUP(F2535,'Set up'!$A$2:$D$48,4,FALSE)</f>
        <v>0</v>
      </c>
      <c r="K2535" s="4">
        <f t="shared" si="860"/>
        <v>45301</v>
      </c>
      <c r="L2535" s="5">
        <f t="shared" si="861"/>
        <v>1</v>
      </c>
      <c r="M2535" s="5">
        <f t="shared" si="862"/>
        <v>2024</v>
      </c>
      <c r="N2535" s="6">
        <v>187.5</v>
      </c>
      <c r="P2535" s="6">
        <f t="shared" si="863"/>
        <v>187.5</v>
      </c>
      <c r="Q2535" s="7">
        <f t="shared" si="864"/>
        <v>4108844.7500000014</v>
      </c>
      <c r="R2535" s="44" t="str">
        <f>VLOOKUP(F2535,'Set up'!$A$2:$E$50,5,FALSE)</f>
        <v>Trsf</v>
      </c>
    </row>
    <row r="2536" spans="1:19" ht="15" customHeight="1" x14ac:dyDescent="0.3">
      <c r="A2536" s="4">
        <v>45301</v>
      </c>
      <c r="B2536" s="5">
        <f t="shared" si="858"/>
        <v>1</v>
      </c>
      <c r="C2536" s="5">
        <f t="shared" si="859"/>
        <v>2024</v>
      </c>
      <c r="D2536" s="5" t="s">
        <v>2358</v>
      </c>
      <c r="E2536" s="5" t="str">
        <f>VLOOKUP(F2536,'Set up'!$A$2:$C$48,2,FALSE)</f>
        <v>C00000042</v>
      </c>
      <c r="F2536" s="1" t="s">
        <v>2014</v>
      </c>
      <c r="G2536" s="103" t="s">
        <v>1895</v>
      </c>
      <c r="H2536" s="5">
        <v>6</v>
      </c>
      <c r="I2536" s="5" t="str">
        <f>VLOOKUP(F2536,'Set up'!$A$2:$C$48,3,FALSE)</f>
        <v>Cash</v>
      </c>
      <c r="J2536" s="5">
        <f>VLOOKUP(F2536,'Set up'!$A$2:$D$48,4,FALSE)</f>
        <v>0</v>
      </c>
      <c r="K2536" s="4">
        <f t="shared" si="860"/>
        <v>45301</v>
      </c>
      <c r="L2536" s="5">
        <f t="shared" si="861"/>
        <v>1</v>
      </c>
      <c r="M2536" s="5">
        <f t="shared" si="862"/>
        <v>2024</v>
      </c>
      <c r="N2536" s="6">
        <v>9636</v>
      </c>
      <c r="P2536" s="6">
        <f t="shared" si="863"/>
        <v>9636</v>
      </c>
      <c r="Q2536" s="7">
        <f t="shared" si="864"/>
        <v>4118480.7500000014</v>
      </c>
      <c r="R2536" s="44" t="str">
        <f>VLOOKUP(F2536,'Set up'!$A$2:$E$50,5,FALSE)</f>
        <v>Trsf</v>
      </c>
    </row>
    <row r="2537" spans="1:19" ht="15" customHeight="1" x14ac:dyDescent="0.3">
      <c r="A2537" s="4">
        <v>45301</v>
      </c>
      <c r="B2537" s="5">
        <f t="shared" si="858"/>
        <v>1</v>
      </c>
      <c r="C2537" s="5">
        <f t="shared" si="859"/>
        <v>2024</v>
      </c>
      <c r="D2537" s="5" t="s">
        <v>2358</v>
      </c>
      <c r="E2537" s="5" t="str">
        <f>VLOOKUP(F2537,'Set up'!$A$2:$C$48,2,FALSE)</f>
        <v>C00000042</v>
      </c>
      <c r="F2537" s="1" t="s">
        <v>2014</v>
      </c>
      <c r="G2537" s="90" t="s">
        <v>2359</v>
      </c>
      <c r="H2537" s="5">
        <v>5</v>
      </c>
      <c r="I2537" s="5" t="str">
        <f>VLOOKUP(F2537,'Set up'!$A$2:$C$48,3,FALSE)</f>
        <v>Cash</v>
      </c>
      <c r="J2537" s="5">
        <f>VLOOKUP(F2537,'Set up'!$A$2:$D$48,4,FALSE)</f>
        <v>0</v>
      </c>
      <c r="K2537" s="4">
        <f t="shared" si="860"/>
        <v>45301</v>
      </c>
      <c r="L2537" s="5">
        <f t="shared" si="861"/>
        <v>1</v>
      </c>
      <c r="M2537" s="5">
        <f t="shared" si="862"/>
        <v>2024</v>
      </c>
      <c r="N2537" s="6">
        <v>1073</v>
      </c>
      <c r="P2537" s="6">
        <f t="shared" si="863"/>
        <v>1073</v>
      </c>
      <c r="Q2537" s="7">
        <f t="shared" si="864"/>
        <v>4119553.7500000014</v>
      </c>
      <c r="R2537" s="44" t="str">
        <f>VLOOKUP(F2537,'Set up'!$A$2:$E$50,5,FALSE)</f>
        <v>Trsf</v>
      </c>
    </row>
    <row r="2538" spans="1:19" ht="15" customHeight="1" x14ac:dyDescent="0.3">
      <c r="A2538" s="4">
        <v>45301</v>
      </c>
      <c r="B2538" s="5">
        <f t="shared" si="858"/>
        <v>1</v>
      </c>
      <c r="C2538" s="5">
        <f t="shared" si="859"/>
        <v>2024</v>
      </c>
      <c r="D2538" s="5" t="s">
        <v>2358</v>
      </c>
      <c r="E2538" s="5" t="str">
        <f>VLOOKUP(F2538,'Set up'!$A$2:$C$48,2,FALSE)</f>
        <v>C00000042</v>
      </c>
      <c r="F2538" s="1" t="s">
        <v>2014</v>
      </c>
      <c r="G2538" s="90" t="s">
        <v>1797</v>
      </c>
      <c r="H2538" s="5">
        <v>10</v>
      </c>
      <c r="I2538" s="5" t="str">
        <f>VLOOKUP(F2538,'Set up'!$A$2:$C$48,3,FALSE)</f>
        <v>Cash</v>
      </c>
      <c r="J2538" s="5">
        <f>VLOOKUP(F2538,'Set up'!$A$2:$D$48,4,FALSE)</f>
        <v>0</v>
      </c>
      <c r="K2538" s="4">
        <f t="shared" si="860"/>
        <v>45301</v>
      </c>
      <c r="L2538" s="5">
        <f t="shared" si="861"/>
        <v>1</v>
      </c>
      <c r="M2538" s="5">
        <f t="shared" si="862"/>
        <v>2024</v>
      </c>
      <c r="N2538" s="6">
        <v>1740</v>
      </c>
      <c r="P2538" s="6">
        <f t="shared" si="863"/>
        <v>1740</v>
      </c>
      <c r="Q2538" s="7">
        <f t="shared" si="864"/>
        <v>4121293.7500000014</v>
      </c>
      <c r="R2538" s="44" t="str">
        <f>VLOOKUP(F2538,'Set up'!$A$2:$E$50,5,FALSE)</f>
        <v>Trsf</v>
      </c>
    </row>
    <row r="2539" spans="1:19" ht="15" customHeight="1" x14ac:dyDescent="0.3">
      <c r="A2539" s="4">
        <v>45301</v>
      </c>
      <c r="B2539" s="5">
        <f t="shared" si="858"/>
        <v>1</v>
      </c>
      <c r="C2539" s="5">
        <f t="shared" si="859"/>
        <v>2024</v>
      </c>
      <c r="D2539" s="5" t="s">
        <v>2358</v>
      </c>
      <c r="E2539" s="5" t="str">
        <f>VLOOKUP(F2539,'Set up'!$A$2:$C$48,2,FALSE)</f>
        <v>C00000042</v>
      </c>
      <c r="F2539" s="1" t="s">
        <v>2014</v>
      </c>
      <c r="G2539" s="90" t="s">
        <v>1923</v>
      </c>
      <c r="H2539" s="5">
        <v>7</v>
      </c>
      <c r="I2539" s="5" t="str">
        <f>VLOOKUP(F2539,'Set up'!$A$2:$C$48,3,FALSE)</f>
        <v>Cash</v>
      </c>
      <c r="J2539" s="5">
        <f>VLOOKUP(F2539,'Set up'!$A$2:$D$48,4,FALSE)</f>
        <v>0</v>
      </c>
      <c r="K2539" s="4">
        <f t="shared" si="860"/>
        <v>45301</v>
      </c>
      <c r="L2539" s="5">
        <f t="shared" si="861"/>
        <v>1</v>
      </c>
      <c r="M2539" s="5">
        <f t="shared" si="862"/>
        <v>2024</v>
      </c>
      <c r="N2539" s="6">
        <v>1638</v>
      </c>
      <c r="P2539" s="6">
        <f t="shared" si="863"/>
        <v>1638</v>
      </c>
      <c r="Q2539" s="7">
        <f t="shared" si="864"/>
        <v>4122931.7500000014</v>
      </c>
      <c r="R2539" s="44" t="str">
        <f>VLOOKUP(F2539,'Set up'!$A$2:$E$50,5,FALSE)</f>
        <v>Trsf</v>
      </c>
    </row>
    <row r="2540" spans="1:19" ht="15" customHeight="1" x14ac:dyDescent="0.3">
      <c r="A2540" s="4">
        <v>45301</v>
      </c>
      <c r="B2540" s="5">
        <f t="shared" si="858"/>
        <v>1</v>
      </c>
      <c r="C2540" s="5">
        <f t="shared" si="859"/>
        <v>2024</v>
      </c>
      <c r="D2540" s="5" t="s">
        <v>2358</v>
      </c>
      <c r="E2540" s="5" t="str">
        <f>VLOOKUP(F2540,'Set up'!$A$2:$C$48,2,FALSE)</f>
        <v>C00000042</v>
      </c>
      <c r="F2540" s="1" t="s">
        <v>2014</v>
      </c>
      <c r="G2540" s="90" t="s">
        <v>1074</v>
      </c>
      <c r="H2540" s="5">
        <v>1</v>
      </c>
      <c r="I2540" s="5" t="str">
        <f>VLOOKUP(F2540,'Set up'!$A$2:$C$48,3,FALSE)</f>
        <v>Cash</v>
      </c>
      <c r="J2540" s="5">
        <f>VLOOKUP(F2540,'Set up'!$A$2:$D$48,4,FALSE)</f>
        <v>0</v>
      </c>
      <c r="K2540" s="4">
        <f t="shared" si="860"/>
        <v>45301</v>
      </c>
      <c r="L2540" s="5">
        <f t="shared" si="861"/>
        <v>1</v>
      </c>
      <c r="M2540" s="5">
        <f t="shared" si="862"/>
        <v>2024</v>
      </c>
      <c r="N2540" s="6">
        <v>1000</v>
      </c>
      <c r="P2540" s="6">
        <f t="shared" si="863"/>
        <v>1000</v>
      </c>
      <c r="Q2540" s="7">
        <f t="shared" si="864"/>
        <v>4123931.7500000014</v>
      </c>
      <c r="R2540" s="44" t="str">
        <f>VLOOKUP(F2540,'Set up'!$A$2:$E$50,5,FALSE)</f>
        <v>Trsf</v>
      </c>
    </row>
    <row r="2541" spans="1:19" ht="15" hidden="1" customHeight="1" x14ac:dyDescent="0.3">
      <c r="A2541" s="4">
        <v>45303</v>
      </c>
      <c r="B2541" s="5">
        <f t="shared" si="858"/>
        <v>1</v>
      </c>
      <c r="C2541" s="5">
        <f t="shared" si="859"/>
        <v>2024</v>
      </c>
      <c r="D2541" s="5" t="s">
        <v>2360</v>
      </c>
      <c r="E2541" s="5" t="str">
        <f>VLOOKUP(F2541,'Set up'!$A$2:$C$48,2,FALSE)</f>
        <v>C00000010</v>
      </c>
      <c r="F2541" s="1" t="s">
        <v>62</v>
      </c>
      <c r="G2541" s="95" t="s">
        <v>1179</v>
      </c>
      <c r="H2541" s="5">
        <v>6</v>
      </c>
      <c r="I2541" s="5">
        <f>VLOOKUP(F2541,'Set up'!$A$2:$C$48,3,FALSE)</f>
        <v>120</v>
      </c>
      <c r="J2541" s="5">
        <f>VLOOKUP(F2541,'Set up'!$A$2:$D$48,4,FALSE)</f>
        <v>120</v>
      </c>
      <c r="K2541" s="4">
        <f t="shared" si="860"/>
        <v>45423</v>
      </c>
      <c r="L2541" s="5">
        <f t="shared" si="861"/>
        <v>5</v>
      </c>
      <c r="M2541" s="5">
        <f t="shared" si="862"/>
        <v>2024</v>
      </c>
      <c r="N2541" s="6">
        <v>9636</v>
      </c>
      <c r="P2541" s="6">
        <f t="shared" si="863"/>
        <v>9636</v>
      </c>
      <c r="Q2541" s="7">
        <f t="shared" si="864"/>
        <v>4133567.7500000014</v>
      </c>
      <c r="R2541" s="44" t="str">
        <f>VLOOKUP(F2541,'Set up'!$A$2:$E$48,5,FALSE)</f>
        <v>Trsf</v>
      </c>
    </row>
    <row r="2542" spans="1:19" ht="15" hidden="1" customHeight="1" x14ac:dyDescent="0.3">
      <c r="A2542" s="4">
        <v>45303</v>
      </c>
      <c r="B2542" s="5">
        <f t="shared" si="858"/>
        <v>1</v>
      </c>
      <c r="C2542" s="5">
        <f t="shared" si="859"/>
        <v>2024</v>
      </c>
      <c r="D2542" s="5" t="s">
        <v>2360</v>
      </c>
      <c r="E2542" s="5" t="str">
        <f>VLOOKUP(F2542,'Set up'!$A$2:$C$48,2,FALSE)</f>
        <v>C00000010</v>
      </c>
      <c r="F2542" s="1" t="s">
        <v>62</v>
      </c>
      <c r="G2542" s="90" t="s">
        <v>2202</v>
      </c>
      <c r="H2542" s="5">
        <v>10</v>
      </c>
      <c r="I2542" s="5">
        <f>VLOOKUP(F2542,'Set up'!$A$2:$C$48,3,FALSE)</f>
        <v>120</v>
      </c>
      <c r="J2542" s="5">
        <f>VLOOKUP(F2542,'Set up'!$A$2:$D$48,4,FALSE)</f>
        <v>120</v>
      </c>
      <c r="K2542" s="4">
        <f t="shared" si="860"/>
        <v>45423</v>
      </c>
      <c r="L2542" s="5">
        <f t="shared" si="861"/>
        <v>5</v>
      </c>
      <c r="M2542" s="5">
        <f t="shared" si="862"/>
        <v>2024</v>
      </c>
      <c r="N2542" s="6">
        <v>2146</v>
      </c>
      <c r="P2542" s="6">
        <f t="shared" si="863"/>
        <v>2146</v>
      </c>
      <c r="Q2542" s="7">
        <f t="shared" si="864"/>
        <v>4135713.7500000014</v>
      </c>
      <c r="R2542" s="44" t="str">
        <f>VLOOKUP(F2542,'Set up'!$A$2:$E$48,5,FALSE)</f>
        <v>Trsf</v>
      </c>
    </row>
    <row r="2543" spans="1:19" ht="15" hidden="1" customHeight="1" x14ac:dyDescent="0.3">
      <c r="A2543" s="4">
        <v>45303</v>
      </c>
      <c r="B2543" s="5">
        <f t="shared" si="858"/>
        <v>1</v>
      </c>
      <c r="C2543" s="5">
        <f t="shared" si="859"/>
        <v>2024</v>
      </c>
      <c r="D2543" s="5" t="s">
        <v>2360</v>
      </c>
      <c r="E2543" s="5" t="str">
        <f>VLOOKUP(F2543,'Set up'!$A$2:$C$48,2,FALSE)</f>
        <v>C00000010</v>
      </c>
      <c r="F2543" s="1" t="s">
        <v>62</v>
      </c>
      <c r="G2543" s="90" t="s">
        <v>792</v>
      </c>
      <c r="H2543" s="5">
        <v>10</v>
      </c>
      <c r="I2543" s="5">
        <f>VLOOKUP(F2543,'Set up'!$A$2:$C$48,3,FALSE)</f>
        <v>120</v>
      </c>
      <c r="J2543" s="5">
        <f>VLOOKUP(F2543,'Set up'!$A$2:$D$48,4,FALSE)</f>
        <v>120</v>
      </c>
      <c r="K2543" s="4">
        <f t="shared" si="860"/>
        <v>45423</v>
      </c>
      <c r="L2543" s="5">
        <f t="shared" si="861"/>
        <v>5</v>
      </c>
      <c r="M2543" s="5">
        <f t="shared" si="862"/>
        <v>2024</v>
      </c>
      <c r="N2543" s="6">
        <v>575</v>
      </c>
      <c r="P2543" s="6">
        <f t="shared" si="863"/>
        <v>575</v>
      </c>
      <c r="Q2543" s="7">
        <f t="shared" si="864"/>
        <v>4136288.7500000014</v>
      </c>
      <c r="R2543" s="44" t="str">
        <f>VLOOKUP(F2543,'Set up'!$A$2:$E$48,5,FALSE)</f>
        <v>Trsf</v>
      </c>
    </row>
    <row r="2544" spans="1:19" ht="15" hidden="1" customHeight="1" x14ac:dyDescent="0.3">
      <c r="A2544" s="4">
        <v>45303</v>
      </c>
      <c r="B2544" s="5">
        <f t="shared" si="858"/>
        <v>1</v>
      </c>
      <c r="C2544" s="5">
        <f t="shared" si="859"/>
        <v>2024</v>
      </c>
      <c r="D2544" s="5" t="s">
        <v>2360</v>
      </c>
      <c r="E2544" s="5" t="str">
        <f>VLOOKUP(F2544,'Set up'!$A$2:$C$48,2,FALSE)</f>
        <v>C00000010</v>
      </c>
      <c r="F2544" s="1" t="s">
        <v>62</v>
      </c>
      <c r="G2544" s="11" t="s">
        <v>46</v>
      </c>
      <c r="H2544" s="5">
        <v>4</v>
      </c>
      <c r="I2544" s="5">
        <f>VLOOKUP(F2544,'Set up'!$A$2:$C$48,3,FALSE)</f>
        <v>120</v>
      </c>
      <c r="J2544" s="5">
        <f>VLOOKUP(F2544,'Set up'!$A$2:$D$48,4,FALSE)</f>
        <v>120</v>
      </c>
      <c r="K2544" s="4">
        <f t="shared" si="860"/>
        <v>45423</v>
      </c>
      <c r="L2544" s="5">
        <f t="shared" si="861"/>
        <v>5</v>
      </c>
      <c r="M2544" s="5">
        <f t="shared" si="862"/>
        <v>2024</v>
      </c>
      <c r="N2544" s="6">
        <v>440</v>
      </c>
      <c r="P2544" s="6">
        <f t="shared" si="863"/>
        <v>440</v>
      </c>
      <c r="Q2544" s="7">
        <f t="shared" si="864"/>
        <v>4136728.7500000014</v>
      </c>
      <c r="R2544" s="44" t="str">
        <f>VLOOKUP(F2544,'Set up'!$A$2:$E$48,5,FALSE)</f>
        <v>Trsf</v>
      </c>
    </row>
    <row r="2545" spans="1:18" ht="15" hidden="1" customHeight="1" x14ac:dyDescent="0.3">
      <c r="A2545" s="4">
        <v>45306</v>
      </c>
      <c r="B2545" s="5">
        <f t="shared" si="858"/>
        <v>1</v>
      </c>
      <c r="C2545" s="5">
        <f t="shared" si="859"/>
        <v>2024</v>
      </c>
      <c r="D2545" s="5" t="s">
        <v>2361</v>
      </c>
      <c r="E2545" s="5" t="str">
        <f>VLOOKUP(F2545,'Set up'!$A$2:$C$48,2,FALSE)</f>
        <v>C00000021</v>
      </c>
      <c r="F2545" s="1" t="s">
        <v>492</v>
      </c>
      <c r="G2545" s="107" t="s">
        <v>67</v>
      </c>
      <c r="H2545" s="5">
        <v>1</v>
      </c>
      <c r="I2545" s="5" t="str">
        <f>VLOOKUP(F2545,'Set up'!$A$2:$C$48,3,FALSE)</f>
        <v>Cash</v>
      </c>
      <c r="J2545" s="5">
        <f>VLOOKUP(F2545,'Set up'!$A$2:$D$48,4,FALSE)</f>
        <v>0</v>
      </c>
      <c r="K2545" s="4">
        <f t="shared" si="860"/>
        <v>45306</v>
      </c>
      <c r="L2545" s="5">
        <f t="shared" si="861"/>
        <v>1</v>
      </c>
      <c r="M2545" s="5">
        <f t="shared" si="862"/>
        <v>2024</v>
      </c>
      <c r="N2545" s="6">
        <v>1738</v>
      </c>
      <c r="P2545" s="6">
        <f t="shared" si="863"/>
        <v>1738</v>
      </c>
      <c r="Q2545" s="7">
        <f t="shared" si="864"/>
        <v>4138466.7500000014</v>
      </c>
      <c r="R2545" s="44" t="str">
        <f>VLOOKUP(F2545,'Set up'!$A$2:$E$48,5,FALSE)</f>
        <v>PD Chq</v>
      </c>
    </row>
    <row r="2546" spans="1:18" ht="15" hidden="1" customHeight="1" x14ac:dyDescent="0.3">
      <c r="A2546" s="4">
        <v>45306</v>
      </c>
      <c r="B2546" s="5">
        <f t="shared" si="858"/>
        <v>1</v>
      </c>
      <c r="C2546" s="5">
        <f t="shared" si="859"/>
        <v>2024</v>
      </c>
      <c r="D2546" s="5" t="s">
        <v>2361</v>
      </c>
      <c r="E2546" s="5" t="str">
        <f>VLOOKUP(F2546,'Set up'!$A$2:$C$48,2,FALSE)</f>
        <v>C00000021</v>
      </c>
      <c r="F2546" s="1" t="s">
        <v>492</v>
      </c>
      <c r="G2546" s="99" t="s">
        <v>2202</v>
      </c>
      <c r="H2546" s="5">
        <v>2</v>
      </c>
      <c r="I2546" s="5" t="str">
        <f>VLOOKUP(F2546,'Set up'!$A$2:$C$48,3,FALSE)</f>
        <v>Cash</v>
      </c>
      <c r="J2546" s="5">
        <f>VLOOKUP(F2546,'Set up'!$A$2:$D$48,4,FALSE)</f>
        <v>0</v>
      </c>
      <c r="K2546" s="4">
        <f t="shared" si="860"/>
        <v>45306</v>
      </c>
      <c r="L2546" s="5">
        <f t="shared" si="861"/>
        <v>1</v>
      </c>
      <c r="M2546" s="5">
        <f t="shared" si="862"/>
        <v>2024</v>
      </c>
      <c r="N2546" s="6">
        <v>555</v>
      </c>
      <c r="P2546" s="6">
        <f t="shared" si="863"/>
        <v>555</v>
      </c>
      <c r="Q2546" s="7">
        <f t="shared" si="864"/>
        <v>4139021.7500000014</v>
      </c>
      <c r="R2546" s="44" t="str">
        <f>VLOOKUP(F2546,'Set up'!$A$2:$E$48,5,FALSE)</f>
        <v>PD Chq</v>
      </c>
    </row>
    <row r="2547" spans="1:18" ht="15" hidden="1" customHeight="1" x14ac:dyDescent="0.3">
      <c r="A2547" s="4">
        <v>45306</v>
      </c>
      <c r="B2547" s="5">
        <f t="shared" si="858"/>
        <v>1</v>
      </c>
      <c r="C2547" s="5">
        <f t="shared" si="859"/>
        <v>2024</v>
      </c>
      <c r="D2547" s="5" t="s">
        <v>2361</v>
      </c>
      <c r="E2547" s="5" t="str">
        <f>VLOOKUP(F2547,'Set up'!$A$2:$C$48,2,FALSE)</f>
        <v>C00000021</v>
      </c>
      <c r="F2547" s="1" t="s">
        <v>492</v>
      </c>
      <c r="G2547" s="99" t="s">
        <v>1062</v>
      </c>
      <c r="H2547" s="5">
        <v>1</v>
      </c>
      <c r="I2547" s="5" t="str">
        <f>VLOOKUP(F2547,'Set up'!$A$2:$C$48,3,FALSE)</f>
        <v>Cash</v>
      </c>
      <c r="J2547" s="5">
        <f>VLOOKUP(F2547,'Set up'!$A$2:$D$48,4,FALSE)</f>
        <v>0</v>
      </c>
      <c r="K2547" s="4">
        <f t="shared" si="860"/>
        <v>45306</v>
      </c>
      <c r="L2547" s="5">
        <f t="shared" si="861"/>
        <v>1</v>
      </c>
      <c r="M2547" s="5">
        <f t="shared" si="862"/>
        <v>2024</v>
      </c>
      <c r="N2547" s="6">
        <v>95</v>
      </c>
      <c r="P2547" s="6">
        <f t="shared" si="863"/>
        <v>95</v>
      </c>
      <c r="Q2547" s="7">
        <f t="shared" si="864"/>
        <v>4139116.7500000014</v>
      </c>
      <c r="R2547" s="44" t="str">
        <f>VLOOKUP(F2547,'Set up'!$A$2:$E$48,5,FALSE)</f>
        <v>PD Chq</v>
      </c>
    </row>
    <row r="2548" spans="1:18" ht="15" hidden="1" customHeight="1" x14ac:dyDescent="0.3">
      <c r="A2548" s="4">
        <v>45306</v>
      </c>
      <c r="B2548" s="5">
        <f t="shared" si="858"/>
        <v>1</v>
      </c>
      <c r="C2548" s="5">
        <f t="shared" si="859"/>
        <v>2024</v>
      </c>
      <c r="D2548" s="5" t="s">
        <v>2361</v>
      </c>
      <c r="E2548" s="5" t="str">
        <f>VLOOKUP(F2548,'Set up'!$A$2:$C$48,2,FALSE)</f>
        <v>C00000021</v>
      </c>
      <c r="F2548" s="1" t="s">
        <v>492</v>
      </c>
      <c r="G2548" s="90" t="s">
        <v>2203</v>
      </c>
      <c r="H2548" s="5">
        <v>5</v>
      </c>
      <c r="I2548" s="5" t="str">
        <f>VLOOKUP(F2548,'Set up'!$A$2:$C$48,3,FALSE)</f>
        <v>Cash</v>
      </c>
      <c r="J2548" s="5">
        <f>VLOOKUP(F2548,'Set up'!$A$2:$D$48,4,FALSE)</f>
        <v>0</v>
      </c>
      <c r="K2548" s="4">
        <f t="shared" si="860"/>
        <v>45306</v>
      </c>
      <c r="L2548" s="5">
        <f t="shared" si="861"/>
        <v>1</v>
      </c>
      <c r="M2548" s="5">
        <f t="shared" si="862"/>
        <v>2024</v>
      </c>
      <c r="N2548" s="6">
        <v>312.5</v>
      </c>
      <c r="P2548" s="6">
        <f t="shared" si="863"/>
        <v>312.5</v>
      </c>
      <c r="Q2548" s="7">
        <f t="shared" si="864"/>
        <v>4139429.2500000014</v>
      </c>
      <c r="R2548" s="44" t="str">
        <f>VLOOKUP(F2548,'Set up'!$A$2:$E$48,5,FALSE)</f>
        <v>PD Chq</v>
      </c>
    </row>
    <row r="2549" spans="1:18" ht="15" hidden="1" customHeight="1" x14ac:dyDescent="0.3">
      <c r="A2549" s="4">
        <v>45308</v>
      </c>
      <c r="B2549" s="5">
        <f t="shared" si="858"/>
        <v>1</v>
      </c>
      <c r="C2549" s="5">
        <f t="shared" si="859"/>
        <v>2024</v>
      </c>
      <c r="D2549" s="5" t="s">
        <v>2362</v>
      </c>
      <c r="E2549" s="5" t="str">
        <f>VLOOKUP(F2549,'Set up'!$A$2:$C$48,2,FALSE)</f>
        <v>C00000019</v>
      </c>
      <c r="F2549" s="1" t="s">
        <v>401</v>
      </c>
      <c r="G2549" s="90" t="s">
        <v>1412</v>
      </c>
      <c r="H2549" s="5">
        <v>1</v>
      </c>
      <c r="I2549" s="5" t="str">
        <f>VLOOKUP(F2549,'Set up'!$A$2:$C$48,3,FALSE)</f>
        <v>Cash</v>
      </c>
      <c r="J2549" s="5">
        <f>VLOOKUP(F2549,'Set up'!$A$2:$D$48,4,FALSE)</f>
        <v>0</v>
      </c>
      <c r="K2549" s="4">
        <f t="shared" si="860"/>
        <v>45308</v>
      </c>
      <c r="L2549" s="5">
        <f t="shared" si="861"/>
        <v>1</v>
      </c>
      <c r="M2549" s="5">
        <f t="shared" si="862"/>
        <v>2024</v>
      </c>
      <c r="N2549" s="6">
        <v>405</v>
      </c>
      <c r="P2549" s="6">
        <f t="shared" si="863"/>
        <v>405</v>
      </c>
      <c r="Q2549" s="7">
        <f t="shared" si="864"/>
        <v>4139834.2500000014</v>
      </c>
      <c r="R2549" s="44" t="str">
        <f>VLOOKUP(F2549,'Set up'!$A$2:$E$48,5,FALSE)</f>
        <v>Trsf</v>
      </c>
    </row>
    <row r="2550" spans="1:18" ht="15" hidden="1" customHeight="1" x14ac:dyDescent="0.3">
      <c r="A2550" s="4">
        <v>45308</v>
      </c>
      <c r="B2550" s="5">
        <f t="shared" si="858"/>
        <v>1</v>
      </c>
      <c r="C2550" s="5">
        <f t="shared" si="859"/>
        <v>2024</v>
      </c>
      <c r="D2550" s="5" t="s">
        <v>2362</v>
      </c>
      <c r="E2550" s="5" t="str">
        <f>VLOOKUP(F2550,'Set up'!$A$2:$C$48,2,FALSE)</f>
        <v>C00000019</v>
      </c>
      <c r="F2550" s="1" t="s">
        <v>401</v>
      </c>
      <c r="G2550" s="90" t="s">
        <v>1470</v>
      </c>
      <c r="H2550" s="5">
        <v>1</v>
      </c>
      <c r="I2550" s="5" t="str">
        <f>VLOOKUP(F2550,'Set up'!$A$2:$C$48,3,FALSE)</f>
        <v>Cash</v>
      </c>
      <c r="J2550" s="5">
        <f>VLOOKUP(F2550,'Set up'!$A$2:$D$48,4,FALSE)</f>
        <v>0</v>
      </c>
      <c r="K2550" s="4">
        <f t="shared" si="860"/>
        <v>45308</v>
      </c>
      <c r="L2550" s="5">
        <f t="shared" si="861"/>
        <v>1</v>
      </c>
      <c r="M2550" s="5">
        <f t="shared" si="862"/>
        <v>2024</v>
      </c>
      <c r="N2550" s="6">
        <v>390</v>
      </c>
      <c r="P2550" s="6">
        <f t="shared" si="863"/>
        <v>390</v>
      </c>
      <c r="Q2550" s="7">
        <f t="shared" si="864"/>
        <v>4140224.2500000014</v>
      </c>
      <c r="R2550" s="44" t="str">
        <f>VLOOKUP(F2550,'Set up'!$A$2:$E$48,5,FALSE)</f>
        <v>Trsf</v>
      </c>
    </row>
    <row r="2551" spans="1:18" ht="15" hidden="1" customHeight="1" x14ac:dyDescent="0.3">
      <c r="A2551" s="4">
        <v>45311</v>
      </c>
      <c r="B2551" s="5">
        <f t="shared" si="858"/>
        <v>1</v>
      </c>
      <c r="C2551" s="5">
        <f t="shared" si="859"/>
        <v>2024</v>
      </c>
      <c r="D2551" s="5" t="s">
        <v>2363</v>
      </c>
      <c r="E2551" s="5" t="str">
        <f>VLOOKUP(F2551,'Set up'!$A$2:$C$48,2,FALSE)</f>
        <v>C00000046</v>
      </c>
      <c r="F2551" s="1" t="s">
        <v>2364</v>
      </c>
      <c r="G2551" s="95" t="s">
        <v>2365</v>
      </c>
      <c r="H2551" s="5">
        <v>1</v>
      </c>
      <c r="I2551" s="5" t="str">
        <f>VLOOKUP(F2551,'Set up'!$A$2:$C$48,3,FALSE)</f>
        <v>Cash</v>
      </c>
      <c r="J2551" s="5">
        <f>VLOOKUP(F2551,'Set up'!$A$2:$D$48,4,FALSE)</f>
        <v>0</v>
      </c>
      <c r="K2551" s="4">
        <f t="shared" si="860"/>
        <v>45311</v>
      </c>
      <c r="L2551" s="5">
        <f t="shared" si="861"/>
        <v>1</v>
      </c>
      <c r="M2551" s="5">
        <f t="shared" si="862"/>
        <v>2024</v>
      </c>
      <c r="N2551" s="6">
        <v>1694</v>
      </c>
      <c r="P2551" s="6">
        <f t="shared" si="863"/>
        <v>1694</v>
      </c>
      <c r="Q2551" s="7">
        <f t="shared" si="864"/>
        <v>4141918.2500000014</v>
      </c>
      <c r="R2551" s="44" t="str">
        <f>VLOOKUP(F2551,'Set up'!$A$2:$E$48,5,FALSE)</f>
        <v>Trsf</v>
      </c>
    </row>
    <row r="2552" spans="1:18" ht="15" hidden="1" customHeight="1" x14ac:dyDescent="0.3">
      <c r="A2552" s="4">
        <v>45311</v>
      </c>
      <c r="B2552" s="5">
        <f t="shared" si="858"/>
        <v>1</v>
      </c>
      <c r="C2552" s="5">
        <f t="shared" si="859"/>
        <v>2024</v>
      </c>
      <c r="D2552" s="5" t="s">
        <v>2363</v>
      </c>
      <c r="E2552" s="5" t="str">
        <f>VLOOKUP(F2552,'Set up'!$A$2:$C$48,2,FALSE)</f>
        <v>C00000046</v>
      </c>
      <c r="F2552" s="1" t="s">
        <v>2364</v>
      </c>
      <c r="G2552" s="90" t="s">
        <v>1797</v>
      </c>
      <c r="H2552" s="5">
        <v>3</v>
      </c>
      <c r="I2552" s="5" t="str">
        <f>VLOOKUP(F2552,'Set up'!$A$2:$C$48,3,FALSE)</f>
        <v>Cash</v>
      </c>
      <c r="J2552" s="5">
        <f>VLOOKUP(F2552,'Set up'!$A$2:$D$48,4,FALSE)</f>
        <v>0</v>
      </c>
      <c r="K2552" s="4">
        <f t="shared" si="860"/>
        <v>45311</v>
      </c>
      <c r="L2552" s="5">
        <f t="shared" si="861"/>
        <v>1</v>
      </c>
      <c r="M2552" s="5">
        <f t="shared" si="862"/>
        <v>2024</v>
      </c>
      <c r="N2552" s="6">
        <v>675</v>
      </c>
      <c r="P2552" s="6">
        <f t="shared" si="863"/>
        <v>675</v>
      </c>
      <c r="Q2552" s="7">
        <f t="shared" si="864"/>
        <v>4142593.2500000014</v>
      </c>
      <c r="R2552" s="44" t="str">
        <f>VLOOKUP(F2552,'Set up'!$A$2:$E$48,5,FALSE)</f>
        <v>Trsf</v>
      </c>
    </row>
    <row r="2553" spans="1:18" ht="15" hidden="1" customHeight="1" x14ac:dyDescent="0.3">
      <c r="A2553" s="4">
        <v>45311</v>
      </c>
      <c r="B2553" s="5">
        <f t="shared" si="858"/>
        <v>1</v>
      </c>
      <c r="C2553" s="5">
        <f t="shared" si="859"/>
        <v>2024</v>
      </c>
      <c r="D2553" s="5" t="s">
        <v>2363</v>
      </c>
      <c r="E2553" s="5" t="str">
        <f>VLOOKUP(F2553,'Set up'!$A$2:$C$48,2,FALSE)</f>
        <v>C00000046</v>
      </c>
      <c r="F2553" s="1" t="s">
        <v>2364</v>
      </c>
      <c r="G2553" s="90" t="s">
        <v>2032</v>
      </c>
      <c r="H2553" s="5">
        <v>1</v>
      </c>
      <c r="I2553" s="5" t="str">
        <f>VLOOKUP(F2553,'Set up'!$A$2:$C$48,3,FALSE)</f>
        <v>Cash</v>
      </c>
      <c r="J2553" s="5">
        <f>VLOOKUP(F2553,'Set up'!$A$2:$D$48,4,FALSE)</f>
        <v>0</v>
      </c>
      <c r="K2553" s="4">
        <f t="shared" si="860"/>
        <v>45311</v>
      </c>
      <c r="L2553" s="5">
        <f t="shared" si="861"/>
        <v>1</v>
      </c>
      <c r="M2553" s="5">
        <f t="shared" si="862"/>
        <v>2024</v>
      </c>
      <c r="N2553" s="6">
        <v>280</v>
      </c>
      <c r="P2553" s="6">
        <f t="shared" si="863"/>
        <v>280</v>
      </c>
      <c r="Q2553" s="7">
        <f t="shared" si="864"/>
        <v>4142873.2500000014</v>
      </c>
      <c r="R2553" s="44" t="str">
        <f>VLOOKUP(F2553,'Set up'!$A$2:$E$48,5,FALSE)</f>
        <v>Trsf</v>
      </c>
    </row>
    <row r="2554" spans="1:18" ht="15" hidden="1" customHeight="1" x14ac:dyDescent="0.3">
      <c r="A2554" s="4">
        <v>45311</v>
      </c>
      <c r="B2554" s="5">
        <f t="shared" si="858"/>
        <v>1</v>
      </c>
      <c r="C2554" s="5">
        <f t="shared" si="859"/>
        <v>2024</v>
      </c>
      <c r="D2554" s="5" t="s">
        <v>2363</v>
      </c>
      <c r="E2554" s="5" t="str">
        <f>VLOOKUP(F2554,'Set up'!$A$2:$C$48,2,FALSE)</f>
        <v>C00000046</v>
      </c>
      <c r="F2554" s="1" t="s">
        <v>2364</v>
      </c>
      <c r="G2554" s="99" t="s">
        <v>17</v>
      </c>
      <c r="H2554" s="5">
        <v>1</v>
      </c>
      <c r="I2554" s="5" t="str">
        <f>VLOOKUP(F2554,'Set up'!$A$2:$C$48,3,FALSE)</f>
        <v>Cash</v>
      </c>
      <c r="J2554" s="5">
        <f>VLOOKUP(F2554,'Set up'!$A$2:$D$48,4,FALSE)</f>
        <v>0</v>
      </c>
      <c r="K2554" s="4">
        <f t="shared" si="860"/>
        <v>45311</v>
      </c>
      <c r="L2554" s="5">
        <f t="shared" si="861"/>
        <v>1</v>
      </c>
      <c r="M2554" s="5">
        <f t="shared" si="862"/>
        <v>2024</v>
      </c>
      <c r="N2554" s="6">
        <v>110</v>
      </c>
      <c r="P2554" s="6">
        <f t="shared" si="863"/>
        <v>110</v>
      </c>
      <c r="Q2554" s="7">
        <f t="shared" si="864"/>
        <v>4142983.2500000014</v>
      </c>
      <c r="R2554" s="44" t="str">
        <f>VLOOKUP(F2554,'Set up'!$A$2:$E$48,5,FALSE)</f>
        <v>Trsf</v>
      </c>
    </row>
    <row r="2555" spans="1:18" ht="15" hidden="1" customHeight="1" x14ac:dyDescent="0.3">
      <c r="A2555" s="4">
        <v>45311</v>
      </c>
      <c r="B2555" s="5">
        <f t="shared" si="858"/>
        <v>1</v>
      </c>
      <c r="C2555" s="5">
        <f t="shared" si="859"/>
        <v>2024</v>
      </c>
      <c r="D2555" s="5" t="s">
        <v>2363</v>
      </c>
      <c r="E2555" s="5" t="str">
        <f>VLOOKUP(F2555,'Set up'!$A$2:$C$48,2,FALSE)</f>
        <v>C00000046</v>
      </c>
      <c r="F2555" s="1" t="s">
        <v>2364</v>
      </c>
      <c r="G2555" s="90" t="s">
        <v>1743</v>
      </c>
      <c r="H2555" s="5">
        <v>1</v>
      </c>
      <c r="I2555" s="5" t="str">
        <f>VLOOKUP(F2555,'Set up'!$A$2:$C$48,3,FALSE)</f>
        <v>Cash</v>
      </c>
      <c r="J2555" s="5">
        <f>VLOOKUP(F2555,'Set up'!$A$2:$D$48,4,FALSE)</f>
        <v>0</v>
      </c>
      <c r="K2555" s="4">
        <f t="shared" si="860"/>
        <v>45311</v>
      </c>
      <c r="L2555" s="5">
        <f t="shared" si="861"/>
        <v>1</v>
      </c>
      <c r="M2555" s="5">
        <f t="shared" si="862"/>
        <v>2024</v>
      </c>
      <c r="N2555" s="6">
        <v>60</v>
      </c>
      <c r="P2555" s="6">
        <f t="shared" si="863"/>
        <v>60</v>
      </c>
      <c r="Q2555" s="7">
        <f t="shared" si="864"/>
        <v>4143043.2500000014</v>
      </c>
      <c r="R2555" s="44" t="str">
        <f>VLOOKUP(F2555,'Set up'!$A$2:$E$48,5,FALSE)</f>
        <v>Trsf</v>
      </c>
    </row>
    <row r="2556" spans="1:18" ht="15" hidden="1" customHeight="1" x14ac:dyDescent="0.3">
      <c r="A2556" s="4">
        <v>45311</v>
      </c>
      <c r="B2556" s="5">
        <f t="shared" si="858"/>
        <v>1</v>
      </c>
      <c r="C2556" s="5">
        <f t="shared" si="859"/>
        <v>2024</v>
      </c>
      <c r="D2556" s="5" t="s">
        <v>2363</v>
      </c>
      <c r="E2556" s="5" t="str">
        <f>VLOOKUP(F2556,'Set up'!$A$2:$C$48,2,FALSE)</f>
        <v>C00000046</v>
      </c>
      <c r="F2556" s="1" t="s">
        <v>2364</v>
      </c>
      <c r="G2556" s="90" t="s">
        <v>1744</v>
      </c>
      <c r="H2556" s="5">
        <v>1</v>
      </c>
      <c r="I2556" s="5" t="str">
        <f>VLOOKUP(F2556,'Set up'!$A$2:$C$48,3,FALSE)</f>
        <v>Cash</v>
      </c>
      <c r="J2556" s="5">
        <f>VLOOKUP(F2556,'Set up'!$A$2:$D$48,4,FALSE)</f>
        <v>0</v>
      </c>
      <c r="K2556" s="4">
        <f t="shared" si="860"/>
        <v>45311</v>
      </c>
      <c r="L2556" s="5">
        <f t="shared" si="861"/>
        <v>1</v>
      </c>
      <c r="M2556" s="5">
        <f t="shared" si="862"/>
        <v>2024</v>
      </c>
      <c r="N2556" s="6">
        <v>54</v>
      </c>
      <c r="P2556" s="6">
        <f t="shared" si="863"/>
        <v>54</v>
      </c>
      <c r="Q2556" s="7">
        <f t="shared" si="864"/>
        <v>4143097.2500000014</v>
      </c>
      <c r="R2556" s="44" t="str">
        <f>VLOOKUP(F2556,'Set up'!$A$2:$E$48,5,FALSE)</f>
        <v>Trsf</v>
      </c>
    </row>
    <row r="2557" spans="1:18" ht="15" hidden="1" customHeight="1" x14ac:dyDescent="0.3">
      <c r="A2557" s="4">
        <v>45311</v>
      </c>
      <c r="B2557" s="5">
        <f t="shared" si="858"/>
        <v>1</v>
      </c>
      <c r="C2557" s="5">
        <f t="shared" si="859"/>
        <v>2024</v>
      </c>
      <c r="D2557" s="5" t="s">
        <v>2363</v>
      </c>
      <c r="E2557" s="5" t="str">
        <f>VLOOKUP(F2557,'Set up'!$A$2:$C$48,2,FALSE)</f>
        <v>C00000046</v>
      </c>
      <c r="F2557" s="1" t="s">
        <v>2364</v>
      </c>
      <c r="G2557" s="108" t="s">
        <v>2204</v>
      </c>
      <c r="H2557" s="5">
        <v>2</v>
      </c>
      <c r="I2557" s="5" t="str">
        <f>VLOOKUP(F2557,'Set up'!$A$2:$C$48,3,FALSE)</f>
        <v>Cash</v>
      </c>
      <c r="J2557" s="5">
        <f>VLOOKUP(F2557,'Set up'!$A$2:$D$48,4,FALSE)</f>
        <v>0</v>
      </c>
      <c r="K2557" s="4">
        <f t="shared" si="860"/>
        <v>45311</v>
      </c>
      <c r="L2557" s="5">
        <f t="shared" si="861"/>
        <v>1</v>
      </c>
      <c r="M2557" s="5">
        <f t="shared" si="862"/>
        <v>2024</v>
      </c>
      <c r="N2557" s="6">
        <v>120</v>
      </c>
      <c r="P2557" s="6">
        <f t="shared" si="863"/>
        <v>120</v>
      </c>
      <c r="Q2557" s="7">
        <f t="shared" si="864"/>
        <v>4143217.2500000014</v>
      </c>
      <c r="R2557" s="44" t="str">
        <f>VLOOKUP(F2557,'Set up'!$A$2:$E$48,5,FALSE)</f>
        <v>Trsf</v>
      </c>
    </row>
    <row r="2558" spans="1:18" ht="15" hidden="1" customHeight="1" x14ac:dyDescent="0.3">
      <c r="A2558" s="4">
        <v>45311</v>
      </c>
      <c r="B2558" s="5">
        <f t="shared" si="858"/>
        <v>1</v>
      </c>
      <c r="C2558" s="5">
        <f t="shared" si="859"/>
        <v>2024</v>
      </c>
      <c r="D2558" s="5" t="s">
        <v>2363</v>
      </c>
      <c r="E2558" s="5" t="str">
        <f>VLOOKUP(F2558,'Set up'!$A$2:$C$48,2,FALSE)</f>
        <v>C00000046</v>
      </c>
      <c r="F2558" s="1" t="s">
        <v>2364</v>
      </c>
      <c r="G2558" s="99" t="s">
        <v>895</v>
      </c>
      <c r="H2558" s="5">
        <v>1</v>
      </c>
      <c r="I2558" s="5" t="str">
        <f>VLOOKUP(F2558,'Set up'!$A$2:$C$48,3,FALSE)</f>
        <v>Cash</v>
      </c>
      <c r="J2558" s="5">
        <f>VLOOKUP(F2558,'Set up'!$A$2:$D$48,4,FALSE)</f>
        <v>0</v>
      </c>
      <c r="K2558" s="4">
        <f t="shared" si="860"/>
        <v>45311</v>
      </c>
      <c r="L2558" s="5">
        <f t="shared" si="861"/>
        <v>1</v>
      </c>
      <c r="M2558" s="5">
        <f t="shared" si="862"/>
        <v>2024</v>
      </c>
      <c r="N2558" s="6">
        <v>160</v>
      </c>
      <c r="P2558" s="6">
        <f t="shared" si="863"/>
        <v>160</v>
      </c>
      <c r="Q2558" s="7">
        <f t="shared" si="864"/>
        <v>4143377.2500000014</v>
      </c>
      <c r="R2558" s="44" t="str">
        <f>VLOOKUP(F2558,'Set up'!$A$2:$E$48,5,FALSE)</f>
        <v>Trsf</v>
      </c>
    </row>
    <row r="2559" spans="1:18" ht="15" hidden="1" customHeight="1" x14ac:dyDescent="0.3">
      <c r="A2559" s="4">
        <v>45311</v>
      </c>
      <c r="B2559" s="5">
        <f t="shared" si="858"/>
        <v>1</v>
      </c>
      <c r="C2559" s="5">
        <f t="shared" si="859"/>
        <v>2024</v>
      </c>
      <c r="D2559" s="5" t="s">
        <v>2363</v>
      </c>
      <c r="E2559" s="5" t="str">
        <f>VLOOKUP(F2559,'Set up'!$A$2:$C$48,2,FALSE)</f>
        <v>C00000046</v>
      </c>
      <c r="F2559" s="1" t="s">
        <v>2364</v>
      </c>
      <c r="G2559" s="99" t="s">
        <v>769</v>
      </c>
      <c r="H2559" s="5">
        <v>1</v>
      </c>
      <c r="I2559" s="5" t="str">
        <f>VLOOKUP(F2559,'Set up'!$A$2:$C$48,3,FALSE)</f>
        <v>Cash</v>
      </c>
      <c r="J2559" s="5">
        <f>VLOOKUP(F2559,'Set up'!$A$2:$D$48,4,FALSE)</f>
        <v>0</v>
      </c>
      <c r="K2559" s="4">
        <f t="shared" si="860"/>
        <v>45311</v>
      </c>
      <c r="L2559" s="5">
        <f t="shared" si="861"/>
        <v>1</v>
      </c>
      <c r="M2559" s="5">
        <f t="shared" si="862"/>
        <v>2024</v>
      </c>
      <c r="N2559" s="6">
        <v>170</v>
      </c>
      <c r="P2559" s="6">
        <f t="shared" si="863"/>
        <v>170</v>
      </c>
      <c r="Q2559" s="7">
        <f t="shared" si="864"/>
        <v>4143547.2500000014</v>
      </c>
      <c r="R2559" s="44" t="str">
        <f>VLOOKUP(F2559,'Set up'!$A$2:$E$48,5,FALSE)</f>
        <v>Trsf</v>
      </c>
    </row>
    <row r="2560" spans="1:18" ht="15" hidden="1" customHeight="1" x14ac:dyDescent="0.3">
      <c r="A2560" s="4">
        <v>45310</v>
      </c>
      <c r="B2560" s="5">
        <f t="shared" si="858"/>
        <v>1</v>
      </c>
      <c r="C2560" s="5">
        <f t="shared" si="859"/>
        <v>2024</v>
      </c>
      <c r="D2560" s="5" t="s">
        <v>2366</v>
      </c>
      <c r="E2560" s="5" t="str">
        <f>VLOOKUP(F2560,'Set up'!$A$2:$C$48,2,FALSE)</f>
        <v>C00000019</v>
      </c>
      <c r="F2560" s="1" t="s">
        <v>401</v>
      </c>
      <c r="G2560" s="90" t="s">
        <v>95</v>
      </c>
      <c r="H2560" s="5">
        <v>1</v>
      </c>
      <c r="I2560" s="5" t="str">
        <f>VLOOKUP(F2560,'Set up'!$A$2:$C$48,3,FALSE)</f>
        <v>Cash</v>
      </c>
      <c r="J2560" s="5">
        <f>VLOOKUP(F2560,'Set up'!$A$2:$D$48,4,FALSE)</f>
        <v>0</v>
      </c>
      <c r="K2560" s="4">
        <f t="shared" si="860"/>
        <v>45310</v>
      </c>
      <c r="L2560" s="5">
        <f t="shared" si="861"/>
        <v>1</v>
      </c>
      <c r="M2560" s="5">
        <f t="shared" si="862"/>
        <v>2024</v>
      </c>
      <c r="N2560" s="6">
        <v>1738</v>
      </c>
      <c r="P2560" s="6">
        <f t="shared" si="863"/>
        <v>1738</v>
      </c>
      <c r="Q2560" s="7">
        <f t="shared" si="864"/>
        <v>4145285.2500000014</v>
      </c>
      <c r="R2560" s="44" t="str">
        <f>VLOOKUP(F2560,'Set up'!$A$2:$E$48,5,FALSE)</f>
        <v>Trsf</v>
      </c>
    </row>
    <row r="2561" spans="1:19" ht="15" hidden="1" customHeight="1" x14ac:dyDescent="0.3">
      <c r="A2561" s="4">
        <v>45310</v>
      </c>
      <c r="B2561" s="5">
        <f t="shared" si="858"/>
        <v>1</v>
      </c>
      <c r="C2561" s="5">
        <f t="shared" si="859"/>
        <v>2024</v>
      </c>
      <c r="D2561" s="5" t="s">
        <v>2366</v>
      </c>
      <c r="E2561" s="5" t="str">
        <f>VLOOKUP(F2561,'Set up'!$A$2:$C$48,2,FALSE)</f>
        <v>C00000019</v>
      </c>
      <c r="F2561" s="1" t="s">
        <v>401</v>
      </c>
      <c r="G2561" s="90" t="s">
        <v>2130</v>
      </c>
      <c r="H2561" s="5">
        <v>1</v>
      </c>
      <c r="I2561" s="5" t="str">
        <f>VLOOKUP(F2561,'Set up'!$A$2:$C$48,3,FALSE)</f>
        <v>Cash</v>
      </c>
      <c r="J2561" s="5">
        <f>VLOOKUP(F2561,'Set up'!$A$2:$D$48,4,FALSE)</f>
        <v>0</v>
      </c>
      <c r="K2561" s="4">
        <f t="shared" si="860"/>
        <v>45310</v>
      </c>
      <c r="L2561" s="5">
        <f t="shared" si="861"/>
        <v>1</v>
      </c>
      <c r="M2561" s="5">
        <f t="shared" si="862"/>
        <v>2024</v>
      </c>
      <c r="N2561" s="6">
        <v>283.8</v>
      </c>
      <c r="P2561" s="6">
        <f t="shared" si="863"/>
        <v>283.8</v>
      </c>
      <c r="Q2561" s="7">
        <f t="shared" si="864"/>
        <v>4145569.0500000012</v>
      </c>
      <c r="R2561" s="44" t="str">
        <f>VLOOKUP(F2561,'Set up'!$A$2:$E$48,5,FALSE)</f>
        <v>Trsf</v>
      </c>
    </row>
    <row r="2562" spans="1:19" ht="15" hidden="1" customHeight="1" x14ac:dyDescent="0.3">
      <c r="A2562" s="4">
        <v>45310</v>
      </c>
      <c r="B2562" s="5">
        <f t="shared" si="858"/>
        <v>1</v>
      </c>
      <c r="C2562" s="5">
        <f t="shared" si="859"/>
        <v>2024</v>
      </c>
      <c r="D2562" s="5" t="s">
        <v>2366</v>
      </c>
      <c r="E2562" s="5" t="str">
        <f>VLOOKUP(F2562,'Set up'!$A$2:$C$48,2,FALSE)</f>
        <v>C00000019</v>
      </c>
      <c r="F2562" s="1" t="s">
        <v>401</v>
      </c>
      <c r="G2562" s="90" t="s">
        <v>792</v>
      </c>
      <c r="H2562" s="5">
        <v>3</v>
      </c>
      <c r="I2562" s="5" t="str">
        <f>VLOOKUP(F2562,'Set up'!$A$2:$C$48,3,FALSE)</f>
        <v>Cash</v>
      </c>
      <c r="J2562" s="5">
        <f>VLOOKUP(F2562,'Set up'!$A$2:$D$48,4,FALSE)</f>
        <v>0</v>
      </c>
      <c r="K2562" s="4">
        <f t="shared" si="860"/>
        <v>45310</v>
      </c>
      <c r="L2562" s="5">
        <f t="shared" si="861"/>
        <v>1</v>
      </c>
      <c r="M2562" s="5">
        <f t="shared" si="862"/>
        <v>2024</v>
      </c>
      <c r="N2562" s="6">
        <v>187.5</v>
      </c>
      <c r="P2562" s="6">
        <f t="shared" si="863"/>
        <v>187.5</v>
      </c>
      <c r="Q2562" s="7">
        <f t="shared" si="864"/>
        <v>4145756.5500000012</v>
      </c>
      <c r="R2562" s="44" t="str">
        <f>VLOOKUP(F2562,'Set up'!$A$2:$E$48,5,FALSE)</f>
        <v>Trsf</v>
      </c>
    </row>
    <row r="2563" spans="1:19" ht="15" hidden="1" customHeight="1" x14ac:dyDescent="0.3">
      <c r="A2563" s="4">
        <v>45310</v>
      </c>
      <c r="B2563" s="5">
        <f t="shared" si="858"/>
        <v>1</v>
      </c>
      <c r="C2563" s="5">
        <f t="shared" si="859"/>
        <v>2024</v>
      </c>
      <c r="D2563" s="5" t="s">
        <v>2366</v>
      </c>
      <c r="E2563" s="5" t="str">
        <f>VLOOKUP(F2563,'Set up'!$A$2:$C$48,2,FALSE)</f>
        <v>C00000019</v>
      </c>
      <c r="F2563" s="1" t="s">
        <v>401</v>
      </c>
      <c r="G2563" s="90" t="s">
        <v>950</v>
      </c>
      <c r="H2563" s="5">
        <v>1</v>
      </c>
      <c r="I2563" s="5" t="str">
        <f>VLOOKUP(F2563,'Set up'!$A$2:$C$48,3,FALSE)</f>
        <v>Cash</v>
      </c>
      <c r="J2563" s="5">
        <f>VLOOKUP(F2563,'Set up'!$A$2:$D$48,4,FALSE)</f>
        <v>0</v>
      </c>
      <c r="K2563" s="4">
        <f t="shared" si="860"/>
        <v>45310</v>
      </c>
      <c r="L2563" s="5">
        <f t="shared" si="861"/>
        <v>1</v>
      </c>
      <c r="M2563" s="5">
        <f t="shared" si="862"/>
        <v>2024</v>
      </c>
      <c r="N2563" s="6">
        <v>60</v>
      </c>
      <c r="P2563" s="6">
        <f t="shared" si="863"/>
        <v>60</v>
      </c>
      <c r="Q2563" s="7">
        <f t="shared" si="864"/>
        <v>4145816.5500000012</v>
      </c>
      <c r="R2563" s="44" t="str">
        <f>VLOOKUP(F2563,'Set up'!$A$2:$E$48,5,FALSE)</f>
        <v>Trsf</v>
      </c>
    </row>
    <row r="2564" spans="1:19" ht="15" customHeight="1" x14ac:dyDescent="0.3">
      <c r="A2564" s="4">
        <v>45311</v>
      </c>
      <c r="B2564" s="5">
        <f t="shared" si="858"/>
        <v>1</v>
      </c>
      <c r="C2564" s="5">
        <f t="shared" si="859"/>
        <v>2024</v>
      </c>
      <c r="D2564" s="5" t="s">
        <v>2367</v>
      </c>
      <c r="E2564" s="5" t="str">
        <f>VLOOKUP(F2564,'Set up'!$A$2:$C$48,2,FALSE)</f>
        <v>C00000042</v>
      </c>
      <c r="F2564" s="1" t="s">
        <v>2014</v>
      </c>
      <c r="G2564" s="103" t="s">
        <v>2203</v>
      </c>
      <c r="H2564" s="5">
        <v>6</v>
      </c>
      <c r="I2564" s="5" t="str">
        <f>VLOOKUP(F2564,'Set up'!$A$2:$C$48,3,FALSE)</f>
        <v>Cash</v>
      </c>
      <c r="J2564" s="5">
        <f>VLOOKUP(F2564,'Set up'!$A$2:$D$48,4,FALSE)</f>
        <v>0</v>
      </c>
      <c r="K2564" s="4">
        <f t="shared" si="860"/>
        <v>45311</v>
      </c>
      <c r="L2564" s="5">
        <f t="shared" si="861"/>
        <v>1</v>
      </c>
      <c r="M2564" s="5">
        <f t="shared" si="862"/>
        <v>2024</v>
      </c>
      <c r="N2564" s="6">
        <v>375</v>
      </c>
      <c r="P2564" s="6">
        <f t="shared" si="863"/>
        <v>375</v>
      </c>
      <c r="Q2564" s="7">
        <f t="shared" si="864"/>
        <v>4146191.5500000012</v>
      </c>
      <c r="R2564" s="44" t="str">
        <f>VLOOKUP(F2564,'Set up'!$A$2:$E$50,5,FALSE)</f>
        <v>Trsf</v>
      </c>
    </row>
    <row r="2565" spans="1:19" ht="15" customHeight="1" x14ac:dyDescent="0.3">
      <c r="A2565" s="4">
        <v>45311</v>
      </c>
      <c r="B2565" s="5">
        <f t="shared" si="858"/>
        <v>1</v>
      </c>
      <c r="C2565" s="5">
        <f t="shared" si="859"/>
        <v>2024</v>
      </c>
      <c r="D2565" s="5" t="s">
        <v>2368</v>
      </c>
      <c r="E2565" s="5" t="str">
        <f>VLOOKUP(F2565,'Set up'!$A$2:$C$48,2,FALSE)</f>
        <v>C00000042</v>
      </c>
      <c r="F2565" s="1" t="s">
        <v>2014</v>
      </c>
      <c r="G2565" s="103" t="s">
        <v>1734</v>
      </c>
      <c r="H2565" s="5">
        <v>6</v>
      </c>
      <c r="I2565" s="5" t="str">
        <f>VLOOKUP(F2565,'Set up'!$A$2:$C$48,3,FALSE)</f>
        <v>Cash</v>
      </c>
      <c r="J2565" s="5">
        <f>VLOOKUP(F2565,'Set up'!$A$2:$D$48,4,FALSE)</f>
        <v>0</v>
      </c>
      <c r="K2565" s="4">
        <f t="shared" si="860"/>
        <v>45311</v>
      </c>
      <c r="L2565" s="5">
        <f t="shared" si="861"/>
        <v>1</v>
      </c>
      <c r="M2565" s="5">
        <f t="shared" si="862"/>
        <v>2024</v>
      </c>
      <c r="N2565" s="6">
        <v>9636</v>
      </c>
      <c r="P2565" s="6">
        <f t="shared" si="863"/>
        <v>9636</v>
      </c>
      <c r="Q2565" s="7">
        <f t="shared" si="864"/>
        <v>4155827.5500000012</v>
      </c>
      <c r="R2565" s="44" t="str">
        <f>VLOOKUP(F2565,'Set up'!$A$2:$E$50,5,FALSE)</f>
        <v>Trsf</v>
      </c>
    </row>
    <row r="2566" spans="1:19" ht="15" customHeight="1" x14ac:dyDescent="0.3">
      <c r="A2566" s="4">
        <v>45311</v>
      </c>
      <c r="B2566" s="5">
        <f t="shared" si="858"/>
        <v>1</v>
      </c>
      <c r="C2566" s="5">
        <f t="shared" si="859"/>
        <v>2024</v>
      </c>
      <c r="D2566" s="5" t="s">
        <v>2368</v>
      </c>
      <c r="E2566" s="5" t="str">
        <f>VLOOKUP(F2566,'Set up'!$A$2:$C$48,2,FALSE)</f>
        <v>C00000042</v>
      </c>
      <c r="F2566" s="1" t="s">
        <v>2014</v>
      </c>
      <c r="G2566" s="90" t="s">
        <v>1797</v>
      </c>
      <c r="H2566" s="5">
        <v>18</v>
      </c>
      <c r="I2566" s="5" t="str">
        <f>VLOOKUP(F2566,'Set up'!$A$2:$C$48,3,FALSE)</f>
        <v>Cash</v>
      </c>
      <c r="J2566" s="5">
        <f>VLOOKUP(F2566,'Set up'!$A$2:$D$48,4,FALSE)</f>
        <v>0</v>
      </c>
      <c r="K2566" s="4">
        <f t="shared" si="860"/>
        <v>45311</v>
      </c>
      <c r="L2566" s="5">
        <f t="shared" si="861"/>
        <v>1</v>
      </c>
      <c r="M2566" s="5">
        <f t="shared" si="862"/>
        <v>2024</v>
      </c>
      <c r="N2566" s="6">
        <v>3132</v>
      </c>
      <c r="P2566" s="6">
        <f t="shared" si="863"/>
        <v>3132</v>
      </c>
      <c r="Q2566" s="7">
        <f t="shared" si="864"/>
        <v>4158959.5500000012</v>
      </c>
      <c r="R2566" s="44" t="str">
        <f>VLOOKUP(F2566,'Set up'!$A$2:$E$50,5,FALSE)</f>
        <v>Trsf</v>
      </c>
    </row>
    <row r="2567" spans="1:19" ht="15" customHeight="1" x14ac:dyDescent="0.3">
      <c r="A2567" s="4">
        <v>45311</v>
      </c>
      <c r="B2567" s="5">
        <f t="shared" si="858"/>
        <v>1</v>
      </c>
      <c r="C2567" s="5">
        <f t="shared" si="859"/>
        <v>2024</v>
      </c>
      <c r="D2567" s="5" t="s">
        <v>2368</v>
      </c>
      <c r="E2567" s="5" t="str">
        <f>VLOOKUP(F2567,'Set up'!$A$2:$C$48,2,FALSE)</f>
        <v>C00000042</v>
      </c>
      <c r="F2567" s="1" t="s">
        <v>2014</v>
      </c>
      <c r="G2567" s="90" t="s">
        <v>1923</v>
      </c>
      <c r="H2567" s="5">
        <v>8</v>
      </c>
      <c r="I2567" s="5" t="str">
        <f>VLOOKUP(F2567,'Set up'!$A$2:$C$48,3,FALSE)</f>
        <v>Cash</v>
      </c>
      <c r="J2567" s="5">
        <f>VLOOKUP(F2567,'Set up'!$A$2:$D$48,4,FALSE)</f>
        <v>0</v>
      </c>
      <c r="K2567" s="4">
        <f t="shared" si="860"/>
        <v>45311</v>
      </c>
      <c r="L2567" s="5">
        <f t="shared" si="861"/>
        <v>1</v>
      </c>
      <c r="M2567" s="5">
        <f t="shared" si="862"/>
        <v>2024</v>
      </c>
      <c r="N2567" s="6">
        <v>1872</v>
      </c>
      <c r="P2567" s="6">
        <f t="shared" si="863"/>
        <v>1872</v>
      </c>
      <c r="Q2567" s="7">
        <f t="shared" si="864"/>
        <v>4160831.5500000012</v>
      </c>
      <c r="R2567" s="44" t="str">
        <f>VLOOKUP(F2567,'Set up'!$A$2:$E$50,5,FALSE)</f>
        <v>Trsf</v>
      </c>
    </row>
    <row r="2568" spans="1:19" ht="15" customHeight="1" x14ac:dyDescent="0.3">
      <c r="A2568" s="4">
        <v>45311</v>
      </c>
      <c r="B2568" s="5">
        <f t="shared" si="858"/>
        <v>1</v>
      </c>
      <c r="C2568" s="5">
        <f t="shared" si="859"/>
        <v>2024</v>
      </c>
      <c r="D2568" s="5" t="s">
        <v>2368</v>
      </c>
      <c r="E2568" s="5" t="str">
        <f>VLOOKUP(F2568,'Set up'!$A$2:$C$48,2,FALSE)</f>
        <v>C00000042</v>
      </c>
      <c r="F2568" s="1" t="s">
        <v>2014</v>
      </c>
      <c r="G2568" s="90" t="s">
        <v>1062</v>
      </c>
      <c r="H2568" s="5">
        <v>4</v>
      </c>
      <c r="I2568" s="5" t="str">
        <f>VLOOKUP(F2568,'Set up'!$A$2:$C$48,3,FALSE)</f>
        <v>Cash</v>
      </c>
      <c r="J2568" s="5">
        <f>VLOOKUP(F2568,'Set up'!$A$2:$D$48,4,FALSE)</f>
        <v>0</v>
      </c>
      <c r="K2568" s="4">
        <f t="shared" si="860"/>
        <v>45311</v>
      </c>
      <c r="L2568" s="5">
        <f t="shared" si="861"/>
        <v>1</v>
      </c>
      <c r="M2568" s="5">
        <f t="shared" si="862"/>
        <v>2024</v>
      </c>
      <c r="N2568" s="6">
        <v>380</v>
      </c>
      <c r="P2568" s="6">
        <f t="shared" si="863"/>
        <v>380</v>
      </c>
      <c r="Q2568" s="7">
        <f t="shared" si="864"/>
        <v>4161211.5500000012</v>
      </c>
      <c r="R2568" s="44" t="str">
        <f>VLOOKUP(F2568,'Set up'!$A$2:$E$50,5,FALSE)</f>
        <v>Trsf</v>
      </c>
    </row>
    <row r="2569" spans="1:19" ht="15" hidden="1" customHeight="1" x14ac:dyDescent="0.3">
      <c r="A2569" s="4">
        <v>45313</v>
      </c>
      <c r="B2569" s="5">
        <f t="shared" ref="B2569:B2632" si="866">MONTH(A2569)</f>
        <v>1</v>
      </c>
      <c r="C2569" s="5">
        <f t="shared" ref="C2569:C2632" si="867">YEAR(A2569)</f>
        <v>2024</v>
      </c>
      <c r="D2569" s="5" t="s">
        <v>2369</v>
      </c>
      <c r="E2569" s="5" t="str">
        <f>VLOOKUP(F2569,'Set up'!$A$2:$C$48,2,FALSE)</f>
        <v>C00000046</v>
      </c>
      <c r="F2569" s="1" t="s">
        <v>2364</v>
      </c>
      <c r="G2569" s="95" t="s">
        <v>1111</v>
      </c>
      <c r="H2569" s="5">
        <v>3</v>
      </c>
      <c r="I2569" s="5" t="str">
        <f>VLOOKUP(F2569,'Set up'!$A$2:$C$48,3,FALSE)</f>
        <v>Cash</v>
      </c>
      <c r="J2569" s="5">
        <f>VLOOKUP(F2569,'Set up'!$A$2:$D$48,4,FALSE)</f>
        <v>0</v>
      </c>
      <c r="K2569" s="4">
        <f t="shared" ref="K2569:K2632" si="868">A2569+J2569</f>
        <v>45313</v>
      </c>
      <c r="L2569" s="5">
        <f t="shared" ref="L2569:L2632" si="869">MONTH(K2569)</f>
        <v>1</v>
      </c>
      <c r="M2569" s="5">
        <f t="shared" ref="M2569:M2632" si="870">YEAR(K2569)</f>
        <v>2024</v>
      </c>
      <c r="N2569" s="6">
        <v>180</v>
      </c>
      <c r="P2569" s="6">
        <f t="shared" si="863"/>
        <v>180</v>
      </c>
      <c r="Q2569" s="7">
        <f t="shared" si="864"/>
        <v>4161391.5500000012</v>
      </c>
      <c r="R2569" s="44" t="str">
        <f>VLOOKUP(F2569,'Set up'!$A$2:$E$48,5,FALSE)</f>
        <v>Trsf</v>
      </c>
    </row>
    <row r="2570" spans="1:19" ht="15" hidden="1" customHeight="1" x14ac:dyDescent="0.3">
      <c r="A2570" s="4">
        <v>45314</v>
      </c>
      <c r="B2570" s="5">
        <f t="shared" si="866"/>
        <v>1</v>
      </c>
      <c r="C2570" s="5">
        <f t="shared" si="867"/>
        <v>2024</v>
      </c>
      <c r="D2570" s="5" t="s">
        <v>2370</v>
      </c>
      <c r="E2570" s="5" t="str">
        <f>VLOOKUP(F2570,'Set up'!$A$2:$C$48,2,FALSE)</f>
        <v>C00000044</v>
      </c>
      <c r="F2570" s="1" t="s">
        <v>2213</v>
      </c>
      <c r="G2570" s="120" t="s">
        <v>2371</v>
      </c>
      <c r="H2570" s="5">
        <v>1</v>
      </c>
      <c r="I2570" s="5" t="str">
        <f>VLOOKUP(F2570,'Set up'!$A$2:$C$48,3,FALSE)</f>
        <v>Cash</v>
      </c>
      <c r="J2570" s="5">
        <f>VLOOKUP(F2570,'Set up'!$A$2:$D$48,4,FALSE)</f>
        <v>0</v>
      </c>
      <c r="K2570" s="4">
        <f t="shared" si="868"/>
        <v>45314</v>
      </c>
      <c r="L2570" s="5">
        <f t="shared" si="869"/>
        <v>1</v>
      </c>
      <c r="M2570" s="5">
        <f t="shared" si="870"/>
        <v>2024</v>
      </c>
      <c r="N2570" s="6">
        <v>1606</v>
      </c>
      <c r="O2570" s="6">
        <f t="shared" ref="O2570:O2577" si="871">-N2570</f>
        <v>-1606</v>
      </c>
      <c r="P2570" s="6">
        <f t="shared" si="863"/>
        <v>0</v>
      </c>
      <c r="Q2570" s="7">
        <f t="shared" si="864"/>
        <v>4162997.5500000012</v>
      </c>
      <c r="R2570" s="44" t="str">
        <f>VLOOKUP(F2570,'Set up'!$A$2:$E$48,5,FALSE)</f>
        <v>Trsf</v>
      </c>
      <c r="S2570" s="1" t="s">
        <v>2387</v>
      </c>
    </row>
    <row r="2571" spans="1:19" ht="15" hidden="1" customHeight="1" x14ac:dyDescent="0.3">
      <c r="A2571" s="4">
        <v>45314</v>
      </c>
      <c r="B2571" s="5">
        <f t="shared" si="866"/>
        <v>1</v>
      </c>
      <c r="C2571" s="5">
        <f t="shared" si="867"/>
        <v>2024</v>
      </c>
      <c r="D2571" s="5" t="s">
        <v>2370</v>
      </c>
      <c r="E2571" s="5" t="str">
        <f>VLOOKUP(F2571,'Set up'!$A$2:$C$48,2,FALSE)</f>
        <v>C00000044</v>
      </c>
      <c r="F2571" s="1" t="s">
        <v>2213</v>
      </c>
      <c r="G2571" s="121" t="s">
        <v>2372</v>
      </c>
      <c r="H2571" s="5">
        <v>2</v>
      </c>
      <c r="I2571" s="5" t="str">
        <f>VLOOKUP(F2571,'Set up'!$A$2:$C$48,3,FALSE)</f>
        <v>Cash</v>
      </c>
      <c r="J2571" s="5">
        <f>VLOOKUP(F2571,'Set up'!$A$2:$D$48,4,FALSE)</f>
        <v>0</v>
      </c>
      <c r="K2571" s="4">
        <f t="shared" si="868"/>
        <v>45314</v>
      </c>
      <c r="L2571" s="5">
        <f t="shared" si="869"/>
        <v>1</v>
      </c>
      <c r="M2571" s="5">
        <f t="shared" si="870"/>
        <v>2024</v>
      </c>
      <c r="N2571" s="6">
        <v>420</v>
      </c>
      <c r="O2571" s="6">
        <f t="shared" si="871"/>
        <v>-420</v>
      </c>
      <c r="P2571" s="6">
        <f t="shared" si="863"/>
        <v>0</v>
      </c>
      <c r="Q2571" s="7">
        <f t="shared" si="864"/>
        <v>4163417.5500000012</v>
      </c>
      <c r="R2571" s="44" t="str">
        <f>VLOOKUP(F2571,'Set up'!$A$2:$E$48,5,FALSE)</f>
        <v>Trsf</v>
      </c>
      <c r="S2571" s="1" t="s">
        <v>2387</v>
      </c>
    </row>
    <row r="2572" spans="1:19" ht="15" hidden="1" customHeight="1" x14ac:dyDescent="0.3">
      <c r="A2572" s="4">
        <v>45314</v>
      </c>
      <c r="B2572" s="5">
        <f t="shared" si="866"/>
        <v>1</v>
      </c>
      <c r="C2572" s="5">
        <f t="shared" si="867"/>
        <v>2024</v>
      </c>
      <c r="D2572" s="5" t="s">
        <v>2370</v>
      </c>
      <c r="E2572" s="5" t="str">
        <f>VLOOKUP(F2572,'Set up'!$A$2:$C$48,2,FALSE)</f>
        <v>C00000044</v>
      </c>
      <c r="F2572" s="1" t="s">
        <v>2213</v>
      </c>
      <c r="G2572" s="121" t="s">
        <v>2373</v>
      </c>
      <c r="H2572" s="5">
        <v>1</v>
      </c>
      <c r="I2572" s="5" t="str">
        <f>VLOOKUP(F2572,'Set up'!$A$2:$C$48,3,FALSE)</f>
        <v>Cash</v>
      </c>
      <c r="J2572" s="5">
        <f>VLOOKUP(F2572,'Set up'!$A$2:$D$48,4,FALSE)</f>
        <v>0</v>
      </c>
      <c r="K2572" s="4">
        <f t="shared" si="868"/>
        <v>45314</v>
      </c>
      <c r="L2572" s="5">
        <f t="shared" si="869"/>
        <v>1</v>
      </c>
      <c r="M2572" s="5">
        <f t="shared" si="870"/>
        <v>2024</v>
      </c>
      <c r="N2572" s="6">
        <v>280</v>
      </c>
      <c r="O2572" s="6">
        <f t="shared" si="871"/>
        <v>-280</v>
      </c>
      <c r="P2572" s="6">
        <f t="shared" si="863"/>
        <v>0</v>
      </c>
      <c r="Q2572" s="7">
        <f t="shared" si="864"/>
        <v>4163697.5500000012</v>
      </c>
      <c r="R2572" s="44" t="str">
        <f>VLOOKUP(F2572,'Set up'!$A$2:$E$48,5,FALSE)</f>
        <v>Trsf</v>
      </c>
      <c r="S2572" s="1" t="s">
        <v>2387</v>
      </c>
    </row>
    <row r="2573" spans="1:19" ht="15" hidden="1" customHeight="1" x14ac:dyDescent="0.3">
      <c r="A2573" s="4">
        <v>45314</v>
      </c>
      <c r="B2573" s="5">
        <f t="shared" si="866"/>
        <v>1</v>
      </c>
      <c r="C2573" s="5">
        <f t="shared" si="867"/>
        <v>2024</v>
      </c>
      <c r="D2573" s="5" t="s">
        <v>2370</v>
      </c>
      <c r="E2573" s="5" t="str">
        <f>VLOOKUP(F2573,'Set up'!$A$2:$C$48,2,FALSE)</f>
        <v>C00000044</v>
      </c>
      <c r="F2573" s="1" t="s">
        <v>2213</v>
      </c>
      <c r="G2573" s="121" t="s">
        <v>715</v>
      </c>
      <c r="H2573" s="5">
        <v>1</v>
      </c>
      <c r="I2573" s="5" t="str">
        <f>VLOOKUP(F2573,'Set up'!$A$2:$C$48,3,FALSE)</f>
        <v>Cash</v>
      </c>
      <c r="J2573" s="5">
        <f>VLOOKUP(F2573,'Set up'!$A$2:$D$48,4,FALSE)</f>
        <v>0</v>
      </c>
      <c r="K2573" s="4">
        <f t="shared" si="868"/>
        <v>45314</v>
      </c>
      <c r="L2573" s="5">
        <f t="shared" si="869"/>
        <v>1</v>
      </c>
      <c r="M2573" s="5">
        <f t="shared" si="870"/>
        <v>2024</v>
      </c>
      <c r="N2573" s="6">
        <v>62.5</v>
      </c>
      <c r="O2573" s="6">
        <f t="shared" si="871"/>
        <v>-62.5</v>
      </c>
      <c r="P2573" s="6">
        <f t="shared" si="863"/>
        <v>0</v>
      </c>
      <c r="Q2573" s="7">
        <f t="shared" si="864"/>
        <v>4163760.0500000012</v>
      </c>
      <c r="R2573" s="44" t="str">
        <f>VLOOKUP(F2573,'Set up'!$A$2:$E$48,5,FALSE)</f>
        <v>Trsf</v>
      </c>
      <c r="S2573" s="1" t="s">
        <v>2387</v>
      </c>
    </row>
    <row r="2574" spans="1:19" ht="15" hidden="1" customHeight="1" x14ac:dyDescent="0.3">
      <c r="A2574" s="4">
        <v>45314</v>
      </c>
      <c r="B2574" s="5">
        <f t="shared" si="866"/>
        <v>1</v>
      </c>
      <c r="C2574" s="5">
        <f t="shared" si="867"/>
        <v>2024</v>
      </c>
      <c r="D2574" s="5" t="s">
        <v>2370</v>
      </c>
      <c r="E2574" s="5" t="str">
        <f>VLOOKUP(F2574,'Set up'!$A$2:$C$48,2,FALSE)</f>
        <v>C00000044</v>
      </c>
      <c r="F2574" s="1" t="s">
        <v>2213</v>
      </c>
      <c r="G2574" s="121" t="s">
        <v>2374</v>
      </c>
      <c r="H2574" s="5">
        <v>5</v>
      </c>
      <c r="I2574" s="5" t="str">
        <f>VLOOKUP(F2574,'Set up'!$A$2:$C$48,3,FALSE)</f>
        <v>Cash</v>
      </c>
      <c r="J2574" s="5">
        <f>VLOOKUP(F2574,'Set up'!$A$2:$D$48,4,FALSE)</f>
        <v>0</v>
      </c>
      <c r="K2574" s="4">
        <f t="shared" si="868"/>
        <v>45314</v>
      </c>
      <c r="L2574" s="5">
        <f t="shared" si="869"/>
        <v>1</v>
      </c>
      <c r="M2574" s="5">
        <f t="shared" si="870"/>
        <v>2024</v>
      </c>
      <c r="N2574" s="6">
        <v>700</v>
      </c>
      <c r="O2574" s="6">
        <f t="shared" si="871"/>
        <v>-700</v>
      </c>
      <c r="P2574" s="6">
        <f t="shared" si="863"/>
        <v>0</v>
      </c>
      <c r="Q2574" s="7">
        <f t="shared" si="864"/>
        <v>4164460.0500000012</v>
      </c>
      <c r="R2574" s="44" t="str">
        <f>VLOOKUP(F2574,'Set up'!$A$2:$E$48,5,FALSE)</f>
        <v>Trsf</v>
      </c>
      <c r="S2574" s="1" t="s">
        <v>2387</v>
      </c>
    </row>
    <row r="2575" spans="1:19" ht="15" hidden="1" customHeight="1" x14ac:dyDescent="0.3">
      <c r="A2575" s="4">
        <v>45314</v>
      </c>
      <c r="B2575" s="5">
        <f t="shared" si="866"/>
        <v>1</v>
      </c>
      <c r="C2575" s="5">
        <f t="shared" si="867"/>
        <v>2024</v>
      </c>
      <c r="D2575" s="5" t="s">
        <v>2370</v>
      </c>
      <c r="E2575" s="5" t="str">
        <f>VLOOKUP(F2575,'Set up'!$A$2:$C$48,2,FALSE)</f>
        <v>C00000044</v>
      </c>
      <c r="F2575" s="1" t="s">
        <v>2213</v>
      </c>
      <c r="G2575" s="121" t="s">
        <v>2375</v>
      </c>
      <c r="H2575" s="5">
        <v>1</v>
      </c>
      <c r="I2575" s="5" t="str">
        <f>VLOOKUP(F2575,'Set up'!$A$2:$C$48,3,FALSE)</f>
        <v>Cash</v>
      </c>
      <c r="J2575" s="5">
        <f>VLOOKUP(F2575,'Set up'!$A$2:$D$48,4,FALSE)</f>
        <v>0</v>
      </c>
      <c r="K2575" s="4">
        <f t="shared" si="868"/>
        <v>45314</v>
      </c>
      <c r="L2575" s="5">
        <f t="shared" si="869"/>
        <v>1</v>
      </c>
      <c r="M2575" s="5">
        <f t="shared" si="870"/>
        <v>2024</v>
      </c>
      <c r="N2575" s="6">
        <v>290</v>
      </c>
      <c r="O2575" s="6">
        <f t="shared" si="871"/>
        <v>-290</v>
      </c>
      <c r="P2575" s="6">
        <f t="shared" si="863"/>
        <v>0</v>
      </c>
      <c r="Q2575" s="7">
        <f t="shared" si="864"/>
        <v>4164750.0500000012</v>
      </c>
      <c r="R2575" s="44" t="str">
        <f>VLOOKUP(F2575,'Set up'!$A$2:$E$48,5,FALSE)</f>
        <v>Trsf</v>
      </c>
      <c r="S2575" s="1" t="s">
        <v>2387</v>
      </c>
    </row>
    <row r="2576" spans="1:19" ht="15" hidden="1" customHeight="1" x14ac:dyDescent="0.3">
      <c r="A2576" s="4">
        <v>45314</v>
      </c>
      <c r="B2576" s="5">
        <f t="shared" si="866"/>
        <v>1</v>
      </c>
      <c r="C2576" s="5">
        <f t="shared" si="867"/>
        <v>2024</v>
      </c>
      <c r="D2576" s="5" t="s">
        <v>2370</v>
      </c>
      <c r="E2576" s="5" t="str">
        <f>VLOOKUP(F2576,'Set up'!$A$2:$C$48,2,FALSE)</f>
        <v>C00000044</v>
      </c>
      <c r="F2576" s="1" t="s">
        <v>2213</v>
      </c>
      <c r="G2576" s="121" t="s">
        <v>2376</v>
      </c>
      <c r="H2576" s="5">
        <v>1</v>
      </c>
      <c r="I2576" s="5" t="str">
        <f>VLOOKUP(F2576,'Set up'!$A$2:$C$48,3,FALSE)</f>
        <v>Cash</v>
      </c>
      <c r="J2576" s="5">
        <f>VLOOKUP(F2576,'Set up'!$A$2:$D$48,4,FALSE)</f>
        <v>0</v>
      </c>
      <c r="K2576" s="4">
        <f t="shared" si="868"/>
        <v>45314</v>
      </c>
      <c r="L2576" s="5">
        <f t="shared" si="869"/>
        <v>1</v>
      </c>
      <c r="M2576" s="5">
        <f t="shared" si="870"/>
        <v>2024</v>
      </c>
      <c r="N2576" s="6">
        <v>283.8</v>
      </c>
      <c r="O2576" s="6">
        <f t="shared" si="871"/>
        <v>-283.8</v>
      </c>
      <c r="P2576" s="6">
        <f t="shared" si="863"/>
        <v>0</v>
      </c>
      <c r="Q2576" s="7">
        <f t="shared" si="864"/>
        <v>4165033.850000001</v>
      </c>
      <c r="R2576" s="44" t="str">
        <f>VLOOKUP(F2576,'Set up'!$A$2:$E$48,5,FALSE)</f>
        <v>Trsf</v>
      </c>
      <c r="S2576" s="1" t="s">
        <v>2387</v>
      </c>
    </row>
    <row r="2577" spans="1:19" ht="15" hidden="1" customHeight="1" x14ac:dyDescent="0.3">
      <c r="A2577" s="4">
        <v>45314</v>
      </c>
      <c r="B2577" s="5">
        <f t="shared" si="866"/>
        <v>1</v>
      </c>
      <c r="C2577" s="5">
        <f t="shared" si="867"/>
        <v>2024</v>
      </c>
      <c r="D2577" s="5" t="s">
        <v>2370</v>
      </c>
      <c r="E2577" s="5" t="str">
        <f>VLOOKUP(F2577,'Set up'!$A$2:$C$48,2,FALSE)</f>
        <v>C00000044</v>
      </c>
      <c r="F2577" s="1" t="s">
        <v>2213</v>
      </c>
      <c r="G2577" s="121" t="s">
        <v>2027</v>
      </c>
      <c r="H2577" s="5">
        <v>1</v>
      </c>
      <c r="I2577" s="5" t="str">
        <f>VLOOKUP(F2577,'Set up'!$A$2:$C$48,3,FALSE)</f>
        <v>Cash</v>
      </c>
      <c r="J2577" s="5">
        <f>VLOOKUP(F2577,'Set up'!$A$2:$D$48,4,FALSE)</f>
        <v>0</v>
      </c>
      <c r="K2577" s="4">
        <f t="shared" si="868"/>
        <v>45314</v>
      </c>
      <c r="L2577" s="5">
        <f t="shared" si="869"/>
        <v>1</v>
      </c>
      <c r="M2577" s="5">
        <f t="shared" si="870"/>
        <v>2024</v>
      </c>
      <c r="N2577" s="6">
        <v>110</v>
      </c>
      <c r="O2577" s="6">
        <f t="shared" si="871"/>
        <v>-110</v>
      </c>
      <c r="P2577" s="6">
        <f t="shared" si="863"/>
        <v>0</v>
      </c>
      <c r="Q2577" s="7">
        <f t="shared" si="864"/>
        <v>4165143.850000001</v>
      </c>
      <c r="R2577" s="44" t="str">
        <f>VLOOKUP(F2577,'Set up'!$A$2:$E$48,5,FALSE)</f>
        <v>Trsf</v>
      </c>
      <c r="S2577" s="1" t="s">
        <v>2387</v>
      </c>
    </row>
    <row r="2578" spans="1:19" ht="15" hidden="1" customHeight="1" x14ac:dyDescent="0.3">
      <c r="A2578" s="4">
        <v>45315</v>
      </c>
      <c r="B2578" s="5">
        <f t="shared" si="866"/>
        <v>1</v>
      </c>
      <c r="C2578" s="5">
        <f t="shared" si="867"/>
        <v>2024</v>
      </c>
      <c r="D2578" s="5" t="s">
        <v>2377</v>
      </c>
      <c r="E2578" s="5" t="str">
        <f>VLOOKUP(F2578,'Set up'!$A$2:$C$48,2,FALSE)</f>
        <v>C00000046</v>
      </c>
      <c r="F2578" s="1" t="s">
        <v>2364</v>
      </c>
      <c r="G2578" s="95" t="s">
        <v>1739</v>
      </c>
      <c r="H2578" s="5">
        <v>1</v>
      </c>
      <c r="I2578" s="5" t="str">
        <f>VLOOKUP(F2578,'Set up'!$A$2:$C$48,3,FALSE)</f>
        <v>Cash</v>
      </c>
      <c r="J2578" s="5">
        <f>VLOOKUP(F2578,'Set up'!$A$2:$D$48,4,FALSE)</f>
        <v>0</v>
      </c>
      <c r="K2578" s="4">
        <f t="shared" si="868"/>
        <v>45315</v>
      </c>
      <c r="L2578" s="5">
        <f t="shared" si="869"/>
        <v>1</v>
      </c>
      <c r="M2578" s="5">
        <f t="shared" si="870"/>
        <v>2024</v>
      </c>
      <c r="N2578" s="6">
        <v>1694</v>
      </c>
      <c r="P2578" s="6">
        <f t="shared" si="863"/>
        <v>1694</v>
      </c>
      <c r="Q2578" s="7">
        <f t="shared" si="864"/>
        <v>4166837.850000001</v>
      </c>
      <c r="R2578" s="44" t="str">
        <f>VLOOKUP(F2578,'Set up'!$A$2:$E$48,5,FALSE)</f>
        <v>Trsf</v>
      </c>
    </row>
    <row r="2579" spans="1:19" ht="15" hidden="1" customHeight="1" x14ac:dyDescent="0.3">
      <c r="A2579" s="4">
        <v>45315</v>
      </c>
      <c r="B2579" s="5">
        <f t="shared" si="866"/>
        <v>1</v>
      </c>
      <c r="C2579" s="5">
        <f t="shared" si="867"/>
        <v>2024</v>
      </c>
      <c r="D2579" s="5" t="s">
        <v>2377</v>
      </c>
      <c r="E2579" s="5" t="str">
        <f>VLOOKUP(F2579,'Set up'!$A$2:$C$48,2,FALSE)</f>
        <v>C00000046</v>
      </c>
      <c r="F2579" s="1" t="s">
        <v>2364</v>
      </c>
      <c r="G2579" s="90" t="s">
        <v>1797</v>
      </c>
      <c r="H2579" s="5">
        <v>2</v>
      </c>
      <c r="I2579" s="5" t="str">
        <f>VLOOKUP(F2579,'Set up'!$A$2:$C$48,3,FALSE)</f>
        <v>Cash</v>
      </c>
      <c r="J2579" s="5">
        <f>VLOOKUP(F2579,'Set up'!$A$2:$D$48,4,FALSE)</f>
        <v>0</v>
      </c>
      <c r="K2579" s="4">
        <f t="shared" si="868"/>
        <v>45315</v>
      </c>
      <c r="L2579" s="5">
        <f t="shared" si="869"/>
        <v>1</v>
      </c>
      <c r="M2579" s="5">
        <f t="shared" si="870"/>
        <v>2024</v>
      </c>
      <c r="N2579" s="6">
        <v>450</v>
      </c>
      <c r="P2579" s="6">
        <f t="shared" si="863"/>
        <v>450</v>
      </c>
      <c r="Q2579" s="7">
        <f t="shared" si="864"/>
        <v>4167287.850000001</v>
      </c>
      <c r="R2579" s="44" t="str">
        <f>VLOOKUP(F2579,'Set up'!$A$2:$E$48,5,FALSE)</f>
        <v>Trsf</v>
      </c>
    </row>
    <row r="2580" spans="1:19" ht="15" hidden="1" customHeight="1" x14ac:dyDescent="0.3">
      <c r="A2580" s="4">
        <v>45315</v>
      </c>
      <c r="B2580" s="5">
        <f t="shared" si="866"/>
        <v>1</v>
      </c>
      <c r="C2580" s="5">
        <f t="shared" si="867"/>
        <v>2024</v>
      </c>
      <c r="D2580" s="5" t="s">
        <v>2377</v>
      </c>
      <c r="E2580" s="5" t="str">
        <f>VLOOKUP(F2580,'Set up'!$A$2:$C$48,2,FALSE)</f>
        <v>C00000046</v>
      </c>
      <c r="F2580" s="1" t="s">
        <v>2364</v>
      </c>
      <c r="G2580" s="90" t="s">
        <v>2032</v>
      </c>
      <c r="H2580" s="5">
        <v>1</v>
      </c>
      <c r="I2580" s="5" t="str">
        <f>VLOOKUP(F2580,'Set up'!$A$2:$C$48,3,FALSE)</f>
        <v>Cash</v>
      </c>
      <c r="J2580" s="5">
        <f>VLOOKUP(F2580,'Set up'!$A$2:$D$48,4,FALSE)</f>
        <v>0</v>
      </c>
      <c r="K2580" s="4">
        <f t="shared" si="868"/>
        <v>45315</v>
      </c>
      <c r="L2580" s="5">
        <f t="shared" si="869"/>
        <v>1</v>
      </c>
      <c r="M2580" s="5">
        <f t="shared" si="870"/>
        <v>2024</v>
      </c>
      <c r="N2580" s="6">
        <v>280</v>
      </c>
      <c r="P2580" s="6">
        <f t="shared" si="863"/>
        <v>280</v>
      </c>
      <c r="Q2580" s="7">
        <f t="shared" si="864"/>
        <v>4167567.850000001</v>
      </c>
      <c r="R2580" s="44" t="str">
        <f>VLOOKUP(F2580,'Set up'!$A$2:$E$48,5,FALSE)</f>
        <v>Trsf</v>
      </c>
    </row>
    <row r="2581" spans="1:19" ht="15" customHeight="1" x14ac:dyDescent="0.3">
      <c r="A2581" s="4">
        <v>45320</v>
      </c>
      <c r="B2581" s="5">
        <f t="shared" si="866"/>
        <v>1</v>
      </c>
      <c r="C2581" s="5">
        <f t="shared" si="867"/>
        <v>2024</v>
      </c>
      <c r="D2581" s="5" t="s">
        <v>2378</v>
      </c>
      <c r="E2581" s="5" t="str">
        <f>VLOOKUP(F2581,'Set up'!$A$2:$C$48,2,FALSE)</f>
        <v>C00000042</v>
      </c>
      <c r="F2581" s="1" t="s">
        <v>2014</v>
      </c>
      <c r="G2581" s="103" t="s">
        <v>2203</v>
      </c>
      <c r="H2581" s="5">
        <v>3</v>
      </c>
      <c r="I2581" s="5" t="str">
        <f>VLOOKUP(F2581,'Set up'!$A$2:$C$48,3,FALSE)</f>
        <v>Cash</v>
      </c>
      <c r="J2581" s="5">
        <f>VLOOKUP(F2581,'Set up'!$A$2:$D$48,4,FALSE)</f>
        <v>0</v>
      </c>
      <c r="K2581" s="4">
        <f t="shared" si="868"/>
        <v>45320</v>
      </c>
      <c r="L2581" s="5">
        <f t="shared" si="869"/>
        <v>1</v>
      </c>
      <c r="M2581" s="5">
        <f t="shared" si="870"/>
        <v>2024</v>
      </c>
      <c r="N2581" s="6">
        <v>187.5</v>
      </c>
      <c r="P2581" s="6">
        <f t="shared" ref="P2581:P2644" si="872">SUM(N2581+O2581)</f>
        <v>187.5</v>
      </c>
      <c r="Q2581" s="7">
        <f t="shared" si="864"/>
        <v>4167755.350000001</v>
      </c>
      <c r="R2581" s="44" t="str">
        <f>VLOOKUP(F2581,'Set up'!$A$2:$E$50,5,FALSE)</f>
        <v>Trsf</v>
      </c>
    </row>
    <row r="2582" spans="1:19" ht="15" customHeight="1" x14ac:dyDescent="0.3">
      <c r="A2582" s="4">
        <v>45320</v>
      </c>
      <c r="B2582" s="5">
        <f t="shared" si="866"/>
        <v>1</v>
      </c>
      <c r="C2582" s="5">
        <f t="shared" si="867"/>
        <v>2024</v>
      </c>
      <c r="D2582" s="5" t="s">
        <v>2379</v>
      </c>
      <c r="E2582" s="5" t="str">
        <f>VLOOKUP(F2582,'Set up'!$A$2:$C$48,2,FALSE)</f>
        <v>C00000042</v>
      </c>
      <c r="F2582" s="1" t="s">
        <v>2014</v>
      </c>
      <c r="G2582" s="103" t="s">
        <v>1734</v>
      </c>
      <c r="H2582" s="5">
        <v>3</v>
      </c>
      <c r="I2582" s="5" t="str">
        <f>VLOOKUP(F2582,'Set up'!$A$2:$C$48,3,FALSE)</f>
        <v>Cash</v>
      </c>
      <c r="J2582" s="5">
        <f>VLOOKUP(F2582,'Set up'!$A$2:$D$48,4,FALSE)</f>
        <v>0</v>
      </c>
      <c r="K2582" s="4">
        <f t="shared" si="868"/>
        <v>45320</v>
      </c>
      <c r="L2582" s="5">
        <f t="shared" si="869"/>
        <v>1</v>
      </c>
      <c r="M2582" s="5">
        <f t="shared" si="870"/>
        <v>2024</v>
      </c>
      <c r="N2582" s="6">
        <v>4818</v>
      </c>
      <c r="P2582" s="6">
        <f t="shared" si="872"/>
        <v>4818</v>
      </c>
      <c r="Q2582" s="7">
        <f t="shared" si="864"/>
        <v>4172573.350000001</v>
      </c>
      <c r="R2582" s="44" t="str">
        <f>VLOOKUP(F2582,'Set up'!$A$2:$E$50,5,FALSE)</f>
        <v>Trsf</v>
      </c>
    </row>
    <row r="2583" spans="1:19" ht="15" customHeight="1" x14ac:dyDescent="0.3">
      <c r="A2583" s="4">
        <v>45320</v>
      </c>
      <c r="B2583" s="5">
        <f t="shared" si="866"/>
        <v>1</v>
      </c>
      <c r="C2583" s="5">
        <f t="shared" si="867"/>
        <v>2024</v>
      </c>
      <c r="D2583" s="5" t="s">
        <v>2379</v>
      </c>
      <c r="E2583" s="5" t="str">
        <f>VLOOKUP(F2583,'Set up'!$A$2:$C$50,2,FALSE)</f>
        <v>C00000042</v>
      </c>
      <c r="F2583" s="1" t="s">
        <v>2014</v>
      </c>
      <c r="G2583" s="90" t="s">
        <v>1797</v>
      </c>
      <c r="H2583" s="5">
        <v>6</v>
      </c>
      <c r="I2583" s="5" t="str">
        <f>VLOOKUP(F2583,'Set up'!$A$2:$C$48,3,FALSE)</f>
        <v>Cash</v>
      </c>
      <c r="J2583" s="5">
        <f>VLOOKUP(F2583,'Set up'!$A$2:$D$48,4,FALSE)</f>
        <v>0</v>
      </c>
      <c r="K2583" s="4">
        <f t="shared" si="868"/>
        <v>45320</v>
      </c>
      <c r="L2583" s="5">
        <f t="shared" si="869"/>
        <v>1</v>
      </c>
      <c r="M2583" s="5">
        <f t="shared" si="870"/>
        <v>2024</v>
      </c>
      <c r="N2583" s="6">
        <v>1044</v>
      </c>
      <c r="P2583" s="6">
        <f t="shared" si="872"/>
        <v>1044</v>
      </c>
      <c r="Q2583" s="7">
        <f t="shared" si="864"/>
        <v>4173617.350000001</v>
      </c>
      <c r="R2583" s="44" t="str">
        <f>VLOOKUP(F2583,'Set up'!$A$2:$E$50,5,FALSE)</f>
        <v>Trsf</v>
      </c>
    </row>
    <row r="2584" spans="1:19" ht="15" customHeight="1" x14ac:dyDescent="0.3">
      <c r="A2584" s="4">
        <v>45320</v>
      </c>
      <c r="B2584" s="5">
        <f t="shared" si="866"/>
        <v>1</v>
      </c>
      <c r="C2584" s="5">
        <f t="shared" si="867"/>
        <v>2024</v>
      </c>
      <c r="D2584" s="5" t="s">
        <v>2379</v>
      </c>
      <c r="E2584" s="5" t="str">
        <f>VLOOKUP(F2584,'Set up'!$A$2:$C$50,2,FALSE)</f>
        <v>C00000042</v>
      </c>
      <c r="F2584" s="1" t="s">
        <v>2014</v>
      </c>
      <c r="G2584" s="90" t="s">
        <v>1923</v>
      </c>
      <c r="H2584" s="5">
        <v>3</v>
      </c>
      <c r="I2584" s="5" t="str">
        <f>VLOOKUP(F2584,'Set up'!$A$2:$C$48,3,FALSE)</f>
        <v>Cash</v>
      </c>
      <c r="J2584" s="5">
        <f>VLOOKUP(F2584,'Set up'!$A$2:$D$48,4,FALSE)</f>
        <v>0</v>
      </c>
      <c r="K2584" s="4">
        <f t="shared" si="868"/>
        <v>45320</v>
      </c>
      <c r="L2584" s="5">
        <f t="shared" si="869"/>
        <v>1</v>
      </c>
      <c r="M2584" s="5">
        <f t="shared" si="870"/>
        <v>2024</v>
      </c>
      <c r="N2584" s="6">
        <v>702</v>
      </c>
      <c r="P2584" s="6">
        <f t="shared" si="872"/>
        <v>702</v>
      </c>
      <c r="Q2584" s="7">
        <f t="shared" si="864"/>
        <v>4174319.350000001</v>
      </c>
      <c r="R2584" s="44" t="str">
        <f>VLOOKUP(F2584,'Set up'!$A$2:$E$50,5,FALSE)</f>
        <v>Trsf</v>
      </c>
    </row>
    <row r="2585" spans="1:19" ht="15" customHeight="1" x14ac:dyDescent="0.3">
      <c r="A2585" s="4">
        <v>45322</v>
      </c>
      <c r="B2585" s="5">
        <f t="shared" si="866"/>
        <v>1</v>
      </c>
      <c r="C2585" s="5">
        <f t="shared" si="867"/>
        <v>2024</v>
      </c>
      <c r="D2585" s="5" t="s">
        <v>2380</v>
      </c>
      <c r="E2585" s="5" t="str">
        <f>VLOOKUP(F2585,'Set up'!$A$2:$C$50,2,FALSE)</f>
        <v>C00000042</v>
      </c>
      <c r="F2585" s="1" t="s">
        <v>2014</v>
      </c>
      <c r="G2585" s="103" t="s">
        <v>2203</v>
      </c>
      <c r="H2585" s="5">
        <v>6</v>
      </c>
      <c r="I2585" s="5" t="str">
        <f>VLOOKUP(F2585,'Set up'!$A$2:$C$48,3,FALSE)</f>
        <v>Cash</v>
      </c>
      <c r="J2585" s="5">
        <f>VLOOKUP(F2585,'Set up'!$A$2:$D$48,4,FALSE)</f>
        <v>0</v>
      </c>
      <c r="K2585" s="4">
        <f t="shared" si="868"/>
        <v>45322</v>
      </c>
      <c r="L2585" s="5">
        <f t="shared" si="869"/>
        <v>1</v>
      </c>
      <c r="M2585" s="5">
        <f t="shared" si="870"/>
        <v>2024</v>
      </c>
      <c r="N2585" s="6">
        <v>375</v>
      </c>
      <c r="P2585" s="6">
        <f t="shared" si="872"/>
        <v>375</v>
      </c>
      <c r="Q2585" s="7">
        <f t="shared" si="864"/>
        <v>4174694.350000001</v>
      </c>
      <c r="R2585" s="44" t="str">
        <f>VLOOKUP(F2585,'Set up'!$A$2:$E$50,5,FALSE)</f>
        <v>Trsf</v>
      </c>
    </row>
    <row r="2586" spans="1:19" ht="15" customHeight="1" x14ac:dyDescent="0.3">
      <c r="A2586" s="4">
        <v>45322</v>
      </c>
      <c r="B2586" s="5">
        <f t="shared" si="866"/>
        <v>1</v>
      </c>
      <c r="C2586" s="5">
        <f t="shared" si="867"/>
        <v>2024</v>
      </c>
      <c r="D2586" s="5" t="s">
        <v>2381</v>
      </c>
      <c r="E2586" s="5" t="str">
        <f>VLOOKUP(F2586,'Set up'!$A$2:$C$50,2,FALSE)</f>
        <v>C00000042</v>
      </c>
      <c r="F2586" s="1" t="s">
        <v>2014</v>
      </c>
      <c r="G2586" s="103" t="s">
        <v>1734</v>
      </c>
      <c r="H2586" s="5">
        <v>6</v>
      </c>
      <c r="I2586" s="5" t="str">
        <f>VLOOKUP(F2586,'Set up'!$A$2:$C$48,3,FALSE)</f>
        <v>Cash</v>
      </c>
      <c r="J2586" s="5">
        <f>VLOOKUP(F2586,'Set up'!$A$2:$D$48,4,FALSE)</f>
        <v>0</v>
      </c>
      <c r="K2586" s="4">
        <f t="shared" si="868"/>
        <v>45322</v>
      </c>
      <c r="L2586" s="5">
        <f t="shared" si="869"/>
        <v>1</v>
      </c>
      <c r="M2586" s="5">
        <f t="shared" si="870"/>
        <v>2024</v>
      </c>
      <c r="N2586" s="6">
        <v>9636</v>
      </c>
      <c r="P2586" s="6">
        <f t="shared" si="872"/>
        <v>9636</v>
      </c>
      <c r="Q2586" s="7">
        <f t="shared" si="864"/>
        <v>4184330.350000001</v>
      </c>
      <c r="R2586" s="44" t="str">
        <f>VLOOKUP(F2586,'Set up'!$A$2:$E$50,5,FALSE)</f>
        <v>Trsf</v>
      </c>
    </row>
    <row r="2587" spans="1:19" ht="15" customHeight="1" x14ac:dyDescent="0.3">
      <c r="A2587" s="4">
        <v>45322</v>
      </c>
      <c r="B2587" s="5">
        <f t="shared" si="866"/>
        <v>1</v>
      </c>
      <c r="C2587" s="5">
        <f t="shared" si="867"/>
        <v>2024</v>
      </c>
      <c r="D2587" s="5" t="s">
        <v>2381</v>
      </c>
      <c r="E2587" s="5" t="str">
        <f>VLOOKUP(F2587,'Set up'!$A$2:$C$50,2,FALSE)</f>
        <v>C00000042</v>
      </c>
      <c r="F2587" s="1" t="s">
        <v>2014</v>
      </c>
      <c r="G2587" s="90" t="s">
        <v>1797</v>
      </c>
      <c r="H2587" s="5">
        <v>10</v>
      </c>
      <c r="I2587" s="5" t="str">
        <f>VLOOKUP(F2587,'Set up'!$A$2:$C$50,3,FALSE)</f>
        <v>Cash</v>
      </c>
      <c r="J2587" s="5">
        <f>VLOOKUP(F2587,'Set up'!$A$2:$D$48,4,FALSE)</f>
        <v>0</v>
      </c>
      <c r="K2587" s="4">
        <f t="shared" si="868"/>
        <v>45322</v>
      </c>
      <c r="L2587" s="5">
        <f t="shared" si="869"/>
        <v>1</v>
      </c>
      <c r="M2587" s="5">
        <f t="shared" si="870"/>
        <v>2024</v>
      </c>
      <c r="N2587" s="6">
        <v>1740</v>
      </c>
      <c r="P2587" s="6">
        <f t="shared" si="872"/>
        <v>1740</v>
      </c>
      <c r="Q2587" s="7">
        <f t="shared" si="864"/>
        <v>4186070.350000001</v>
      </c>
      <c r="R2587" s="44" t="str">
        <f>VLOOKUP(F2587,'Set up'!$A$2:$E$50,5,FALSE)</f>
        <v>Trsf</v>
      </c>
    </row>
    <row r="2588" spans="1:19" ht="15" customHeight="1" x14ac:dyDescent="0.3">
      <c r="A2588" s="4">
        <v>45322</v>
      </c>
      <c r="B2588" s="5">
        <f t="shared" si="866"/>
        <v>1</v>
      </c>
      <c r="C2588" s="5">
        <f t="shared" si="867"/>
        <v>2024</v>
      </c>
      <c r="D2588" s="5" t="s">
        <v>2381</v>
      </c>
      <c r="E2588" s="5" t="str">
        <f>VLOOKUP(F2588,'Set up'!$A$2:$C$50,2,FALSE)</f>
        <v>C00000042</v>
      </c>
      <c r="F2588" s="1" t="s">
        <v>2014</v>
      </c>
      <c r="G2588" s="90" t="s">
        <v>2359</v>
      </c>
      <c r="H2588" s="5">
        <v>8</v>
      </c>
      <c r="I2588" s="5" t="str">
        <f>VLOOKUP(F2588,'Set up'!$A$2:$C$50,3,FALSE)</f>
        <v>Cash</v>
      </c>
      <c r="J2588" s="5">
        <f>VLOOKUP(F2588,'Set up'!$A$2:$D$48,4,FALSE)</f>
        <v>0</v>
      </c>
      <c r="K2588" s="4">
        <f t="shared" si="868"/>
        <v>45322</v>
      </c>
      <c r="L2588" s="5">
        <f t="shared" si="869"/>
        <v>1</v>
      </c>
      <c r="M2588" s="5">
        <f t="shared" si="870"/>
        <v>2024</v>
      </c>
      <c r="N2588" s="6">
        <v>1716.8</v>
      </c>
      <c r="P2588" s="6">
        <f t="shared" si="872"/>
        <v>1716.8</v>
      </c>
      <c r="Q2588" s="7">
        <f t="shared" si="864"/>
        <v>4187787.1500000008</v>
      </c>
      <c r="R2588" s="44" t="str">
        <f>VLOOKUP(F2588,'Set up'!$A$2:$E$50,5,FALSE)</f>
        <v>Trsf</v>
      </c>
    </row>
    <row r="2589" spans="1:19" ht="15" customHeight="1" x14ac:dyDescent="0.3">
      <c r="A2589" s="4">
        <v>45322</v>
      </c>
      <c r="B2589" s="5">
        <f t="shared" si="866"/>
        <v>1</v>
      </c>
      <c r="C2589" s="5">
        <f t="shared" si="867"/>
        <v>2024</v>
      </c>
      <c r="D2589" s="5" t="s">
        <v>2381</v>
      </c>
      <c r="E2589" s="5" t="str">
        <f>VLOOKUP(F2589,'Set up'!$A$2:$C$50,2,FALSE)</f>
        <v>C00000042</v>
      </c>
      <c r="F2589" s="1" t="s">
        <v>2014</v>
      </c>
      <c r="G2589" s="90" t="s">
        <v>1923</v>
      </c>
      <c r="H2589" s="5">
        <v>7</v>
      </c>
      <c r="I2589" s="5" t="str">
        <f>VLOOKUP(F2589,'Set up'!$A$2:$C$50,3,FALSE)</f>
        <v>Cash</v>
      </c>
      <c r="J2589" s="5">
        <f>VLOOKUP(F2589,'Set up'!$A$2:$D$48,4,FALSE)</f>
        <v>0</v>
      </c>
      <c r="K2589" s="4">
        <f t="shared" si="868"/>
        <v>45322</v>
      </c>
      <c r="L2589" s="5">
        <f t="shared" si="869"/>
        <v>1</v>
      </c>
      <c r="M2589" s="5">
        <f t="shared" si="870"/>
        <v>2024</v>
      </c>
      <c r="N2589" s="6">
        <v>1638</v>
      </c>
      <c r="P2589" s="6">
        <f t="shared" si="872"/>
        <v>1638</v>
      </c>
      <c r="Q2589" s="7">
        <f t="shared" si="864"/>
        <v>4189425.1500000008</v>
      </c>
      <c r="R2589" s="44" t="str">
        <f>VLOOKUP(F2589,'Set up'!$A$2:$E$50,5,FALSE)</f>
        <v>Trsf</v>
      </c>
    </row>
    <row r="2590" spans="1:19" ht="15" customHeight="1" x14ac:dyDescent="0.3">
      <c r="A2590" s="4">
        <v>45322</v>
      </c>
      <c r="B2590" s="5">
        <f t="shared" si="866"/>
        <v>1</v>
      </c>
      <c r="C2590" s="5">
        <f t="shared" si="867"/>
        <v>2024</v>
      </c>
      <c r="D2590" s="5" t="s">
        <v>2381</v>
      </c>
      <c r="E2590" s="5" t="str">
        <f>VLOOKUP(F2590,'Set up'!$A$2:$C$50,2,FALSE)</f>
        <v>C00000042</v>
      </c>
      <c r="F2590" s="1" t="s">
        <v>2014</v>
      </c>
      <c r="G2590" s="90" t="s">
        <v>2032</v>
      </c>
      <c r="H2590" s="5">
        <v>2</v>
      </c>
      <c r="I2590" s="5" t="str">
        <f>VLOOKUP(F2590,'Set up'!$A$2:$C$50,3,FALSE)</f>
        <v>Cash</v>
      </c>
      <c r="J2590" s="5">
        <f>VLOOKUP(F2590,'Set up'!$A$2:$D$48,4,FALSE)</f>
        <v>0</v>
      </c>
      <c r="K2590" s="4">
        <f t="shared" si="868"/>
        <v>45322</v>
      </c>
      <c r="L2590" s="5">
        <f t="shared" si="869"/>
        <v>1</v>
      </c>
      <c r="M2590" s="5">
        <f t="shared" si="870"/>
        <v>2024</v>
      </c>
      <c r="N2590" s="6">
        <v>416</v>
      </c>
      <c r="P2590" s="6">
        <f t="shared" si="872"/>
        <v>416</v>
      </c>
      <c r="Q2590" s="7">
        <f t="shared" si="864"/>
        <v>4189841.1500000008</v>
      </c>
      <c r="R2590" s="44" t="str">
        <f>VLOOKUP(F2590,'Set up'!$A$2:$E$50,5,FALSE)</f>
        <v>Trsf</v>
      </c>
    </row>
    <row r="2591" spans="1:19" ht="15" customHeight="1" x14ac:dyDescent="0.3">
      <c r="A2591" s="4">
        <v>45322</v>
      </c>
      <c r="B2591" s="5">
        <f t="shared" si="866"/>
        <v>1</v>
      </c>
      <c r="C2591" s="5">
        <f t="shared" si="867"/>
        <v>2024</v>
      </c>
      <c r="D2591" s="5" t="s">
        <v>2381</v>
      </c>
      <c r="E2591" s="5" t="str">
        <f>VLOOKUP(F2591,'Set up'!$A$2:$C$50,2,FALSE)</f>
        <v>C00000042</v>
      </c>
      <c r="F2591" s="1" t="s">
        <v>2014</v>
      </c>
      <c r="G2591" s="99" t="s">
        <v>1074</v>
      </c>
      <c r="H2591" s="5">
        <v>1</v>
      </c>
      <c r="I2591" s="5" t="str">
        <f>VLOOKUP(F2591,'Set up'!$A$2:$C$50,3,FALSE)</f>
        <v>Cash</v>
      </c>
      <c r="J2591" s="5">
        <f>VLOOKUP(F2591,'Set up'!$A$2:$D$48,4,FALSE)</f>
        <v>0</v>
      </c>
      <c r="K2591" s="4">
        <f t="shared" si="868"/>
        <v>45322</v>
      </c>
      <c r="L2591" s="5">
        <f t="shared" si="869"/>
        <v>1</v>
      </c>
      <c r="M2591" s="5">
        <f t="shared" si="870"/>
        <v>2024</v>
      </c>
      <c r="N2591" s="6">
        <v>1000</v>
      </c>
      <c r="P2591" s="6">
        <f t="shared" si="872"/>
        <v>1000</v>
      </c>
      <c r="Q2591" s="7">
        <f t="shared" si="864"/>
        <v>4190841.1500000008</v>
      </c>
      <c r="R2591" s="44" t="str">
        <f>VLOOKUP(F2591,'Set up'!$A$2:$E$50,5,FALSE)</f>
        <v>Trsf</v>
      </c>
    </row>
    <row r="2592" spans="1:19" s="125" customFormat="1" x14ac:dyDescent="0.3">
      <c r="A2592" s="123">
        <v>45323</v>
      </c>
      <c r="B2592" s="124">
        <f t="shared" si="866"/>
        <v>2</v>
      </c>
      <c r="C2592" s="124">
        <f t="shared" si="867"/>
        <v>2024</v>
      </c>
      <c r="D2592" s="124" t="s">
        <v>2408</v>
      </c>
      <c r="E2592" s="5" t="str">
        <f>VLOOKUP(F2592,'Set up'!$A$2:$C$50,2,FALSE)</f>
        <v>C00000019</v>
      </c>
      <c r="F2592" s="125" t="s">
        <v>401</v>
      </c>
      <c r="G2592" s="90" t="s">
        <v>95</v>
      </c>
      <c r="H2592" s="124">
        <v>1</v>
      </c>
      <c r="I2592" s="5" t="str">
        <f>VLOOKUP(F2592,'Set up'!$A$2:$C$50,3,FALSE)</f>
        <v>Cash</v>
      </c>
      <c r="J2592" s="5">
        <f>VLOOKUP(F2592,'Set up'!$A$2:$D$48,4,FALSE)</f>
        <v>0</v>
      </c>
      <c r="K2592" s="4">
        <f t="shared" si="868"/>
        <v>45323</v>
      </c>
      <c r="L2592" s="5">
        <f t="shared" si="869"/>
        <v>2</v>
      </c>
      <c r="M2592" s="5">
        <f t="shared" si="870"/>
        <v>2024</v>
      </c>
      <c r="N2592" s="6">
        <v>1738</v>
      </c>
      <c r="O2592" s="6"/>
      <c r="P2592" s="6">
        <f t="shared" si="872"/>
        <v>1738</v>
      </c>
      <c r="Q2592" s="126">
        <f t="shared" ref="Q2592:Q2655" si="873">SUM(Q2591+N2592)</f>
        <v>4192579.1500000008</v>
      </c>
      <c r="R2592" s="44" t="str">
        <f>VLOOKUP(F2592,'Set up'!$A$2:$E$50,5,FALSE)</f>
        <v>Trsf</v>
      </c>
    </row>
    <row r="2593" spans="1:18" s="125" customFormat="1" x14ac:dyDescent="0.3">
      <c r="A2593" s="123">
        <v>45323</v>
      </c>
      <c r="B2593" s="124">
        <f t="shared" si="866"/>
        <v>2</v>
      </c>
      <c r="C2593" s="124">
        <f t="shared" si="867"/>
        <v>2024</v>
      </c>
      <c r="D2593" s="124" t="s">
        <v>2408</v>
      </c>
      <c r="E2593" s="5" t="str">
        <f>VLOOKUP(F2593,'Set up'!$A$2:$C$50,2,FALSE)</f>
        <v>C00000019</v>
      </c>
      <c r="F2593" s="125" t="s">
        <v>401</v>
      </c>
      <c r="G2593" s="90" t="s">
        <v>2215</v>
      </c>
      <c r="H2593" s="124">
        <v>1</v>
      </c>
      <c r="I2593" s="5" t="str">
        <f>VLOOKUP(F2593,'Set up'!$A$2:$C$50,3,FALSE)</f>
        <v>Cash</v>
      </c>
      <c r="J2593" s="5">
        <f>VLOOKUP(F2593,'Set up'!$A$2:$D$48,4,FALSE)</f>
        <v>0</v>
      </c>
      <c r="K2593" s="4">
        <f t="shared" si="868"/>
        <v>45323</v>
      </c>
      <c r="L2593" s="5">
        <f t="shared" si="869"/>
        <v>2</v>
      </c>
      <c r="M2593" s="5">
        <f t="shared" si="870"/>
        <v>2024</v>
      </c>
      <c r="N2593" s="6">
        <v>405</v>
      </c>
      <c r="O2593" s="6"/>
      <c r="P2593" s="6">
        <f t="shared" si="872"/>
        <v>405</v>
      </c>
      <c r="Q2593" s="126">
        <f t="shared" si="873"/>
        <v>4192984.1500000008</v>
      </c>
      <c r="R2593" s="44" t="str">
        <f>VLOOKUP(F2593,'Set up'!$A$2:$E$50,5,FALSE)</f>
        <v>Trsf</v>
      </c>
    </row>
    <row r="2594" spans="1:18" s="125" customFormat="1" x14ac:dyDescent="0.3">
      <c r="A2594" s="123">
        <v>45323</v>
      </c>
      <c r="B2594" s="124">
        <f t="shared" si="866"/>
        <v>2</v>
      </c>
      <c r="C2594" s="124">
        <f t="shared" si="867"/>
        <v>2024</v>
      </c>
      <c r="D2594" s="124" t="s">
        <v>2408</v>
      </c>
      <c r="E2594" s="5" t="str">
        <f>VLOOKUP(F2594,'Set up'!$A$2:$C$50,2,FALSE)</f>
        <v>C00000019</v>
      </c>
      <c r="F2594" s="125" t="s">
        <v>401</v>
      </c>
      <c r="G2594" s="90" t="s">
        <v>46</v>
      </c>
      <c r="H2594" s="124">
        <v>1</v>
      </c>
      <c r="I2594" s="5" t="str">
        <f>VLOOKUP(F2594,'Set up'!$A$2:$C$50,3,FALSE)</f>
        <v>Cash</v>
      </c>
      <c r="J2594" s="5">
        <f>VLOOKUP(F2594,'Set up'!$A$2:$D$48,4,FALSE)</f>
        <v>0</v>
      </c>
      <c r="K2594" s="4">
        <f t="shared" si="868"/>
        <v>45323</v>
      </c>
      <c r="L2594" s="5">
        <f t="shared" si="869"/>
        <v>2</v>
      </c>
      <c r="M2594" s="5">
        <f t="shared" si="870"/>
        <v>2024</v>
      </c>
      <c r="N2594" s="6">
        <v>110</v>
      </c>
      <c r="O2594" s="6"/>
      <c r="P2594" s="6">
        <f t="shared" si="872"/>
        <v>110</v>
      </c>
      <c r="Q2594" s="126">
        <f t="shared" si="873"/>
        <v>4193094.1500000008</v>
      </c>
      <c r="R2594" s="44" t="str">
        <f>VLOOKUP(F2594,'Set up'!$A$2:$E$50,5,FALSE)</f>
        <v>Trsf</v>
      </c>
    </row>
    <row r="2595" spans="1:18" s="125" customFormat="1" x14ac:dyDescent="0.3">
      <c r="A2595" s="123">
        <v>45323</v>
      </c>
      <c r="B2595" s="124">
        <f t="shared" si="866"/>
        <v>2</v>
      </c>
      <c r="C2595" s="124">
        <f t="shared" si="867"/>
        <v>2024</v>
      </c>
      <c r="D2595" s="124" t="s">
        <v>2408</v>
      </c>
      <c r="E2595" s="5" t="str">
        <f>VLOOKUP(F2595,'Set up'!$A$2:$C$50,2,FALSE)</f>
        <v>C00000019</v>
      </c>
      <c r="F2595" s="125" t="s">
        <v>401</v>
      </c>
      <c r="G2595" s="90" t="s">
        <v>1470</v>
      </c>
      <c r="H2595" s="124">
        <v>1</v>
      </c>
      <c r="I2595" s="5" t="str">
        <f>VLOOKUP(F2595,'Set up'!$A$2:$C$50,3,FALSE)</f>
        <v>Cash</v>
      </c>
      <c r="J2595" s="5">
        <f>VLOOKUP(F2595,'Set up'!$A$2:$D$48,4,FALSE)</f>
        <v>0</v>
      </c>
      <c r="K2595" s="4">
        <f t="shared" si="868"/>
        <v>45323</v>
      </c>
      <c r="L2595" s="5">
        <f t="shared" si="869"/>
        <v>2</v>
      </c>
      <c r="M2595" s="5">
        <f t="shared" si="870"/>
        <v>2024</v>
      </c>
      <c r="N2595" s="6">
        <v>390</v>
      </c>
      <c r="O2595" s="6"/>
      <c r="P2595" s="6">
        <f t="shared" si="872"/>
        <v>390</v>
      </c>
      <c r="Q2595" s="126">
        <f t="shared" si="873"/>
        <v>4193484.1500000008</v>
      </c>
      <c r="R2595" s="44" t="str">
        <f>VLOOKUP(F2595,'Set up'!$A$2:$E$50,5,FALSE)</f>
        <v>Trsf</v>
      </c>
    </row>
    <row r="2596" spans="1:18" s="125" customFormat="1" x14ac:dyDescent="0.3">
      <c r="A2596" s="123">
        <v>45324</v>
      </c>
      <c r="B2596" s="124">
        <f t="shared" si="866"/>
        <v>2</v>
      </c>
      <c r="C2596" s="124">
        <f t="shared" si="867"/>
        <v>2024</v>
      </c>
      <c r="D2596" s="124" t="s">
        <v>2409</v>
      </c>
      <c r="E2596" s="5" t="str">
        <f>VLOOKUP(F2596,'Set up'!$A$2:$C$50,2,FALSE)</f>
        <v>C00000037</v>
      </c>
      <c r="F2596" s="125" t="s">
        <v>1310</v>
      </c>
      <c r="G2596" s="11" t="s">
        <v>1895</v>
      </c>
      <c r="H2596" s="124">
        <v>3</v>
      </c>
      <c r="I2596" s="5">
        <f>VLOOKUP(F2596,'Set up'!$A$2:$C$50,3,FALSE)</f>
        <v>30</v>
      </c>
      <c r="J2596" s="5">
        <f>VLOOKUP(F2596,'Set up'!$A$2:$D$48,4,FALSE)</f>
        <v>30</v>
      </c>
      <c r="K2596" s="4">
        <f t="shared" si="868"/>
        <v>45354</v>
      </c>
      <c r="L2596" s="5">
        <f t="shared" si="869"/>
        <v>3</v>
      </c>
      <c r="M2596" s="5">
        <f t="shared" si="870"/>
        <v>2024</v>
      </c>
      <c r="N2596" s="6">
        <v>5214</v>
      </c>
      <c r="O2596" s="6"/>
      <c r="P2596" s="6">
        <f t="shared" si="872"/>
        <v>5214</v>
      </c>
      <c r="Q2596" s="126">
        <f t="shared" si="873"/>
        <v>4198698.1500000004</v>
      </c>
      <c r="R2596" s="44" t="str">
        <f>VLOOKUP(F2596,'Set up'!$A$2:$E$50,5,FALSE)</f>
        <v>Chq</v>
      </c>
    </row>
    <row r="2597" spans="1:18" s="125" customFormat="1" x14ac:dyDescent="0.3">
      <c r="A2597" s="123">
        <v>45324</v>
      </c>
      <c r="B2597" s="124">
        <f t="shared" si="866"/>
        <v>2</v>
      </c>
      <c r="C2597" s="124">
        <f t="shared" si="867"/>
        <v>2024</v>
      </c>
      <c r="D2597" s="124" t="s">
        <v>2409</v>
      </c>
      <c r="E2597" s="5" t="str">
        <f>VLOOKUP(F2597,'Set up'!$A$2:$C$50,2,FALSE)</f>
        <v>C00000037</v>
      </c>
      <c r="F2597" s="125" t="s">
        <v>1310</v>
      </c>
      <c r="G2597" s="11" t="s">
        <v>2217</v>
      </c>
      <c r="H2597" s="124">
        <v>5</v>
      </c>
      <c r="I2597" s="5">
        <f>VLOOKUP(F2597,'Set up'!$A$2:$C$50,3,FALSE)</f>
        <v>30</v>
      </c>
      <c r="J2597" s="5">
        <f>VLOOKUP(F2597,'Set up'!$A$2:$D$48,4,FALSE)</f>
        <v>30</v>
      </c>
      <c r="K2597" s="4">
        <f t="shared" si="868"/>
        <v>45354</v>
      </c>
      <c r="L2597" s="5">
        <f t="shared" si="869"/>
        <v>3</v>
      </c>
      <c r="M2597" s="5">
        <f t="shared" si="870"/>
        <v>2024</v>
      </c>
      <c r="N2597" s="6">
        <v>2613</v>
      </c>
      <c r="O2597" s="6"/>
      <c r="P2597" s="6">
        <f t="shared" si="872"/>
        <v>2613</v>
      </c>
      <c r="Q2597" s="126">
        <f t="shared" si="873"/>
        <v>4201311.1500000004</v>
      </c>
      <c r="R2597" s="44" t="str">
        <f>VLOOKUP(F2597,'Set up'!$A$2:$E$50,5,FALSE)</f>
        <v>Chq</v>
      </c>
    </row>
    <row r="2598" spans="1:18" s="125" customFormat="1" x14ac:dyDescent="0.3">
      <c r="A2598" s="123">
        <v>45324</v>
      </c>
      <c r="B2598" s="124">
        <f t="shared" si="866"/>
        <v>2</v>
      </c>
      <c r="C2598" s="124">
        <f t="shared" si="867"/>
        <v>2024</v>
      </c>
      <c r="D2598" s="124" t="s">
        <v>2409</v>
      </c>
      <c r="E2598" s="5" t="str">
        <f>VLOOKUP(F2598,'Set up'!$A$2:$C$50,2,FALSE)</f>
        <v>C00000037</v>
      </c>
      <c r="F2598" s="125" t="s">
        <v>1310</v>
      </c>
      <c r="G2598" s="11" t="s">
        <v>1406</v>
      </c>
      <c r="H2598" s="124">
        <v>3</v>
      </c>
      <c r="I2598" s="5">
        <f>VLOOKUP(F2598,'Set up'!$A$2:$C$50,3,FALSE)</f>
        <v>30</v>
      </c>
      <c r="J2598" s="5">
        <f>VLOOKUP(F2598,'Set up'!$A$2:$D$48,4,FALSE)</f>
        <v>30</v>
      </c>
      <c r="K2598" s="4">
        <f t="shared" si="868"/>
        <v>45354</v>
      </c>
      <c r="L2598" s="5">
        <f t="shared" si="869"/>
        <v>3</v>
      </c>
      <c r="M2598" s="5">
        <f t="shared" si="870"/>
        <v>2024</v>
      </c>
      <c r="N2598" s="6">
        <v>144</v>
      </c>
      <c r="O2598" s="6"/>
      <c r="P2598" s="6">
        <f t="shared" si="872"/>
        <v>144</v>
      </c>
      <c r="Q2598" s="126">
        <f t="shared" si="873"/>
        <v>4201455.1500000004</v>
      </c>
      <c r="R2598" s="44" t="str">
        <f>VLOOKUP(F2598,'Set up'!$A$2:$E$50,5,FALSE)</f>
        <v>Chq</v>
      </c>
    </row>
    <row r="2599" spans="1:18" s="125" customFormat="1" x14ac:dyDescent="0.3">
      <c r="A2599" s="123">
        <v>45324</v>
      </c>
      <c r="B2599" s="124">
        <f t="shared" si="866"/>
        <v>2</v>
      </c>
      <c r="C2599" s="124">
        <f t="shared" si="867"/>
        <v>2024</v>
      </c>
      <c r="D2599" s="124" t="s">
        <v>2409</v>
      </c>
      <c r="E2599" s="5" t="str">
        <f>VLOOKUP(F2599,'Set up'!$A$2:$C$50,2,FALSE)</f>
        <v>C00000037</v>
      </c>
      <c r="F2599" s="125" t="s">
        <v>1310</v>
      </c>
      <c r="G2599" s="99" t="s">
        <v>2203</v>
      </c>
      <c r="H2599" s="124">
        <v>3</v>
      </c>
      <c r="I2599" s="5">
        <f>VLOOKUP(F2599,'Set up'!$A$2:$C$50,3,FALSE)</f>
        <v>30</v>
      </c>
      <c r="J2599" s="5">
        <f>VLOOKUP(F2599,'Set up'!$A$2:$D$48,4,FALSE)</f>
        <v>30</v>
      </c>
      <c r="K2599" s="4">
        <f t="shared" si="868"/>
        <v>45354</v>
      </c>
      <c r="L2599" s="5">
        <f t="shared" si="869"/>
        <v>3</v>
      </c>
      <c r="M2599" s="5">
        <f t="shared" si="870"/>
        <v>2024</v>
      </c>
      <c r="N2599" s="6">
        <v>187.5</v>
      </c>
      <c r="O2599" s="6"/>
      <c r="P2599" s="6">
        <f t="shared" si="872"/>
        <v>187.5</v>
      </c>
      <c r="Q2599" s="126">
        <f t="shared" si="873"/>
        <v>4201642.6500000004</v>
      </c>
      <c r="R2599" s="44" t="str">
        <f>VLOOKUP(F2599,'Set up'!$A$2:$E$50,5,FALSE)</f>
        <v>Chq</v>
      </c>
    </row>
    <row r="2600" spans="1:18" s="125" customFormat="1" x14ac:dyDescent="0.3">
      <c r="A2600" s="123">
        <v>45324</v>
      </c>
      <c r="B2600" s="124">
        <f t="shared" si="866"/>
        <v>2</v>
      </c>
      <c r="C2600" s="124">
        <f t="shared" si="867"/>
        <v>2024</v>
      </c>
      <c r="D2600" s="124" t="s">
        <v>2409</v>
      </c>
      <c r="E2600" s="5" t="str">
        <f>VLOOKUP(F2600,'Set up'!$A$2:$C$50,2,FALSE)</f>
        <v>C00000037</v>
      </c>
      <c r="F2600" s="125" t="s">
        <v>1310</v>
      </c>
      <c r="G2600" s="90" t="s">
        <v>1062</v>
      </c>
      <c r="H2600" s="124">
        <v>2</v>
      </c>
      <c r="I2600" s="5">
        <f>VLOOKUP(F2600,'Set up'!$A$2:$C$50,3,FALSE)</f>
        <v>30</v>
      </c>
      <c r="J2600" s="5">
        <f>VLOOKUP(F2600,'Set up'!$A$2:$D$48,4,FALSE)</f>
        <v>30</v>
      </c>
      <c r="K2600" s="4">
        <f t="shared" si="868"/>
        <v>45354</v>
      </c>
      <c r="L2600" s="5">
        <f t="shared" si="869"/>
        <v>3</v>
      </c>
      <c r="M2600" s="5">
        <f t="shared" si="870"/>
        <v>2024</v>
      </c>
      <c r="N2600" s="6">
        <v>190</v>
      </c>
      <c r="O2600" s="6"/>
      <c r="P2600" s="6">
        <f t="shared" si="872"/>
        <v>190</v>
      </c>
      <c r="Q2600" s="126">
        <f t="shared" si="873"/>
        <v>4201832.6500000004</v>
      </c>
      <c r="R2600" s="44" t="str">
        <f>VLOOKUP(F2600,'Set up'!$A$2:$E$50,5,FALSE)</f>
        <v>Chq</v>
      </c>
    </row>
    <row r="2601" spans="1:18" s="125" customFormat="1" x14ac:dyDescent="0.3">
      <c r="A2601" s="123">
        <v>45324</v>
      </c>
      <c r="B2601" s="124">
        <f t="shared" si="866"/>
        <v>2</v>
      </c>
      <c r="C2601" s="124">
        <f t="shared" si="867"/>
        <v>2024</v>
      </c>
      <c r="D2601" s="124" t="s">
        <v>2410</v>
      </c>
      <c r="E2601" s="5" t="str">
        <f>VLOOKUP(F2601,'Set up'!$A$2:$C$50,2,FALSE)</f>
        <v>C00000046</v>
      </c>
      <c r="F2601" s="125" t="s">
        <v>2364</v>
      </c>
      <c r="G2601" s="95" t="s">
        <v>2359</v>
      </c>
      <c r="H2601" s="124">
        <v>2</v>
      </c>
      <c r="I2601" s="5" t="str">
        <f>VLOOKUP(F2601,'Set up'!$A$2:$C$50,3,FALSE)</f>
        <v>Cash</v>
      </c>
      <c r="J2601" s="5">
        <f>VLOOKUP(F2601,'Set up'!$A$2:$D$48,4,FALSE)</f>
        <v>0</v>
      </c>
      <c r="K2601" s="4">
        <f t="shared" si="868"/>
        <v>45324</v>
      </c>
      <c r="L2601" s="5">
        <f t="shared" si="869"/>
        <v>2</v>
      </c>
      <c r="M2601" s="5">
        <f t="shared" si="870"/>
        <v>2024</v>
      </c>
      <c r="N2601" s="6">
        <v>555</v>
      </c>
      <c r="O2601" s="6"/>
      <c r="P2601" s="6">
        <f t="shared" si="872"/>
        <v>555</v>
      </c>
      <c r="Q2601" s="126">
        <f t="shared" si="873"/>
        <v>4202387.6500000004</v>
      </c>
      <c r="R2601" s="44" t="str">
        <f>VLOOKUP(F2601,'Set up'!$A$2:$E$50,5,FALSE)</f>
        <v>Trsf</v>
      </c>
    </row>
    <row r="2602" spans="1:18" s="125" customFormat="1" x14ac:dyDescent="0.3">
      <c r="A2602" s="123">
        <v>45325</v>
      </c>
      <c r="B2602" s="124">
        <f t="shared" si="866"/>
        <v>2</v>
      </c>
      <c r="C2602" s="124">
        <f t="shared" si="867"/>
        <v>2024</v>
      </c>
      <c r="D2602" s="124" t="s">
        <v>2411</v>
      </c>
      <c r="E2602" s="5" t="str">
        <f>VLOOKUP(F2602,'Set up'!$A$2:$C$50,2,FALSE)</f>
        <v>C00000042</v>
      </c>
      <c r="F2602" s="125" t="s">
        <v>2014</v>
      </c>
      <c r="G2602" s="103" t="s">
        <v>2203</v>
      </c>
      <c r="H2602" s="124">
        <v>3</v>
      </c>
      <c r="I2602" s="5" t="str">
        <f>VLOOKUP(F2602,'Set up'!$A$2:$C$50,3,FALSE)</f>
        <v>Cash</v>
      </c>
      <c r="J2602" s="5">
        <f>VLOOKUP(F2602,'Set up'!$A$2:$D$48,4,FALSE)</f>
        <v>0</v>
      </c>
      <c r="K2602" s="4">
        <f t="shared" si="868"/>
        <v>45325</v>
      </c>
      <c r="L2602" s="5">
        <f t="shared" si="869"/>
        <v>2</v>
      </c>
      <c r="M2602" s="5">
        <f t="shared" si="870"/>
        <v>2024</v>
      </c>
      <c r="N2602" s="6">
        <v>187.5</v>
      </c>
      <c r="O2602" s="6"/>
      <c r="P2602" s="6">
        <f t="shared" si="872"/>
        <v>187.5</v>
      </c>
      <c r="Q2602" s="126">
        <f t="shared" si="873"/>
        <v>4202575.1500000004</v>
      </c>
      <c r="R2602" s="44" t="str">
        <f>VLOOKUP(F2602,'Set up'!$A$2:$E$50,5,FALSE)</f>
        <v>Trsf</v>
      </c>
    </row>
    <row r="2603" spans="1:18" s="125" customFormat="1" x14ac:dyDescent="0.3">
      <c r="A2603" s="123">
        <v>45325</v>
      </c>
      <c r="B2603" s="124">
        <f t="shared" si="866"/>
        <v>2</v>
      </c>
      <c r="C2603" s="124">
        <f t="shared" si="867"/>
        <v>2024</v>
      </c>
      <c r="D2603" s="124" t="s">
        <v>2412</v>
      </c>
      <c r="E2603" s="5" t="str">
        <f>VLOOKUP(F2603,'Set up'!$A$2:$C$50,2,FALSE)</f>
        <v>C00000042</v>
      </c>
      <c r="F2603" s="125" t="s">
        <v>2014</v>
      </c>
      <c r="G2603" s="103" t="s">
        <v>1895</v>
      </c>
      <c r="H2603" s="124">
        <v>3</v>
      </c>
      <c r="I2603" s="5" t="str">
        <f>VLOOKUP(F2603,'Set up'!$A$2:$C$50,3,FALSE)</f>
        <v>Cash</v>
      </c>
      <c r="J2603" s="5">
        <f>VLOOKUP(F2603,'Set up'!$A$2:$D$48,4,FALSE)</f>
        <v>0</v>
      </c>
      <c r="K2603" s="4">
        <f t="shared" si="868"/>
        <v>45325</v>
      </c>
      <c r="L2603" s="5">
        <f t="shared" si="869"/>
        <v>2</v>
      </c>
      <c r="M2603" s="5">
        <f t="shared" si="870"/>
        <v>2024</v>
      </c>
      <c r="N2603" s="6">
        <v>4818</v>
      </c>
      <c r="O2603" s="6"/>
      <c r="P2603" s="6">
        <f t="shared" si="872"/>
        <v>4818</v>
      </c>
      <c r="Q2603" s="126">
        <f t="shared" si="873"/>
        <v>4207393.1500000004</v>
      </c>
      <c r="R2603" s="44" t="str">
        <f>VLOOKUP(F2603,'Set up'!$A$2:$E$50,5,FALSE)</f>
        <v>Trsf</v>
      </c>
    </row>
    <row r="2604" spans="1:18" s="125" customFormat="1" x14ac:dyDescent="0.3">
      <c r="A2604" s="123">
        <v>45325</v>
      </c>
      <c r="B2604" s="124">
        <f t="shared" si="866"/>
        <v>2</v>
      </c>
      <c r="C2604" s="124">
        <f t="shared" si="867"/>
        <v>2024</v>
      </c>
      <c r="D2604" s="124" t="s">
        <v>2412</v>
      </c>
      <c r="E2604" s="5" t="str">
        <f>VLOOKUP(F2604,'Set up'!$A$2:$C$50,2,FALSE)</f>
        <v>C00000042</v>
      </c>
      <c r="F2604" s="125" t="s">
        <v>2014</v>
      </c>
      <c r="G2604" s="90" t="s">
        <v>1797</v>
      </c>
      <c r="H2604" s="124">
        <v>1</v>
      </c>
      <c r="I2604" s="5" t="str">
        <f>VLOOKUP(F2604,'Set up'!$A$2:$C$50,3,FALSE)</f>
        <v>Cash</v>
      </c>
      <c r="J2604" s="5">
        <f>VLOOKUP(F2604,'Set up'!$A$2:$D$48,4,FALSE)</f>
        <v>0</v>
      </c>
      <c r="K2604" s="4">
        <f t="shared" si="868"/>
        <v>45325</v>
      </c>
      <c r="L2604" s="5">
        <f t="shared" si="869"/>
        <v>2</v>
      </c>
      <c r="M2604" s="5">
        <f t="shared" si="870"/>
        <v>2024</v>
      </c>
      <c r="N2604" s="6">
        <v>174</v>
      </c>
      <c r="O2604" s="6"/>
      <c r="P2604" s="6">
        <f t="shared" si="872"/>
        <v>174</v>
      </c>
      <c r="Q2604" s="126">
        <f t="shared" si="873"/>
        <v>4207567.1500000004</v>
      </c>
      <c r="R2604" s="44" t="str">
        <f>VLOOKUP(F2604,'Set up'!$A$2:$E$50,5,FALSE)</f>
        <v>Trsf</v>
      </c>
    </row>
    <row r="2605" spans="1:18" s="125" customFormat="1" x14ac:dyDescent="0.3">
      <c r="A2605" s="123">
        <v>45325</v>
      </c>
      <c r="B2605" s="124">
        <f t="shared" si="866"/>
        <v>2</v>
      </c>
      <c r="C2605" s="124">
        <f t="shared" si="867"/>
        <v>2024</v>
      </c>
      <c r="D2605" s="124" t="s">
        <v>2412</v>
      </c>
      <c r="E2605" s="5" t="str">
        <f>VLOOKUP(F2605,'Set up'!$A$2:$C$50,2,FALSE)</f>
        <v>C00000042</v>
      </c>
      <c r="F2605" s="125" t="s">
        <v>2014</v>
      </c>
      <c r="G2605" s="90" t="s">
        <v>2359</v>
      </c>
      <c r="H2605" s="124">
        <v>8</v>
      </c>
      <c r="I2605" s="5" t="str">
        <f>VLOOKUP(F2605,'Set up'!$A$2:$C$50,3,FALSE)</f>
        <v>Cash</v>
      </c>
      <c r="J2605" s="5">
        <f>VLOOKUP(F2605,'Set up'!$A$2:$D$48,4,FALSE)</f>
        <v>0</v>
      </c>
      <c r="K2605" s="4">
        <f t="shared" si="868"/>
        <v>45325</v>
      </c>
      <c r="L2605" s="5">
        <f t="shared" si="869"/>
        <v>2</v>
      </c>
      <c r="M2605" s="5">
        <f t="shared" si="870"/>
        <v>2024</v>
      </c>
      <c r="N2605" s="6">
        <v>1716.8</v>
      </c>
      <c r="O2605" s="6"/>
      <c r="P2605" s="6">
        <f t="shared" si="872"/>
        <v>1716.8</v>
      </c>
      <c r="Q2605" s="126">
        <f t="shared" si="873"/>
        <v>4209283.95</v>
      </c>
      <c r="R2605" s="44" t="str">
        <f>VLOOKUP(F2605,'Set up'!$A$2:$E$50,5,FALSE)</f>
        <v>Trsf</v>
      </c>
    </row>
    <row r="2606" spans="1:18" s="125" customFormat="1" x14ac:dyDescent="0.3">
      <c r="A2606" s="123">
        <v>45325</v>
      </c>
      <c r="B2606" s="124">
        <f t="shared" si="866"/>
        <v>2</v>
      </c>
      <c r="C2606" s="124">
        <f t="shared" si="867"/>
        <v>2024</v>
      </c>
      <c r="D2606" s="124" t="s">
        <v>2412</v>
      </c>
      <c r="E2606" s="5" t="str">
        <f>VLOOKUP(F2606,'Set up'!$A$2:$C$50,2,FALSE)</f>
        <v>C00000042</v>
      </c>
      <c r="F2606" s="125" t="s">
        <v>2014</v>
      </c>
      <c r="G2606" s="90" t="s">
        <v>2032</v>
      </c>
      <c r="H2606" s="124">
        <v>5</v>
      </c>
      <c r="I2606" s="5" t="str">
        <f>VLOOKUP(F2606,'Set up'!$A$2:$C$50,3,FALSE)</f>
        <v>Cash</v>
      </c>
      <c r="J2606" s="5">
        <f>VLOOKUP(F2606,'Set up'!$A$2:$D$48,4,FALSE)</f>
        <v>0</v>
      </c>
      <c r="K2606" s="4">
        <f t="shared" si="868"/>
        <v>45325</v>
      </c>
      <c r="L2606" s="5">
        <f t="shared" si="869"/>
        <v>2</v>
      </c>
      <c r="M2606" s="5">
        <f t="shared" si="870"/>
        <v>2024</v>
      </c>
      <c r="N2606" s="6">
        <v>1040</v>
      </c>
      <c r="O2606" s="6"/>
      <c r="P2606" s="6">
        <f t="shared" si="872"/>
        <v>1040</v>
      </c>
      <c r="Q2606" s="126">
        <f t="shared" si="873"/>
        <v>4210323.95</v>
      </c>
      <c r="R2606" s="44" t="str">
        <f>VLOOKUP(F2606,'Set up'!$A$2:$E$50,5,FALSE)</f>
        <v>Trsf</v>
      </c>
    </row>
    <row r="2607" spans="1:18" s="125" customFormat="1" x14ac:dyDescent="0.3">
      <c r="A2607" s="123">
        <v>45325</v>
      </c>
      <c r="B2607" s="124">
        <f t="shared" si="866"/>
        <v>2</v>
      </c>
      <c r="C2607" s="124">
        <f t="shared" si="867"/>
        <v>2024</v>
      </c>
      <c r="D2607" s="124" t="s">
        <v>2412</v>
      </c>
      <c r="E2607" s="5" t="str">
        <f>VLOOKUP(F2607,'Set up'!$A$2:$C$50,2,FALSE)</f>
        <v>C00000042</v>
      </c>
      <c r="F2607" s="125" t="s">
        <v>2014</v>
      </c>
      <c r="G2607" s="90" t="s">
        <v>2004</v>
      </c>
      <c r="H2607" s="124">
        <v>2</v>
      </c>
      <c r="I2607" s="5" t="str">
        <f>VLOOKUP(F2607,'Set up'!$A$2:$C$50,3,FALSE)</f>
        <v>Cash</v>
      </c>
      <c r="J2607" s="5">
        <f>VLOOKUP(F2607,'Set up'!$A$2:$D$48,4,FALSE)</f>
        <v>0</v>
      </c>
      <c r="K2607" s="4">
        <f t="shared" si="868"/>
        <v>45325</v>
      </c>
      <c r="L2607" s="5">
        <f t="shared" si="869"/>
        <v>2</v>
      </c>
      <c r="M2607" s="5">
        <f t="shared" si="870"/>
        <v>2024</v>
      </c>
      <c r="N2607" s="6">
        <v>1800</v>
      </c>
      <c r="O2607" s="6"/>
      <c r="P2607" s="6">
        <f t="shared" si="872"/>
        <v>1800</v>
      </c>
      <c r="Q2607" s="126">
        <f t="shared" si="873"/>
        <v>4212123.95</v>
      </c>
      <c r="R2607" s="44" t="str">
        <f>VLOOKUP(F2607,'Set up'!$A$2:$E$50,5,FALSE)</f>
        <v>Trsf</v>
      </c>
    </row>
    <row r="2608" spans="1:18" s="125" customFormat="1" x14ac:dyDescent="0.3">
      <c r="A2608" s="123">
        <v>45325</v>
      </c>
      <c r="B2608" s="124">
        <f t="shared" si="866"/>
        <v>2</v>
      </c>
      <c r="C2608" s="124">
        <f t="shared" si="867"/>
        <v>2024</v>
      </c>
      <c r="D2608" s="124" t="s">
        <v>2412</v>
      </c>
      <c r="E2608" s="5" t="str">
        <f>VLOOKUP(F2608,'Set up'!$A$2:$C$50,2,FALSE)</f>
        <v>C00000042</v>
      </c>
      <c r="F2608" s="125" t="s">
        <v>2014</v>
      </c>
      <c r="G2608" s="99" t="s">
        <v>1062</v>
      </c>
      <c r="H2608" s="124">
        <v>4</v>
      </c>
      <c r="I2608" s="5" t="str">
        <f>VLOOKUP(F2608,'Set up'!$A$2:$C$50,3,FALSE)</f>
        <v>Cash</v>
      </c>
      <c r="J2608" s="5">
        <f>VLOOKUP(F2608,'Set up'!$A$2:$D$48,4,FALSE)</f>
        <v>0</v>
      </c>
      <c r="K2608" s="4">
        <f t="shared" si="868"/>
        <v>45325</v>
      </c>
      <c r="L2608" s="5">
        <f t="shared" si="869"/>
        <v>2</v>
      </c>
      <c r="M2608" s="5">
        <f t="shared" si="870"/>
        <v>2024</v>
      </c>
      <c r="N2608" s="6">
        <v>380</v>
      </c>
      <c r="O2608" s="6"/>
      <c r="P2608" s="6">
        <f t="shared" si="872"/>
        <v>380</v>
      </c>
      <c r="Q2608" s="126">
        <f t="shared" si="873"/>
        <v>4212503.95</v>
      </c>
      <c r="R2608" s="44" t="str">
        <f>VLOOKUP(F2608,'Set up'!$A$2:$E$50,5,FALSE)</f>
        <v>Trsf</v>
      </c>
    </row>
    <row r="2609" spans="1:18" s="125" customFormat="1" x14ac:dyDescent="0.3">
      <c r="A2609" s="123">
        <v>45325</v>
      </c>
      <c r="B2609" s="124">
        <f t="shared" si="866"/>
        <v>2</v>
      </c>
      <c r="C2609" s="124">
        <f t="shared" si="867"/>
        <v>2024</v>
      </c>
      <c r="D2609" s="124" t="s">
        <v>2413</v>
      </c>
      <c r="E2609" s="5" t="str">
        <f>VLOOKUP(F2609,'Set up'!$A$2:$C$50,2,FALSE)</f>
        <v>C00000042</v>
      </c>
      <c r="F2609" s="125" t="s">
        <v>2014</v>
      </c>
      <c r="G2609" s="103" t="s">
        <v>1074</v>
      </c>
      <c r="H2609" s="124">
        <v>1</v>
      </c>
      <c r="I2609" s="5" t="str">
        <f>VLOOKUP(F2609,'Set up'!$A$2:$C$50,3,FALSE)</f>
        <v>Cash</v>
      </c>
      <c r="J2609" s="5">
        <f>VLOOKUP(F2609,'Set up'!$A$2:$D$48,4,FALSE)</f>
        <v>0</v>
      </c>
      <c r="K2609" s="4">
        <f t="shared" si="868"/>
        <v>45325</v>
      </c>
      <c r="L2609" s="5">
        <f t="shared" si="869"/>
        <v>2</v>
      </c>
      <c r="M2609" s="5">
        <f t="shared" si="870"/>
        <v>2024</v>
      </c>
      <c r="N2609" s="6">
        <v>1000</v>
      </c>
      <c r="O2609" s="6"/>
      <c r="P2609" s="6">
        <f t="shared" si="872"/>
        <v>1000</v>
      </c>
      <c r="Q2609" s="126">
        <f t="shared" si="873"/>
        <v>4213503.95</v>
      </c>
      <c r="R2609" s="44" t="str">
        <f>VLOOKUP(F2609,'Set up'!$A$2:$E$50,5,FALSE)</f>
        <v>Trsf</v>
      </c>
    </row>
    <row r="2610" spans="1:18" s="125" customFormat="1" x14ac:dyDescent="0.3">
      <c r="A2610" s="123">
        <v>45327</v>
      </c>
      <c r="B2610" s="124">
        <f t="shared" si="866"/>
        <v>2</v>
      </c>
      <c r="C2610" s="124">
        <f t="shared" si="867"/>
        <v>2024</v>
      </c>
      <c r="D2610" s="124" t="s">
        <v>2414</v>
      </c>
      <c r="E2610" s="5" t="str">
        <f>VLOOKUP(F2610,'Set up'!$A$2:$C$50,2,FALSE)</f>
        <v>C00000010</v>
      </c>
      <c r="F2610" s="125" t="s">
        <v>62</v>
      </c>
      <c r="G2610" s="95" t="s">
        <v>1179</v>
      </c>
      <c r="H2610" s="124">
        <v>8</v>
      </c>
      <c r="I2610" s="5">
        <f>VLOOKUP(F2610,'Set up'!$A$2:$C$50,3,FALSE)</f>
        <v>120</v>
      </c>
      <c r="J2610" s="5">
        <f>VLOOKUP(F2610,'Set up'!$A$2:$D$48,4,FALSE)</f>
        <v>120</v>
      </c>
      <c r="K2610" s="4">
        <f t="shared" si="868"/>
        <v>45447</v>
      </c>
      <c r="L2610" s="5">
        <f t="shared" si="869"/>
        <v>6</v>
      </c>
      <c r="M2610" s="5">
        <f t="shared" si="870"/>
        <v>2024</v>
      </c>
      <c r="N2610" s="6">
        <v>12848</v>
      </c>
      <c r="O2610" s="6"/>
      <c r="P2610" s="6">
        <f t="shared" si="872"/>
        <v>12848</v>
      </c>
      <c r="Q2610" s="126">
        <f t="shared" si="873"/>
        <v>4226351.95</v>
      </c>
      <c r="R2610" s="44" t="str">
        <f>VLOOKUP(F2610,'Set up'!$A$2:$E$50,5,FALSE)</f>
        <v>Trsf</v>
      </c>
    </row>
    <row r="2611" spans="1:18" s="125" customFormat="1" x14ac:dyDescent="0.3">
      <c r="A2611" s="123">
        <v>45327</v>
      </c>
      <c r="B2611" s="124">
        <f t="shared" si="866"/>
        <v>2</v>
      </c>
      <c r="C2611" s="124">
        <f t="shared" si="867"/>
        <v>2024</v>
      </c>
      <c r="D2611" s="124" t="s">
        <v>2414</v>
      </c>
      <c r="E2611" s="5" t="str">
        <f>VLOOKUP(F2611,'Set up'!$A$2:$C$50,2,FALSE)</f>
        <v>C00000010</v>
      </c>
      <c r="F2611" s="125" t="s">
        <v>62</v>
      </c>
      <c r="G2611" s="90" t="s">
        <v>1393</v>
      </c>
      <c r="H2611" s="124">
        <v>10</v>
      </c>
      <c r="I2611" s="5">
        <f>VLOOKUP(F2611,'Set up'!$A$2:$C$50,3,FALSE)</f>
        <v>120</v>
      </c>
      <c r="J2611" s="5">
        <f>VLOOKUP(F2611,'Set up'!$A$2:$D$48,4,FALSE)</f>
        <v>120</v>
      </c>
      <c r="K2611" s="4">
        <f t="shared" si="868"/>
        <v>45447</v>
      </c>
      <c r="L2611" s="5">
        <f t="shared" si="869"/>
        <v>6</v>
      </c>
      <c r="M2611" s="5">
        <f t="shared" si="870"/>
        <v>2024</v>
      </c>
      <c r="N2611" s="6">
        <v>1740</v>
      </c>
      <c r="O2611" s="6"/>
      <c r="P2611" s="6">
        <f t="shared" si="872"/>
        <v>1740</v>
      </c>
      <c r="Q2611" s="126">
        <f t="shared" si="873"/>
        <v>4228091.95</v>
      </c>
      <c r="R2611" s="44" t="str">
        <f>VLOOKUP(F2611,'Set up'!$A$2:$E$50,5,FALSE)</f>
        <v>Trsf</v>
      </c>
    </row>
    <row r="2612" spans="1:18" s="125" customFormat="1" x14ac:dyDescent="0.3">
      <c r="A2612" s="123">
        <v>45327</v>
      </c>
      <c r="B2612" s="124">
        <f t="shared" si="866"/>
        <v>2</v>
      </c>
      <c r="C2612" s="124">
        <f t="shared" si="867"/>
        <v>2024</v>
      </c>
      <c r="D2612" s="124" t="s">
        <v>2414</v>
      </c>
      <c r="E2612" s="5" t="str">
        <f>VLOOKUP(F2612,'Set up'!$A$2:$C$50,2,FALSE)</f>
        <v>C00000010</v>
      </c>
      <c r="F2612" s="125" t="s">
        <v>62</v>
      </c>
      <c r="G2612" s="90" t="s">
        <v>792</v>
      </c>
      <c r="H2612" s="124">
        <v>10</v>
      </c>
      <c r="I2612" s="5">
        <f>VLOOKUP(F2612,'Set up'!$A$2:$C$50,3,FALSE)</f>
        <v>120</v>
      </c>
      <c r="J2612" s="5">
        <f>VLOOKUP(F2612,'Set up'!$A$2:$D$48,4,FALSE)</f>
        <v>120</v>
      </c>
      <c r="K2612" s="4">
        <f t="shared" si="868"/>
        <v>45447</v>
      </c>
      <c r="L2612" s="5">
        <f t="shared" si="869"/>
        <v>6</v>
      </c>
      <c r="M2612" s="5">
        <f t="shared" si="870"/>
        <v>2024</v>
      </c>
      <c r="N2612" s="6">
        <v>575</v>
      </c>
      <c r="O2612" s="6"/>
      <c r="P2612" s="6">
        <f t="shared" si="872"/>
        <v>575</v>
      </c>
      <c r="Q2612" s="126">
        <f t="shared" si="873"/>
        <v>4228666.95</v>
      </c>
      <c r="R2612" s="44" t="str">
        <f>VLOOKUP(F2612,'Set up'!$A$2:$E$50,5,FALSE)</f>
        <v>Trsf</v>
      </c>
    </row>
    <row r="2613" spans="1:18" s="125" customFormat="1" x14ac:dyDescent="0.3">
      <c r="A2613" s="123">
        <v>45327</v>
      </c>
      <c r="B2613" s="124">
        <f t="shared" si="866"/>
        <v>2</v>
      </c>
      <c r="C2613" s="124">
        <f t="shared" si="867"/>
        <v>2024</v>
      </c>
      <c r="D2613" s="124" t="s">
        <v>2414</v>
      </c>
      <c r="E2613" s="5" t="str">
        <f>VLOOKUP(F2613,'Set up'!$A$2:$C$50,2,FALSE)</f>
        <v>C00000010</v>
      </c>
      <c r="F2613" s="125" t="s">
        <v>62</v>
      </c>
      <c r="G2613" s="11" t="s">
        <v>46</v>
      </c>
      <c r="H2613" s="124">
        <v>8</v>
      </c>
      <c r="I2613" s="5">
        <f>VLOOKUP(F2613,'Set up'!$A$2:$C$50,3,FALSE)</f>
        <v>120</v>
      </c>
      <c r="J2613" s="5">
        <f>VLOOKUP(F2613,'Set up'!$A$2:$D$48,4,FALSE)</f>
        <v>120</v>
      </c>
      <c r="K2613" s="4">
        <f t="shared" si="868"/>
        <v>45447</v>
      </c>
      <c r="L2613" s="5">
        <f t="shared" si="869"/>
        <v>6</v>
      </c>
      <c r="M2613" s="5">
        <f t="shared" si="870"/>
        <v>2024</v>
      </c>
      <c r="N2613" s="6">
        <v>880</v>
      </c>
      <c r="O2613" s="6"/>
      <c r="P2613" s="6">
        <f t="shared" si="872"/>
        <v>880</v>
      </c>
      <c r="Q2613" s="126">
        <f t="shared" si="873"/>
        <v>4229546.95</v>
      </c>
      <c r="R2613" s="44" t="str">
        <f>VLOOKUP(F2613,'Set up'!$A$2:$E$50,5,FALSE)</f>
        <v>Trsf</v>
      </c>
    </row>
    <row r="2614" spans="1:18" s="125" customFormat="1" x14ac:dyDescent="0.3">
      <c r="A2614" s="123">
        <v>45327</v>
      </c>
      <c r="B2614" s="124">
        <f t="shared" si="866"/>
        <v>2</v>
      </c>
      <c r="C2614" s="124">
        <f t="shared" si="867"/>
        <v>2024</v>
      </c>
      <c r="D2614" s="124" t="s">
        <v>2414</v>
      </c>
      <c r="E2614" s="5" t="str">
        <f>VLOOKUP(F2614,'Set up'!$A$2:$C$50,2,FALSE)</f>
        <v>C00000010</v>
      </c>
      <c r="F2614" s="125" t="s">
        <v>62</v>
      </c>
      <c r="G2614" s="90" t="s">
        <v>945</v>
      </c>
      <c r="H2614" s="124">
        <v>1</v>
      </c>
      <c r="I2614" s="5">
        <f>VLOOKUP(F2614,'Set up'!$A$2:$C$50,3,FALSE)</f>
        <v>120</v>
      </c>
      <c r="J2614" s="5">
        <f>VLOOKUP(F2614,'Set up'!$A$2:$D$48,4,FALSE)</f>
        <v>120</v>
      </c>
      <c r="K2614" s="4">
        <f t="shared" si="868"/>
        <v>45447</v>
      </c>
      <c r="L2614" s="5">
        <f t="shared" si="869"/>
        <v>6</v>
      </c>
      <c r="M2614" s="5">
        <f t="shared" si="870"/>
        <v>2024</v>
      </c>
      <c r="N2614" s="6">
        <v>420</v>
      </c>
      <c r="O2614" s="6"/>
      <c r="P2614" s="6">
        <f t="shared" si="872"/>
        <v>420</v>
      </c>
      <c r="Q2614" s="126">
        <f t="shared" si="873"/>
        <v>4229966.95</v>
      </c>
      <c r="R2614" s="44" t="str">
        <f>VLOOKUP(F2614,'Set up'!$A$2:$E$50,5,FALSE)</f>
        <v>Trsf</v>
      </c>
    </row>
    <row r="2615" spans="1:18" s="125" customFormat="1" x14ac:dyDescent="0.3">
      <c r="A2615" s="123">
        <v>45327</v>
      </c>
      <c r="B2615" s="124">
        <f>MONTH(A2615)</f>
        <v>2</v>
      </c>
      <c r="C2615" s="124">
        <f>YEAR(A2615)</f>
        <v>2024</v>
      </c>
      <c r="D2615" s="124" t="s">
        <v>2414</v>
      </c>
      <c r="E2615" s="5" t="str">
        <f>VLOOKUP(F2615,'Set up'!$A$2:$C$50,2,FALSE)</f>
        <v>C00000010</v>
      </c>
      <c r="F2615" s="125" t="s">
        <v>62</v>
      </c>
      <c r="G2615" s="90" t="s">
        <v>615</v>
      </c>
      <c r="H2615" s="124">
        <v>1</v>
      </c>
      <c r="I2615" s="5">
        <f>VLOOKUP(F2615,'Set up'!$A$2:$C$50,3,FALSE)</f>
        <v>120</v>
      </c>
      <c r="J2615" s="5">
        <f>VLOOKUP(F2615,'Set up'!$A$2:$D$48,4,FALSE)</f>
        <v>120</v>
      </c>
      <c r="K2615" s="4">
        <f>A2615+J2615</f>
        <v>45447</v>
      </c>
      <c r="L2615" s="5">
        <f t="shared" si="869"/>
        <v>6</v>
      </c>
      <c r="M2615" s="5">
        <f t="shared" si="870"/>
        <v>2024</v>
      </c>
      <c r="N2615" s="6">
        <v>395</v>
      </c>
      <c r="O2615" s="6"/>
      <c r="P2615" s="6">
        <f t="shared" si="872"/>
        <v>395</v>
      </c>
      <c r="Q2615" s="126">
        <f t="shared" si="873"/>
        <v>4230361.95</v>
      </c>
      <c r="R2615" s="44" t="str">
        <f>VLOOKUP(F2615,'Set up'!$A$2:$E$50,5,FALSE)</f>
        <v>Trsf</v>
      </c>
    </row>
    <row r="2616" spans="1:18" s="125" customFormat="1" x14ac:dyDescent="0.3">
      <c r="A2616" s="123">
        <v>45328</v>
      </c>
      <c r="B2616" s="124">
        <f>MONTH(A2616)</f>
        <v>2</v>
      </c>
      <c r="C2616" s="124">
        <f>YEAR(A2616)</f>
        <v>2024</v>
      </c>
      <c r="D2616" s="124" t="s">
        <v>2415</v>
      </c>
      <c r="E2616" s="5" t="str">
        <f>VLOOKUP(F2616,'Set up'!$A$2:$C$50,2,FALSE)</f>
        <v>C00000042</v>
      </c>
      <c r="F2616" s="125" t="s">
        <v>2014</v>
      </c>
      <c r="G2616" s="103" t="s">
        <v>2203</v>
      </c>
      <c r="H2616" s="124">
        <v>13</v>
      </c>
      <c r="I2616" s="5" t="str">
        <f>VLOOKUP(F2616,'Set up'!$A$2:$C$50,3,FALSE)</f>
        <v>Cash</v>
      </c>
      <c r="J2616" s="5">
        <f>VLOOKUP(F2616,'Set up'!$A$2:$D$48,4,FALSE)</f>
        <v>0</v>
      </c>
      <c r="K2616" s="4">
        <f>A2616+J2616</f>
        <v>45328</v>
      </c>
      <c r="L2616" s="5">
        <f t="shared" si="869"/>
        <v>2</v>
      </c>
      <c r="M2616" s="5">
        <f t="shared" si="870"/>
        <v>2024</v>
      </c>
      <c r="N2616" s="6">
        <v>812.5</v>
      </c>
      <c r="O2616" s="6"/>
      <c r="P2616" s="6">
        <f t="shared" si="872"/>
        <v>812.5</v>
      </c>
      <c r="Q2616" s="126">
        <f t="shared" si="873"/>
        <v>4231174.45</v>
      </c>
      <c r="R2616" s="44" t="str">
        <f>VLOOKUP(F2616,'Set up'!$A$2:$E$50,5,FALSE)</f>
        <v>Trsf</v>
      </c>
    </row>
    <row r="2617" spans="1:18" s="125" customFormat="1" x14ac:dyDescent="0.3">
      <c r="A2617" s="123">
        <v>45328</v>
      </c>
      <c r="B2617" s="124">
        <f t="shared" si="866"/>
        <v>2</v>
      </c>
      <c r="C2617" s="124">
        <f t="shared" si="867"/>
        <v>2024</v>
      </c>
      <c r="D2617" s="124" t="s">
        <v>2416</v>
      </c>
      <c r="E2617" s="5" t="str">
        <f>VLOOKUP(F2617,'Set up'!$A$2:$C$50,2,FALSE)</f>
        <v>C00000042</v>
      </c>
      <c r="F2617" s="125" t="s">
        <v>2014</v>
      </c>
      <c r="G2617" s="103" t="s">
        <v>1895</v>
      </c>
      <c r="H2617" s="124">
        <v>12</v>
      </c>
      <c r="I2617" s="5" t="str">
        <f>VLOOKUP(F2617,'Set up'!$A$2:$C$50,3,FALSE)</f>
        <v>Cash</v>
      </c>
      <c r="J2617" s="5">
        <f>VLOOKUP(F2617,'Set up'!$A$2:$D$48,4,FALSE)</f>
        <v>0</v>
      </c>
      <c r="K2617" s="4">
        <f t="shared" si="868"/>
        <v>45328</v>
      </c>
      <c r="L2617" s="5">
        <f t="shared" si="869"/>
        <v>2</v>
      </c>
      <c r="M2617" s="5">
        <f t="shared" si="870"/>
        <v>2024</v>
      </c>
      <c r="N2617" s="6">
        <v>19272</v>
      </c>
      <c r="O2617" s="6"/>
      <c r="P2617" s="6">
        <f t="shared" si="872"/>
        <v>19272</v>
      </c>
      <c r="Q2617" s="126">
        <f t="shared" si="873"/>
        <v>4250446.45</v>
      </c>
      <c r="R2617" s="44" t="str">
        <f>VLOOKUP(F2617,'Set up'!$A$2:$E$50,5,FALSE)</f>
        <v>Trsf</v>
      </c>
    </row>
    <row r="2618" spans="1:18" s="125" customFormat="1" x14ac:dyDescent="0.3">
      <c r="A2618" s="123">
        <v>45328</v>
      </c>
      <c r="B2618" s="124">
        <f t="shared" si="866"/>
        <v>2</v>
      </c>
      <c r="C2618" s="124">
        <f t="shared" si="867"/>
        <v>2024</v>
      </c>
      <c r="D2618" s="124" t="s">
        <v>2416</v>
      </c>
      <c r="E2618" s="5" t="str">
        <f>VLOOKUP(F2618,'Set up'!$A$2:$C$50,2,FALSE)</f>
        <v>C00000042</v>
      </c>
      <c r="F2618" s="125" t="s">
        <v>2014</v>
      </c>
      <c r="G2618" s="90" t="s">
        <v>1797</v>
      </c>
      <c r="H2618" s="124">
        <v>33</v>
      </c>
      <c r="I2618" s="5" t="str">
        <f>VLOOKUP(F2618,'Set up'!$A$2:$C$50,3,FALSE)</f>
        <v>Cash</v>
      </c>
      <c r="J2618" s="5">
        <f>VLOOKUP(F2618,'Set up'!$A$2:$D$48,4,FALSE)</f>
        <v>0</v>
      </c>
      <c r="K2618" s="4">
        <f t="shared" si="868"/>
        <v>45328</v>
      </c>
      <c r="L2618" s="5">
        <f t="shared" si="869"/>
        <v>2</v>
      </c>
      <c r="M2618" s="5">
        <f t="shared" si="870"/>
        <v>2024</v>
      </c>
      <c r="N2618" s="6">
        <v>5742</v>
      </c>
      <c r="O2618" s="6"/>
      <c r="P2618" s="6">
        <f t="shared" si="872"/>
        <v>5742</v>
      </c>
      <c r="Q2618" s="126">
        <f t="shared" si="873"/>
        <v>4256188.45</v>
      </c>
      <c r="R2618" s="44" t="str">
        <f>VLOOKUP(F2618,'Set up'!$A$2:$E$50,5,FALSE)</f>
        <v>Trsf</v>
      </c>
    </row>
    <row r="2619" spans="1:18" s="125" customFormat="1" x14ac:dyDescent="0.3">
      <c r="A2619" s="123">
        <v>45328</v>
      </c>
      <c r="B2619" s="124">
        <f t="shared" si="866"/>
        <v>2</v>
      </c>
      <c r="C2619" s="124">
        <f t="shared" si="867"/>
        <v>2024</v>
      </c>
      <c r="D2619" s="124" t="s">
        <v>2416</v>
      </c>
      <c r="E2619" s="5" t="str">
        <f>VLOOKUP(F2619,'Set up'!$A$2:$C$50,2,FALSE)</f>
        <v>C00000042</v>
      </c>
      <c r="F2619" s="125" t="s">
        <v>2014</v>
      </c>
      <c r="G2619" s="90" t="s">
        <v>1923</v>
      </c>
      <c r="H2619" s="124">
        <v>21</v>
      </c>
      <c r="I2619" s="5" t="str">
        <f>VLOOKUP(F2619,'Set up'!$A$2:$C$50,3,FALSE)</f>
        <v>Cash</v>
      </c>
      <c r="J2619" s="5">
        <f>VLOOKUP(F2619,'Set up'!$A$2:$D$48,4,FALSE)</f>
        <v>0</v>
      </c>
      <c r="K2619" s="4">
        <f t="shared" si="868"/>
        <v>45328</v>
      </c>
      <c r="L2619" s="5">
        <f t="shared" si="869"/>
        <v>2</v>
      </c>
      <c r="M2619" s="5">
        <f t="shared" si="870"/>
        <v>2024</v>
      </c>
      <c r="N2619" s="6">
        <v>4914</v>
      </c>
      <c r="O2619" s="6"/>
      <c r="P2619" s="6">
        <f t="shared" si="872"/>
        <v>4914</v>
      </c>
      <c r="Q2619" s="126">
        <f t="shared" si="873"/>
        <v>4261102.45</v>
      </c>
      <c r="R2619" s="44" t="str">
        <f>VLOOKUP(F2619,'Set up'!$A$2:$E$50,5,FALSE)</f>
        <v>Trsf</v>
      </c>
    </row>
    <row r="2620" spans="1:18" s="125" customFormat="1" x14ac:dyDescent="0.3">
      <c r="A2620" s="123">
        <v>45328</v>
      </c>
      <c r="B2620" s="124">
        <f t="shared" si="866"/>
        <v>2</v>
      </c>
      <c r="C2620" s="124">
        <f t="shared" si="867"/>
        <v>2024</v>
      </c>
      <c r="D2620" s="124" t="s">
        <v>2416</v>
      </c>
      <c r="E2620" s="5" t="str">
        <f>VLOOKUP(F2620,'Set up'!$A$2:$C$50,2,FALSE)</f>
        <v>C00000042</v>
      </c>
      <c r="F2620" s="125" t="s">
        <v>2014</v>
      </c>
      <c r="G2620" s="90" t="s">
        <v>1062</v>
      </c>
      <c r="H2620" s="124">
        <v>4</v>
      </c>
      <c r="I2620" s="5" t="str">
        <f>VLOOKUP(F2620,'Set up'!$A$2:$C$50,3,FALSE)</f>
        <v>Cash</v>
      </c>
      <c r="J2620" s="5">
        <f>VLOOKUP(F2620,'Set up'!$A$2:$D$48,4,FALSE)</f>
        <v>0</v>
      </c>
      <c r="K2620" s="4">
        <f t="shared" si="868"/>
        <v>45328</v>
      </c>
      <c r="L2620" s="5">
        <f t="shared" si="869"/>
        <v>2</v>
      </c>
      <c r="M2620" s="5">
        <f t="shared" si="870"/>
        <v>2024</v>
      </c>
      <c r="N2620" s="6">
        <v>380</v>
      </c>
      <c r="O2620" s="6"/>
      <c r="P2620" s="6">
        <f t="shared" si="872"/>
        <v>380</v>
      </c>
      <c r="Q2620" s="126">
        <f t="shared" si="873"/>
        <v>4261482.45</v>
      </c>
      <c r="R2620" s="44" t="str">
        <f>VLOOKUP(F2620,'Set up'!$A$2:$E$50,5,FALSE)</f>
        <v>Trsf</v>
      </c>
    </row>
    <row r="2621" spans="1:18" s="125" customFormat="1" x14ac:dyDescent="0.3">
      <c r="A2621" s="123">
        <v>45328</v>
      </c>
      <c r="B2621" s="124">
        <f t="shared" si="866"/>
        <v>2</v>
      </c>
      <c r="C2621" s="124">
        <f t="shared" si="867"/>
        <v>2024</v>
      </c>
      <c r="D2621" s="124" t="s">
        <v>2417</v>
      </c>
      <c r="E2621" s="5" t="str">
        <f>VLOOKUP(F2621,'Set up'!$A$2:$C$50,2,FALSE)</f>
        <v>C00000026</v>
      </c>
      <c r="F2621" s="125" t="s">
        <v>785</v>
      </c>
      <c r="G2621" s="95" t="s">
        <v>1734</v>
      </c>
      <c r="H2621" s="124">
        <v>1</v>
      </c>
      <c r="I2621" s="5" t="str">
        <f>VLOOKUP(F2621,'Set up'!$A$2:$C$50,3,FALSE)</f>
        <v>Cash</v>
      </c>
      <c r="J2621" s="5">
        <f>VLOOKUP(F2621,'Set up'!$A$2:$D$48,4,FALSE)</f>
        <v>0</v>
      </c>
      <c r="K2621" s="4">
        <f t="shared" si="868"/>
        <v>45328</v>
      </c>
      <c r="L2621" s="5">
        <f t="shared" si="869"/>
        <v>2</v>
      </c>
      <c r="M2621" s="5">
        <f t="shared" si="870"/>
        <v>2024</v>
      </c>
      <c r="N2621" s="96">
        <v>1738</v>
      </c>
      <c r="O2621" s="6"/>
      <c r="P2621" s="6">
        <f t="shared" si="872"/>
        <v>1738</v>
      </c>
      <c r="Q2621" s="126">
        <f t="shared" si="873"/>
        <v>4263220.45</v>
      </c>
      <c r="R2621" s="44" t="str">
        <f>VLOOKUP(F2621,'Set up'!$A$2:$E$50,5,FALSE)</f>
        <v>Trsf</v>
      </c>
    </row>
    <row r="2622" spans="1:18" s="125" customFormat="1" x14ac:dyDescent="0.3">
      <c r="A2622" s="123">
        <v>45328</v>
      </c>
      <c r="B2622" s="124">
        <f t="shared" si="866"/>
        <v>2</v>
      </c>
      <c r="C2622" s="124">
        <f t="shared" si="867"/>
        <v>2024</v>
      </c>
      <c r="D2622" s="124" t="s">
        <v>2417</v>
      </c>
      <c r="E2622" s="5" t="str">
        <f>VLOOKUP(F2622,'Set up'!$A$2:$C$50,2,FALSE)</f>
        <v>C00000026</v>
      </c>
      <c r="F2622" s="125" t="s">
        <v>785</v>
      </c>
      <c r="G2622" s="90" t="s">
        <v>641</v>
      </c>
      <c r="H2622" s="124">
        <v>1</v>
      </c>
      <c r="I2622" s="5" t="str">
        <f>VLOOKUP(F2622,'Set up'!$A$2:$C$50,3,FALSE)</f>
        <v>Cash</v>
      </c>
      <c r="J2622" s="5">
        <f>VLOOKUP(F2622,'Set up'!$A$2:$D$48,4,FALSE)</f>
        <v>0</v>
      </c>
      <c r="K2622" s="4">
        <f t="shared" si="868"/>
        <v>45328</v>
      </c>
      <c r="L2622" s="5">
        <f t="shared" si="869"/>
        <v>2</v>
      </c>
      <c r="M2622" s="5">
        <f t="shared" si="870"/>
        <v>2024</v>
      </c>
      <c r="N2622" s="96">
        <v>250</v>
      </c>
      <c r="O2622" s="6"/>
      <c r="P2622" s="6">
        <f t="shared" si="872"/>
        <v>250</v>
      </c>
      <c r="Q2622" s="126">
        <f t="shared" si="873"/>
        <v>4263470.45</v>
      </c>
      <c r="R2622" s="44" t="str">
        <f>VLOOKUP(F2622,'Set up'!$A$2:$E$50,5,FALSE)</f>
        <v>Trsf</v>
      </c>
    </row>
    <row r="2623" spans="1:18" s="125" customFormat="1" x14ac:dyDescent="0.3">
      <c r="A2623" s="123">
        <v>45328</v>
      </c>
      <c r="B2623" s="124">
        <f t="shared" si="866"/>
        <v>2</v>
      </c>
      <c r="C2623" s="124">
        <f t="shared" si="867"/>
        <v>2024</v>
      </c>
      <c r="D2623" s="124" t="s">
        <v>2417</v>
      </c>
      <c r="E2623" s="5" t="str">
        <f>VLOOKUP(F2623,'Set up'!$A$2:$C$50,2,FALSE)</f>
        <v>C00000026</v>
      </c>
      <c r="F2623" s="125" t="s">
        <v>785</v>
      </c>
      <c r="G2623" s="90" t="s">
        <v>2218</v>
      </c>
      <c r="H2623" s="124">
        <v>1</v>
      </c>
      <c r="I2623" s="5" t="str">
        <f>VLOOKUP(F2623,'Set up'!$A$2:$C$50,3,FALSE)</f>
        <v>Cash</v>
      </c>
      <c r="J2623" s="5">
        <f>VLOOKUP(F2623,'Set up'!$A$2:$D$48,4,FALSE)</f>
        <v>0</v>
      </c>
      <c r="K2623" s="4">
        <f t="shared" si="868"/>
        <v>45328</v>
      </c>
      <c r="L2623" s="5">
        <f t="shared" si="869"/>
        <v>2</v>
      </c>
      <c r="M2623" s="5">
        <f t="shared" si="870"/>
        <v>2024</v>
      </c>
      <c r="N2623" s="96">
        <v>283.8</v>
      </c>
      <c r="O2623" s="6"/>
      <c r="P2623" s="6">
        <f t="shared" si="872"/>
        <v>283.8</v>
      </c>
      <c r="Q2623" s="126">
        <f t="shared" si="873"/>
        <v>4263754.25</v>
      </c>
      <c r="R2623" s="44" t="str">
        <f>VLOOKUP(F2623,'Set up'!$A$2:$E$50,5,FALSE)</f>
        <v>Trsf</v>
      </c>
    </row>
    <row r="2624" spans="1:18" s="125" customFormat="1" x14ac:dyDescent="0.3">
      <c r="A2624" s="123">
        <v>45328</v>
      </c>
      <c r="B2624" s="124">
        <f t="shared" si="866"/>
        <v>2</v>
      </c>
      <c r="C2624" s="124">
        <f t="shared" si="867"/>
        <v>2024</v>
      </c>
      <c r="D2624" s="124" t="s">
        <v>2417</v>
      </c>
      <c r="E2624" s="5" t="str">
        <f>VLOOKUP(F2624,'Set up'!$A$2:$C$50,2,FALSE)</f>
        <v>C00000026</v>
      </c>
      <c r="F2624" s="125" t="s">
        <v>785</v>
      </c>
      <c r="G2624" s="90" t="s">
        <v>1744</v>
      </c>
      <c r="H2624" s="124">
        <v>1</v>
      </c>
      <c r="I2624" s="5" t="str">
        <f>VLOOKUP(F2624,'Set up'!$A$2:$C$50,3,FALSE)</f>
        <v>Cash</v>
      </c>
      <c r="J2624" s="5">
        <f>VLOOKUP(F2624,'Set up'!$A$2:$D$48,4,FALSE)</f>
        <v>0</v>
      </c>
      <c r="K2624" s="4">
        <f t="shared" si="868"/>
        <v>45328</v>
      </c>
      <c r="L2624" s="5">
        <f t="shared" si="869"/>
        <v>2</v>
      </c>
      <c r="M2624" s="5">
        <f t="shared" si="870"/>
        <v>2024</v>
      </c>
      <c r="N2624" s="96">
        <v>55.2</v>
      </c>
      <c r="O2624" s="6"/>
      <c r="P2624" s="6">
        <f t="shared" si="872"/>
        <v>55.2</v>
      </c>
      <c r="Q2624" s="126">
        <f t="shared" si="873"/>
        <v>4263809.45</v>
      </c>
      <c r="R2624" s="44" t="str">
        <f>VLOOKUP(F2624,'Set up'!$A$2:$E$50,5,FALSE)</f>
        <v>Trsf</v>
      </c>
    </row>
    <row r="2625" spans="1:18" s="125" customFormat="1" x14ac:dyDescent="0.3">
      <c r="A2625" s="123">
        <v>45328</v>
      </c>
      <c r="B2625" s="124">
        <f t="shared" si="866"/>
        <v>2</v>
      </c>
      <c r="C2625" s="124">
        <f t="shared" si="867"/>
        <v>2024</v>
      </c>
      <c r="D2625" s="124" t="s">
        <v>2417</v>
      </c>
      <c r="E2625" s="5" t="str">
        <f>VLOOKUP(F2625,'Set up'!$A$2:$C$50,2,FALSE)</f>
        <v>C00000026</v>
      </c>
      <c r="F2625" s="125" t="s">
        <v>785</v>
      </c>
      <c r="G2625" s="90" t="s">
        <v>1400</v>
      </c>
      <c r="H2625" s="124">
        <v>1</v>
      </c>
      <c r="I2625" s="5" t="str">
        <f>VLOOKUP(F2625,'Set up'!$A$2:$C$50,3,FALSE)</f>
        <v>Cash</v>
      </c>
      <c r="J2625" s="5">
        <f>VLOOKUP(F2625,'Set up'!$A$2:$D$50,4,FALSE)</f>
        <v>0</v>
      </c>
      <c r="K2625" s="4">
        <f t="shared" si="868"/>
        <v>45328</v>
      </c>
      <c r="L2625" s="5">
        <f t="shared" si="869"/>
        <v>2</v>
      </c>
      <c r="M2625" s="5">
        <f t="shared" si="870"/>
        <v>2024</v>
      </c>
      <c r="N2625" s="96">
        <v>160</v>
      </c>
      <c r="O2625" s="6"/>
      <c r="P2625" s="6">
        <f t="shared" si="872"/>
        <v>160</v>
      </c>
      <c r="Q2625" s="126">
        <f t="shared" si="873"/>
        <v>4263969.45</v>
      </c>
      <c r="R2625" s="44" t="str">
        <f>VLOOKUP(F2625,'Set up'!$A$2:$E$50,5,FALSE)</f>
        <v>Trsf</v>
      </c>
    </row>
    <row r="2626" spans="1:18" s="125" customFormat="1" x14ac:dyDescent="0.3">
      <c r="A2626" s="123">
        <v>45328</v>
      </c>
      <c r="B2626" s="124">
        <f t="shared" si="866"/>
        <v>2</v>
      </c>
      <c r="C2626" s="124">
        <f t="shared" si="867"/>
        <v>2024</v>
      </c>
      <c r="D2626" s="124" t="s">
        <v>2417</v>
      </c>
      <c r="E2626" s="5" t="str">
        <f>VLOOKUP(F2626,'Set up'!$A$2:$C$50,2,FALSE)</f>
        <v>C00000026</v>
      </c>
      <c r="F2626" s="125" t="s">
        <v>785</v>
      </c>
      <c r="G2626" s="90" t="s">
        <v>950</v>
      </c>
      <c r="H2626" s="124">
        <v>2</v>
      </c>
      <c r="I2626" s="5" t="str">
        <f>VLOOKUP(F2626,'Set up'!$A$2:$C$50,3,FALSE)</f>
        <v>Cash</v>
      </c>
      <c r="J2626" s="5">
        <f>VLOOKUP(F2626,'Set up'!$A$2:$D$50,4,FALSE)</f>
        <v>0</v>
      </c>
      <c r="K2626" s="4">
        <f t="shared" si="868"/>
        <v>45328</v>
      </c>
      <c r="L2626" s="5">
        <f t="shared" si="869"/>
        <v>2</v>
      </c>
      <c r="M2626" s="5">
        <f t="shared" si="870"/>
        <v>2024</v>
      </c>
      <c r="N2626" s="6">
        <v>120</v>
      </c>
      <c r="O2626" s="6"/>
      <c r="P2626" s="6">
        <f t="shared" si="872"/>
        <v>120</v>
      </c>
      <c r="Q2626" s="126">
        <f t="shared" si="873"/>
        <v>4264089.45</v>
      </c>
      <c r="R2626" s="44" t="str">
        <f>VLOOKUP(F2626,'Set up'!$A$2:$E$50,5,FALSE)</f>
        <v>Trsf</v>
      </c>
    </row>
    <row r="2627" spans="1:18" s="125" customFormat="1" x14ac:dyDescent="0.3">
      <c r="A2627" s="123">
        <v>45330</v>
      </c>
      <c r="B2627" s="124">
        <f t="shared" si="866"/>
        <v>2</v>
      </c>
      <c r="C2627" s="124">
        <f t="shared" si="867"/>
        <v>2024</v>
      </c>
      <c r="D2627" s="124" t="s">
        <v>2418</v>
      </c>
      <c r="E2627" s="5" t="str">
        <f>VLOOKUP(F2627,'Set up'!$A$2:$C$50,2,FALSE)</f>
        <v>C00000046</v>
      </c>
      <c r="F2627" s="125" t="s">
        <v>2364</v>
      </c>
      <c r="G2627" s="95" t="s">
        <v>1739</v>
      </c>
      <c r="H2627" s="124">
        <v>1</v>
      </c>
      <c r="I2627" s="5" t="str">
        <f>VLOOKUP(F2627,'Set up'!$A$2:$C$50,3,FALSE)</f>
        <v>Cash</v>
      </c>
      <c r="J2627" s="5">
        <f>VLOOKUP(F2627,'Set up'!$A$2:$D$50,4,FALSE)</f>
        <v>0</v>
      </c>
      <c r="K2627" s="4">
        <f t="shared" si="868"/>
        <v>45330</v>
      </c>
      <c r="L2627" s="5">
        <f t="shared" si="869"/>
        <v>2</v>
      </c>
      <c r="M2627" s="5">
        <f t="shared" si="870"/>
        <v>2024</v>
      </c>
      <c r="N2627" s="6">
        <v>1694</v>
      </c>
      <c r="O2627" s="6"/>
      <c r="P2627" s="6">
        <f t="shared" si="872"/>
        <v>1694</v>
      </c>
      <c r="Q2627" s="126">
        <f t="shared" si="873"/>
        <v>4265783.45</v>
      </c>
      <c r="R2627" s="44" t="str">
        <f>VLOOKUP(F2627,'Set up'!$A$2:$E$50,5,FALSE)</f>
        <v>Trsf</v>
      </c>
    </row>
    <row r="2628" spans="1:18" s="125" customFormat="1" x14ac:dyDescent="0.3">
      <c r="A2628" s="123">
        <v>45330</v>
      </c>
      <c r="B2628" s="124">
        <f t="shared" si="866"/>
        <v>2</v>
      </c>
      <c r="C2628" s="124">
        <f t="shared" si="867"/>
        <v>2024</v>
      </c>
      <c r="D2628" s="124" t="s">
        <v>2419</v>
      </c>
      <c r="E2628" s="5" t="str">
        <f>VLOOKUP(F2628,'Set up'!$A$2:$C$50,2,FALSE)</f>
        <v>C00000010</v>
      </c>
      <c r="F2628" s="125" t="s">
        <v>62</v>
      </c>
      <c r="G2628" s="95" t="s">
        <v>1179</v>
      </c>
      <c r="H2628" s="124">
        <v>6</v>
      </c>
      <c r="I2628" s="5">
        <f>VLOOKUP(F2628,'Set up'!$A$2:$C$50,3,FALSE)</f>
        <v>120</v>
      </c>
      <c r="J2628" s="5">
        <f>VLOOKUP(F2628,'Set up'!$A$2:$D$50,4,FALSE)</f>
        <v>120</v>
      </c>
      <c r="K2628" s="4">
        <f t="shared" si="868"/>
        <v>45450</v>
      </c>
      <c r="L2628" s="5">
        <f t="shared" si="869"/>
        <v>6</v>
      </c>
      <c r="M2628" s="5">
        <f t="shared" si="870"/>
        <v>2024</v>
      </c>
      <c r="N2628" s="6">
        <v>9636</v>
      </c>
      <c r="O2628" s="6"/>
      <c r="P2628" s="6">
        <f t="shared" si="872"/>
        <v>9636</v>
      </c>
      <c r="Q2628" s="126">
        <f t="shared" si="873"/>
        <v>4275419.45</v>
      </c>
      <c r="R2628" s="44" t="str">
        <f>VLOOKUP(F2628,'Set up'!$A$2:$E$50,5,FALSE)</f>
        <v>Trsf</v>
      </c>
    </row>
    <row r="2629" spans="1:18" s="125" customFormat="1" x14ac:dyDescent="0.3">
      <c r="A2629" s="123">
        <v>45330</v>
      </c>
      <c r="B2629" s="124">
        <f t="shared" si="866"/>
        <v>2</v>
      </c>
      <c r="C2629" s="124">
        <f t="shared" si="867"/>
        <v>2024</v>
      </c>
      <c r="D2629" s="124" t="s">
        <v>2419</v>
      </c>
      <c r="E2629" s="5" t="str">
        <f>VLOOKUP(F2629,'Set up'!$A$2:$C$50,2,FALSE)</f>
        <v>C00000010</v>
      </c>
      <c r="F2629" s="125" t="s">
        <v>62</v>
      </c>
      <c r="G2629" s="90" t="s">
        <v>1393</v>
      </c>
      <c r="H2629" s="124">
        <v>10</v>
      </c>
      <c r="I2629" s="5">
        <f>VLOOKUP(F2629,'Set up'!$A$2:$C$50,3,FALSE)</f>
        <v>120</v>
      </c>
      <c r="J2629" s="5">
        <f>VLOOKUP(F2629,'Set up'!$A$2:$D$50,4,FALSE)</f>
        <v>120</v>
      </c>
      <c r="K2629" s="4">
        <f t="shared" si="868"/>
        <v>45450</v>
      </c>
      <c r="L2629" s="5">
        <f t="shared" si="869"/>
        <v>6</v>
      </c>
      <c r="M2629" s="5">
        <f t="shared" si="870"/>
        <v>2024</v>
      </c>
      <c r="N2629" s="6">
        <v>1740</v>
      </c>
      <c r="O2629" s="6"/>
      <c r="P2629" s="6">
        <f t="shared" si="872"/>
        <v>1740</v>
      </c>
      <c r="Q2629" s="126">
        <f t="shared" si="873"/>
        <v>4277159.45</v>
      </c>
      <c r="R2629" s="44" t="str">
        <f>VLOOKUP(F2629,'Set up'!$A$2:$E$50,5,FALSE)</f>
        <v>Trsf</v>
      </c>
    </row>
    <row r="2630" spans="1:18" s="125" customFormat="1" x14ac:dyDescent="0.3">
      <c r="A2630" s="123">
        <v>45330</v>
      </c>
      <c r="B2630" s="124">
        <f t="shared" si="866"/>
        <v>2</v>
      </c>
      <c r="C2630" s="124">
        <f t="shared" si="867"/>
        <v>2024</v>
      </c>
      <c r="D2630" s="124" t="s">
        <v>2419</v>
      </c>
      <c r="E2630" s="5" t="str">
        <f>VLOOKUP(F2630,'Set up'!$A$2:$C$50,2,FALSE)</f>
        <v>C00000010</v>
      </c>
      <c r="F2630" s="125" t="s">
        <v>62</v>
      </c>
      <c r="G2630" s="90" t="s">
        <v>792</v>
      </c>
      <c r="H2630" s="124">
        <v>5</v>
      </c>
      <c r="I2630" s="5">
        <f>VLOOKUP(F2630,'Set up'!$A$2:$C$50,3,FALSE)</f>
        <v>120</v>
      </c>
      <c r="J2630" s="5">
        <f>VLOOKUP(F2630,'Set up'!$A$2:$D$50,4,FALSE)</f>
        <v>120</v>
      </c>
      <c r="K2630" s="4">
        <f t="shared" si="868"/>
        <v>45450</v>
      </c>
      <c r="L2630" s="5">
        <f t="shared" si="869"/>
        <v>6</v>
      </c>
      <c r="M2630" s="5">
        <f t="shared" si="870"/>
        <v>2024</v>
      </c>
      <c r="N2630" s="6">
        <v>287.5</v>
      </c>
      <c r="O2630" s="6"/>
      <c r="P2630" s="6">
        <f t="shared" si="872"/>
        <v>287.5</v>
      </c>
      <c r="Q2630" s="126">
        <f t="shared" si="873"/>
        <v>4277446.95</v>
      </c>
      <c r="R2630" s="44" t="str">
        <f>VLOOKUP(F2630,'Set up'!$A$2:$E$50,5,FALSE)</f>
        <v>Trsf</v>
      </c>
    </row>
    <row r="2631" spans="1:18" s="125" customFormat="1" x14ac:dyDescent="0.3">
      <c r="A2631" s="123">
        <v>45330</v>
      </c>
      <c r="B2631" s="124">
        <f t="shared" si="866"/>
        <v>2</v>
      </c>
      <c r="C2631" s="124">
        <f t="shared" si="867"/>
        <v>2024</v>
      </c>
      <c r="D2631" s="124" t="s">
        <v>2419</v>
      </c>
      <c r="E2631" s="5" t="str">
        <f>VLOOKUP(F2631,'Set up'!$A$2:$C$50,2,FALSE)</f>
        <v>C00000010</v>
      </c>
      <c r="F2631" s="125" t="s">
        <v>62</v>
      </c>
      <c r="G2631" s="11" t="s">
        <v>46</v>
      </c>
      <c r="H2631" s="124">
        <v>4</v>
      </c>
      <c r="I2631" s="5">
        <f>VLOOKUP(F2631,'Set up'!$A$2:$C$50,3,FALSE)</f>
        <v>120</v>
      </c>
      <c r="J2631" s="5">
        <f>VLOOKUP(F2631,'Set up'!$A$2:$D$50,4,FALSE)</f>
        <v>120</v>
      </c>
      <c r="K2631" s="4">
        <f t="shared" si="868"/>
        <v>45450</v>
      </c>
      <c r="L2631" s="5">
        <f t="shared" si="869"/>
        <v>6</v>
      </c>
      <c r="M2631" s="5">
        <f t="shared" si="870"/>
        <v>2024</v>
      </c>
      <c r="N2631" s="6">
        <v>440</v>
      </c>
      <c r="O2631" s="6"/>
      <c r="P2631" s="6">
        <f t="shared" si="872"/>
        <v>440</v>
      </c>
      <c r="Q2631" s="126">
        <f t="shared" si="873"/>
        <v>4277886.95</v>
      </c>
      <c r="R2631" s="44" t="str">
        <f>VLOOKUP(F2631,'Set up'!$A$2:$E$50,5,FALSE)</f>
        <v>Trsf</v>
      </c>
    </row>
    <row r="2632" spans="1:18" s="125" customFormat="1" x14ac:dyDescent="0.3">
      <c r="A2632" s="123">
        <v>45330</v>
      </c>
      <c r="B2632" s="124">
        <f t="shared" si="866"/>
        <v>2</v>
      </c>
      <c r="C2632" s="124">
        <f t="shared" si="867"/>
        <v>2024</v>
      </c>
      <c r="D2632" s="124" t="s">
        <v>2419</v>
      </c>
      <c r="E2632" s="5" t="str">
        <f>VLOOKUP(F2632,'Set up'!$A$2:$C$50,2,FALSE)</f>
        <v>C00000010</v>
      </c>
      <c r="F2632" s="125" t="s">
        <v>62</v>
      </c>
      <c r="G2632" s="90" t="s">
        <v>945</v>
      </c>
      <c r="H2632" s="124">
        <v>1</v>
      </c>
      <c r="I2632" s="5">
        <f>VLOOKUP(F2632,'Set up'!$A$2:$C$50,3,FALSE)</f>
        <v>120</v>
      </c>
      <c r="J2632" s="5">
        <f>VLOOKUP(F2632,'Set up'!$A$2:$D$50,4,FALSE)</f>
        <v>120</v>
      </c>
      <c r="K2632" s="4">
        <f t="shared" si="868"/>
        <v>45450</v>
      </c>
      <c r="L2632" s="5">
        <f t="shared" si="869"/>
        <v>6</v>
      </c>
      <c r="M2632" s="5">
        <f t="shared" si="870"/>
        <v>2024</v>
      </c>
      <c r="N2632" s="6">
        <v>420</v>
      </c>
      <c r="O2632" s="6"/>
      <c r="P2632" s="6">
        <f t="shared" si="872"/>
        <v>420</v>
      </c>
      <c r="Q2632" s="126">
        <f t="shared" si="873"/>
        <v>4278306.95</v>
      </c>
      <c r="R2632" s="44" t="str">
        <f>VLOOKUP(F2632,'Set up'!$A$2:$E$50,5,FALSE)</f>
        <v>Trsf</v>
      </c>
    </row>
    <row r="2633" spans="1:18" s="125" customFormat="1" x14ac:dyDescent="0.3">
      <c r="A2633" s="123">
        <v>45330</v>
      </c>
      <c r="B2633" s="124">
        <f t="shared" ref="B2633:B2674" si="874">MONTH(A2633)</f>
        <v>2</v>
      </c>
      <c r="C2633" s="124">
        <f t="shared" ref="C2633:C2674" si="875">YEAR(A2633)</f>
        <v>2024</v>
      </c>
      <c r="D2633" s="124" t="s">
        <v>2419</v>
      </c>
      <c r="E2633" s="5" t="str">
        <f>VLOOKUP(F2633,'Set up'!$A$2:$C$50,2,FALSE)</f>
        <v>C00000010</v>
      </c>
      <c r="F2633" s="125" t="s">
        <v>62</v>
      </c>
      <c r="G2633" s="90" t="s">
        <v>947</v>
      </c>
      <c r="H2633" s="124">
        <v>4</v>
      </c>
      <c r="I2633" s="5">
        <f>VLOOKUP(F2633,'Set up'!$A$2:$C$50,3,FALSE)</f>
        <v>120</v>
      </c>
      <c r="J2633" s="5">
        <f>VLOOKUP(F2633,'Set up'!$A$2:$D$50,4,FALSE)</f>
        <v>120</v>
      </c>
      <c r="K2633" s="4">
        <f t="shared" ref="K2633:K2675" si="876">A2633+J2633</f>
        <v>45450</v>
      </c>
      <c r="L2633" s="5">
        <f t="shared" ref="L2633:L2674" si="877">MONTH(K2633)</f>
        <v>6</v>
      </c>
      <c r="M2633" s="5">
        <f t="shared" ref="M2633:M2674" si="878">YEAR(K2633)</f>
        <v>2024</v>
      </c>
      <c r="N2633" s="6">
        <v>220</v>
      </c>
      <c r="O2633" s="6"/>
      <c r="P2633" s="6">
        <f t="shared" si="872"/>
        <v>220</v>
      </c>
      <c r="Q2633" s="126">
        <f t="shared" si="873"/>
        <v>4278526.95</v>
      </c>
      <c r="R2633" s="44" t="str">
        <f>VLOOKUP(F2633,'Set up'!$A$2:$E$50,5,FALSE)</f>
        <v>Trsf</v>
      </c>
    </row>
    <row r="2634" spans="1:18" s="125" customFormat="1" x14ac:dyDescent="0.3">
      <c r="A2634" s="123">
        <v>45337</v>
      </c>
      <c r="B2634" s="124">
        <f t="shared" si="874"/>
        <v>2</v>
      </c>
      <c r="C2634" s="124">
        <f t="shared" si="875"/>
        <v>2024</v>
      </c>
      <c r="D2634" s="124" t="s">
        <v>2420</v>
      </c>
      <c r="E2634" s="5" t="str">
        <f>VLOOKUP(F2634,'Set up'!$A$2:$C$50,2,FALSE)</f>
        <v>C00000019</v>
      </c>
      <c r="F2634" s="125" t="s">
        <v>401</v>
      </c>
      <c r="G2634" s="90" t="s">
        <v>720</v>
      </c>
      <c r="H2634" s="124">
        <v>1</v>
      </c>
      <c r="I2634" s="5" t="str">
        <f>VLOOKUP(F2634,'Set up'!$A$2:$C$50,3,FALSE)</f>
        <v>Cash</v>
      </c>
      <c r="J2634" s="5">
        <f>VLOOKUP(F2634,'Set up'!$A$2:$D$50,4,FALSE)</f>
        <v>0</v>
      </c>
      <c r="K2634" s="4">
        <f t="shared" si="876"/>
        <v>45337</v>
      </c>
      <c r="L2634" s="5">
        <f t="shared" si="877"/>
        <v>2</v>
      </c>
      <c r="M2634" s="5">
        <f t="shared" si="878"/>
        <v>2024</v>
      </c>
      <c r="N2634" s="98">
        <v>1738</v>
      </c>
      <c r="O2634" s="6"/>
      <c r="P2634" s="6">
        <f t="shared" si="872"/>
        <v>1738</v>
      </c>
      <c r="Q2634" s="126">
        <f t="shared" si="873"/>
        <v>4280264.95</v>
      </c>
      <c r="R2634" s="44" t="str">
        <f>VLOOKUP(F2634,'Set up'!$A$2:$E$50,5,FALSE)</f>
        <v>Trsf</v>
      </c>
    </row>
    <row r="2635" spans="1:18" s="125" customFormat="1" x14ac:dyDescent="0.3">
      <c r="A2635" s="123">
        <v>45337</v>
      </c>
      <c r="B2635" s="124">
        <f t="shared" si="874"/>
        <v>2</v>
      </c>
      <c r="C2635" s="124">
        <f t="shared" si="875"/>
        <v>2024</v>
      </c>
      <c r="D2635" s="124" t="s">
        <v>2420</v>
      </c>
      <c r="E2635" s="5" t="str">
        <f>VLOOKUP(F2635,'Set up'!$A$2:$C$50,2,FALSE)</f>
        <v>C00000019</v>
      </c>
      <c r="F2635" s="125" t="s">
        <v>401</v>
      </c>
      <c r="G2635" s="90" t="s">
        <v>2215</v>
      </c>
      <c r="H2635" s="124">
        <v>1</v>
      </c>
      <c r="I2635" s="5" t="str">
        <f>VLOOKUP(F2635,'Set up'!$A$2:$C$50,3,FALSE)</f>
        <v>Cash</v>
      </c>
      <c r="J2635" s="5">
        <f>VLOOKUP(F2635,'Set up'!$A$2:$D$50,4,FALSE)</f>
        <v>0</v>
      </c>
      <c r="K2635" s="4">
        <f t="shared" si="876"/>
        <v>45337</v>
      </c>
      <c r="L2635" s="5">
        <f t="shared" si="877"/>
        <v>2</v>
      </c>
      <c r="M2635" s="5">
        <f t="shared" si="878"/>
        <v>2024</v>
      </c>
      <c r="N2635" s="98">
        <v>405</v>
      </c>
      <c r="O2635" s="6"/>
      <c r="P2635" s="6">
        <f t="shared" si="872"/>
        <v>405</v>
      </c>
      <c r="Q2635" s="126">
        <f t="shared" si="873"/>
        <v>4280669.95</v>
      </c>
      <c r="R2635" s="44" t="str">
        <f>VLOOKUP(F2635,'Set up'!$A$2:$E$50,5,FALSE)</f>
        <v>Trsf</v>
      </c>
    </row>
    <row r="2636" spans="1:18" s="125" customFormat="1" x14ac:dyDescent="0.3">
      <c r="A2636" s="123">
        <v>45337</v>
      </c>
      <c r="B2636" s="124">
        <f t="shared" si="874"/>
        <v>2</v>
      </c>
      <c r="C2636" s="124">
        <f t="shared" si="875"/>
        <v>2024</v>
      </c>
      <c r="D2636" s="124" t="s">
        <v>2420</v>
      </c>
      <c r="E2636" s="5" t="str">
        <f>VLOOKUP(F2636,'Set up'!$A$2:$C$50,2,FALSE)</f>
        <v>C00000019</v>
      </c>
      <c r="F2636" s="125" t="s">
        <v>401</v>
      </c>
      <c r="G2636" s="90" t="s">
        <v>792</v>
      </c>
      <c r="H2636" s="124">
        <v>3</v>
      </c>
      <c r="I2636" s="5" t="str">
        <f>VLOOKUP(F2636,'Set up'!$A$2:$C$50,3,FALSE)</f>
        <v>Cash</v>
      </c>
      <c r="J2636" s="5">
        <f>VLOOKUP(F2636,'Set up'!$A$2:$D$50,4,FALSE)</f>
        <v>0</v>
      </c>
      <c r="K2636" s="4">
        <f t="shared" si="876"/>
        <v>45337</v>
      </c>
      <c r="L2636" s="5">
        <f t="shared" si="877"/>
        <v>2</v>
      </c>
      <c r="M2636" s="5">
        <f t="shared" si="878"/>
        <v>2024</v>
      </c>
      <c r="N2636" s="6">
        <v>187.5</v>
      </c>
      <c r="O2636" s="6"/>
      <c r="P2636" s="6">
        <f t="shared" si="872"/>
        <v>187.5</v>
      </c>
      <c r="Q2636" s="126">
        <f t="shared" si="873"/>
        <v>4280857.45</v>
      </c>
      <c r="R2636" s="44" t="str">
        <f>VLOOKUP(F2636,'Set up'!$A$2:$E$50,5,FALSE)</f>
        <v>Trsf</v>
      </c>
    </row>
    <row r="2637" spans="1:18" s="125" customFormat="1" x14ac:dyDescent="0.3">
      <c r="A2637" s="123">
        <v>45337</v>
      </c>
      <c r="B2637" s="124">
        <f t="shared" si="874"/>
        <v>2</v>
      </c>
      <c r="C2637" s="124">
        <f t="shared" si="875"/>
        <v>2024</v>
      </c>
      <c r="D2637" s="124" t="s">
        <v>2420</v>
      </c>
      <c r="E2637" s="5" t="str">
        <f>VLOOKUP(F2637,'Set up'!$A$2:$C$50,2,FALSE)</f>
        <v>C00000019</v>
      </c>
      <c r="F2637" s="125" t="s">
        <v>401</v>
      </c>
      <c r="G2637" s="90" t="s">
        <v>1470</v>
      </c>
      <c r="H2637" s="124">
        <v>1</v>
      </c>
      <c r="I2637" s="5" t="str">
        <f>VLOOKUP(F2637,'Set up'!$A$2:$C$50,3,FALSE)</f>
        <v>Cash</v>
      </c>
      <c r="J2637" s="5">
        <f>VLOOKUP(F2637,'Set up'!$A$2:$D$50,4,FALSE)</f>
        <v>0</v>
      </c>
      <c r="K2637" s="4">
        <f t="shared" si="876"/>
        <v>45337</v>
      </c>
      <c r="L2637" s="5">
        <f t="shared" si="877"/>
        <v>2</v>
      </c>
      <c r="M2637" s="5">
        <f t="shared" si="878"/>
        <v>2024</v>
      </c>
      <c r="N2637" s="6">
        <v>390</v>
      </c>
      <c r="O2637" s="6"/>
      <c r="P2637" s="6">
        <f t="shared" si="872"/>
        <v>390</v>
      </c>
      <c r="Q2637" s="126">
        <f t="shared" si="873"/>
        <v>4281247.45</v>
      </c>
      <c r="R2637" s="44" t="str">
        <f>VLOOKUP(F2637,'Set up'!$A$2:$E$50,5,FALSE)</f>
        <v>Trsf</v>
      </c>
    </row>
    <row r="2638" spans="1:18" s="125" customFormat="1" x14ac:dyDescent="0.3">
      <c r="A2638" s="123">
        <v>45337</v>
      </c>
      <c r="B2638" s="124">
        <f t="shared" si="874"/>
        <v>2</v>
      </c>
      <c r="C2638" s="124">
        <f t="shared" si="875"/>
        <v>2024</v>
      </c>
      <c r="D2638" s="124" t="s">
        <v>2421</v>
      </c>
      <c r="E2638" s="5" t="str">
        <f>VLOOKUP(F2638,'Set up'!$A$2:$C$50,2,FALSE)</f>
        <v>C00000010</v>
      </c>
      <c r="F2638" s="125" t="s">
        <v>62</v>
      </c>
      <c r="G2638" s="95" t="s">
        <v>792</v>
      </c>
      <c r="H2638" s="124">
        <v>5</v>
      </c>
      <c r="I2638" s="5">
        <f>VLOOKUP(F2638,'Set up'!$A$2:$C$50,3,FALSE)</f>
        <v>120</v>
      </c>
      <c r="J2638" s="5">
        <f>VLOOKUP(F2638,'Set up'!$A$2:$D$50,4,FALSE)</f>
        <v>120</v>
      </c>
      <c r="K2638" s="4">
        <f t="shared" si="876"/>
        <v>45457</v>
      </c>
      <c r="L2638" s="5">
        <f t="shared" si="877"/>
        <v>6</v>
      </c>
      <c r="M2638" s="5">
        <f t="shared" si="878"/>
        <v>2024</v>
      </c>
      <c r="N2638" s="6">
        <v>287.5</v>
      </c>
      <c r="O2638" s="6"/>
      <c r="P2638" s="6">
        <f t="shared" si="872"/>
        <v>287.5</v>
      </c>
      <c r="Q2638" s="126">
        <f t="shared" si="873"/>
        <v>4281534.95</v>
      </c>
      <c r="R2638" s="44" t="str">
        <f>VLOOKUP(F2638,'Set up'!$A$2:$E$50,5,FALSE)</f>
        <v>Trsf</v>
      </c>
    </row>
    <row r="2639" spans="1:18" s="125" customFormat="1" x14ac:dyDescent="0.3">
      <c r="A2639" s="123">
        <v>45337</v>
      </c>
      <c r="B2639" s="124">
        <f t="shared" si="874"/>
        <v>2</v>
      </c>
      <c r="C2639" s="124">
        <f t="shared" si="875"/>
        <v>2024</v>
      </c>
      <c r="D2639" s="124" t="s">
        <v>2421</v>
      </c>
      <c r="E2639" s="5" t="str">
        <f>VLOOKUP(F2639,'Set up'!$A$2:$C$50,2,FALSE)</f>
        <v>C00000010</v>
      </c>
      <c r="F2639" s="125" t="s">
        <v>62</v>
      </c>
      <c r="G2639" s="90" t="s">
        <v>945</v>
      </c>
      <c r="H2639" s="124">
        <v>1</v>
      </c>
      <c r="I2639" s="5">
        <f>VLOOKUP(F2639,'Set up'!$A$2:$C$50,3,FALSE)</f>
        <v>120</v>
      </c>
      <c r="J2639" s="5">
        <f>VLOOKUP(F2639,'Set up'!$A$2:$D$50,4,FALSE)</f>
        <v>120</v>
      </c>
      <c r="K2639" s="4">
        <f t="shared" si="876"/>
        <v>45457</v>
      </c>
      <c r="L2639" s="5">
        <f t="shared" si="877"/>
        <v>6</v>
      </c>
      <c r="M2639" s="5">
        <f t="shared" si="878"/>
        <v>2024</v>
      </c>
      <c r="N2639" s="6">
        <v>420</v>
      </c>
      <c r="O2639" s="6"/>
      <c r="P2639" s="6">
        <f t="shared" si="872"/>
        <v>420</v>
      </c>
      <c r="Q2639" s="126">
        <f t="shared" si="873"/>
        <v>4281954.95</v>
      </c>
      <c r="R2639" s="44" t="str">
        <f>VLOOKUP(F2639,'Set up'!$A$2:$E$50,5,FALSE)</f>
        <v>Trsf</v>
      </c>
    </row>
    <row r="2640" spans="1:18" s="125" customFormat="1" x14ac:dyDescent="0.3">
      <c r="A2640" s="123">
        <v>45338</v>
      </c>
      <c r="B2640" s="124">
        <f t="shared" si="874"/>
        <v>2</v>
      </c>
      <c r="C2640" s="124">
        <f t="shared" si="875"/>
        <v>2024</v>
      </c>
      <c r="D2640" s="124" t="s">
        <v>2422</v>
      </c>
      <c r="E2640" s="5" t="str">
        <f>VLOOKUP(F2640,'Set up'!$A$2:$C$50,2,FALSE)</f>
        <v>C00000021</v>
      </c>
      <c r="F2640" s="125" t="s">
        <v>492</v>
      </c>
      <c r="G2640" s="107" t="s">
        <v>67</v>
      </c>
      <c r="H2640" s="124">
        <v>1</v>
      </c>
      <c r="I2640" s="5" t="str">
        <f>VLOOKUP(F2640,'Set up'!$A$2:$C$50,3,FALSE)</f>
        <v>Cash</v>
      </c>
      <c r="J2640" s="5">
        <f>VLOOKUP(F2640,'Set up'!$A$2:$D$50,4,FALSE)</f>
        <v>0</v>
      </c>
      <c r="K2640" s="4">
        <f t="shared" si="876"/>
        <v>45338</v>
      </c>
      <c r="L2640" s="5">
        <f t="shared" si="877"/>
        <v>2</v>
      </c>
      <c r="M2640" s="5">
        <f t="shared" si="878"/>
        <v>2024</v>
      </c>
      <c r="N2640" s="96">
        <v>1738</v>
      </c>
      <c r="O2640" s="6"/>
      <c r="P2640" s="6">
        <f t="shared" si="872"/>
        <v>1738</v>
      </c>
      <c r="Q2640" s="126">
        <f t="shared" si="873"/>
        <v>4283692.95</v>
      </c>
      <c r="R2640" s="44" t="str">
        <f>VLOOKUP(F2640,'Set up'!$A$2:$E$50,5,FALSE)</f>
        <v>PD Chq</v>
      </c>
    </row>
    <row r="2641" spans="1:18" s="125" customFormat="1" x14ac:dyDescent="0.3">
      <c r="A2641" s="123">
        <v>45338</v>
      </c>
      <c r="B2641" s="124">
        <f t="shared" si="874"/>
        <v>2</v>
      </c>
      <c r="C2641" s="124">
        <f t="shared" si="875"/>
        <v>2024</v>
      </c>
      <c r="D2641" s="124" t="s">
        <v>2422</v>
      </c>
      <c r="E2641" s="5" t="str">
        <f>VLOOKUP(F2641,'Set up'!$A$2:$C$50,2,FALSE)</f>
        <v>C00000021</v>
      </c>
      <c r="F2641" s="125" t="s">
        <v>492</v>
      </c>
      <c r="G2641" s="99" t="s">
        <v>2218</v>
      </c>
      <c r="H2641" s="124">
        <v>1</v>
      </c>
      <c r="I2641" s="5" t="str">
        <f>VLOOKUP(F2641,'Set up'!$A$2:$C$50,3,FALSE)</f>
        <v>Cash</v>
      </c>
      <c r="J2641" s="5">
        <f>VLOOKUP(F2641,'Set up'!$A$2:$D$50,4,FALSE)</f>
        <v>0</v>
      </c>
      <c r="K2641" s="4">
        <f t="shared" si="876"/>
        <v>45338</v>
      </c>
      <c r="L2641" s="5">
        <f t="shared" si="877"/>
        <v>2</v>
      </c>
      <c r="M2641" s="5">
        <f t="shared" si="878"/>
        <v>2024</v>
      </c>
      <c r="N2641" s="96">
        <v>259.60000000000002</v>
      </c>
      <c r="O2641" s="6"/>
      <c r="P2641" s="6">
        <f t="shared" si="872"/>
        <v>259.60000000000002</v>
      </c>
      <c r="Q2641" s="126">
        <f t="shared" si="873"/>
        <v>4283952.55</v>
      </c>
      <c r="R2641" s="44" t="str">
        <f>VLOOKUP(F2641,'Set up'!$A$2:$E$50,5,FALSE)</f>
        <v>PD Chq</v>
      </c>
    </row>
    <row r="2642" spans="1:18" s="125" customFormat="1" x14ac:dyDescent="0.3">
      <c r="A2642" s="123">
        <v>45338</v>
      </c>
      <c r="B2642" s="124">
        <f t="shared" si="874"/>
        <v>2</v>
      </c>
      <c r="C2642" s="124">
        <f t="shared" si="875"/>
        <v>2024</v>
      </c>
      <c r="D2642" s="124" t="s">
        <v>2422</v>
      </c>
      <c r="E2642" s="5" t="str">
        <f>VLOOKUP(F2642,'Set up'!$A$2:$C$50,2,FALSE)</f>
        <v>C00000021</v>
      </c>
      <c r="F2642" s="125" t="s">
        <v>492</v>
      </c>
      <c r="G2642" s="99" t="s">
        <v>1062</v>
      </c>
      <c r="H2642" s="124">
        <v>1</v>
      </c>
      <c r="I2642" s="5" t="str">
        <f>VLOOKUP(F2642,'Set up'!$A$2:$C$50,3,FALSE)</f>
        <v>Cash</v>
      </c>
      <c r="J2642" s="5">
        <f>VLOOKUP(F2642,'Set up'!$A$2:$D$50,4,FALSE)</f>
        <v>0</v>
      </c>
      <c r="K2642" s="4">
        <f t="shared" si="876"/>
        <v>45338</v>
      </c>
      <c r="L2642" s="5">
        <f t="shared" si="877"/>
        <v>2</v>
      </c>
      <c r="M2642" s="5">
        <f t="shared" si="878"/>
        <v>2024</v>
      </c>
      <c r="N2642" s="96">
        <v>95</v>
      </c>
      <c r="O2642" s="6"/>
      <c r="P2642" s="6">
        <f t="shared" si="872"/>
        <v>95</v>
      </c>
      <c r="Q2642" s="126">
        <f t="shared" si="873"/>
        <v>4284047.55</v>
      </c>
      <c r="R2642" s="44" t="str">
        <f>VLOOKUP(F2642,'Set up'!$A$2:$E$50,5,FALSE)</f>
        <v>PD Chq</v>
      </c>
    </row>
    <row r="2643" spans="1:18" s="125" customFormat="1" x14ac:dyDescent="0.3">
      <c r="A2643" s="123">
        <v>45338</v>
      </c>
      <c r="B2643" s="124">
        <f t="shared" si="874"/>
        <v>2</v>
      </c>
      <c r="C2643" s="124">
        <f t="shared" si="875"/>
        <v>2024</v>
      </c>
      <c r="D2643" s="124" t="s">
        <v>2422</v>
      </c>
      <c r="E2643" s="5" t="str">
        <f>VLOOKUP(F2643,'Set up'!$A$2:$C$50,2,FALSE)</f>
        <v>C00000021</v>
      </c>
      <c r="F2643" s="125" t="s">
        <v>492</v>
      </c>
      <c r="G2643" s="90" t="s">
        <v>1111</v>
      </c>
      <c r="H2643" s="124">
        <v>5</v>
      </c>
      <c r="I2643" s="5" t="str">
        <f>VLOOKUP(F2643,'Set up'!$A$2:$C$50,3,FALSE)</f>
        <v>Cash</v>
      </c>
      <c r="J2643" s="5">
        <f>VLOOKUP(F2643,'Set up'!$A$2:$D$50,4,FALSE)</f>
        <v>0</v>
      </c>
      <c r="K2643" s="4">
        <f t="shared" si="876"/>
        <v>45338</v>
      </c>
      <c r="L2643" s="5">
        <f t="shared" si="877"/>
        <v>2</v>
      </c>
      <c r="M2643" s="5">
        <f t="shared" si="878"/>
        <v>2024</v>
      </c>
      <c r="N2643" s="6">
        <v>312.5</v>
      </c>
      <c r="O2643" s="6"/>
      <c r="P2643" s="6">
        <f t="shared" si="872"/>
        <v>312.5</v>
      </c>
      <c r="Q2643" s="126">
        <f t="shared" si="873"/>
        <v>4284360.05</v>
      </c>
      <c r="R2643" s="44" t="str">
        <f>VLOOKUP(F2643,'Set up'!$A$2:$E$50,5,FALSE)</f>
        <v>PD Chq</v>
      </c>
    </row>
    <row r="2644" spans="1:18" s="125" customFormat="1" x14ac:dyDescent="0.3">
      <c r="A2644" s="123">
        <v>45341</v>
      </c>
      <c r="B2644" s="124">
        <f t="shared" si="874"/>
        <v>2</v>
      </c>
      <c r="C2644" s="124">
        <f t="shared" si="875"/>
        <v>2024</v>
      </c>
      <c r="D2644" s="124" t="s">
        <v>2423</v>
      </c>
      <c r="E2644" s="5" t="str">
        <f>VLOOKUP(F2644,'Set up'!$A$2:$C$50,2,FALSE)</f>
        <v>C00000042</v>
      </c>
      <c r="F2644" s="125" t="s">
        <v>2014</v>
      </c>
      <c r="G2644" s="103" t="s">
        <v>1111</v>
      </c>
      <c r="H2644" s="124">
        <v>2</v>
      </c>
      <c r="I2644" s="5" t="str">
        <f>VLOOKUP(F2644,'Set up'!$A$2:$C$50,3,FALSE)</f>
        <v>Cash</v>
      </c>
      <c r="J2644" s="5">
        <f>VLOOKUP(F2644,'Set up'!$A$2:$D$50,4,FALSE)</f>
        <v>0</v>
      </c>
      <c r="K2644" s="4">
        <f t="shared" si="876"/>
        <v>45341</v>
      </c>
      <c r="L2644" s="5">
        <f t="shared" si="877"/>
        <v>2</v>
      </c>
      <c r="M2644" s="5">
        <f t="shared" si="878"/>
        <v>2024</v>
      </c>
      <c r="N2644" s="6">
        <v>125</v>
      </c>
      <c r="O2644" s="6"/>
      <c r="P2644" s="6">
        <f t="shared" si="872"/>
        <v>125</v>
      </c>
      <c r="Q2644" s="126">
        <f t="shared" si="873"/>
        <v>4284485.05</v>
      </c>
      <c r="R2644" s="44" t="str">
        <f>VLOOKUP(F2644,'Set up'!$A$2:$E$50,5,FALSE)</f>
        <v>Trsf</v>
      </c>
    </row>
    <row r="2645" spans="1:18" s="125" customFormat="1" x14ac:dyDescent="0.3">
      <c r="A2645" s="123">
        <v>45342</v>
      </c>
      <c r="B2645" s="124">
        <f t="shared" si="874"/>
        <v>2</v>
      </c>
      <c r="C2645" s="124">
        <f t="shared" si="875"/>
        <v>2024</v>
      </c>
      <c r="D2645" s="124" t="s">
        <v>2424</v>
      </c>
      <c r="E2645" s="5" t="str">
        <f>VLOOKUP(F2645,'Set up'!$A$2:$C$50,2,FALSE)</f>
        <v>C00000042</v>
      </c>
      <c r="F2645" s="125" t="s">
        <v>2014</v>
      </c>
      <c r="G2645" s="103" t="s">
        <v>1734</v>
      </c>
      <c r="H2645" s="124">
        <v>2</v>
      </c>
      <c r="I2645" s="5" t="str">
        <f>VLOOKUP(F2645,'Set up'!$A$2:$C$50,3,FALSE)</f>
        <v>Cash</v>
      </c>
      <c r="J2645" s="5">
        <f>VLOOKUP(F2645,'Set up'!$A$2:$D$50,4,FALSE)</f>
        <v>0</v>
      </c>
      <c r="K2645" s="4">
        <f t="shared" si="876"/>
        <v>45342</v>
      </c>
      <c r="L2645" s="5">
        <f t="shared" si="877"/>
        <v>2</v>
      </c>
      <c r="M2645" s="5">
        <f t="shared" si="878"/>
        <v>2024</v>
      </c>
      <c r="N2645" s="6">
        <v>3212</v>
      </c>
      <c r="O2645" s="6"/>
      <c r="P2645" s="6">
        <f t="shared" ref="P2645:P2675" si="879">SUM(N2645+O2645)</f>
        <v>3212</v>
      </c>
      <c r="Q2645" s="126">
        <f t="shared" si="873"/>
        <v>4287697.05</v>
      </c>
      <c r="R2645" s="44" t="str">
        <f>VLOOKUP(F2645,'Set up'!$A$2:$E$50,5,FALSE)</f>
        <v>Trsf</v>
      </c>
    </row>
    <row r="2646" spans="1:18" s="125" customFormat="1" x14ac:dyDescent="0.3">
      <c r="A2646" s="123">
        <v>45342</v>
      </c>
      <c r="B2646" s="124">
        <f t="shared" si="874"/>
        <v>2</v>
      </c>
      <c r="C2646" s="124">
        <f t="shared" si="875"/>
        <v>2024</v>
      </c>
      <c r="D2646" s="124" t="s">
        <v>2424</v>
      </c>
      <c r="E2646" s="5" t="str">
        <f>VLOOKUP(F2646,'Set up'!$A$2:$C$50,2,FALSE)</f>
        <v>C00000042</v>
      </c>
      <c r="F2646" s="125" t="s">
        <v>2014</v>
      </c>
      <c r="G2646" s="90" t="s">
        <v>914</v>
      </c>
      <c r="H2646" s="124">
        <v>15</v>
      </c>
      <c r="I2646" s="5" t="str">
        <f>VLOOKUP(F2646,'Set up'!$A$2:$C$50,3,FALSE)</f>
        <v>Cash</v>
      </c>
      <c r="J2646" s="5">
        <f>VLOOKUP(F2646,'Set up'!$A$2:$D$50,4,FALSE)</f>
        <v>0</v>
      </c>
      <c r="K2646" s="4">
        <f t="shared" si="876"/>
        <v>45342</v>
      </c>
      <c r="L2646" s="5">
        <f t="shared" si="877"/>
        <v>2</v>
      </c>
      <c r="M2646" s="5">
        <f t="shared" si="878"/>
        <v>2024</v>
      </c>
      <c r="N2646" s="6">
        <v>2610</v>
      </c>
      <c r="O2646" s="6"/>
      <c r="P2646" s="6">
        <f t="shared" si="879"/>
        <v>2610</v>
      </c>
      <c r="Q2646" s="126">
        <f t="shared" si="873"/>
        <v>4290307.05</v>
      </c>
      <c r="R2646" s="44" t="str">
        <f>VLOOKUP(F2646,'Set up'!$A$2:$E$50,5,FALSE)</f>
        <v>Trsf</v>
      </c>
    </row>
    <row r="2647" spans="1:18" s="125" customFormat="1" x14ac:dyDescent="0.3">
      <c r="A2647" s="123">
        <v>45342</v>
      </c>
      <c r="B2647" s="124">
        <f t="shared" si="874"/>
        <v>2</v>
      </c>
      <c r="C2647" s="124">
        <f t="shared" si="875"/>
        <v>2024</v>
      </c>
      <c r="D2647" s="124" t="s">
        <v>2424</v>
      </c>
      <c r="E2647" s="5" t="str">
        <f>VLOOKUP(F2647,'Set up'!$A$2:$C$50,2,FALSE)</f>
        <v>C00000042</v>
      </c>
      <c r="F2647" s="125" t="s">
        <v>2014</v>
      </c>
      <c r="G2647" s="90" t="s">
        <v>1923</v>
      </c>
      <c r="H2647" s="124">
        <v>2</v>
      </c>
      <c r="I2647" s="5" t="str">
        <f>VLOOKUP(F2647,'Set up'!$A$2:$C$50,3,FALSE)</f>
        <v>Cash</v>
      </c>
      <c r="J2647" s="5">
        <f>VLOOKUP(F2647,'Set up'!$A$2:$D$50,4,FALSE)</f>
        <v>0</v>
      </c>
      <c r="K2647" s="4">
        <f t="shared" si="876"/>
        <v>45342</v>
      </c>
      <c r="L2647" s="5">
        <f t="shared" si="877"/>
        <v>2</v>
      </c>
      <c r="M2647" s="5">
        <f t="shared" si="878"/>
        <v>2024</v>
      </c>
      <c r="N2647" s="6">
        <v>468</v>
      </c>
      <c r="O2647" s="6"/>
      <c r="P2647" s="6">
        <f t="shared" si="879"/>
        <v>468</v>
      </c>
      <c r="Q2647" s="126">
        <f t="shared" si="873"/>
        <v>4290775.05</v>
      </c>
      <c r="R2647" s="44" t="str">
        <f>VLOOKUP(F2647,'Set up'!$A$2:$E$50,5,FALSE)</f>
        <v>Trsf</v>
      </c>
    </row>
    <row r="2648" spans="1:18" s="125" customFormat="1" x14ac:dyDescent="0.3">
      <c r="A2648" s="123">
        <v>45342</v>
      </c>
      <c r="B2648" s="124">
        <f t="shared" si="874"/>
        <v>2</v>
      </c>
      <c r="C2648" s="124">
        <f t="shared" si="875"/>
        <v>2024</v>
      </c>
      <c r="D2648" s="124" t="s">
        <v>2424</v>
      </c>
      <c r="E2648" s="5" t="str">
        <f>VLOOKUP(F2648,'Set up'!$A$2:$C$50,2,FALSE)</f>
        <v>C00000042</v>
      </c>
      <c r="F2648" s="125" t="s">
        <v>2014</v>
      </c>
      <c r="G2648" s="90" t="s">
        <v>1062</v>
      </c>
      <c r="H2648" s="124">
        <v>4</v>
      </c>
      <c r="I2648" s="5" t="str">
        <f>VLOOKUP(F2648,'Set up'!$A$2:$C$50,3,FALSE)</f>
        <v>Cash</v>
      </c>
      <c r="J2648" s="5">
        <f>VLOOKUP(F2648,'Set up'!$A$2:$D$50,4,FALSE)</f>
        <v>0</v>
      </c>
      <c r="K2648" s="4">
        <f t="shared" si="876"/>
        <v>45342</v>
      </c>
      <c r="L2648" s="5">
        <f t="shared" si="877"/>
        <v>2</v>
      </c>
      <c r="M2648" s="5">
        <f t="shared" si="878"/>
        <v>2024</v>
      </c>
      <c r="N2648" s="6">
        <v>380</v>
      </c>
      <c r="O2648" s="6"/>
      <c r="P2648" s="6">
        <f t="shared" si="879"/>
        <v>380</v>
      </c>
      <c r="Q2648" s="126">
        <f t="shared" si="873"/>
        <v>4291155.05</v>
      </c>
      <c r="R2648" s="44" t="str">
        <f>VLOOKUP(F2648,'Set up'!$A$2:$E$50,5,FALSE)</f>
        <v>Trsf</v>
      </c>
    </row>
    <row r="2649" spans="1:18" s="125" customFormat="1" x14ac:dyDescent="0.3">
      <c r="A2649" s="123">
        <v>45342</v>
      </c>
      <c r="B2649" s="124">
        <f t="shared" si="874"/>
        <v>2</v>
      </c>
      <c r="C2649" s="124">
        <f t="shared" si="875"/>
        <v>2024</v>
      </c>
      <c r="D2649" s="124" t="s">
        <v>2424</v>
      </c>
      <c r="E2649" s="5" t="str">
        <f>VLOOKUP(F2649,'Set up'!$A$2:$C$50,2,FALSE)</f>
        <v>C00000042</v>
      </c>
      <c r="F2649" s="125" t="s">
        <v>2014</v>
      </c>
      <c r="G2649" s="90" t="s">
        <v>2004</v>
      </c>
      <c r="H2649" s="124">
        <v>1</v>
      </c>
      <c r="I2649" s="5" t="str">
        <f>VLOOKUP(F2649,'Set up'!$A$2:$C$50,3,FALSE)</f>
        <v>Cash</v>
      </c>
      <c r="J2649" s="5">
        <f>VLOOKUP(F2649,'Set up'!$A$2:$D$50,4,FALSE)</f>
        <v>0</v>
      </c>
      <c r="K2649" s="4">
        <f t="shared" si="876"/>
        <v>45342</v>
      </c>
      <c r="L2649" s="5">
        <f t="shared" si="877"/>
        <v>2</v>
      </c>
      <c r="M2649" s="5">
        <f t="shared" si="878"/>
        <v>2024</v>
      </c>
      <c r="N2649" s="6">
        <v>900</v>
      </c>
      <c r="O2649" s="6"/>
      <c r="P2649" s="6">
        <f t="shared" si="879"/>
        <v>900</v>
      </c>
      <c r="Q2649" s="126">
        <f t="shared" si="873"/>
        <v>4292055.05</v>
      </c>
      <c r="R2649" s="44" t="str">
        <f>VLOOKUP(F2649,'Set up'!$A$2:$E$50,5,FALSE)</f>
        <v>Trsf</v>
      </c>
    </row>
    <row r="2650" spans="1:18" s="125" customFormat="1" x14ac:dyDescent="0.3">
      <c r="A2650" s="123">
        <v>45342</v>
      </c>
      <c r="B2650" s="124">
        <f t="shared" si="874"/>
        <v>2</v>
      </c>
      <c r="C2650" s="124">
        <f t="shared" si="875"/>
        <v>2024</v>
      </c>
      <c r="D2650" s="124" t="s">
        <v>2424</v>
      </c>
      <c r="E2650" s="5" t="str">
        <f>VLOOKUP(F2650,'Set up'!$A$2:$C$50,2,FALSE)</f>
        <v>C00000042</v>
      </c>
      <c r="F2650" s="125" t="s">
        <v>2014</v>
      </c>
      <c r="G2650" s="99" t="s">
        <v>46</v>
      </c>
      <c r="H2650" s="124">
        <v>1</v>
      </c>
      <c r="I2650" s="5" t="str">
        <f>VLOOKUP(F2650,'Set up'!$A$2:$C$50,3,FALSE)</f>
        <v>Cash</v>
      </c>
      <c r="J2650" s="5">
        <f>VLOOKUP(F2650,'Set up'!$A$2:$D$50,4,FALSE)</f>
        <v>0</v>
      </c>
      <c r="K2650" s="4">
        <f t="shared" si="876"/>
        <v>45342</v>
      </c>
      <c r="L2650" s="5">
        <f t="shared" si="877"/>
        <v>2</v>
      </c>
      <c r="M2650" s="5">
        <f t="shared" si="878"/>
        <v>2024</v>
      </c>
      <c r="N2650" s="6">
        <v>110</v>
      </c>
      <c r="O2650" s="6"/>
      <c r="P2650" s="6">
        <f t="shared" si="879"/>
        <v>110</v>
      </c>
      <c r="Q2650" s="126">
        <f t="shared" si="873"/>
        <v>4292165.05</v>
      </c>
      <c r="R2650" s="44" t="str">
        <f>VLOOKUP(F2650,'Set up'!$A$2:$E$50,5,FALSE)</f>
        <v>Trsf</v>
      </c>
    </row>
    <row r="2651" spans="1:18" s="125" customFormat="1" x14ac:dyDescent="0.3">
      <c r="A2651" s="123">
        <v>45342</v>
      </c>
      <c r="B2651" s="124">
        <f t="shared" si="874"/>
        <v>2</v>
      </c>
      <c r="C2651" s="124">
        <f t="shared" si="875"/>
        <v>2024</v>
      </c>
      <c r="D2651" s="124" t="s">
        <v>2425</v>
      </c>
      <c r="E2651" s="5" t="str">
        <f>VLOOKUP(F2651,'Set up'!$A$2:$C$50,2,FALSE)</f>
        <v>C00000026</v>
      </c>
      <c r="F2651" s="125" t="s">
        <v>785</v>
      </c>
      <c r="G2651" s="95" t="s">
        <v>1400</v>
      </c>
      <c r="H2651" s="124">
        <v>2</v>
      </c>
      <c r="I2651" s="5" t="str">
        <f>VLOOKUP(F2651,'Set up'!$A$2:$C$50,3,FALSE)</f>
        <v>Cash</v>
      </c>
      <c r="J2651" s="5">
        <f>VLOOKUP(F2651,'Set up'!$A$2:$D$50,4,FALSE)</f>
        <v>0</v>
      </c>
      <c r="K2651" s="4">
        <f t="shared" si="876"/>
        <v>45342</v>
      </c>
      <c r="L2651" s="5">
        <f t="shared" si="877"/>
        <v>2</v>
      </c>
      <c r="M2651" s="5">
        <f t="shared" si="878"/>
        <v>2024</v>
      </c>
      <c r="N2651" s="6">
        <v>350</v>
      </c>
      <c r="O2651" s="6"/>
      <c r="P2651" s="6">
        <f t="shared" si="879"/>
        <v>350</v>
      </c>
      <c r="Q2651" s="126">
        <f t="shared" si="873"/>
        <v>4292515.05</v>
      </c>
      <c r="R2651" s="44" t="str">
        <f>VLOOKUP(F2651,'Set up'!$A$2:$E$50,5,FALSE)</f>
        <v>Trsf</v>
      </c>
    </row>
    <row r="2652" spans="1:18" s="125" customFormat="1" x14ac:dyDescent="0.3">
      <c r="A2652" s="123">
        <v>45342</v>
      </c>
      <c r="B2652" s="124">
        <f t="shared" si="874"/>
        <v>2</v>
      </c>
      <c r="C2652" s="124">
        <f t="shared" si="875"/>
        <v>2024</v>
      </c>
      <c r="D2652" s="124" t="s">
        <v>2425</v>
      </c>
      <c r="E2652" s="5" t="str">
        <f>VLOOKUP(F2652,'Set up'!$A$2:$C$50,2,FALSE)</f>
        <v>C00000026</v>
      </c>
      <c r="F2652" s="125" t="s">
        <v>785</v>
      </c>
      <c r="G2652" s="90" t="s">
        <v>1130</v>
      </c>
      <c r="H2652" s="124">
        <v>1</v>
      </c>
      <c r="I2652" s="5" t="str">
        <f>VLOOKUP(F2652,'Set up'!$A$2:$C$50,3,FALSE)</f>
        <v>Cash</v>
      </c>
      <c r="J2652" s="5">
        <f>VLOOKUP(F2652,'Set up'!$A$2:$D$50,4,FALSE)</f>
        <v>0</v>
      </c>
      <c r="K2652" s="4">
        <f t="shared" si="876"/>
        <v>45342</v>
      </c>
      <c r="L2652" s="5">
        <f t="shared" si="877"/>
        <v>2</v>
      </c>
      <c r="M2652" s="5">
        <f t="shared" si="878"/>
        <v>2024</v>
      </c>
      <c r="N2652" s="6">
        <v>50</v>
      </c>
      <c r="O2652" s="6"/>
      <c r="P2652" s="6">
        <f t="shared" si="879"/>
        <v>50</v>
      </c>
      <c r="Q2652" s="126">
        <f t="shared" si="873"/>
        <v>4292565.05</v>
      </c>
      <c r="R2652" s="44" t="str">
        <f>VLOOKUP(F2652,'Set up'!$A$2:$E$50,5,FALSE)</f>
        <v>Trsf</v>
      </c>
    </row>
    <row r="2653" spans="1:18" s="125" customFormat="1" x14ac:dyDescent="0.3">
      <c r="A2653" s="123">
        <v>45342</v>
      </c>
      <c r="B2653" s="124">
        <f t="shared" si="874"/>
        <v>2</v>
      </c>
      <c r="C2653" s="124">
        <f t="shared" si="875"/>
        <v>2024</v>
      </c>
      <c r="D2653" s="124" t="s">
        <v>2426</v>
      </c>
      <c r="E2653" s="5" t="e">
        <f>VLOOKUP(F2653,'Set up'!$A$2:$C$50,2,FALSE)</f>
        <v>#N/A</v>
      </c>
      <c r="F2653" s="1" t="s">
        <v>2427</v>
      </c>
      <c r="G2653" s="103" t="s">
        <v>2211</v>
      </c>
      <c r="H2653" s="124">
        <v>1</v>
      </c>
      <c r="I2653" s="5" t="e">
        <f>VLOOKUP(F2653,'Set up'!$A$2:$C$50,3,FALSE)</f>
        <v>#N/A</v>
      </c>
      <c r="J2653" s="5" t="e">
        <f>VLOOKUP(F2653,'Set up'!$A$2:$D$50,4,FALSE)</f>
        <v>#N/A</v>
      </c>
      <c r="K2653" s="4" t="e">
        <f t="shared" si="876"/>
        <v>#N/A</v>
      </c>
      <c r="L2653" s="5" t="e">
        <f t="shared" si="877"/>
        <v>#N/A</v>
      </c>
      <c r="M2653" s="5" t="e">
        <f t="shared" si="878"/>
        <v>#N/A</v>
      </c>
      <c r="N2653" s="96">
        <v>575</v>
      </c>
      <c r="O2653" s="6"/>
      <c r="P2653" s="6">
        <f t="shared" si="879"/>
        <v>575</v>
      </c>
      <c r="Q2653" s="126">
        <f t="shared" si="873"/>
        <v>4293140.05</v>
      </c>
      <c r="R2653" s="44" t="e">
        <f>VLOOKUP(F2653,'Set up'!$A$2:$E$50,5,FALSE)</f>
        <v>#N/A</v>
      </c>
    </row>
    <row r="2654" spans="1:18" s="125" customFormat="1" x14ac:dyDescent="0.3">
      <c r="A2654" s="123">
        <v>45342</v>
      </c>
      <c r="B2654" s="124">
        <f t="shared" si="874"/>
        <v>2</v>
      </c>
      <c r="C2654" s="124">
        <f t="shared" si="875"/>
        <v>2024</v>
      </c>
      <c r="D2654" s="124" t="s">
        <v>2426</v>
      </c>
      <c r="E2654" s="5" t="e">
        <f>VLOOKUP(F2654,'Set up'!$A$2:$C$50,2,FALSE)</f>
        <v>#N/A</v>
      </c>
      <c r="F2654" s="1" t="s">
        <v>2427</v>
      </c>
      <c r="G2654" s="103" t="s">
        <v>2428</v>
      </c>
      <c r="H2654" s="124">
        <v>1</v>
      </c>
      <c r="I2654" s="5" t="e">
        <f>VLOOKUP(F2654,'Set up'!$A$2:$C$50,3,FALSE)</f>
        <v>#N/A</v>
      </c>
      <c r="J2654" s="5" t="e">
        <f>VLOOKUP(F2654,'Set up'!$A$2:$D$50,4,FALSE)</f>
        <v>#N/A</v>
      </c>
      <c r="K2654" s="4" t="e">
        <f t="shared" si="876"/>
        <v>#N/A</v>
      </c>
      <c r="L2654" s="5" t="e">
        <f t="shared" si="877"/>
        <v>#N/A</v>
      </c>
      <c r="M2654" s="5" t="e">
        <f t="shared" si="878"/>
        <v>#N/A</v>
      </c>
      <c r="N2654" s="96">
        <v>48</v>
      </c>
      <c r="O2654" s="6"/>
      <c r="P2654" s="6">
        <f t="shared" si="879"/>
        <v>48</v>
      </c>
      <c r="Q2654" s="126">
        <f t="shared" si="873"/>
        <v>4293188.05</v>
      </c>
      <c r="R2654" s="44" t="e">
        <f>VLOOKUP(F2654,'Set up'!$A$2:$E$50,5,FALSE)</f>
        <v>#N/A</v>
      </c>
    </row>
    <row r="2655" spans="1:18" s="125" customFormat="1" x14ac:dyDescent="0.3">
      <c r="A2655" s="123">
        <v>45343</v>
      </c>
      <c r="B2655" s="124">
        <f t="shared" si="874"/>
        <v>2</v>
      </c>
      <c r="C2655" s="124">
        <f t="shared" si="875"/>
        <v>2024</v>
      </c>
      <c r="D2655" s="124" t="s">
        <v>2429</v>
      </c>
      <c r="E2655" s="5" t="str">
        <f>VLOOKUP(F2655,'Set up'!$A$2:$C$50,2,FALSE)</f>
        <v>C00000044</v>
      </c>
      <c r="F2655" s="125" t="s">
        <v>2213</v>
      </c>
      <c r="G2655" s="120" t="s">
        <v>2371</v>
      </c>
      <c r="H2655" s="124">
        <v>1</v>
      </c>
      <c r="I2655" s="5" t="str">
        <f>VLOOKUP(F2655,'Set up'!$A$2:$C$50,3,FALSE)</f>
        <v>Cash</v>
      </c>
      <c r="J2655" s="5">
        <f>VLOOKUP(F2655,'Set up'!$A$2:$D$50,4,FALSE)</f>
        <v>0</v>
      </c>
      <c r="K2655" s="4">
        <f t="shared" si="876"/>
        <v>45343</v>
      </c>
      <c r="L2655" s="5">
        <f t="shared" si="877"/>
        <v>2</v>
      </c>
      <c r="M2655" s="5">
        <f t="shared" si="878"/>
        <v>2024</v>
      </c>
      <c r="N2655" s="6">
        <v>1606</v>
      </c>
      <c r="O2655" s="6"/>
      <c r="P2655" s="6">
        <f t="shared" si="879"/>
        <v>1606</v>
      </c>
      <c r="Q2655" s="126">
        <f t="shared" si="873"/>
        <v>4294794.05</v>
      </c>
      <c r="R2655" s="44" t="str">
        <f>VLOOKUP(F2655,'Set up'!$A$2:$E$50,5,FALSE)</f>
        <v>Trsf</v>
      </c>
    </row>
    <row r="2656" spans="1:18" s="125" customFormat="1" x14ac:dyDescent="0.3">
      <c r="A2656" s="123">
        <v>45343</v>
      </c>
      <c r="B2656" s="124">
        <f t="shared" si="874"/>
        <v>2</v>
      </c>
      <c r="C2656" s="124">
        <f t="shared" si="875"/>
        <v>2024</v>
      </c>
      <c r="D2656" s="124" t="s">
        <v>2429</v>
      </c>
      <c r="E2656" s="5" t="str">
        <f>VLOOKUP(F2656,'Set up'!$A$2:$C$50,2,FALSE)</f>
        <v>C00000044</v>
      </c>
      <c r="F2656" s="125" t="s">
        <v>2213</v>
      </c>
      <c r="G2656" s="121" t="s">
        <v>2372</v>
      </c>
      <c r="H2656" s="124">
        <v>3</v>
      </c>
      <c r="I2656" s="5" t="str">
        <f>VLOOKUP(F2656,'Set up'!$A$2:$C$50,3,FALSE)</f>
        <v>Cash</v>
      </c>
      <c r="J2656" s="5">
        <f>VLOOKUP(F2656,'Set up'!$A$2:$D$50,4,FALSE)</f>
        <v>0</v>
      </c>
      <c r="K2656" s="4">
        <f t="shared" si="876"/>
        <v>45343</v>
      </c>
      <c r="L2656" s="5">
        <f t="shared" si="877"/>
        <v>2</v>
      </c>
      <c r="M2656" s="5">
        <f t="shared" si="878"/>
        <v>2024</v>
      </c>
      <c r="N2656" s="6">
        <v>630</v>
      </c>
      <c r="O2656" s="6"/>
      <c r="P2656" s="6">
        <f t="shared" si="879"/>
        <v>630</v>
      </c>
      <c r="Q2656" s="126">
        <f t="shared" ref="Q2656:Q2675" si="880">SUM(Q2655+N2656)</f>
        <v>4295424.05</v>
      </c>
      <c r="R2656" s="44" t="str">
        <f>VLOOKUP(F2656,'Set up'!$A$2:$E$50,5,FALSE)</f>
        <v>Trsf</v>
      </c>
    </row>
    <row r="2657" spans="1:18" s="125" customFormat="1" x14ac:dyDescent="0.3">
      <c r="A2657" s="123">
        <v>45344</v>
      </c>
      <c r="B2657" s="124">
        <f t="shared" si="874"/>
        <v>2</v>
      </c>
      <c r="C2657" s="124">
        <f t="shared" si="875"/>
        <v>2024</v>
      </c>
      <c r="D2657" s="124" t="s">
        <v>2430</v>
      </c>
      <c r="E2657" s="5" t="str">
        <f>VLOOKUP(F2657,'Set up'!$A$2:$C$50,2,FALSE)</f>
        <v>C00000009</v>
      </c>
      <c r="F2657" s="125" t="s">
        <v>58</v>
      </c>
      <c r="G2657" s="11" t="s">
        <v>95</v>
      </c>
      <c r="H2657" s="124">
        <v>2</v>
      </c>
      <c r="I2657" s="5">
        <f>VLOOKUP(F2657,'Set up'!$A$2:$C$50,3,FALSE)</f>
        <v>60</v>
      </c>
      <c r="J2657" s="5">
        <f>VLOOKUP(F2657,'Set up'!$A$2:$D$50,4,FALSE)</f>
        <v>60</v>
      </c>
      <c r="K2657" s="4">
        <f t="shared" si="876"/>
        <v>45404</v>
      </c>
      <c r="L2657" s="5">
        <f t="shared" si="877"/>
        <v>4</v>
      </c>
      <c r="M2657" s="5">
        <f t="shared" si="878"/>
        <v>2024</v>
      </c>
      <c r="N2657" s="6">
        <v>3212</v>
      </c>
      <c r="O2657" s="6"/>
      <c r="P2657" s="6">
        <f t="shared" si="879"/>
        <v>3212</v>
      </c>
      <c r="Q2657" s="126">
        <f t="shared" si="880"/>
        <v>4298636.05</v>
      </c>
      <c r="R2657" s="44" t="str">
        <f>VLOOKUP(F2657,'Set up'!$A$2:$E$50,5,FALSE)</f>
        <v>Chq</v>
      </c>
    </row>
    <row r="2658" spans="1:18" s="125" customFormat="1" x14ac:dyDescent="0.3">
      <c r="A2658" s="123">
        <v>45344</v>
      </c>
      <c r="B2658" s="124">
        <f t="shared" si="874"/>
        <v>2</v>
      </c>
      <c r="C2658" s="124">
        <f t="shared" si="875"/>
        <v>2024</v>
      </c>
      <c r="D2658" s="124" t="s">
        <v>2430</v>
      </c>
      <c r="E2658" s="5" t="str">
        <f>VLOOKUP(F2658,'Set up'!$A$2:$C$50,2,FALSE)</f>
        <v>C00000009</v>
      </c>
      <c r="F2658" s="125" t="s">
        <v>58</v>
      </c>
      <c r="G2658" s="11" t="s">
        <v>617</v>
      </c>
      <c r="H2658" s="124">
        <v>1</v>
      </c>
      <c r="I2658" s="5">
        <f>VLOOKUP(F2658,'Set up'!$A$2:$C$50,3,FALSE)</f>
        <v>60</v>
      </c>
      <c r="J2658" s="5">
        <f>VLOOKUP(F2658,'Set up'!$A$2:$D$50,4,FALSE)</f>
        <v>60</v>
      </c>
      <c r="K2658" s="4">
        <f t="shared" si="876"/>
        <v>45404</v>
      </c>
      <c r="L2658" s="5">
        <f t="shared" si="877"/>
        <v>4</v>
      </c>
      <c r="M2658" s="5">
        <f t="shared" si="878"/>
        <v>2024</v>
      </c>
      <c r="N2658" s="6">
        <v>1606</v>
      </c>
      <c r="O2658" s="6"/>
      <c r="P2658" s="6">
        <f t="shared" si="879"/>
        <v>1606</v>
      </c>
      <c r="Q2658" s="126">
        <f t="shared" si="880"/>
        <v>4300242.05</v>
      </c>
      <c r="R2658" s="44" t="str">
        <f>VLOOKUP(F2658,'Set up'!$A$2:$E$50,5,FALSE)</f>
        <v>Chq</v>
      </c>
    </row>
    <row r="2659" spans="1:18" s="125" customFormat="1" x14ac:dyDescent="0.3">
      <c r="A2659" s="123">
        <v>45344</v>
      </c>
      <c r="B2659" s="124">
        <f t="shared" si="874"/>
        <v>2</v>
      </c>
      <c r="C2659" s="124">
        <f t="shared" si="875"/>
        <v>2024</v>
      </c>
      <c r="D2659" s="124" t="s">
        <v>2430</v>
      </c>
      <c r="E2659" s="5" t="str">
        <f>VLOOKUP(F2659,'Set up'!$A$2:$C$50,2,FALSE)</f>
        <v>C00000009</v>
      </c>
      <c r="F2659" s="125" t="s">
        <v>58</v>
      </c>
      <c r="G2659" s="89" t="s">
        <v>1412</v>
      </c>
      <c r="H2659" s="124">
        <v>2</v>
      </c>
      <c r="I2659" s="5">
        <f>VLOOKUP(F2659,'Set up'!$A$2:$C$50,3,FALSE)</f>
        <v>60</v>
      </c>
      <c r="J2659" s="5">
        <f>VLOOKUP(F2659,'Set up'!$A$2:$D$50,4,FALSE)</f>
        <v>60</v>
      </c>
      <c r="K2659" s="4">
        <f t="shared" si="876"/>
        <v>45404</v>
      </c>
      <c r="L2659" s="5">
        <f t="shared" si="877"/>
        <v>4</v>
      </c>
      <c r="M2659" s="5">
        <f t="shared" si="878"/>
        <v>2024</v>
      </c>
      <c r="N2659" s="6">
        <v>626.4</v>
      </c>
      <c r="O2659" s="6"/>
      <c r="P2659" s="6">
        <f t="shared" si="879"/>
        <v>626.4</v>
      </c>
      <c r="Q2659" s="126">
        <f t="shared" si="880"/>
        <v>4300868.45</v>
      </c>
      <c r="R2659" s="44" t="str">
        <f>VLOOKUP(F2659,'Set up'!$A$2:$E$50,5,FALSE)</f>
        <v>Chq</v>
      </c>
    </row>
    <row r="2660" spans="1:18" s="125" customFormat="1" x14ac:dyDescent="0.3">
      <c r="A2660" s="123">
        <v>45344</v>
      </c>
      <c r="B2660" s="124">
        <f t="shared" si="874"/>
        <v>2</v>
      </c>
      <c r="C2660" s="124">
        <f t="shared" si="875"/>
        <v>2024</v>
      </c>
      <c r="D2660" s="124" t="s">
        <v>2430</v>
      </c>
      <c r="E2660" s="5" t="str">
        <f>VLOOKUP(F2660,'Set up'!$A$2:$C$50,2,FALSE)</f>
        <v>C00000009</v>
      </c>
      <c r="F2660" s="125" t="s">
        <v>58</v>
      </c>
      <c r="G2660" s="90" t="s">
        <v>46</v>
      </c>
      <c r="H2660" s="124">
        <v>4</v>
      </c>
      <c r="I2660" s="5">
        <f>VLOOKUP(F2660,'Set up'!$A$2:$C$50,3,FALSE)</f>
        <v>60</v>
      </c>
      <c r="J2660" s="5">
        <f>VLOOKUP(F2660,'Set up'!$A$2:$D$50,4,FALSE)</f>
        <v>60</v>
      </c>
      <c r="K2660" s="4">
        <f t="shared" si="876"/>
        <v>45404</v>
      </c>
      <c r="L2660" s="5">
        <f t="shared" si="877"/>
        <v>4</v>
      </c>
      <c r="M2660" s="5">
        <f t="shared" si="878"/>
        <v>2024</v>
      </c>
      <c r="N2660" s="6">
        <v>440</v>
      </c>
      <c r="O2660" s="6"/>
      <c r="P2660" s="6">
        <f t="shared" si="879"/>
        <v>440</v>
      </c>
      <c r="Q2660" s="126">
        <f t="shared" si="880"/>
        <v>4301308.45</v>
      </c>
      <c r="R2660" s="44" t="str">
        <f>VLOOKUP(F2660,'Set up'!$A$2:$E$50,5,FALSE)</f>
        <v>Chq</v>
      </c>
    </row>
    <row r="2661" spans="1:18" s="125" customFormat="1" x14ac:dyDescent="0.3">
      <c r="A2661" s="123">
        <v>45345</v>
      </c>
      <c r="B2661" s="124">
        <f t="shared" si="874"/>
        <v>2</v>
      </c>
      <c r="C2661" s="124">
        <f t="shared" si="875"/>
        <v>2024</v>
      </c>
      <c r="D2661" s="124" t="s">
        <v>2431</v>
      </c>
      <c r="E2661" s="5" t="str">
        <f>VLOOKUP(F2661,'Set up'!$A$2:$C$50,2,FALSE)</f>
        <v>C00000019</v>
      </c>
      <c r="F2661" s="125" t="s">
        <v>401</v>
      </c>
      <c r="G2661" s="90" t="s">
        <v>95</v>
      </c>
      <c r="H2661" s="124">
        <v>1</v>
      </c>
      <c r="I2661" s="5" t="str">
        <f>VLOOKUP(F2661,'Set up'!$A$2:$C$50,3,FALSE)</f>
        <v>Cash</v>
      </c>
      <c r="J2661" s="5">
        <f>VLOOKUP(F2661,'Set up'!$A$2:$D$50,4,FALSE)</f>
        <v>0</v>
      </c>
      <c r="K2661" s="4">
        <f t="shared" si="876"/>
        <v>45345</v>
      </c>
      <c r="L2661" s="5">
        <f t="shared" si="877"/>
        <v>2</v>
      </c>
      <c r="M2661" s="5">
        <f t="shared" si="878"/>
        <v>2024</v>
      </c>
      <c r="N2661" s="98">
        <v>1738</v>
      </c>
      <c r="O2661" s="6"/>
      <c r="P2661" s="6">
        <f t="shared" si="879"/>
        <v>1738</v>
      </c>
      <c r="Q2661" s="126">
        <f t="shared" si="880"/>
        <v>4303046.45</v>
      </c>
      <c r="R2661" s="44" t="str">
        <f>VLOOKUP(F2661,'Set up'!$A$2:$E$50,5,FALSE)</f>
        <v>Trsf</v>
      </c>
    </row>
    <row r="2662" spans="1:18" s="125" customFormat="1" ht="19.2" customHeight="1" x14ac:dyDescent="0.3">
      <c r="A2662" s="123">
        <v>45345</v>
      </c>
      <c r="B2662" s="124">
        <f t="shared" si="874"/>
        <v>2</v>
      </c>
      <c r="C2662" s="124">
        <f t="shared" si="875"/>
        <v>2024</v>
      </c>
      <c r="D2662" s="124" t="s">
        <v>2431</v>
      </c>
      <c r="E2662" s="5" t="str">
        <f>VLOOKUP(F2662,'Set up'!$A$2:$C$50,2,FALSE)</f>
        <v>C00000019</v>
      </c>
      <c r="F2662" s="125" t="s">
        <v>401</v>
      </c>
      <c r="G2662" s="90" t="s">
        <v>2215</v>
      </c>
      <c r="H2662" s="124">
        <v>1</v>
      </c>
      <c r="I2662" s="5" t="str">
        <f>VLOOKUP(F2662,'Set up'!$A$2:$C$50,3,FALSE)</f>
        <v>Cash</v>
      </c>
      <c r="J2662" s="5">
        <f>VLOOKUP(F2662,'Set up'!$A$2:$D$50,4,FALSE)</f>
        <v>0</v>
      </c>
      <c r="K2662" s="4">
        <f t="shared" si="876"/>
        <v>45345</v>
      </c>
      <c r="L2662" s="5">
        <f t="shared" si="877"/>
        <v>2</v>
      </c>
      <c r="M2662" s="5">
        <f t="shared" si="878"/>
        <v>2024</v>
      </c>
      <c r="N2662" s="98">
        <v>405</v>
      </c>
      <c r="O2662" s="6"/>
      <c r="P2662" s="6">
        <f t="shared" si="879"/>
        <v>405</v>
      </c>
      <c r="Q2662" s="126">
        <f t="shared" si="880"/>
        <v>4303451.45</v>
      </c>
      <c r="R2662" s="44" t="str">
        <f>VLOOKUP(F2662,'Set up'!$A$2:$E$50,5,FALSE)</f>
        <v>Trsf</v>
      </c>
    </row>
    <row r="2663" spans="1:18" s="125" customFormat="1" x14ac:dyDescent="0.3">
      <c r="A2663" s="123">
        <v>45345</v>
      </c>
      <c r="B2663" s="124">
        <f t="shared" si="874"/>
        <v>2</v>
      </c>
      <c r="C2663" s="124">
        <f t="shared" si="875"/>
        <v>2024</v>
      </c>
      <c r="D2663" s="124" t="s">
        <v>2431</v>
      </c>
      <c r="E2663" s="5" t="str">
        <f>VLOOKUP(F2663,'Set up'!$A$2:$C$50,2,FALSE)</f>
        <v>C00000019</v>
      </c>
      <c r="F2663" s="125" t="s">
        <v>401</v>
      </c>
      <c r="G2663" s="90" t="s">
        <v>792</v>
      </c>
      <c r="H2663" s="124">
        <v>3</v>
      </c>
      <c r="I2663" s="5" t="str">
        <f>VLOOKUP(F2663,'Set up'!$A$2:$C$50,3,FALSE)</f>
        <v>Cash</v>
      </c>
      <c r="J2663" s="5">
        <f>VLOOKUP(F2663,'Set up'!$A$2:$D$50,4,FALSE)</f>
        <v>0</v>
      </c>
      <c r="K2663" s="4">
        <f t="shared" si="876"/>
        <v>45345</v>
      </c>
      <c r="L2663" s="5">
        <f t="shared" si="877"/>
        <v>2</v>
      </c>
      <c r="M2663" s="5">
        <f t="shared" si="878"/>
        <v>2024</v>
      </c>
      <c r="N2663" s="6">
        <v>187.5</v>
      </c>
      <c r="O2663" s="6"/>
      <c r="P2663" s="6">
        <f t="shared" si="879"/>
        <v>187.5</v>
      </c>
      <c r="Q2663" s="126">
        <f t="shared" si="880"/>
        <v>4303638.95</v>
      </c>
      <c r="R2663" s="44" t="str">
        <f>VLOOKUP(F2663,'Set up'!$A$2:$E$50,5,FALSE)</f>
        <v>Trsf</v>
      </c>
    </row>
    <row r="2664" spans="1:18" s="125" customFormat="1" x14ac:dyDescent="0.3">
      <c r="A2664" s="123">
        <v>45345</v>
      </c>
      <c r="B2664" s="124">
        <f t="shared" si="874"/>
        <v>2</v>
      </c>
      <c r="C2664" s="124">
        <f t="shared" si="875"/>
        <v>2024</v>
      </c>
      <c r="D2664" s="124" t="s">
        <v>2431</v>
      </c>
      <c r="E2664" s="5" t="str">
        <f>VLOOKUP(F2664,'Set up'!$A$2:$C$50,2,FALSE)</f>
        <v>C00000019</v>
      </c>
      <c r="F2664" s="125" t="s">
        <v>401</v>
      </c>
      <c r="G2664" s="90" t="s">
        <v>945</v>
      </c>
      <c r="H2664" s="124">
        <v>1</v>
      </c>
      <c r="I2664" s="5" t="str">
        <f>VLOOKUP(F2664,'Set up'!$A$2:$C$50,3,FALSE)</f>
        <v>Cash</v>
      </c>
      <c r="J2664" s="5">
        <f>VLOOKUP(F2664,'Set up'!$A$2:$D$50,4,FALSE)</f>
        <v>0</v>
      </c>
      <c r="K2664" s="4">
        <f t="shared" si="876"/>
        <v>45345</v>
      </c>
      <c r="L2664" s="5">
        <f t="shared" si="877"/>
        <v>2</v>
      </c>
      <c r="M2664" s="5">
        <f t="shared" si="878"/>
        <v>2024</v>
      </c>
      <c r="N2664" s="98">
        <v>420</v>
      </c>
      <c r="O2664" s="6"/>
      <c r="P2664" s="6">
        <f t="shared" si="879"/>
        <v>420</v>
      </c>
      <c r="Q2664" s="126">
        <f t="shared" si="880"/>
        <v>4304058.95</v>
      </c>
      <c r="R2664" s="44" t="str">
        <f>VLOOKUP(F2664,'Set up'!$A$2:$E$50,5,FALSE)</f>
        <v>Trsf</v>
      </c>
    </row>
    <row r="2665" spans="1:18" s="125" customFormat="1" x14ac:dyDescent="0.3">
      <c r="A2665" s="123">
        <v>45345</v>
      </c>
      <c r="B2665" s="124">
        <f t="shared" si="874"/>
        <v>2</v>
      </c>
      <c r="C2665" s="124">
        <f t="shared" si="875"/>
        <v>2024</v>
      </c>
      <c r="D2665" s="124" t="s">
        <v>2431</v>
      </c>
      <c r="E2665" s="5" t="str">
        <f>VLOOKUP(F2665,'Set up'!$A$2:$C$50,2,FALSE)</f>
        <v>C00000019</v>
      </c>
      <c r="F2665" s="125" t="s">
        <v>401</v>
      </c>
      <c r="G2665" s="90" t="s">
        <v>2432</v>
      </c>
      <c r="H2665" s="124">
        <v>1</v>
      </c>
      <c r="I2665" s="5" t="str">
        <f>VLOOKUP(F2665,'Set up'!$A$2:$C$50,3,FALSE)</f>
        <v>Cash</v>
      </c>
      <c r="J2665" s="5">
        <f>VLOOKUP(F2665,'Set up'!$A$2:$D$50,4,FALSE)</f>
        <v>0</v>
      </c>
      <c r="K2665" s="4">
        <f t="shared" si="876"/>
        <v>45345</v>
      </c>
      <c r="L2665" s="5">
        <f t="shared" si="877"/>
        <v>2</v>
      </c>
      <c r="M2665" s="5">
        <f t="shared" si="878"/>
        <v>2024</v>
      </c>
      <c r="N2665" s="98">
        <v>150</v>
      </c>
      <c r="O2665" s="6"/>
      <c r="P2665" s="6">
        <f t="shared" si="879"/>
        <v>150</v>
      </c>
      <c r="Q2665" s="126">
        <f t="shared" si="880"/>
        <v>4304208.95</v>
      </c>
      <c r="R2665" s="44" t="str">
        <f>VLOOKUP(F2665,'Set up'!$A$2:$E$50,5,FALSE)</f>
        <v>Trsf</v>
      </c>
    </row>
    <row r="2666" spans="1:18" s="125" customFormat="1" x14ac:dyDescent="0.3">
      <c r="A2666" s="123">
        <v>45345</v>
      </c>
      <c r="B2666" s="124">
        <f t="shared" si="874"/>
        <v>2</v>
      </c>
      <c r="C2666" s="124">
        <f t="shared" si="875"/>
        <v>2024</v>
      </c>
      <c r="D2666" s="124" t="s">
        <v>2431</v>
      </c>
      <c r="E2666" s="5" t="str">
        <f>VLOOKUP(F2666,'Set up'!$A$2:$C$50,2,FALSE)</f>
        <v>C00000019</v>
      </c>
      <c r="F2666" s="125" t="s">
        <v>401</v>
      </c>
      <c r="G2666" s="89" t="s">
        <v>1661</v>
      </c>
      <c r="H2666" s="124">
        <v>1</v>
      </c>
      <c r="I2666" s="5" t="str">
        <f>VLOOKUP(F2666,'Set up'!$A$2:$C$50,3,FALSE)</f>
        <v>Cash</v>
      </c>
      <c r="J2666" s="5">
        <f>VLOOKUP(F2666,'Set up'!$A$2:$D$50,4,FALSE)</f>
        <v>0</v>
      </c>
      <c r="K2666" s="4">
        <f t="shared" si="876"/>
        <v>45345</v>
      </c>
      <c r="L2666" s="5">
        <f t="shared" si="877"/>
        <v>2</v>
      </c>
      <c r="M2666" s="5">
        <f t="shared" si="878"/>
        <v>2024</v>
      </c>
      <c r="N2666" s="98">
        <v>160</v>
      </c>
      <c r="O2666" s="6"/>
      <c r="P2666" s="6">
        <f t="shared" si="879"/>
        <v>160</v>
      </c>
      <c r="Q2666" s="126">
        <f t="shared" si="880"/>
        <v>4304368.95</v>
      </c>
      <c r="R2666" s="44" t="str">
        <f>VLOOKUP(F2666,'Set up'!$A$2:$E$50,5,FALSE)</f>
        <v>Trsf</v>
      </c>
    </row>
    <row r="2667" spans="1:18" s="125" customFormat="1" x14ac:dyDescent="0.3">
      <c r="A2667" s="123">
        <v>45348</v>
      </c>
      <c r="B2667" s="124">
        <f t="shared" si="874"/>
        <v>2</v>
      </c>
      <c r="C2667" s="124">
        <f t="shared" si="875"/>
        <v>2024</v>
      </c>
      <c r="D2667" s="124" t="s">
        <v>2433</v>
      </c>
      <c r="E2667" s="5" t="str">
        <f>VLOOKUP(F2667,'Set up'!$A$2:$C$50,2,FALSE)</f>
        <v>C00000042</v>
      </c>
      <c r="F2667" s="125" t="s">
        <v>2014</v>
      </c>
      <c r="G2667" s="103" t="s">
        <v>1111</v>
      </c>
      <c r="H2667" s="124">
        <v>7</v>
      </c>
      <c r="I2667" s="5" t="str">
        <f>VLOOKUP(F2667,'Set up'!$A$2:$C$50,3,FALSE)</f>
        <v>Cash</v>
      </c>
      <c r="J2667" s="5">
        <f>VLOOKUP(F2667,'Set up'!$A$2:$D$50,4,FALSE)</f>
        <v>0</v>
      </c>
      <c r="K2667" s="4">
        <f t="shared" si="876"/>
        <v>45348</v>
      </c>
      <c r="L2667" s="5">
        <f t="shared" si="877"/>
        <v>2</v>
      </c>
      <c r="M2667" s="5">
        <f t="shared" si="878"/>
        <v>2024</v>
      </c>
      <c r="N2667" s="6">
        <v>437.5</v>
      </c>
      <c r="O2667" s="6"/>
      <c r="P2667" s="6">
        <f t="shared" si="879"/>
        <v>437.5</v>
      </c>
      <c r="Q2667" s="126">
        <f t="shared" si="880"/>
        <v>4304806.45</v>
      </c>
      <c r="R2667" s="44" t="str">
        <f>VLOOKUP(F2667,'Set up'!$A$2:$E$50,5,FALSE)</f>
        <v>Trsf</v>
      </c>
    </row>
    <row r="2668" spans="1:18" s="125" customFormat="1" x14ac:dyDescent="0.3">
      <c r="A2668" s="123">
        <v>45348</v>
      </c>
      <c r="B2668" s="124">
        <f t="shared" si="874"/>
        <v>2</v>
      </c>
      <c r="C2668" s="124">
        <f t="shared" si="875"/>
        <v>2024</v>
      </c>
      <c r="D2668" s="124" t="s">
        <v>2434</v>
      </c>
      <c r="E2668" s="5" t="str">
        <f>VLOOKUP(F2668,'Set up'!$A$2:$C$50,2,FALSE)</f>
        <v>C00000042</v>
      </c>
      <c r="F2668" s="125" t="s">
        <v>2014</v>
      </c>
      <c r="G2668" s="103" t="s">
        <v>1734</v>
      </c>
      <c r="H2668" s="127">
        <v>7</v>
      </c>
      <c r="I2668" s="5" t="str">
        <f>VLOOKUP(F2668,'Set up'!$A$2:$C$50,3,FALSE)</f>
        <v>Cash</v>
      </c>
      <c r="J2668" s="5">
        <f>VLOOKUP(F2668,'Set up'!$A$2:$D$50,4,FALSE)</f>
        <v>0</v>
      </c>
      <c r="K2668" s="4">
        <f t="shared" si="876"/>
        <v>45348</v>
      </c>
      <c r="L2668" s="5">
        <f t="shared" si="877"/>
        <v>2</v>
      </c>
      <c r="M2668" s="5">
        <f t="shared" si="878"/>
        <v>2024</v>
      </c>
      <c r="N2668" s="6">
        <v>11121</v>
      </c>
      <c r="O2668" s="6"/>
      <c r="P2668" s="6">
        <f t="shared" si="879"/>
        <v>11121</v>
      </c>
      <c r="Q2668" s="126">
        <f t="shared" si="880"/>
        <v>4315927.45</v>
      </c>
      <c r="R2668" s="44" t="str">
        <f>VLOOKUP(F2668,'Set up'!$A$2:$E$50,5,FALSE)</f>
        <v>Trsf</v>
      </c>
    </row>
    <row r="2669" spans="1:18" s="125" customFormat="1" x14ac:dyDescent="0.3">
      <c r="A2669" s="123">
        <v>45348</v>
      </c>
      <c r="B2669" s="124">
        <f t="shared" si="874"/>
        <v>2</v>
      </c>
      <c r="C2669" s="124">
        <f t="shared" si="875"/>
        <v>2024</v>
      </c>
      <c r="D2669" s="124" t="s">
        <v>2434</v>
      </c>
      <c r="E2669" s="5" t="str">
        <f>VLOOKUP(F2669,'Set up'!$A$2:$C$50,2,FALSE)</f>
        <v>C00000042</v>
      </c>
      <c r="F2669" s="125" t="s">
        <v>2014</v>
      </c>
      <c r="G2669" s="90" t="s">
        <v>2435</v>
      </c>
      <c r="H2669" s="127">
        <v>19</v>
      </c>
      <c r="I2669" s="5" t="str">
        <f>VLOOKUP(F2669,'Set up'!$A$2:$C$50,3,FALSE)</f>
        <v>Cash</v>
      </c>
      <c r="J2669" s="5">
        <f>VLOOKUP(F2669,'Set up'!$A$2:$D$50,4,FALSE)</f>
        <v>0</v>
      </c>
      <c r="K2669" s="4">
        <f t="shared" si="876"/>
        <v>45348</v>
      </c>
      <c r="L2669" s="5">
        <f t="shared" si="877"/>
        <v>2</v>
      </c>
      <c r="M2669" s="5">
        <f t="shared" si="878"/>
        <v>2024</v>
      </c>
      <c r="N2669" s="6">
        <v>4077.4</v>
      </c>
      <c r="O2669" s="6"/>
      <c r="P2669" s="6">
        <f t="shared" si="879"/>
        <v>4077.4</v>
      </c>
      <c r="Q2669" s="126">
        <f t="shared" si="880"/>
        <v>4320004.8500000006</v>
      </c>
      <c r="R2669" s="44" t="str">
        <f>VLOOKUP(F2669,'Set up'!$A$2:$E$50,5,FALSE)</f>
        <v>Trsf</v>
      </c>
    </row>
    <row r="2670" spans="1:18" s="125" customFormat="1" x14ac:dyDescent="0.3">
      <c r="A2670" s="123">
        <v>45348</v>
      </c>
      <c r="B2670" s="124">
        <f t="shared" si="874"/>
        <v>2</v>
      </c>
      <c r="C2670" s="124">
        <f t="shared" si="875"/>
        <v>2024</v>
      </c>
      <c r="D2670" s="124" t="s">
        <v>2434</v>
      </c>
      <c r="E2670" s="5" t="str">
        <f>VLOOKUP(F2670,'Set up'!$A$2:$C$50,2,FALSE)</f>
        <v>C00000042</v>
      </c>
      <c r="F2670" s="125" t="s">
        <v>2014</v>
      </c>
      <c r="G2670" s="90" t="s">
        <v>1923</v>
      </c>
      <c r="H2670" s="127">
        <v>10</v>
      </c>
      <c r="I2670" s="5" t="str">
        <f>VLOOKUP(F2670,'Set up'!$A$2:$C$50,3,FALSE)</f>
        <v>Cash</v>
      </c>
      <c r="J2670" s="5">
        <f>VLOOKUP(F2670,'Set up'!$A$2:$D$50,4,FALSE)</f>
        <v>0</v>
      </c>
      <c r="K2670" s="4">
        <f t="shared" si="876"/>
        <v>45348</v>
      </c>
      <c r="L2670" s="5">
        <f t="shared" si="877"/>
        <v>2</v>
      </c>
      <c r="M2670" s="5">
        <f t="shared" si="878"/>
        <v>2024</v>
      </c>
      <c r="N2670" s="6">
        <v>2340</v>
      </c>
      <c r="O2670" s="6"/>
      <c r="P2670" s="6">
        <f t="shared" si="879"/>
        <v>2340</v>
      </c>
      <c r="Q2670" s="126">
        <f t="shared" si="880"/>
        <v>4322344.8500000006</v>
      </c>
      <c r="R2670" s="44" t="str">
        <f>VLOOKUP(F2670,'Set up'!$A$2:$E$50,5,FALSE)</f>
        <v>Trsf</v>
      </c>
    </row>
    <row r="2671" spans="1:18" s="125" customFormat="1" x14ac:dyDescent="0.3">
      <c r="A2671" s="123">
        <v>45348</v>
      </c>
      <c r="B2671" s="124">
        <f t="shared" si="874"/>
        <v>2</v>
      </c>
      <c r="C2671" s="124">
        <f t="shared" si="875"/>
        <v>2024</v>
      </c>
      <c r="D2671" s="124" t="s">
        <v>2434</v>
      </c>
      <c r="E2671" s="5" t="str">
        <f>VLOOKUP(F2671,'Set up'!$A$2:$C$50,2,FALSE)</f>
        <v>C00000042</v>
      </c>
      <c r="F2671" s="125" t="s">
        <v>2014</v>
      </c>
      <c r="G2671" s="90" t="s">
        <v>1062</v>
      </c>
      <c r="H2671" s="127">
        <v>4</v>
      </c>
      <c r="I2671" s="5" t="str">
        <f>VLOOKUP(F2671,'Set up'!$A$2:$C$50,3,FALSE)</f>
        <v>Cash</v>
      </c>
      <c r="J2671" s="5">
        <f>VLOOKUP(F2671,'Set up'!$A$2:$D$50,4,FALSE)</f>
        <v>0</v>
      </c>
      <c r="K2671" s="4">
        <f t="shared" si="876"/>
        <v>45348</v>
      </c>
      <c r="L2671" s="5">
        <f t="shared" si="877"/>
        <v>2</v>
      </c>
      <c r="M2671" s="5">
        <f t="shared" si="878"/>
        <v>2024</v>
      </c>
      <c r="N2671" s="6">
        <v>380</v>
      </c>
      <c r="O2671" s="6"/>
      <c r="P2671" s="6">
        <f t="shared" si="879"/>
        <v>380</v>
      </c>
      <c r="Q2671" s="126">
        <f t="shared" si="880"/>
        <v>4322724.8500000006</v>
      </c>
      <c r="R2671" s="44" t="str">
        <f>VLOOKUP(F2671,'Set up'!$A$2:$E$50,5,FALSE)</f>
        <v>Trsf</v>
      </c>
    </row>
    <row r="2672" spans="1:18" s="125" customFormat="1" x14ac:dyDescent="0.3">
      <c r="A2672" s="123">
        <v>45348</v>
      </c>
      <c r="B2672" s="124">
        <f t="shared" si="874"/>
        <v>2</v>
      </c>
      <c r="C2672" s="124">
        <f t="shared" si="875"/>
        <v>2024</v>
      </c>
      <c r="D2672" s="124" t="s">
        <v>2434</v>
      </c>
      <c r="E2672" s="5" t="str">
        <f>VLOOKUP(F2672,'Set up'!$A$2:$C$50,2,FALSE)</f>
        <v>C00000042</v>
      </c>
      <c r="F2672" s="125" t="s">
        <v>2014</v>
      </c>
      <c r="G2672" s="90" t="s">
        <v>2004</v>
      </c>
      <c r="H2672" s="127">
        <v>1</v>
      </c>
      <c r="I2672" s="5" t="str">
        <f>VLOOKUP(F2672,'Set up'!$A$2:$C$50,3,FALSE)</f>
        <v>Cash</v>
      </c>
      <c r="J2672" s="5">
        <f>VLOOKUP(F2672,'Set up'!$A$2:$D$50,4,FALSE)</f>
        <v>0</v>
      </c>
      <c r="K2672" s="4">
        <f t="shared" si="876"/>
        <v>45348</v>
      </c>
      <c r="L2672" s="5">
        <f t="shared" si="877"/>
        <v>2</v>
      </c>
      <c r="M2672" s="5">
        <f t="shared" si="878"/>
        <v>2024</v>
      </c>
      <c r="N2672" s="6">
        <v>900</v>
      </c>
      <c r="O2672" s="6"/>
      <c r="P2672" s="6">
        <f t="shared" si="879"/>
        <v>900</v>
      </c>
      <c r="Q2672" s="126">
        <f t="shared" si="880"/>
        <v>4323624.8500000006</v>
      </c>
      <c r="R2672" s="44" t="str">
        <f>VLOOKUP(F2672,'Set up'!$A$2:$E$50,5,FALSE)</f>
        <v>Trsf</v>
      </c>
    </row>
    <row r="2673" spans="1:18" s="125" customFormat="1" x14ac:dyDescent="0.3">
      <c r="A2673" s="123">
        <v>45349</v>
      </c>
      <c r="B2673" s="124">
        <f t="shared" si="874"/>
        <v>2</v>
      </c>
      <c r="C2673" s="124">
        <f t="shared" si="875"/>
        <v>2024</v>
      </c>
      <c r="D2673" s="124" t="s">
        <v>2436</v>
      </c>
      <c r="E2673" s="5" t="str">
        <f>VLOOKUP(F2673,'Set up'!$A$2:$C$50,2,FALSE)</f>
        <v>C00000026</v>
      </c>
      <c r="F2673" s="125" t="s">
        <v>785</v>
      </c>
      <c r="G2673" s="90" t="s">
        <v>2218</v>
      </c>
      <c r="H2673" s="124">
        <v>2</v>
      </c>
      <c r="I2673" s="5" t="str">
        <f>VLOOKUP(F2673,'Set up'!$A$2:$C$50,3,FALSE)</f>
        <v>Cash</v>
      </c>
      <c r="J2673" s="5">
        <f>VLOOKUP(F2673,'Set up'!$A$2:$D$50,4,FALSE)</f>
        <v>0</v>
      </c>
      <c r="K2673" s="4">
        <f t="shared" si="876"/>
        <v>45349</v>
      </c>
      <c r="L2673" s="5">
        <f t="shared" si="877"/>
        <v>2</v>
      </c>
      <c r="M2673" s="5">
        <f t="shared" si="878"/>
        <v>2024</v>
      </c>
      <c r="N2673" s="6">
        <v>567.6</v>
      </c>
      <c r="O2673" s="6"/>
      <c r="P2673" s="6">
        <f t="shared" si="879"/>
        <v>567.6</v>
      </c>
      <c r="Q2673" s="126">
        <f t="shared" si="880"/>
        <v>4324192.45</v>
      </c>
      <c r="R2673" s="44" t="str">
        <f>VLOOKUP(F2673,'Set up'!$A$2:$E$50,5,FALSE)</f>
        <v>Trsf</v>
      </c>
    </row>
    <row r="2674" spans="1:18" s="125" customFormat="1" x14ac:dyDescent="0.3">
      <c r="A2674" s="123">
        <v>45350</v>
      </c>
      <c r="B2674" s="124">
        <f t="shared" si="874"/>
        <v>2</v>
      </c>
      <c r="C2674" s="124">
        <f t="shared" si="875"/>
        <v>2024</v>
      </c>
      <c r="D2674" s="124" t="s">
        <v>2437</v>
      </c>
      <c r="E2674" s="5" t="str">
        <f>VLOOKUP(F2674,'Set up'!$A$2:$C$50,2,FALSE)</f>
        <v>C00000042</v>
      </c>
      <c r="F2674" s="125" t="s">
        <v>2014</v>
      </c>
      <c r="G2674" s="128" t="s">
        <v>1074</v>
      </c>
      <c r="H2674" s="124">
        <v>1</v>
      </c>
      <c r="I2674" s="5" t="str">
        <f>VLOOKUP(F2674,'Set up'!$A$2:$C$50,3,FALSE)</f>
        <v>Cash</v>
      </c>
      <c r="J2674" s="5">
        <f>VLOOKUP(F2674,'Set up'!$A$2:$D$50,4,FALSE)</f>
        <v>0</v>
      </c>
      <c r="K2674" s="123">
        <f t="shared" si="876"/>
        <v>45350</v>
      </c>
      <c r="L2674" s="124">
        <f t="shared" si="877"/>
        <v>2</v>
      </c>
      <c r="M2674" s="124">
        <f t="shared" si="878"/>
        <v>2024</v>
      </c>
      <c r="N2674" s="12">
        <v>1000</v>
      </c>
      <c r="O2674" s="12"/>
      <c r="P2674" s="12">
        <f t="shared" si="879"/>
        <v>1000</v>
      </c>
      <c r="Q2674" s="126">
        <f t="shared" si="880"/>
        <v>4325192.45</v>
      </c>
      <c r="R2674" s="44" t="str">
        <f>VLOOKUP(F2674,'Set up'!$A$2:$E$50,5,FALSE)</f>
        <v>Trsf</v>
      </c>
    </row>
    <row r="2675" spans="1:18" s="125" customFormat="1" x14ac:dyDescent="0.3">
      <c r="A2675" s="123">
        <v>45352</v>
      </c>
      <c r="B2675" s="124">
        <f t="shared" ref="B2675:B2711" si="881">MONTH(A2675)</f>
        <v>3</v>
      </c>
      <c r="C2675" s="124">
        <f t="shared" ref="C2675:C2711" si="882">YEAR(A2675)</f>
        <v>2024</v>
      </c>
      <c r="D2675" s="124" t="s">
        <v>2438</v>
      </c>
      <c r="E2675" s="5" t="str">
        <f>VLOOKUP(F2675,'Set up'!$A$2:$C$50,2,FALSE)</f>
        <v>C00000021</v>
      </c>
      <c r="F2675" s="125" t="s">
        <v>492</v>
      </c>
      <c r="G2675" s="107" t="s">
        <v>717</v>
      </c>
      <c r="H2675" s="129">
        <v>1</v>
      </c>
      <c r="I2675" s="5" t="str">
        <f>VLOOKUP(F2675,'Set up'!$A$2:$C$50,3,FALSE)</f>
        <v>Cash</v>
      </c>
      <c r="J2675" s="5">
        <f>VLOOKUP(F2675,'Set up'!$A$2:$D$50,4,FALSE)</f>
        <v>0</v>
      </c>
      <c r="K2675" s="123">
        <f t="shared" si="876"/>
        <v>45352</v>
      </c>
      <c r="L2675" s="124">
        <f t="shared" ref="L2675" si="883">MONTH(K2675)</f>
        <v>3</v>
      </c>
      <c r="M2675" s="124">
        <f t="shared" ref="M2675" si="884">YEAR(K2675)</f>
        <v>2024</v>
      </c>
      <c r="N2675" s="12">
        <v>1738</v>
      </c>
      <c r="O2675" s="12"/>
      <c r="P2675" s="12">
        <f t="shared" si="879"/>
        <v>1738</v>
      </c>
      <c r="Q2675" s="126">
        <f t="shared" si="880"/>
        <v>4326930.45</v>
      </c>
      <c r="R2675" s="44" t="str">
        <f>VLOOKUP(F2675,'Set up'!$A$2:$E$50,5,FALSE)</f>
        <v>PD Chq</v>
      </c>
    </row>
    <row r="2676" spans="1:18" s="125" customFormat="1" x14ac:dyDescent="0.3">
      <c r="A2676" s="123">
        <v>45352</v>
      </c>
      <c r="B2676" s="124">
        <f t="shared" ref="B2676:B2678" si="885">MONTH(A2676)</f>
        <v>3</v>
      </c>
      <c r="C2676" s="124">
        <f t="shared" ref="C2676:C2678" si="886">YEAR(A2676)</f>
        <v>2024</v>
      </c>
      <c r="D2676" s="124" t="s">
        <v>2438</v>
      </c>
      <c r="E2676" s="5" t="str">
        <f>VLOOKUP(F2676,'Set up'!$A$2:$C$50,2,FALSE)</f>
        <v>C00000021</v>
      </c>
      <c r="F2676" s="125" t="s">
        <v>492</v>
      </c>
      <c r="G2676" s="99" t="s">
        <v>2435</v>
      </c>
      <c r="H2676" s="129">
        <v>2</v>
      </c>
      <c r="I2676" s="5" t="str">
        <f>VLOOKUP(F2676,'Set up'!$A$2:$C$50,3,FALSE)</f>
        <v>Cash</v>
      </c>
      <c r="J2676" s="5">
        <f>VLOOKUP(F2676,'Set up'!$A$2:$D$50,4,FALSE)</f>
        <v>0</v>
      </c>
      <c r="K2676" s="123">
        <f t="shared" ref="K2676:K2711" si="887">A2676+J2676</f>
        <v>45352</v>
      </c>
      <c r="L2676" s="124">
        <f t="shared" ref="L2676:L2711" si="888">MONTH(K2676)</f>
        <v>3</v>
      </c>
      <c r="M2676" s="124">
        <f t="shared" ref="M2676:M2711" si="889">YEAR(K2676)</f>
        <v>2024</v>
      </c>
      <c r="N2676" s="12">
        <v>555</v>
      </c>
      <c r="O2676" s="12"/>
      <c r="P2676" s="12">
        <f t="shared" ref="P2676:P2711" si="890">SUM(N2676+O2676)</f>
        <v>555</v>
      </c>
      <c r="Q2676" s="126">
        <f t="shared" ref="Q2676:Q2711" si="891">SUM(Q2675+N2676)</f>
        <v>4327485.45</v>
      </c>
      <c r="R2676" s="44" t="str">
        <f>VLOOKUP(F2676,'Set up'!$A$2:$E$50,5,FALSE)</f>
        <v>PD Chq</v>
      </c>
    </row>
    <row r="2677" spans="1:18" s="125" customFormat="1" x14ac:dyDescent="0.3">
      <c r="A2677" s="123">
        <v>45352</v>
      </c>
      <c r="B2677" s="124">
        <f t="shared" si="885"/>
        <v>3</v>
      </c>
      <c r="C2677" s="124">
        <f t="shared" si="886"/>
        <v>2024</v>
      </c>
      <c r="D2677" s="124" t="s">
        <v>2438</v>
      </c>
      <c r="E2677" s="5" t="str">
        <f>VLOOKUP(F2677,'Set up'!$A$2:$C$50,2,FALSE)</f>
        <v>C00000021</v>
      </c>
      <c r="F2677" s="125" t="s">
        <v>492</v>
      </c>
      <c r="G2677" s="99" t="s">
        <v>1062</v>
      </c>
      <c r="H2677" s="129">
        <v>1</v>
      </c>
      <c r="I2677" s="5" t="str">
        <f>VLOOKUP(F2677,'Set up'!$A$2:$C$50,3,FALSE)</f>
        <v>Cash</v>
      </c>
      <c r="J2677" s="5">
        <f>VLOOKUP(F2677,'Set up'!$A$2:$D$50,4,FALSE)</f>
        <v>0</v>
      </c>
      <c r="K2677" s="123">
        <f t="shared" si="887"/>
        <v>45352</v>
      </c>
      <c r="L2677" s="124">
        <f t="shared" si="888"/>
        <v>3</v>
      </c>
      <c r="M2677" s="124">
        <f t="shared" si="889"/>
        <v>2024</v>
      </c>
      <c r="N2677" s="12">
        <v>95</v>
      </c>
      <c r="O2677" s="12"/>
      <c r="P2677" s="12">
        <f t="shared" si="890"/>
        <v>95</v>
      </c>
      <c r="Q2677" s="126">
        <f t="shared" si="891"/>
        <v>4327580.45</v>
      </c>
      <c r="R2677" s="44" t="str">
        <f>VLOOKUP(F2677,'Set up'!$A$2:$E$50,5,FALSE)</f>
        <v>PD Chq</v>
      </c>
    </row>
    <row r="2678" spans="1:18" s="125" customFormat="1" x14ac:dyDescent="0.3">
      <c r="A2678" s="123">
        <v>45352</v>
      </c>
      <c r="B2678" s="124">
        <f t="shared" si="885"/>
        <v>3</v>
      </c>
      <c r="C2678" s="124">
        <f t="shared" si="886"/>
        <v>2024</v>
      </c>
      <c r="D2678" s="124" t="s">
        <v>2438</v>
      </c>
      <c r="E2678" s="5" t="str">
        <f>VLOOKUP(F2678,'Set up'!$A$2:$C$50,2,FALSE)</f>
        <v>C00000021</v>
      </c>
      <c r="F2678" s="125" t="s">
        <v>492</v>
      </c>
      <c r="G2678" s="90" t="s">
        <v>801</v>
      </c>
      <c r="H2678" s="129">
        <v>1</v>
      </c>
      <c r="I2678" s="5" t="str">
        <f>VLOOKUP(F2678,'Set up'!$A$2:$C$50,3,FALSE)</f>
        <v>Cash</v>
      </c>
      <c r="J2678" s="5">
        <f>VLOOKUP(F2678,'Set up'!$A$2:$D$50,4,FALSE)</f>
        <v>0</v>
      </c>
      <c r="K2678" s="123">
        <f t="shared" si="887"/>
        <v>45352</v>
      </c>
      <c r="L2678" s="124">
        <f t="shared" si="888"/>
        <v>3</v>
      </c>
      <c r="M2678" s="124">
        <f t="shared" si="889"/>
        <v>2024</v>
      </c>
      <c r="N2678" s="12">
        <v>225</v>
      </c>
      <c r="O2678" s="12"/>
      <c r="P2678" s="12">
        <f t="shared" si="890"/>
        <v>225</v>
      </c>
      <c r="Q2678" s="126">
        <f t="shared" si="891"/>
        <v>4327805.45</v>
      </c>
      <c r="R2678" s="44" t="str">
        <f>VLOOKUP(F2678,'Set up'!$A$2:$E$50,5,FALSE)</f>
        <v>PD Chq</v>
      </c>
    </row>
    <row r="2679" spans="1:18" s="125" customFormat="1" x14ac:dyDescent="0.3">
      <c r="A2679" s="123">
        <v>45353</v>
      </c>
      <c r="B2679" s="124">
        <f t="shared" si="881"/>
        <v>3</v>
      </c>
      <c r="C2679" s="124">
        <f t="shared" si="882"/>
        <v>2024</v>
      </c>
      <c r="D2679" s="124" t="s">
        <v>2439</v>
      </c>
      <c r="E2679" s="5" t="str">
        <f>VLOOKUP(F2679,'Set up'!$A$2:$C$50,2,FALSE)</f>
        <v>C00000010</v>
      </c>
      <c r="F2679" s="125" t="s">
        <v>62</v>
      </c>
      <c r="G2679" s="95" t="s">
        <v>1403</v>
      </c>
      <c r="H2679" s="130">
        <v>8</v>
      </c>
      <c r="I2679" s="5">
        <f>VLOOKUP(F2679,'Set up'!$A$2:$C$50,3,FALSE)</f>
        <v>120</v>
      </c>
      <c r="J2679" s="5">
        <f>VLOOKUP(F2679,'Set up'!$A$2:$D$50,4,FALSE)</f>
        <v>120</v>
      </c>
      <c r="K2679" s="123">
        <f t="shared" si="887"/>
        <v>45473</v>
      </c>
      <c r="L2679" s="124">
        <f t="shared" si="888"/>
        <v>6</v>
      </c>
      <c r="M2679" s="124">
        <f t="shared" si="889"/>
        <v>2024</v>
      </c>
      <c r="N2679" s="12">
        <v>12848</v>
      </c>
      <c r="O2679" s="12"/>
      <c r="P2679" s="12">
        <f t="shared" si="890"/>
        <v>12848</v>
      </c>
      <c r="Q2679" s="126">
        <f t="shared" si="891"/>
        <v>4340653.45</v>
      </c>
      <c r="R2679" s="44" t="str">
        <f>VLOOKUP(F2679,'Set up'!$A$2:$E$50,5,FALSE)</f>
        <v>Trsf</v>
      </c>
    </row>
    <row r="2680" spans="1:18" s="125" customFormat="1" x14ac:dyDescent="0.3">
      <c r="A2680" s="123">
        <v>45353</v>
      </c>
      <c r="B2680" s="124">
        <f t="shared" si="881"/>
        <v>3</v>
      </c>
      <c r="C2680" s="124">
        <f t="shared" si="882"/>
        <v>2024</v>
      </c>
      <c r="D2680" s="124" t="s">
        <v>2439</v>
      </c>
      <c r="E2680" s="5" t="str">
        <f>VLOOKUP(F2680,'Set up'!$A$2:$C$50,2,FALSE)</f>
        <v>C00000010</v>
      </c>
      <c r="F2680" s="125" t="s">
        <v>62</v>
      </c>
      <c r="G2680" s="90" t="s">
        <v>1544</v>
      </c>
      <c r="H2680" s="127">
        <v>5</v>
      </c>
      <c r="I2680" s="5">
        <f>VLOOKUP(F2680,'Set up'!$A$2:$C$50,3,FALSE)</f>
        <v>120</v>
      </c>
      <c r="J2680" s="5">
        <f>VLOOKUP(F2680,'Set up'!$A$2:$D$50,4,FALSE)</f>
        <v>120</v>
      </c>
      <c r="K2680" s="123">
        <f t="shared" si="887"/>
        <v>45473</v>
      </c>
      <c r="L2680" s="124">
        <f t="shared" si="888"/>
        <v>6</v>
      </c>
      <c r="M2680" s="124">
        <f t="shared" si="889"/>
        <v>2024</v>
      </c>
      <c r="N2680" s="12">
        <v>870</v>
      </c>
      <c r="O2680" s="12"/>
      <c r="P2680" s="12">
        <f t="shared" si="890"/>
        <v>870</v>
      </c>
      <c r="Q2680" s="126">
        <f t="shared" si="891"/>
        <v>4341523.45</v>
      </c>
      <c r="R2680" s="44" t="str">
        <f>VLOOKUP(F2680,'Set up'!$A$2:$E$50,5,FALSE)</f>
        <v>Trsf</v>
      </c>
    </row>
    <row r="2681" spans="1:18" s="125" customFormat="1" x14ac:dyDescent="0.3">
      <c r="A2681" s="123">
        <v>45353</v>
      </c>
      <c r="B2681" s="124">
        <f t="shared" si="881"/>
        <v>3</v>
      </c>
      <c r="C2681" s="124">
        <f t="shared" si="882"/>
        <v>2024</v>
      </c>
      <c r="D2681" s="124" t="s">
        <v>2439</v>
      </c>
      <c r="E2681" s="5" t="str">
        <f>VLOOKUP(F2681,'Set up'!$A$2:$C$50,2,FALSE)</f>
        <v>C00000010</v>
      </c>
      <c r="F2681" s="125" t="s">
        <v>62</v>
      </c>
      <c r="G2681" s="90" t="s">
        <v>792</v>
      </c>
      <c r="H2681" s="127">
        <v>10</v>
      </c>
      <c r="I2681" s="5">
        <f>VLOOKUP(F2681,'Set up'!$A$2:$C$50,3,FALSE)</f>
        <v>120</v>
      </c>
      <c r="J2681" s="5">
        <f>VLOOKUP(F2681,'Set up'!$A$2:$D$50,4,FALSE)</f>
        <v>120</v>
      </c>
      <c r="K2681" s="123">
        <f t="shared" si="887"/>
        <v>45473</v>
      </c>
      <c r="L2681" s="124">
        <f t="shared" si="888"/>
        <v>6</v>
      </c>
      <c r="M2681" s="124">
        <f t="shared" si="889"/>
        <v>2024</v>
      </c>
      <c r="N2681" s="12">
        <v>575</v>
      </c>
      <c r="O2681" s="12"/>
      <c r="P2681" s="12">
        <f t="shared" si="890"/>
        <v>575</v>
      </c>
      <c r="Q2681" s="126">
        <f t="shared" si="891"/>
        <v>4342098.45</v>
      </c>
      <c r="R2681" s="44" t="str">
        <f>VLOOKUP(F2681,'Set up'!$A$2:$E$50,5,FALSE)</f>
        <v>Trsf</v>
      </c>
    </row>
    <row r="2682" spans="1:18" s="125" customFormat="1" x14ac:dyDescent="0.3">
      <c r="A2682" s="123">
        <v>45353</v>
      </c>
      <c r="B2682" s="124">
        <f t="shared" si="881"/>
        <v>3</v>
      </c>
      <c r="C2682" s="124">
        <f t="shared" si="882"/>
        <v>2024</v>
      </c>
      <c r="D2682" s="124" t="s">
        <v>2439</v>
      </c>
      <c r="E2682" s="5" t="str">
        <f>VLOOKUP(F2682,'Set up'!$A$2:$C$50,2,FALSE)</f>
        <v>C00000010</v>
      </c>
      <c r="F2682" s="125" t="s">
        <v>62</v>
      </c>
      <c r="G2682" s="11" t="s">
        <v>46</v>
      </c>
      <c r="H2682" s="127">
        <v>4</v>
      </c>
      <c r="I2682" s="5">
        <f>VLOOKUP(F2682,'Set up'!$A$2:$C$50,3,FALSE)</f>
        <v>120</v>
      </c>
      <c r="J2682" s="5">
        <f>VLOOKUP(F2682,'Set up'!$A$2:$D$50,4,FALSE)</f>
        <v>120</v>
      </c>
      <c r="K2682" s="123">
        <f t="shared" si="887"/>
        <v>45473</v>
      </c>
      <c r="L2682" s="124">
        <f t="shared" si="888"/>
        <v>6</v>
      </c>
      <c r="M2682" s="124">
        <f t="shared" si="889"/>
        <v>2024</v>
      </c>
      <c r="N2682" s="12">
        <v>440</v>
      </c>
      <c r="O2682" s="12"/>
      <c r="P2682" s="12">
        <f t="shared" si="890"/>
        <v>440</v>
      </c>
      <c r="Q2682" s="126">
        <f t="shared" si="891"/>
        <v>4342538.45</v>
      </c>
      <c r="R2682" s="44" t="str">
        <f>VLOOKUP(F2682,'Set up'!$A$2:$E$50,5,FALSE)</f>
        <v>Trsf</v>
      </c>
    </row>
    <row r="2683" spans="1:18" s="125" customFormat="1" x14ac:dyDescent="0.3">
      <c r="A2683" s="123">
        <v>45353</v>
      </c>
      <c r="B2683" s="124">
        <f t="shared" si="881"/>
        <v>3</v>
      </c>
      <c r="C2683" s="124">
        <f t="shared" si="882"/>
        <v>2024</v>
      </c>
      <c r="D2683" s="124" t="s">
        <v>2439</v>
      </c>
      <c r="E2683" s="5" t="str">
        <f>VLOOKUP(F2683,'Set up'!$A$2:$C$50,2,FALSE)</f>
        <v>C00000010</v>
      </c>
      <c r="F2683" s="125" t="s">
        <v>62</v>
      </c>
      <c r="G2683" s="90" t="s">
        <v>945</v>
      </c>
      <c r="H2683" s="127">
        <v>1</v>
      </c>
      <c r="I2683" s="5">
        <f>VLOOKUP(F2683,'Set up'!$A$2:$C$50,3,FALSE)</f>
        <v>120</v>
      </c>
      <c r="J2683" s="5">
        <f>VLOOKUP(F2683,'Set up'!$A$2:$D$50,4,FALSE)</f>
        <v>120</v>
      </c>
      <c r="K2683" s="123">
        <f t="shared" si="887"/>
        <v>45473</v>
      </c>
      <c r="L2683" s="124">
        <f t="shared" si="888"/>
        <v>6</v>
      </c>
      <c r="M2683" s="124">
        <f t="shared" si="889"/>
        <v>2024</v>
      </c>
      <c r="N2683" s="12">
        <v>420</v>
      </c>
      <c r="O2683" s="12"/>
      <c r="P2683" s="12">
        <f t="shared" si="890"/>
        <v>420</v>
      </c>
      <c r="Q2683" s="126">
        <f t="shared" si="891"/>
        <v>4342958.45</v>
      </c>
      <c r="R2683" s="44" t="str">
        <f>VLOOKUP(F2683,'Set up'!$A$2:$E$50,5,FALSE)</f>
        <v>Trsf</v>
      </c>
    </row>
    <row r="2684" spans="1:18" s="125" customFormat="1" x14ac:dyDescent="0.3">
      <c r="A2684" s="123">
        <v>45353</v>
      </c>
      <c r="B2684" s="124">
        <f t="shared" si="881"/>
        <v>3</v>
      </c>
      <c r="C2684" s="124">
        <f t="shared" si="882"/>
        <v>2024</v>
      </c>
      <c r="D2684" s="124" t="s">
        <v>2439</v>
      </c>
      <c r="E2684" s="5" t="str">
        <f>VLOOKUP(F2684,'Set up'!$A$2:$C$50,2,FALSE)</f>
        <v>C00000010</v>
      </c>
      <c r="F2684" s="125" t="s">
        <v>62</v>
      </c>
      <c r="G2684" s="90" t="s">
        <v>615</v>
      </c>
      <c r="H2684" s="127">
        <v>1</v>
      </c>
      <c r="I2684" s="5">
        <f>VLOOKUP(F2684,'Set up'!$A$2:$C$50,3,FALSE)</f>
        <v>120</v>
      </c>
      <c r="J2684" s="5">
        <f>VLOOKUP(F2684,'Set up'!$A$2:$D$50,4,FALSE)</f>
        <v>120</v>
      </c>
      <c r="K2684" s="123">
        <f t="shared" si="887"/>
        <v>45473</v>
      </c>
      <c r="L2684" s="124">
        <f t="shared" si="888"/>
        <v>6</v>
      </c>
      <c r="M2684" s="124">
        <f t="shared" si="889"/>
        <v>2024</v>
      </c>
      <c r="N2684" s="12">
        <v>395</v>
      </c>
      <c r="O2684" s="12"/>
      <c r="P2684" s="12">
        <f t="shared" si="890"/>
        <v>395</v>
      </c>
      <c r="Q2684" s="126">
        <f t="shared" si="891"/>
        <v>4343353.45</v>
      </c>
      <c r="R2684" s="44" t="str">
        <f>VLOOKUP(F2684,'Set up'!$A$2:$E$50,5,FALSE)</f>
        <v>Trsf</v>
      </c>
    </row>
    <row r="2685" spans="1:18" s="125" customFormat="1" x14ac:dyDescent="0.3">
      <c r="A2685" s="123">
        <v>45353</v>
      </c>
      <c r="B2685" s="124">
        <f t="shared" si="881"/>
        <v>3</v>
      </c>
      <c r="C2685" s="124">
        <f t="shared" si="882"/>
        <v>2024</v>
      </c>
      <c r="D2685" s="124" t="s">
        <v>2440</v>
      </c>
      <c r="E2685" s="5" t="str">
        <f>VLOOKUP(F2685,'Set up'!$A$2:$C$50,2,FALSE)</f>
        <v>C00000043</v>
      </c>
      <c r="F2685" s="125" t="s">
        <v>2207</v>
      </c>
      <c r="G2685" s="107" t="s">
        <v>1391</v>
      </c>
      <c r="H2685" s="124">
        <v>3</v>
      </c>
      <c r="I2685" s="5" t="str">
        <f>VLOOKUP(F2685,'Set up'!$A$2:$C$50,3,FALSE)</f>
        <v>Cash</v>
      </c>
      <c r="J2685" s="5">
        <f>VLOOKUP(F2685,'Set up'!$A$2:$D$50,4,FALSE)</f>
        <v>0</v>
      </c>
      <c r="K2685" s="123">
        <f t="shared" si="887"/>
        <v>45353</v>
      </c>
      <c r="L2685" s="124">
        <f t="shared" si="888"/>
        <v>3</v>
      </c>
      <c r="M2685" s="124">
        <f t="shared" si="889"/>
        <v>2024</v>
      </c>
      <c r="N2685" s="12">
        <v>1279.8</v>
      </c>
      <c r="O2685" s="12"/>
      <c r="P2685" s="12">
        <f t="shared" si="890"/>
        <v>1279.8</v>
      </c>
      <c r="Q2685" s="126">
        <f t="shared" si="891"/>
        <v>4344633.25</v>
      </c>
      <c r="R2685" s="44" t="str">
        <f>VLOOKUP(F2685,'Set up'!$A$2:$E$50,5,FALSE)</f>
        <v>Trsf</v>
      </c>
    </row>
    <row r="2686" spans="1:18" s="125" customFormat="1" x14ac:dyDescent="0.3">
      <c r="A2686" s="123">
        <v>45356</v>
      </c>
      <c r="B2686" s="124">
        <f t="shared" si="881"/>
        <v>3</v>
      </c>
      <c r="C2686" s="124">
        <f t="shared" si="882"/>
        <v>2024</v>
      </c>
      <c r="D2686" s="124" t="s">
        <v>2441</v>
      </c>
      <c r="E2686" s="5" t="str">
        <f>VLOOKUP(F2686,'Set up'!$A$2:$C$50,2,FALSE)</f>
        <v>C00000042</v>
      </c>
      <c r="F2686" s="125" t="s">
        <v>2014</v>
      </c>
      <c r="G2686" s="103" t="s">
        <v>1111</v>
      </c>
      <c r="H2686" s="124">
        <v>10</v>
      </c>
      <c r="I2686" s="5" t="str">
        <f>VLOOKUP(F2686,'Set up'!$A$2:$C$50,3,FALSE)</f>
        <v>Cash</v>
      </c>
      <c r="J2686" s="5">
        <f>VLOOKUP(F2686,'Set up'!$A$2:$D$50,4,FALSE)</f>
        <v>0</v>
      </c>
      <c r="K2686" s="123">
        <f t="shared" si="887"/>
        <v>45356</v>
      </c>
      <c r="L2686" s="124">
        <f t="shared" si="888"/>
        <v>3</v>
      </c>
      <c r="M2686" s="124">
        <f t="shared" si="889"/>
        <v>2024</v>
      </c>
      <c r="N2686" s="12">
        <v>625</v>
      </c>
      <c r="O2686" s="12"/>
      <c r="P2686" s="12">
        <f t="shared" si="890"/>
        <v>625</v>
      </c>
      <c r="Q2686" s="126">
        <f t="shared" si="891"/>
        <v>4345258.25</v>
      </c>
      <c r="R2686" s="44" t="str">
        <f>VLOOKUP(F2686,'Set up'!$A$2:$E$50,5,FALSE)</f>
        <v>Trsf</v>
      </c>
    </row>
    <row r="2687" spans="1:18" s="125" customFormat="1" x14ac:dyDescent="0.3">
      <c r="A2687" s="123">
        <v>45356</v>
      </c>
      <c r="B2687" s="124">
        <f t="shared" si="881"/>
        <v>3</v>
      </c>
      <c r="C2687" s="124">
        <f t="shared" si="882"/>
        <v>2024</v>
      </c>
      <c r="D2687" s="124" t="s">
        <v>2442</v>
      </c>
      <c r="E2687" s="5" t="str">
        <f>VLOOKUP(F2687,'Set up'!$A$2:$C$50,2,FALSE)</f>
        <v>C00000042</v>
      </c>
      <c r="F2687" s="125" t="s">
        <v>2014</v>
      </c>
      <c r="G2687" s="103" t="s">
        <v>1734</v>
      </c>
      <c r="H2687" s="127">
        <v>10</v>
      </c>
      <c r="I2687" s="5" t="str">
        <f>VLOOKUP(F2687,'Set up'!$A$2:$C$50,3,FALSE)</f>
        <v>Cash</v>
      </c>
      <c r="J2687" s="5">
        <f>VLOOKUP(F2687,'Set up'!$A$2:$D$50,4,FALSE)</f>
        <v>0</v>
      </c>
      <c r="K2687" s="123">
        <f t="shared" si="887"/>
        <v>45356</v>
      </c>
      <c r="L2687" s="124">
        <f t="shared" si="888"/>
        <v>3</v>
      </c>
      <c r="M2687" s="124">
        <f t="shared" si="889"/>
        <v>2024</v>
      </c>
      <c r="N2687" s="12">
        <v>16060</v>
      </c>
      <c r="O2687" s="12"/>
      <c r="P2687" s="12">
        <f t="shared" si="890"/>
        <v>16060</v>
      </c>
      <c r="Q2687" s="126">
        <f t="shared" si="891"/>
        <v>4361318.25</v>
      </c>
      <c r="R2687" s="44" t="str">
        <f>VLOOKUP(F2687,'Set up'!$A$2:$E$50,5,FALSE)</f>
        <v>Trsf</v>
      </c>
    </row>
    <row r="2688" spans="1:18" s="125" customFormat="1" x14ac:dyDescent="0.3">
      <c r="A2688" s="123">
        <v>45356</v>
      </c>
      <c r="B2688" s="124">
        <f t="shared" si="881"/>
        <v>3</v>
      </c>
      <c r="C2688" s="124">
        <f t="shared" si="882"/>
        <v>2024</v>
      </c>
      <c r="D2688" s="124" t="s">
        <v>2442</v>
      </c>
      <c r="E2688" s="5" t="str">
        <f>VLOOKUP(F2688,'Set up'!$A$2:$C$50,2,FALSE)</f>
        <v>C00000042</v>
      </c>
      <c r="F2688" s="125" t="s">
        <v>2014</v>
      </c>
      <c r="G2688" s="90" t="s">
        <v>914</v>
      </c>
      <c r="H2688" s="127">
        <v>20</v>
      </c>
      <c r="I2688" s="5" t="str">
        <f>VLOOKUP(F2688,'Set up'!$A$2:$C$50,3,FALSE)</f>
        <v>Cash</v>
      </c>
      <c r="J2688" s="5">
        <f>VLOOKUP(F2688,'Set up'!$A$2:$D$50,4,FALSE)</f>
        <v>0</v>
      </c>
      <c r="K2688" s="123">
        <f t="shared" si="887"/>
        <v>45356</v>
      </c>
      <c r="L2688" s="124">
        <f t="shared" si="888"/>
        <v>3</v>
      </c>
      <c r="M2688" s="124">
        <f t="shared" si="889"/>
        <v>2024</v>
      </c>
      <c r="N2688" s="12">
        <v>3480</v>
      </c>
      <c r="O2688" s="12"/>
      <c r="P2688" s="12">
        <f t="shared" si="890"/>
        <v>3480</v>
      </c>
      <c r="Q2688" s="126">
        <f t="shared" si="891"/>
        <v>4364798.25</v>
      </c>
      <c r="R2688" s="44" t="str">
        <f>VLOOKUP(F2688,'Set up'!$A$2:$E$50,5,FALSE)</f>
        <v>Trsf</v>
      </c>
    </row>
    <row r="2689" spans="1:18" s="125" customFormat="1" x14ac:dyDescent="0.3">
      <c r="A2689" s="123">
        <v>45356</v>
      </c>
      <c r="B2689" s="124">
        <f t="shared" si="881"/>
        <v>3</v>
      </c>
      <c r="C2689" s="124">
        <f t="shared" si="882"/>
        <v>2024</v>
      </c>
      <c r="D2689" s="124" t="s">
        <v>2442</v>
      </c>
      <c r="E2689" s="5" t="str">
        <f>VLOOKUP(F2689,'Set up'!$A$2:$C$50,2,FALSE)</f>
        <v>C00000042</v>
      </c>
      <c r="F2689" s="125" t="s">
        <v>2014</v>
      </c>
      <c r="G2689" s="90" t="s">
        <v>2435</v>
      </c>
      <c r="H2689" s="127">
        <v>10</v>
      </c>
      <c r="I2689" s="5" t="str">
        <f>VLOOKUP(F2689,'Set up'!$A$2:$C$50,3,FALSE)</f>
        <v>Cash</v>
      </c>
      <c r="J2689" s="5">
        <f>VLOOKUP(F2689,'Set up'!$A$2:$D$50,4,FALSE)</f>
        <v>0</v>
      </c>
      <c r="K2689" s="123">
        <f t="shared" si="887"/>
        <v>45356</v>
      </c>
      <c r="L2689" s="124">
        <f t="shared" si="888"/>
        <v>3</v>
      </c>
      <c r="M2689" s="124">
        <f t="shared" si="889"/>
        <v>2024</v>
      </c>
      <c r="N2689" s="12">
        <v>2146</v>
      </c>
      <c r="O2689" s="12"/>
      <c r="P2689" s="12">
        <f t="shared" si="890"/>
        <v>2146</v>
      </c>
      <c r="Q2689" s="126">
        <f t="shared" si="891"/>
        <v>4366944.25</v>
      </c>
      <c r="R2689" s="44" t="str">
        <f>VLOOKUP(F2689,'Set up'!$A$2:$E$50,5,FALSE)</f>
        <v>Trsf</v>
      </c>
    </row>
    <row r="2690" spans="1:18" s="125" customFormat="1" x14ac:dyDescent="0.3">
      <c r="A2690" s="123">
        <v>45356</v>
      </c>
      <c r="B2690" s="124">
        <f t="shared" si="881"/>
        <v>3</v>
      </c>
      <c r="C2690" s="124">
        <f t="shared" si="882"/>
        <v>2024</v>
      </c>
      <c r="D2690" s="124" t="s">
        <v>2442</v>
      </c>
      <c r="E2690" s="5" t="str">
        <f>VLOOKUP(F2690,'Set up'!$A$2:$C$50,2,FALSE)</f>
        <v>C00000042</v>
      </c>
      <c r="F2690" s="125" t="s">
        <v>2014</v>
      </c>
      <c r="G2690" s="90" t="s">
        <v>1923</v>
      </c>
      <c r="H2690" s="127">
        <v>15</v>
      </c>
      <c r="I2690" s="5" t="str">
        <f>VLOOKUP(F2690,'Set up'!$A$2:$C$50,3,FALSE)</f>
        <v>Cash</v>
      </c>
      <c r="J2690" s="5">
        <f>VLOOKUP(F2690,'Set up'!$A$2:$D$50,4,FALSE)</f>
        <v>0</v>
      </c>
      <c r="K2690" s="123">
        <f t="shared" si="887"/>
        <v>45356</v>
      </c>
      <c r="L2690" s="124">
        <f t="shared" si="888"/>
        <v>3</v>
      </c>
      <c r="M2690" s="124">
        <f t="shared" si="889"/>
        <v>2024</v>
      </c>
      <c r="N2690" s="12">
        <v>3510</v>
      </c>
      <c r="O2690" s="12"/>
      <c r="P2690" s="12">
        <f t="shared" si="890"/>
        <v>3510</v>
      </c>
      <c r="Q2690" s="126">
        <f t="shared" si="891"/>
        <v>4370454.25</v>
      </c>
      <c r="R2690" s="44" t="str">
        <f>VLOOKUP(F2690,'Set up'!$A$2:$E$50,5,FALSE)</f>
        <v>Trsf</v>
      </c>
    </row>
    <row r="2691" spans="1:18" s="125" customFormat="1" x14ac:dyDescent="0.3">
      <c r="A2691" s="123">
        <v>45356</v>
      </c>
      <c r="B2691" s="124">
        <f t="shared" si="881"/>
        <v>3</v>
      </c>
      <c r="C2691" s="124">
        <f t="shared" si="882"/>
        <v>2024</v>
      </c>
      <c r="D2691" s="124" t="s">
        <v>2442</v>
      </c>
      <c r="E2691" s="5" t="str">
        <f>VLOOKUP(F2691,'Set up'!$A$2:$C$50,2,FALSE)</f>
        <v>C00000042</v>
      </c>
      <c r="F2691" s="125" t="s">
        <v>2014</v>
      </c>
      <c r="G2691" s="90" t="s">
        <v>1062</v>
      </c>
      <c r="H2691" s="127">
        <v>4</v>
      </c>
      <c r="I2691" s="5" t="str">
        <f>VLOOKUP(F2691,'Set up'!$A$2:$C$50,3,FALSE)</f>
        <v>Cash</v>
      </c>
      <c r="J2691" s="5">
        <f>VLOOKUP(F2691,'Set up'!$A$2:$D$50,4,FALSE)</f>
        <v>0</v>
      </c>
      <c r="K2691" s="123">
        <f t="shared" si="887"/>
        <v>45356</v>
      </c>
      <c r="L2691" s="124">
        <f t="shared" si="888"/>
        <v>3</v>
      </c>
      <c r="M2691" s="124">
        <f t="shared" si="889"/>
        <v>2024</v>
      </c>
      <c r="N2691" s="12">
        <v>380</v>
      </c>
      <c r="O2691" s="12"/>
      <c r="P2691" s="12">
        <f t="shared" si="890"/>
        <v>380</v>
      </c>
      <c r="Q2691" s="126">
        <f t="shared" si="891"/>
        <v>4370834.25</v>
      </c>
      <c r="R2691" s="44" t="str">
        <f>VLOOKUP(F2691,'Set up'!$A$2:$E$50,5,FALSE)</f>
        <v>Trsf</v>
      </c>
    </row>
    <row r="2692" spans="1:18" s="125" customFormat="1" x14ac:dyDescent="0.3">
      <c r="A2692" s="123">
        <v>45355</v>
      </c>
      <c r="B2692" s="124">
        <f t="shared" si="881"/>
        <v>3</v>
      </c>
      <c r="C2692" s="124">
        <f t="shared" si="882"/>
        <v>2024</v>
      </c>
      <c r="D2692" s="124" t="s">
        <v>2443</v>
      </c>
      <c r="E2692" s="5" t="str">
        <f>VLOOKUP(F2692,'Set up'!$A$2:$C$50,2,FALSE)</f>
        <v>C00000009</v>
      </c>
      <c r="F2692" s="125" t="s">
        <v>58</v>
      </c>
      <c r="G2692" s="11" t="s">
        <v>95</v>
      </c>
      <c r="H2692" s="124">
        <v>2</v>
      </c>
      <c r="I2692" s="5">
        <f>VLOOKUP(F2692,'Set up'!$A$2:$C$50,3,FALSE)</f>
        <v>60</v>
      </c>
      <c r="J2692" s="5">
        <f>VLOOKUP(F2692,'Set up'!$A$2:$D$50,4,FALSE)</f>
        <v>60</v>
      </c>
      <c r="K2692" s="123">
        <f t="shared" si="887"/>
        <v>45415</v>
      </c>
      <c r="L2692" s="124">
        <f t="shared" si="888"/>
        <v>5</v>
      </c>
      <c r="M2692" s="124">
        <f t="shared" si="889"/>
        <v>2024</v>
      </c>
      <c r="N2692" s="12">
        <v>3212</v>
      </c>
      <c r="O2692" s="12"/>
      <c r="P2692" s="12">
        <f t="shared" si="890"/>
        <v>3212</v>
      </c>
      <c r="Q2692" s="126">
        <f t="shared" si="891"/>
        <v>4374046.25</v>
      </c>
      <c r="R2692" s="44" t="str">
        <f>VLOOKUP(F2692,'Set up'!$A$2:$E$50,5,FALSE)</f>
        <v>Chq</v>
      </c>
    </row>
    <row r="2693" spans="1:18" s="125" customFormat="1" x14ac:dyDescent="0.3">
      <c r="A2693" s="123">
        <v>45356</v>
      </c>
      <c r="B2693" s="124">
        <f t="shared" si="881"/>
        <v>3</v>
      </c>
      <c r="C2693" s="124">
        <f t="shared" si="882"/>
        <v>2024</v>
      </c>
      <c r="D2693" s="124" t="s">
        <v>2444</v>
      </c>
      <c r="E2693" s="5" t="str">
        <f>VLOOKUP(F2693,'Set up'!$A$2:$C$50,2,FALSE)</f>
        <v>C00000044</v>
      </c>
      <c r="F2693" s="125" t="s">
        <v>2213</v>
      </c>
      <c r="G2693" s="120" t="s">
        <v>2371</v>
      </c>
      <c r="H2693" s="124">
        <v>1</v>
      </c>
      <c r="I2693" s="5" t="str">
        <f>VLOOKUP(F2693,'Set up'!$A$2:$C$50,3,FALSE)</f>
        <v>Cash</v>
      </c>
      <c r="J2693" s="5">
        <f>VLOOKUP(F2693,'Set up'!$A$2:$D$50,4,FALSE)</f>
        <v>0</v>
      </c>
      <c r="K2693" s="123">
        <f t="shared" si="887"/>
        <v>45356</v>
      </c>
      <c r="L2693" s="124">
        <f t="shared" si="888"/>
        <v>3</v>
      </c>
      <c r="M2693" s="124">
        <f t="shared" si="889"/>
        <v>2024</v>
      </c>
      <c r="N2693" s="12">
        <v>1628</v>
      </c>
      <c r="O2693" s="12"/>
      <c r="P2693" s="12">
        <f t="shared" si="890"/>
        <v>1628</v>
      </c>
      <c r="Q2693" s="126">
        <f t="shared" si="891"/>
        <v>4375674.25</v>
      </c>
      <c r="R2693" s="44" t="str">
        <f>VLOOKUP(F2693,'Set up'!$A$2:$E$50,5,FALSE)</f>
        <v>Trsf</v>
      </c>
    </row>
    <row r="2694" spans="1:18" s="125" customFormat="1" x14ac:dyDescent="0.3">
      <c r="A2694" s="123">
        <v>45356</v>
      </c>
      <c r="B2694" s="124">
        <f t="shared" si="881"/>
        <v>3</v>
      </c>
      <c r="C2694" s="124">
        <f t="shared" si="882"/>
        <v>2024</v>
      </c>
      <c r="D2694" s="124" t="s">
        <v>2444</v>
      </c>
      <c r="E2694" s="5" t="str">
        <f>VLOOKUP(F2694,'Set up'!$A$2:$C$50,2,FALSE)</f>
        <v>C00000044</v>
      </c>
      <c r="F2694" s="125" t="s">
        <v>2213</v>
      </c>
      <c r="G2694" s="121" t="s">
        <v>2372</v>
      </c>
      <c r="H2694" s="124">
        <v>3</v>
      </c>
      <c r="I2694" s="5" t="str">
        <f>VLOOKUP(F2694,'Set up'!$A$2:$C$50,3,FALSE)</f>
        <v>Cash</v>
      </c>
      <c r="J2694" s="5">
        <f>VLOOKUP(F2694,'Set up'!$A$2:$D$50,4,FALSE)</f>
        <v>0</v>
      </c>
      <c r="K2694" s="123">
        <f t="shared" si="887"/>
        <v>45356</v>
      </c>
      <c r="L2694" s="124">
        <f t="shared" si="888"/>
        <v>3</v>
      </c>
      <c r="M2694" s="124">
        <f t="shared" si="889"/>
        <v>2024</v>
      </c>
      <c r="N2694" s="12">
        <v>630</v>
      </c>
      <c r="O2694" s="12"/>
      <c r="P2694" s="12">
        <f t="shared" si="890"/>
        <v>630</v>
      </c>
      <c r="Q2694" s="126">
        <f t="shared" si="891"/>
        <v>4376304.25</v>
      </c>
      <c r="R2694" s="44" t="str">
        <f>VLOOKUP(F2694,'Set up'!$A$2:$E$50,5,FALSE)</f>
        <v>Trsf</v>
      </c>
    </row>
    <row r="2695" spans="1:18" s="125" customFormat="1" x14ac:dyDescent="0.3">
      <c r="A2695" s="123">
        <v>45356</v>
      </c>
      <c r="B2695" s="124">
        <f t="shared" si="881"/>
        <v>3</v>
      </c>
      <c r="C2695" s="124">
        <f t="shared" si="882"/>
        <v>2024</v>
      </c>
      <c r="D2695" s="124" t="s">
        <v>2445</v>
      </c>
      <c r="E2695" s="5" t="str">
        <f>VLOOKUP(F2695,'Set up'!$A$2:$C$50,2,FALSE)</f>
        <v>C00000019</v>
      </c>
      <c r="F2695" s="125" t="s">
        <v>401</v>
      </c>
      <c r="G2695" s="90" t="s">
        <v>95</v>
      </c>
      <c r="H2695" s="124">
        <v>1</v>
      </c>
      <c r="I2695" s="5" t="str">
        <f>VLOOKUP(F2695,'Set up'!$A$2:$C$50,3,FALSE)</f>
        <v>Cash</v>
      </c>
      <c r="J2695" s="5">
        <f>VLOOKUP(F2695,'Set up'!$A$2:$D$50,4,FALSE)</f>
        <v>0</v>
      </c>
      <c r="K2695" s="123">
        <f t="shared" si="887"/>
        <v>45356</v>
      </c>
      <c r="L2695" s="124">
        <f t="shared" si="888"/>
        <v>3</v>
      </c>
      <c r="M2695" s="124">
        <f t="shared" si="889"/>
        <v>2024</v>
      </c>
      <c r="N2695" s="12">
        <v>1738</v>
      </c>
      <c r="O2695" s="12"/>
      <c r="P2695" s="12">
        <f t="shared" si="890"/>
        <v>1738</v>
      </c>
      <c r="Q2695" s="126">
        <f t="shared" si="891"/>
        <v>4378042.25</v>
      </c>
      <c r="R2695" s="44" t="str">
        <f>VLOOKUP(F2695,'Set up'!$A$2:$E$50,5,FALSE)</f>
        <v>Trsf</v>
      </c>
    </row>
    <row r="2696" spans="1:18" s="125" customFormat="1" x14ac:dyDescent="0.3">
      <c r="A2696" s="123">
        <v>45356</v>
      </c>
      <c r="B2696" s="124">
        <f t="shared" si="881"/>
        <v>3</v>
      </c>
      <c r="C2696" s="124">
        <f t="shared" si="882"/>
        <v>2024</v>
      </c>
      <c r="D2696" s="124" t="s">
        <v>2445</v>
      </c>
      <c r="E2696" s="5" t="str">
        <f>VLOOKUP(F2696,'Set up'!$A$2:$C$50,2,FALSE)</f>
        <v>C00000019</v>
      </c>
      <c r="F2696" s="125" t="s">
        <v>401</v>
      </c>
      <c r="G2696" s="90" t="s">
        <v>46</v>
      </c>
      <c r="H2696" s="124">
        <v>1</v>
      </c>
      <c r="I2696" s="5" t="str">
        <f>VLOOKUP(F2696,'Set up'!$A$2:$C$50,3,FALSE)</f>
        <v>Cash</v>
      </c>
      <c r="J2696" s="5">
        <f>VLOOKUP(F2696,'Set up'!$A$2:$D$50,4,FALSE)</f>
        <v>0</v>
      </c>
      <c r="K2696" s="123">
        <f t="shared" si="887"/>
        <v>45356</v>
      </c>
      <c r="L2696" s="124">
        <f t="shared" si="888"/>
        <v>3</v>
      </c>
      <c r="M2696" s="124">
        <f t="shared" si="889"/>
        <v>2024</v>
      </c>
      <c r="N2696" s="12">
        <v>110</v>
      </c>
      <c r="O2696" s="12"/>
      <c r="P2696" s="12">
        <f t="shared" si="890"/>
        <v>110</v>
      </c>
      <c r="Q2696" s="126">
        <f t="shared" si="891"/>
        <v>4378152.25</v>
      </c>
      <c r="R2696" s="44" t="str">
        <f>VLOOKUP(F2696,'Set up'!$A$2:$E$50,5,FALSE)</f>
        <v>Trsf</v>
      </c>
    </row>
    <row r="2697" spans="1:18" s="125" customFormat="1" x14ac:dyDescent="0.3">
      <c r="A2697" s="123">
        <v>45358</v>
      </c>
      <c r="B2697" s="124">
        <f t="shared" si="881"/>
        <v>3</v>
      </c>
      <c r="C2697" s="124">
        <f t="shared" si="882"/>
        <v>2024</v>
      </c>
      <c r="D2697" s="124" t="s">
        <v>2446</v>
      </c>
      <c r="E2697" s="5" t="str">
        <f>VLOOKUP(F2697,'Set up'!$A$2:$C$50,2,FALSE)</f>
        <v>C00000026</v>
      </c>
      <c r="F2697" s="125" t="s">
        <v>785</v>
      </c>
      <c r="G2697" s="95" t="s">
        <v>1734</v>
      </c>
      <c r="H2697" s="124">
        <v>1</v>
      </c>
      <c r="I2697" s="5" t="str">
        <f>VLOOKUP(F2697,'Set up'!$A$2:$C$50,3,FALSE)</f>
        <v>Cash</v>
      </c>
      <c r="J2697" s="5">
        <f>VLOOKUP(F2697,'Set up'!$A$2:$D$50,4,FALSE)</f>
        <v>0</v>
      </c>
      <c r="K2697" s="123">
        <f t="shared" si="887"/>
        <v>45358</v>
      </c>
      <c r="L2697" s="124">
        <f t="shared" si="888"/>
        <v>3</v>
      </c>
      <c r="M2697" s="124">
        <f t="shared" si="889"/>
        <v>2024</v>
      </c>
      <c r="N2697" s="12">
        <v>1738</v>
      </c>
      <c r="O2697" s="12"/>
      <c r="P2697" s="12">
        <f t="shared" si="890"/>
        <v>1738</v>
      </c>
      <c r="Q2697" s="126">
        <f t="shared" si="891"/>
        <v>4379890.25</v>
      </c>
      <c r="R2697" s="44" t="str">
        <f>VLOOKUP(F2697,'Set up'!$A$2:$E$50,5,FALSE)</f>
        <v>Trsf</v>
      </c>
    </row>
    <row r="2698" spans="1:18" s="125" customFormat="1" x14ac:dyDescent="0.3">
      <c r="A2698" s="123">
        <v>45358</v>
      </c>
      <c r="B2698" s="124">
        <f t="shared" si="881"/>
        <v>3</v>
      </c>
      <c r="C2698" s="124">
        <f t="shared" si="882"/>
        <v>2024</v>
      </c>
      <c r="D2698" s="124" t="s">
        <v>2446</v>
      </c>
      <c r="E2698" s="5" t="str">
        <f>VLOOKUP(F2698,'Set up'!$A$2:$C$50,2,FALSE)</f>
        <v>C00000026</v>
      </c>
      <c r="F2698" s="125" t="s">
        <v>785</v>
      </c>
      <c r="G2698" s="90" t="s">
        <v>17</v>
      </c>
      <c r="H2698" s="124">
        <v>1</v>
      </c>
      <c r="I2698" s="5" t="str">
        <f>VLOOKUP(F2698,'Set up'!$A$2:$C$50,3,FALSE)</f>
        <v>Cash</v>
      </c>
      <c r="J2698" s="5">
        <f>VLOOKUP(F2698,'Set up'!$A$2:$D$50,4,FALSE)</f>
        <v>0</v>
      </c>
      <c r="K2698" s="123">
        <f t="shared" si="887"/>
        <v>45358</v>
      </c>
      <c r="L2698" s="124">
        <f t="shared" si="888"/>
        <v>3</v>
      </c>
      <c r="M2698" s="124">
        <f t="shared" si="889"/>
        <v>2024</v>
      </c>
      <c r="N2698" s="12">
        <v>110</v>
      </c>
      <c r="O2698" s="12"/>
      <c r="P2698" s="12">
        <f t="shared" si="890"/>
        <v>110</v>
      </c>
      <c r="Q2698" s="126">
        <f t="shared" si="891"/>
        <v>4380000.25</v>
      </c>
      <c r="R2698" s="44" t="str">
        <f>VLOOKUP(F2698,'Set up'!$A$2:$E$50,5,FALSE)</f>
        <v>Trsf</v>
      </c>
    </row>
    <row r="2699" spans="1:18" s="125" customFormat="1" x14ac:dyDescent="0.3">
      <c r="A2699" s="123">
        <v>45358</v>
      </c>
      <c r="B2699" s="124">
        <f t="shared" si="881"/>
        <v>3</v>
      </c>
      <c r="C2699" s="124">
        <f t="shared" si="882"/>
        <v>2024</v>
      </c>
      <c r="D2699" s="124" t="s">
        <v>2446</v>
      </c>
      <c r="E2699" s="5" t="str">
        <f>VLOOKUP(F2699,'Set up'!$A$2:$C$50,2,FALSE)</f>
        <v>C00000026</v>
      </c>
      <c r="F2699" s="125" t="s">
        <v>785</v>
      </c>
      <c r="G2699" s="90" t="s">
        <v>1111</v>
      </c>
      <c r="H2699" s="124">
        <v>2</v>
      </c>
      <c r="I2699" s="5" t="str">
        <f>VLOOKUP(F2699,'Set up'!$A$2:$C$50,3,FALSE)</f>
        <v>Cash</v>
      </c>
      <c r="J2699" s="5">
        <f>VLOOKUP(F2699,'Set up'!$A$2:$D$50,4,FALSE)</f>
        <v>0</v>
      </c>
      <c r="K2699" s="123">
        <f t="shared" si="887"/>
        <v>45358</v>
      </c>
      <c r="L2699" s="124">
        <f t="shared" si="888"/>
        <v>3</v>
      </c>
      <c r="M2699" s="124">
        <f t="shared" si="889"/>
        <v>2024</v>
      </c>
      <c r="N2699" s="12">
        <v>125</v>
      </c>
      <c r="O2699" s="12"/>
      <c r="P2699" s="12">
        <f t="shared" si="890"/>
        <v>125</v>
      </c>
      <c r="Q2699" s="126">
        <f t="shared" si="891"/>
        <v>4380125.25</v>
      </c>
      <c r="R2699" s="44" t="str">
        <f>VLOOKUP(F2699,'Set up'!$A$2:$E$50,5,FALSE)</f>
        <v>Trsf</v>
      </c>
    </row>
    <row r="2700" spans="1:18" s="125" customFormat="1" x14ac:dyDescent="0.3">
      <c r="A2700" s="123">
        <v>45363</v>
      </c>
      <c r="B2700" s="124">
        <f t="shared" si="881"/>
        <v>3</v>
      </c>
      <c r="C2700" s="124">
        <f t="shared" si="882"/>
        <v>2024</v>
      </c>
      <c r="D2700" s="124" t="s">
        <v>2447</v>
      </c>
      <c r="E2700" s="5" t="str">
        <f>VLOOKUP(F2700,'Set up'!$A$2:$C$50,2,FALSE)</f>
        <v>C00000003</v>
      </c>
      <c r="F2700" s="125" t="s">
        <v>20</v>
      </c>
      <c r="G2700" s="107" t="s">
        <v>67</v>
      </c>
      <c r="H2700" s="124">
        <v>1</v>
      </c>
      <c r="I2700" s="5">
        <f>VLOOKUP(F2700,'Set up'!$A$2:$C$50,3,FALSE)</f>
        <v>45</v>
      </c>
      <c r="J2700" s="5">
        <f>VLOOKUP(F2700,'Set up'!$A$2:$D$50,4,FALSE)</f>
        <v>45</v>
      </c>
      <c r="K2700" s="123">
        <f t="shared" si="887"/>
        <v>45408</v>
      </c>
      <c r="L2700" s="124">
        <f t="shared" si="888"/>
        <v>4</v>
      </c>
      <c r="M2700" s="124">
        <f t="shared" si="889"/>
        <v>2024</v>
      </c>
      <c r="N2700" s="12">
        <v>1738</v>
      </c>
      <c r="O2700" s="12"/>
      <c r="P2700" s="12">
        <f t="shared" si="890"/>
        <v>1738</v>
      </c>
      <c r="Q2700" s="126">
        <f t="shared" si="891"/>
        <v>4381863.25</v>
      </c>
      <c r="R2700" s="44" t="str">
        <f>VLOOKUP(F2700,'Set up'!$A$2:$E$50,5,FALSE)</f>
        <v>PD Chq</v>
      </c>
    </row>
    <row r="2701" spans="1:18" s="125" customFormat="1" x14ac:dyDescent="0.3">
      <c r="A2701" s="123">
        <v>45363</v>
      </c>
      <c r="B2701" s="124">
        <f t="shared" si="881"/>
        <v>3</v>
      </c>
      <c r="C2701" s="124">
        <f t="shared" si="882"/>
        <v>2024</v>
      </c>
      <c r="D2701" s="124" t="s">
        <v>2447</v>
      </c>
      <c r="E2701" s="5" t="str">
        <f>VLOOKUP(F2701,'Set up'!$A$2:$C$50,2,FALSE)</f>
        <v>C00000003</v>
      </c>
      <c r="F2701" s="125" t="s">
        <v>20</v>
      </c>
      <c r="G2701" s="99" t="s">
        <v>17</v>
      </c>
      <c r="H2701" s="124">
        <v>2</v>
      </c>
      <c r="I2701" s="5">
        <f>VLOOKUP(F2701,'Set up'!$A$2:$C$50,3,FALSE)</f>
        <v>45</v>
      </c>
      <c r="J2701" s="5">
        <f>VLOOKUP(F2701,'Set up'!$A$2:$D$50,4,FALSE)</f>
        <v>45</v>
      </c>
      <c r="K2701" s="123">
        <f t="shared" si="887"/>
        <v>45408</v>
      </c>
      <c r="L2701" s="124">
        <f t="shared" si="888"/>
        <v>4</v>
      </c>
      <c r="M2701" s="124">
        <f t="shared" si="889"/>
        <v>2024</v>
      </c>
      <c r="N2701" s="12">
        <v>220</v>
      </c>
      <c r="O2701" s="12"/>
      <c r="P2701" s="12">
        <f t="shared" si="890"/>
        <v>220</v>
      </c>
      <c r="Q2701" s="126">
        <f t="shared" si="891"/>
        <v>4382083.25</v>
      </c>
      <c r="R2701" s="44" t="str">
        <f>VLOOKUP(F2701,'Set up'!$A$2:$E$50,5,FALSE)</f>
        <v>PD Chq</v>
      </c>
    </row>
    <row r="2702" spans="1:18" s="125" customFormat="1" x14ac:dyDescent="0.3">
      <c r="A2702" s="123">
        <v>45363</v>
      </c>
      <c r="B2702" s="124">
        <f t="shared" si="881"/>
        <v>3</v>
      </c>
      <c r="C2702" s="124">
        <f t="shared" si="882"/>
        <v>2024</v>
      </c>
      <c r="D2702" s="124" t="s">
        <v>2447</v>
      </c>
      <c r="E2702" s="5" t="str">
        <f>VLOOKUP(F2702,'Set up'!$A$2:$C$50,2,FALSE)</f>
        <v>C00000003</v>
      </c>
      <c r="F2702" s="125" t="s">
        <v>20</v>
      </c>
      <c r="G2702" s="99" t="s">
        <v>950</v>
      </c>
      <c r="H2702" s="124">
        <v>1</v>
      </c>
      <c r="I2702" s="5">
        <f>VLOOKUP(F2702,'Set up'!$A$2:$C$50,3,FALSE)</f>
        <v>45</v>
      </c>
      <c r="J2702" s="5">
        <f>VLOOKUP(F2702,'Set up'!$A$2:$D$50,4,FALSE)</f>
        <v>45</v>
      </c>
      <c r="K2702" s="123">
        <f t="shared" si="887"/>
        <v>45408</v>
      </c>
      <c r="L2702" s="124">
        <f t="shared" si="888"/>
        <v>4</v>
      </c>
      <c r="M2702" s="124">
        <f t="shared" si="889"/>
        <v>2024</v>
      </c>
      <c r="N2702" s="12">
        <v>60</v>
      </c>
      <c r="O2702" s="12"/>
      <c r="P2702" s="12">
        <f t="shared" si="890"/>
        <v>60</v>
      </c>
      <c r="Q2702" s="126">
        <f t="shared" si="891"/>
        <v>4382143.25</v>
      </c>
      <c r="R2702" s="44" t="str">
        <f>VLOOKUP(F2702,'Set up'!$A$2:$E$50,5,FALSE)</f>
        <v>PD Chq</v>
      </c>
    </row>
    <row r="2703" spans="1:18" s="125" customFormat="1" x14ac:dyDescent="0.3">
      <c r="A2703" s="123">
        <v>45364</v>
      </c>
      <c r="B2703" s="124">
        <f t="shared" si="881"/>
        <v>3</v>
      </c>
      <c r="C2703" s="124">
        <f t="shared" si="882"/>
        <v>2024</v>
      </c>
      <c r="D2703" s="124" t="s">
        <v>2448</v>
      </c>
      <c r="E2703" s="5" t="str">
        <f>VLOOKUP(F2703,'Set up'!$A$2:$C$50,2,FALSE)</f>
        <v>C00000010</v>
      </c>
      <c r="F2703" s="125" t="s">
        <v>62</v>
      </c>
      <c r="G2703" s="95" t="s">
        <v>1179</v>
      </c>
      <c r="H2703" s="130">
        <v>8</v>
      </c>
      <c r="I2703" s="5">
        <f>VLOOKUP(F2703,'Set up'!$A$2:$C$50,3,FALSE)</f>
        <v>120</v>
      </c>
      <c r="J2703" s="5">
        <f>VLOOKUP(F2703,'Set up'!$A$2:$D$50,4,FALSE)</f>
        <v>120</v>
      </c>
      <c r="K2703" s="123">
        <f t="shared" si="887"/>
        <v>45484</v>
      </c>
      <c r="L2703" s="124">
        <f t="shared" si="888"/>
        <v>7</v>
      </c>
      <c r="M2703" s="124">
        <f t="shared" si="889"/>
        <v>2024</v>
      </c>
      <c r="N2703" s="12">
        <v>12848</v>
      </c>
      <c r="O2703" s="12"/>
      <c r="P2703" s="12">
        <f t="shared" si="890"/>
        <v>12848</v>
      </c>
      <c r="Q2703" s="126">
        <f t="shared" si="891"/>
        <v>4394991.25</v>
      </c>
      <c r="R2703" s="44" t="str">
        <f>VLOOKUP(F2703,'Set up'!$A$2:$E$50,5,FALSE)</f>
        <v>Trsf</v>
      </c>
    </row>
    <row r="2704" spans="1:18" s="125" customFormat="1" x14ac:dyDescent="0.3">
      <c r="A2704" s="123">
        <v>45364</v>
      </c>
      <c r="B2704" s="124">
        <f t="shared" si="881"/>
        <v>3</v>
      </c>
      <c r="C2704" s="124">
        <f t="shared" si="882"/>
        <v>2024</v>
      </c>
      <c r="D2704" s="124" t="s">
        <v>2448</v>
      </c>
      <c r="E2704" s="5" t="str">
        <f>VLOOKUP(F2704,'Set up'!$A$2:$C$50,2,FALSE)</f>
        <v>C00000010</v>
      </c>
      <c r="F2704" s="125" t="s">
        <v>62</v>
      </c>
      <c r="G2704" s="90" t="s">
        <v>2449</v>
      </c>
      <c r="H2704" s="127">
        <v>5</v>
      </c>
      <c r="I2704" s="5">
        <f>VLOOKUP(F2704,'Set up'!$A$2:$C$50,3,FALSE)</f>
        <v>120</v>
      </c>
      <c r="J2704" s="5">
        <f>VLOOKUP(F2704,'Set up'!$A$2:$D$50,4,FALSE)</f>
        <v>120</v>
      </c>
      <c r="K2704" s="123">
        <f t="shared" si="887"/>
        <v>45484</v>
      </c>
      <c r="L2704" s="124">
        <f t="shared" si="888"/>
        <v>7</v>
      </c>
      <c r="M2704" s="124">
        <f t="shared" si="889"/>
        <v>2024</v>
      </c>
      <c r="N2704" s="12">
        <v>1073</v>
      </c>
      <c r="O2704" s="12"/>
      <c r="P2704" s="12">
        <f t="shared" si="890"/>
        <v>1073</v>
      </c>
      <c r="Q2704" s="126">
        <f t="shared" si="891"/>
        <v>4396064.25</v>
      </c>
      <c r="R2704" s="44" t="str">
        <f>VLOOKUP(F2704,'Set up'!$A$2:$E$50,5,FALSE)</f>
        <v>Trsf</v>
      </c>
    </row>
    <row r="2705" spans="1:18" s="125" customFormat="1" x14ac:dyDescent="0.3">
      <c r="A2705" s="123">
        <v>45364</v>
      </c>
      <c r="B2705" s="124">
        <f t="shared" si="881"/>
        <v>3</v>
      </c>
      <c r="C2705" s="124">
        <f t="shared" si="882"/>
        <v>2024</v>
      </c>
      <c r="D2705" s="124" t="s">
        <v>2448</v>
      </c>
      <c r="E2705" s="5" t="str">
        <f>VLOOKUP(F2705,'Set up'!$A$2:$C$50,2,FALSE)</f>
        <v>C00000010</v>
      </c>
      <c r="F2705" s="125" t="s">
        <v>62</v>
      </c>
      <c r="G2705" s="90" t="s">
        <v>792</v>
      </c>
      <c r="H2705" s="127">
        <v>5</v>
      </c>
      <c r="I2705" s="5">
        <f>VLOOKUP(F2705,'Set up'!$A$2:$C$50,3,FALSE)</f>
        <v>120</v>
      </c>
      <c r="J2705" s="5">
        <f>VLOOKUP(F2705,'Set up'!$A$2:$D$50,4,FALSE)</f>
        <v>120</v>
      </c>
      <c r="K2705" s="123">
        <f t="shared" si="887"/>
        <v>45484</v>
      </c>
      <c r="L2705" s="124">
        <f t="shared" si="888"/>
        <v>7</v>
      </c>
      <c r="M2705" s="124">
        <f t="shared" si="889"/>
        <v>2024</v>
      </c>
      <c r="N2705" s="12">
        <v>287.5</v>
      </c>
      <c r="O2705" s="12"/>
      <c r="P2705" s="12">
        <f t="shared" si="890"/>
        <v>287.5</v>
      </c>
      <c r="Q2705" s="126">
        <f t="shared" si="891"/>
        <v>4396351.75</v>
      </c>
      <c r="R2705" s="44" t="str">
        <f>VLOOKUP(F2705,'Set up'!$A$2:$E$50,5,FALSE)</f>
        <v>Trsf</v>
      </c>
    </row>
    <row r="2706" spans="1:18" s="125" customFormat="1" x14ac:dyDescent="0.3">
      <c r="A2706" s="123">
        <v>45364</v>
      </c>
      <c r="B2706" s="124">
        <f t="shared" si="881"/>
        <v>3</v>
      </c>
      <c r="C2706" s="124">
        <f t="shared" si="882"/>
        <v>2024</v>
      </c>
      <c r="D2706" s="124" t="s">
        <v>2448</v>
      </c>
      <c r="E2706" s="5" t="str">
        <f>VLOOKUP(F2706,'Set up'!$A$2:$C$50,2,FALSE)</f>
        <v>C00000010</v>
      </c>
      <c r="F2706" s="125" t="s">
        <v>62</v>
      </c>
      <c r="G2706" s="11" t="s">
        <v>46</v>
      </c>
      <c r="H2706" s="127">
        <v>4</v>
      </c>
      <c r="I2706" s="5">
        <f>VLOOKUP(F2706,'Set up'!$A$2:$C$50,3,FALSE)</f>
        <v>120</v>
      </c>
      <c r="J2706" s="5">
        <f>VLOOKUP(F2706,'Set up'!$A$2:$D$50,4,FALSE)</f>
        <v>120</v>
      </c>
      <c r="K2706" s="123">
        <f t="shared" si="887"/>
        <v>45484</v>
      </c>
      <c r="L2706" s="124">
        <f t="shared" si="888"/>
        <v>7</v>
      </c>
      <c r="M2706" s="124">
        <f t="shared" si="889"/>
        <v>2024</v>
      </c>
      <c r="N2706" s="12">
        <v>440</v>
      </c>
      <c r="O2706" s="12"/>
      <c r="P2706" s="12">
        <f t="shared" si="890"/>
        <v>440</v>
      </c>
      <c r="Q2706" s="126">
        <f t="shared" si="891"/>
        <v>4396791.75</v>
      </c>
      <c r="R2706" s="44" t="str">
        <f>VLOOKUP(F2706,'Set up'!$A$2:$E$50,5,FALSE)</f>
        <v>Trsf</v>
      </c>
    </row>
    <row r="2707" spans="1:18" s="125" customFormat="1" x14ac:dyDescent="0.3">
      <c r="A2707" s="123">
        <v>45364</v>
      </c>
      <c r="B2707" s="124">
        <f t="shared" si="881"/>
        <v>3</v>
      </c>
      <c r="C2707" s="124">
        <f t="shared" si="882"/>
        <v>2024</v>
      </c>
      <c r="D2707" s="124" t="s">
        <v>2448</v>
      </c>
      <c r="E2707" s="5" t="str">
        <f>VLOOKUP(F2707,'Set up'!$A$2:$C$50,2,FALSE)</f>
        <v>C00000010</v>
      </c>
      <c r="F2707" s="125" t="s">
        <v>62</v>
      </c>
      <c r="G2707" s="90" t="s">
        <v>945</v>
      </c>
      <c r="H2707" s="127">
        <v>1</v>
      </c>
      <c r="I2707" s="5">
        <f>VLOOKUP(F2707,'Set up'!$A$2:$C$50,3,FALSE)</f>
        <v>120</v>
      </c>
      <c r="J2707" s="5">
        <f>VLOOKUP(F2707,'Set up'!$A$2:$D$50,4,FALSE)</f>
        <v>120</v>
      </c>
      <c r="K2707" s="123">
        <f t="shared" si="887"/>
        <v>45484</v>
      </c>
      <c r="L2707" s="124">
        <f t="shared" si="888"/>
        <v>7</v>
      </c>
      <c r="M2707" s="124">
        <f t="shared" si="889"/>
        <v>2024</v>
      </c>
      <c r="N2707" s="12">
        <v>420</v>
      </c>
      <c r="O2707" s="12"/>
      <c r="P2707" s="12">
        <f t="shared" si="890"/>
        <v>420</v>
      </c>
      <c r="Q2707" s="126">
        <f t="shared" si="891"/>
        <v>4397211.75</v>
      </c>
      <c r="R2707" s="44" t="str">
        <f>VLOOKUP(F2707,'Set up'!$A$2:$E$50,5,FALSE)</f>
        <v>Trsf</v>
      </c>
    </row>
    <row r="2708" spans="1:18" s="125" customFormat="1" x14ac:dyDescent="0.3">
      <c r="A2708" s="123">
        <v>45364</v>
      </c>
      <c r="B2708" s="124">
        <f t="shared" si="881"/>
        <v>3</v>
      </c>
      <c r="C2708" s="124">
        <f t="shared" si="882"/>
        <v>2024</v>
      </c>
      <c r="D2708" s="124" t="s">
        <v>2450</v>
      </c>
      <c r="E2708" s="5" t="str">
        <f>VLOOKUP(F2708,'Set up'!$A$2:$C$50,2,FALSE)</f>
        <v>C00000042</v>
      </c>
      <c r="F2708" s="125" t="s">
        <v>2014</v>
      </c>
      <c r="G2708" s="103" t="s">
        <v>1111</v>
      </c>
      <c r="H2708" s="124">
        <v>10</v>
      </c>
      <c r="I2708" s="5" t="str">
        <f>VLOOKUP(F2708,'Set up'!$A$2:$C$50,3,FALSE)</f>
        <v>Cash</v>
      </c>
      <c r="J2708" s="5">
        <f>VLOOKUP(F2708,'Set up'!$A$2:$D$50,4,FALSE)</f>
        <v>0</v>
      </c>
      <c r="K2708" s="123">
        <f t="shared" si="887"/>
        <v>45364</v>
      </c>
      <c r="L2708" s="124">
        <f t="shared" si="888"/>
        <v>3</v>
      </c>
      <c r="M2708" s="124">
        <f t="shared" si="889"/>
        <v>2024</v>
      </c>
      <c r="N2708" s="12">
        <v>625</v>
      </c>
      <c r="O2708" s="12"/>
      <c r="P2708" s="12">
        <f t="shared" si="890"/>
        <v>625</v>
      </c>
      <c r="Q2708" s="126">
        <f t="shared" si="891"/>
        <v>4397836.75</v>
      </c>
      <c r="R2708" s="44" t="str">
        <f>VLOOKUP(F2708,'Set up'!$A$2:$E$50,5,FALSE)</f>
        <v>Trsf</v>
      </c>
    </row>
    <row r="2709" spans="1:18" s="125" customFormat="1" x14ac:dyDescent="0.3">
      <c r="A2709" s="123">
        <v>45364</v>
      </c>
      <c r="B2709" s="124">
        <f t="shared" si="881"/>
        <v>3</v>
      </c>
      <c r="C2709" s="124">
        <f t="shared" si="882"/>
        <v>2024</v>
      </c>
      <c r="D2709" s="124" t="s">
        <v>2451</v>
      </c>
      <c r="E2709" s="5" t="str">
        <f>VLOOKUP(F2709,'Set up'!$A$2:$C$50,2,FALSE)</f>
        <v>C00000042</v>
      </c>
      <c r="F2709" s="125" t="s">
        <v>2014</v>
      </c>
      <c r="G2709" s="103" t="s">
        <v>1734</v>
      </c>
      <c r="H2709" s="127">
        <v>10</v>
      </c>
      <c r="I2709" s="5" t="str">
        <f>VLOOKUP(F2709,'Set up'!$A$2:$C$50,3,FALSE)</f>
        <v>Cash</v>
      </c>
      <c r="J2709" s="5">
        <f>VLOOKUP(F2709,'Set up'!$A$2:$D$50,4,FALSE)</f>
        <v>0</v>
      </c>
      <c r="K2709" s="123">
        <f t="shared" si="887"/>
        <v>45364</v>
      </c>
      <c r="L2709" s="124">
        <f t="shared" si="888"/>
        <v>3</v>
      </c>
      <c r="M2709" s="124">
        <f t="shared" si="889"/>
        <v>2024</v>
      </c>
      <c r="N2709" s="12">
        <v>16060</v>
      </c>
      <c r="O2709" s="12"/>
      <c r="P2709" s="12">
        <f t="shared" si="890"/>
        <v>16060</v>
      </c>
      <c r="Q2709" s="126">
        <f t="shared" si="891"/>
        <v>4413896.75</v>
      </c>
      <c r="R2709" s="44" t="str">
        <f>VLOOKUP(F2709,'Set up'!$A$2:$E$50,5,FALSE)</f>
        <v>Trsf</v>
      </c>
    </row>
    <row r="2710" spans="1:18" s="125" customFormat="1" x14ac:dyDescent="0.3">
      <c r="A2710" s="123">
        <v>45364</v>
      </c>
      <c r="B2710" s="124">
        <f t="shared" si="881"/>
        <v>3</v>
      </c>
      <c r="C2710" s="124">
        <f t="shared" si="882"/>
        <v>2024</v>
      </c>
      <c r="D2710" s="124" t="s">
        <v>2451</v>
      </c>
      <c r="E2710" s="5" t="str">
        <f>VLOOKUP(F2710,'Set up'!$A$2:$C$50,2,FALSE)</f>
        <v>C00000042</v>
      </c>
      <c r="F2710" s="125" t="s">
        <v>2014</v>
      </c>
      <c r="G2710" s="90" t="s">
        <v>914</v>
      </c>
      <c r="H2710" s="127">
        <v>30</v>
      </c>
      <c r="I2710" s="5" t="str">
        <f>VLOOKUP(F2710,'Set up'!$A$2:$C$50,3,FALSE)</f>
        <v>Cash</v>
      </c>
      <c r="J2710" s="5">
        <f>VLOOKUP(F2710,'Set up'!$A$2:$D$50,4,FALSE)</f>
        <v>0</v>
      </c>
      <c r="K2710" s="123">
        <f t="shared" si="887"/>
        <v>45364</v>
      </c>
      <c r="L2710" s="124">
        <f t="shared" si="888"/>
        <v>3</v>
      </c>
      <c r="M2710" s="124">
        <f t="shared" si="889"/>
        <v>2024</v>
      </c>
      <c r="N2710" s="12">
        <v>5220</v>
      </c>
      <c r="O2710" s="12"/>
      <c r="P2710" s="12">
        <f t="shared" si="890"/>
        <v>5220</v>
      </c>
      <c r="Q2710" s="126">
        <f t="shared" si="891"/>
        <v>4419116.75</v>
      </c>
      <c r="R2710" s="44" t="str">
        <f>VLOOKUP(F2710,'Set up'!$A$2:$E$50,5,FALSE)</f>
        <v>Trsf</v>
      </c>
    </row>
    <row r="2711" spans="1:18" s="125" customFormat="1" x14ac:dyDescent="0.3">
      <c r="A2711" s="123">
        <v>45364</v>
      </c>
      <c r="B2711" s="124">
        <f t="shared" si="881"/>
        <v>3</v>
      </c>
      <c r="C2711" s="124">
        <f t="shared" si="882"/>
        <v>2024</v>
      </c>
      <c r="D2711" s="124" t="s">
        <v>2451</v>
      </c>
      <c r="E2711" s="5" t="str">
        <f>VLOOKUP(F2711,'Set up'!$A$2:$C$50,2,FALSE)</f>
        <v>C00000042</v>
      </c>
      <c r="F2711" s="125" t="s">
        <v>2014</v>
      </c>
      <c r="G2711" s="90" t="s">
        <v>1923</v>
      </c>
      <c r="H2711" s="127">
        <v>15</v>
      </c>
      <c r="I2711" s="5" t="str">
        <f>VLOOKUP(F2711,'Set up'!$A$2:$C$50,3,FALSE)</f>
        <v>Cash</v>
      </c>
      <c r="J2711" s="5">
        <f>VLOOKUP(F2711,'Set up'!$A$2:$D$50,4,FALSE)</f>
        <v>0</v>
      </c>
      <c r="K2711" s="123">
        <f t="shared" si="887"/>
        <v>45364</v>
      </c>
      <c r="L2711" s="124">
        <f t="shared" si="888"/>
        <v>3</v>
      </c>
      <c r="M2711" s="124">
        <f t="shared" si="889"/>
        <v>2024</v>
      </c>
      <c r="N2711" s="12">
        <v>3510</v>
      </c>
      <c r="O2711" s="12"/>
      <c r="P2711" s="12">
        <f t="shared" si="890"/>
        <v>3510</v>
      </c>
      <c r="Q2711" s="126">
        <f t="shared" si="891"/>
        <v>4422626.75</v>
      </c>
      <c r="R2711" s="44" t="str">
        <f>VLOOKUP(F2711,'Set up'!$A$2:$E$50,5,FALSE)</f>
        <v>Trsf</v>
      </c>
    </row>
    <row r="2712" spans="1:18" s="125" customFormat="1" x14ac:dyDescent="0.3">
      <c r="A2712" s="123">
        <v>45364</v>
      </c>
      <c r="B2712" s="124">
        <f t="shared" ref="B2712:B2728" si="892">MONTH(A2712)</f>
        <v>3</v>
      </c>
      <c r="C2712" s="124">
        <f t="shared" ref="C2712:C2728" si="893">YEAR(A2712)</f>
        <v>2024</v>
      </c>
      <c r="D2712" s="124" t="s">
        <v>2451</v>
      </c>
      <c r="E2712" s="5" t="str">
        <f>VLOOKUP(F2712,'Set up'!$A$2:$C$50,2,FALSE)</f>
        <v>C00000042</v>
      </c>
      <c r="F2712" s="125" t="s">
        <v>2014</v>
      </c>
      <c r="G2712" s="90" t="s">
        <v>1074</v>
      </c>
      <c r="H2712" s="127">
        <v>1</v>
      </c>
      <c r="I2712" s="5" t="str">
        <f>VLOOKUP(F2712,'Set up'!$A$2:$C$50,3,FALSE)</f>
        <v>Cash</v>
      </c>
      <c r="J2712" s="5">
        <f>VLOOKUP(F2712,'Set up'!$A$2:$D$50,4,FALSE)</f>
        <v>0</v>
      </c>
      <c r="K2712" s="123">
        <f t="shared" ref="K2712:K2728" si="894">A2712+J2712</f>
        <v>45364</v>
      </c>
      <c r="L2712" s="124">
        <f t="shared" ref="L2712:L2728" si="895">MONTH(K2712)</f>
        <v>3</v>
      </c>
      <c r="M2712" s="124">
        <f t="shared" ref="M2712:M2728" si="896">YEAR(K2712)</f>
        <v>2024</v>
      </c>
      <c r="N2712" s="12">
        <v>1000</v>
      </c>
      <c r="O2712" s="12"/>
      <c r="P2712" s="12">
        <f t="shared" ref="P2712:P2728" si="897">SUM(N2712+O2712)</f>
        <v>1000</v>
      </c>
      <c r="Q2712" s="126">
        <f t="shared" ref="Q2712:Q2728" si="898">SUM(Q2711+N2712)</f>
        <v>4423626.75</v>
      </c>
      <c r="R2712" s="44" t="str">
        <f>VLOOKUP(F2712,'Set up'!$A$2:$E$50,5,FALSE)</f>
        <v>Trsf</v>
      </c>
    </row>
    <row r="2713" spans="1:18" s="125" customFormat="1" x14ac:dyDescent="0.3">
      <c r="A2713" s="123">
        <v>45364</v>
      </c>
      <c r="B2713" s="124">
        <f t="shared" si="892"/>
        <v>3</v>
      </c>
      <c r="C2713" s="124">
        <f t="shared" si="893"/>
        <v>2024</v>
      </c>
      <c r="D2713" s="124" t="s">
        <v>2451</v>
      </c>
      <c r="E2713" s="5" t="str">
        <f>VLOOKUP(F2713,'Set up'!$A$2:$C$50,2,FALSE)</f>
        <v>C00000042</v>
      </c>
      <c r="F2713" s="125" t="s">
        <v>2014</v>
      </c>
      <c r="G2713" s="90" t="s">
        <v>2452</v>
      </c>
      <c r="H2713" s="127">
        <v>1</v>
      </c>
      <c r="I2713" s="5" t="str">
        <f>VLOOKUP(F2713,'Set up'!$A$2:$C$50,3,FALSE)</f>
        <v>Cash</v>
      </c>
      <c r="J2713" s="5">
        <f>VLOOKUP(F2713,'Set up'!$A$2:$D$50,4,FALSE)</f>
        <v>0</v>
      </c>
      <c r="K2713" s="123">
        <f t="shared" si="894"/>
        <v>45364</v>
      </c>
      <c r="L2713" s="124">
        <f t="shared" si="895"/>
        <v>3</v>
      </c>
      <c r="M2713" s="124">
        <f t="shared" si="896"/>
        <v>2024</v>
      </c>
      <c r="N2713" s="12">
        <v>360</v>
      </c>
      <c r="O2713" s="12"/>
      <c r="P2713" s="12">
        <f t="shared" si="897"/>
        <v>360</v>
      </c>
      <c r="Q2713" s="126">
        <f t="shared" si="898"/>
        <v>4423986.75</v>
      </c>
      <c r="R2713" s="44" t="str">
        <f>VLOOKUP(F2713,'Set up'!$A$2:$E$50,5,FALSE)</f>
        <v>Trsf</v>
      </c>
    </row>
    <row r="2714" spans="1:18" s="125" customFormat="1" x14ac:dyDescent="0.3">
      <c r="A2714" s="123">
        <v>45364</v>
      </c>
      <c r="B2714" s="124">
        <f t="shared" si="892"/>
        <v>3</v>
      </c>
      <c r="C2714" s="124">
        <f t="shared" si="893"/>
        <v>2024</v>
      </c>
      <c r="D2714" s="124" t="s">
        <v>2451</v>
      </c>
      <c r="E2714" s="5" t="str">
        <f>VLOOKUP(F2714,'Set up'!$A$2:$C$50,2,FALSE)</f>
        <v>C00000042</v>
      </c>
      <c r="F2714" s="125" t="s">
        <v>2014</v>
      </c>
      <c r="G2714" s="99" t="s">
        <v>1062</v>
      </c>
      <c r="H2714" s="129">
        <v>4</v>
      </c>
      <c r="I2714" s="5" t="str">
        <f>VLOOKUP(F2714,'Set up'!$A$2:$C$50,3,FALSE)</f>
        <v>Cash</v>
      </c>
      <c r="J2714" s="5">
        <f>VLOOKUP(F2714,'Set up'!$A$2:$D$50,4,FALSE)</f>
        <v>0</v>
      </c>
      <c r="K2714" s="123">
        <f t="shared" si="894"/>
        <v>45364</v>
      </c>
      <c r="L2714" s="124">
        <f t="shared" si="895"/>
        <v>3</v>
      </c>
      <c r="M2714" s="124">
        <f t="shared" si="896"/>
        <v>2024</v>
      </c>
      <c r="N2714" s="12">
        <v>380</v>
      </c>
      <c r="O2714" s="12"/>
      <c r="P2714" s="12">
        <f t="shared" si="897"/>
        <v>380</v>
      </c>
      <c r="Q2714" s="126">
        <f t="shared" si="898"/>
        <v>4424366.75</v>
      </c>
      <c r="R2714" s="44" t="str">
        <f>VLOOKUP(F2714,'Set up'!$A$2:$E$50,5,FALSE)</f>
        <v>Trsf</v>
      </c>
    </row>
    <row r="2715" spans="1:18" s="125" customFormat="1" x14ac:dyDescent="0.3">
      <c r="A2715" s="123">
        <v>45367</v>
      </c>
      <c r="B2715" s="124">
        <f t="shared" si="892"/>
        <v>3</v>
      </c>
      <c r="C2715" s="124">
        <f t="shared" si="893"/>
        <v>2024</v>
      </c>
      <c r="D2715" s="124" t="s">
        <v>2453</v>
      </c>
      <c r="E2715" s="5" t="str">
        <f>VLOOKUP(F2715,'Set up'!$A$2:$C$50,2,FALSE)</f>
        <v>C00000014</v>
      </c>
      <c r="F2715" s="125" t="s">
        <v>263</v>
      </c>
      <c r="G2715" s="95" t="s">
        <v>304</v>
      </c>
      <c r="H2715" s="127">
        <v>2</v>
      </c>
      <c r="I2715" s="5" t="str">
        <f>VLOOKUP(F2715,'Set up'!$A$2:$C$50,3,FALSE)</f>
        <v>Cash</v>
      </c>
      <c r="J2715" s="5">
        <f>VLOOKUP(F2715,'Set up'!$A$2:$D$50,4,FALSE)</f>
        <v>0</v>
      </c>
      <c r="K2715" s="123">
        <f t="shared" si="894"/>
        <v>45367</v>
      </c>
      <c r="L2715" s="124">
        <f t="shared" si="895"/>
        <v>3</v>
      </c>
      <c r="M2715" s="124">
        <f t="shared" si="896"/>
        <v>2024</v>
      </c>
      <c r="N2715" s="12">
        <v>3212</v>
      </c>
      <c r="O2715" s="12"/>
      <c r="P2715" s="12">
        <f t="shared" si="897"/>
        <v>3212</v>
      </c>
      <c r="Q2715" s="126">
        <f t="shared" si="898"/>
        <v>4427578.75</v>
      </c>
      <c r="R2715" s="44" t="str">
        <f>VLOOKUP(F2715,'Set up'!$A$2:$E$50,5,FALSE)</f>
        <v>Cash</v>
      </c>
    </row>
    <row r="2716" spans="1:18" s="125" customFormat="1" x14ac:dyDescent="0.3">
      <c r="A2716" s="123">
        <v>45367</v>
      </c>
      <c r="B2716" s="124">
        <f t="shared" si="892"/>
        <v>3</v>
      </c>
      <c r="C2716" s="124">
        <f t="shared" si="893"/>
        <v>2024</v>
      </c>
      <c r="D2716" s="124" t="s">
        <v>2453</v>
      </c>
      <c r="E2716" s="5" t="str">
        <f>VLOOKUP(F2716,'Set up'!$A$2:$C$50,2,FALSE)</f>
        <v>C00000014</v>
      </c>
      <c r="F2716" s="125" t="s">
        <v>263</v>
      </c>
      <c r="G2716" s="1" t="s">
        <v>1544</v>
      </c>
      <c r="H2716" s="127">
        <v>4</v>
      </c>
      <c r="I2716" s="5" t="str">
        <f>VLOOKUP(F2716,'Set up'!$A$2:$C$50,3,FALSE)</f>
        <v>Cash</v>
      </c>
      <c r="J2716" s="5">
        <f>VLOOKUP(F2716,'Set up'!$A$2:$D$50,4,FALSE)</f>
        <v>0</v>
      </c>
      <c r="K2716" s="123">
        <f t="shared" si="894"/>
        <v>45367</v>
      </c>
      <c r="L2716" s="124">
        <f t="shared" si="895"/>
        <v>3</v>
      </c>
      <c r="M2716" s="124">
        <f t="shared" si="896"/>
        <v>2024</v>
      </c>
      <c r="N2716" s="12">
        <v>828</v>
      </c>
      <c r="O2716" s="12"/>
      <c r="P2716" s="12">
        <f t="shared" si="897"/>
        <v>828</v>
      </c>
      <c r="Q2716" s="126">
        <f t="shared" si="898"/>
        <v>4428406.75</v>
      </c>
      <c r="R2716" s="44" t="str">
        <f>VLOOKUP(F2716,'Set up'!$A$2:$E$50,5,FALSE)</f>
        <v>Cash</v>
      </c>
    </row>
    <row r="2717" spans="1:18" s="125" customFormat="1" x14ac:dyDescent="0.3">
      <c r="A2717" s="123">
        <v>45367</v>
      </c>
      <c r="B2717" s="124">
        <f t="shared" si="892"/>
        <v>3</v>
      </c>
      <c r="C2717" s="124">
        <f t="shared" si="893"/>
        <v>2024</v>
      </c>
      <c r="D2717" s="124" t="s">
        <v>2453</v>
      </c>
      <c r="E2717" s="5" t="str">
        <f>VLOOKUP(F2717,'Set up'!$A$2:$C$50,2,FALSE)</f>
        <v>C00000014</v>
      </c>
      <c r="F2717" s="125" t="s">
        <v>263</v>
      </c>
      <c r="G2717" s="11" t="s">
        <v>2112</v>
      </c>
      <c r="H2717" s="127">
        <v>2</v>
      </c>
      <c r="I2717" s="5" t="str">
        <f>VLOOKUP(F2717,'Set up'!$A$2:$C$50,3,FALSE)</f>
        <v>Cash</v>
      </c>
      <c r="J2717" s="5">
        <f>VLOOKUP(F2717,'Set up'!$A$2:$D$50,4,FALSE)</f>
        <v>0</v>
      </c>
      <c r="K2717" s="123">
        <f t="shared" si="894"/>
        <v>45367</v>
      </c>
      <c r="L2717" s="124">
        <f t="shared" si="895"/>
        <v>3</v>
      </c>
      <c r="M2717" s="124">
        <f t="shared" si="896"/>
        <v>2024</v>
      </c>
      <c r="N2717" s="12">
        <v>567.6</v>
      </c>
      <c r="O2717" s="12"/>
      <c r="P2717" s="12">
        <f t="shared" si="897"/>
        <v>567.6</v>
      </c>
      <c r="Q2717" s="126">
        <f t="shared" si="898"/>
        <v>4428974.3499999996</v>
      </c>
      <c r="R2717" s="44" t="str">
        <f>VLOOKUP(F2717,'Set up'!$A$2:$E$50,5,FALSE)</f>
        <v>Cash</v>
      </c>
    </row>
    <row r="2718" spans="1:18" s="125" customFormat="1" x14ac:dyDescent="0.3">
      <c r="A2718" s="123">
        <v>45367</v>
      </c>
      <c r="B2718" s="124">
        <f t="shared" si="892"/>
        <v>3</v>
      </c>
      <c r="C2718" s="124">
        <f t="shared" si="893"/>
        <v>2024</v>
      </c>
      <c r="D2718" s="124" t="s">
        <v>2453</v>
      </c>
      <c r="E2718" s="5" t="str">
        <f>VLOOKUP(F2718,'Set up'!$A$2:$C$50,2,FALSE)</f>
        <v>C00000014</v>
      </c>
      <c r="F2718" s="125" t="s">
        <v>263</v>
      </c>
      <c r="G2718" s="90" t="s">
        <v>17</v>
      </c>
      <c r="H2718" s="127">
        <v>1</v>
      </c>
      <c r="I2718" s="5" t="str">
        <f>VLOOKUP(F2718,'Set up'!$A$2:$C$50,3,FALSE)</f>
        <v>Cash</v>
      </c>
      <c r="J2718" s="5">
        <f>VLOOKUP(F2718,'Set up'!$A$2:$D$50,4,FALSE)</f>
        <v>0</v>
      </c>
      <c r="K2718" s="123">
        <f t="shared" si="894"/>
        <v>45367</v>
      </c>
      <c r="L2718" s="124">
        <f t="shared" si="895"/>
        <v>3</v>
      </c>
      <c r="M2718" s="124">
        <f t="shared" si="896"/>
        <v>2024</v>
      </c>
      <c r="N2718" s="12">
        <v>110</v>
      </c>
      <c r="O2718" s="12"/>
      <c r="P2718" s="12">
        <f t="shared" si="897"/>
        <v>110</v>
      </c>
      <c r="Q2718" s="126">
        <f t="shared" si="898"/>
        <v>4429084.3499999996</v>
      </c>
      <c r="R2718" s="44" t="str">
        <f>VLOOKUP(F2718,'Set up'!$A$2:$E$50,5,FALSE)</f>
        <v>Cash</v>
      </c>
    </row>
    <row r="2719" spans="1:18" s="125" customFormat="1" x14ac:dyDescent="0.3">
      <c r="A2719" s="123">
        <v>45367</v>
      </c>
      <c r="B2719" s="124">
        <f t="shared" si="892"/>
        <v>3</v>
      </c>
      <c r="C2719" s="124">
        <f t="shared" si="893"/>
        <v>2024</v>
      </c>
      <c r="D2719" s="124" t="s">
        <v>2453</v>
      </c>
      <c r="E2719" s="5" t="str">
        <f>VLOOKUP(F2719,'Set up'!$A$2:$C$50,2,FALSE)</f>
        <v>C00000014</v>
      </c>
      <c r="F2719" s="125" t="s">
        <v>263</v>
      </c>
      <c r="G2719" s="99" t="s">
        <v>1887</v>
      </c>
      <c r="H2719" s="127">
        <v>1</v>
      </c>
      <c r="I2719" s="5" t="str">
        <f>VLOOKUP(F2719,'Set up'!$A$2:$C$50,3,FALSE)</f>
        <v>Cash</v>
      </c>
      <c r="J2719" s="5">
        <f>VLOOKUP(F2719,'Set up'!$A$2:$D$50,4,FALSE)</f>
        <v>0</v>
      </c>
      <c r="K2719" s="123">
        <f t="shared" si="894"/>
        <v>45367</v>
      </c>
      <c r="L2719" s="124">
        <f t="shared" si="895"/>
        <v>3</v>
      </c>
      <c r="M2719" s="124">
        <f t="shared" si="896"/>
        <v>2024</v>
      </c>
      <c r="N2719" s="12">
        <v>160</v>
      </c>
      <c r="O2719" s="12"/>
      <c r="P2719" s="12">
        <f t="shared" si="897"/>
        <v>160</v>
      </c>
      <c r="Q2719" s="126">
        <f t="shared" si="898"/>
        <v>4429244.3499999996</v>
      </c>
      <c r="R2719" s="44" t="str">
        <f>VLOOKUP(F2719,'Set up'!$A$2:$E$50,5,FALSE)</f>
        <v>Cash</v>
      </c>
    </row>
    <row r="2720" spans="1:18" s="125" customFormat="1" x14ac:dyDescent="0.3">
      <c r="A2720" s="123">
        <v>45367</v>
      </c>
      <c r="B2720" s="124">
        <f t="shared" si="892"/>
        <v>3</v>
      </c>
      <c r="C2720" s="124">
        <f t="shared" si="893"/>
        <v>2024</v>
      </c>
      <c r="D2720" s="124" t="s">
        <v>2454</v>
      </c>
      <c r="E2720" s="5" t="str">
        <f>VLOOKUP(F2720,'Set up'!$A$2:$C$50,2,FALSE)</f>
        <v>C00000048</v>
      </c>
      <c r="F2720" s="1" t="s">
        <v>2457</v>
      </c>
      <c r="G2720" s="95" t="s">
        <v>1424</v>
      </c>
      <c r="H2720" s="124">
        <v>1</v>
      </c>
      <c r="I2720" s="5" t="str">
        <f>VLOOKUP(F2720,'Set up'!$A$2:$C$50,3,FALSE)</f>
        <v>Cash</v>
      </c>
      <c r="J2720" s="5">
        <f>VLOOKUP(F2720,'Set up'!$A$2:$D$50,4,FALSE)</f>
        <v>0</v>
      </c>
      <c r="K2720" s="123">
        <f t="shared" si="894"/>
        <v>45367</v>
      </c>
      <c r="L2720" s="124">
        <f t="shared" si="895"/>
        <v>3</v>
      </c>
      <c r="M2720" s="124">
        <f t="shared" si="896"/>
        <v>2024</v>
      </c>
      <c r="N2720" s="12">
        <v>220</v>
      </c>
      <c r="O2720" s="12"/>
      <c r="P2720" s="12">
        <f t="shared" si="897"/>
        <v>220</v>
      </c>
      <c r="Q2720" s="126">
        <f t="shared" si="898"/>
        <v>4429464.3499999996</v>
      </c>
      <c r="R2720" s="44" t="str">
        <f>VLOOKUP(F2720,'Set up'!$A$2:$E$50,5,FALSE)</f>
        <v>Trsf</v>
      </c>
    </row>
    <row r="2721" spans="1:18" s="125" customFormat="1" x14ac:dyDescent="0.3">
      <c r="A2721" s="123">
        <v>45367</v>
      </c>
      <c r="B2721" s="124">
        <f t="shared" si="892"/>
        <v>3</v>
      </c>
      <c r="C2721" s="124">
        <f t="shared" si="893"/>
        <v>2024</v>
      </c>
      <c r="D2721" s="124" t="s">
        <v>2459</v>
      </c>
      <c r="E2721" s="5" t="str">
        <f>VLOOKUP(F2721,'Set up'!$A$2:$C$50,2,FALSE)</f>
        <v>C00000019</v>
      </c>
      <c r="F2721" s="125" t="s">
        <v>401</v>
      </c>
      <c r="G2721" s="90" t="s">
        <v>95</v>
      </c>
      <c r="H2721" s="127">
        <v>1</v>
      </c>
      <c r="I2721" s="5" t="str">
        <f>VLOOKUP(F2721,'Set up'!$A$2:$C$50,3,FALSE)</f>
        <v>Cash</v>
      </c>
      <c r="J2721" s="5">
        <f>VLOOKUP(F2721,'Set up'!$A$2:$D$50,4,FALSE)</f>
        <v>0</v>
      </c>
      <c r="K2721" s="123">
        <f t="shared" si="894"/>
        <v>45367</v>
      </c>
      <c r="L2721" s="124">
        <f t="shared" si="895"/>
        <v>3</v>
      </c>
      <c r="M2721" s="124">
        <f t="shared" si="896"/>
        <v>2024</v>
      </c>
      <c r="N2721" s="12">
        <v>1738</v>
      </c>
      <c r="O2721" s="12"/>
      <c r="P2721" s="12">
        <f t="shared" si="897"/>
        <v>1738</v>
      </c>
      <c r="Q2721" s="126">
        <f t="shared" si="898"/>
        <v>4431202.3499999996</v>
      </c>
      <c r="R2721" s="44" t="str">
        <f>VLOOKUP(F2721,'Set up'!$A$2:$E$50,5,FALSE)</f>
        <v>Trsf</v>
      </c>
    </row>
    <row r="2722" spans="1:18" s="125" customFormat="1" x14ac:dyDescent="0.3">
      <c r="A2722" s="123">
        <v>45367</v>
      </c>
      <c r="B2722" s="124">
        <f t="shared" si="892"/>
        <v>3</v>
      </c>
      <c r="C2722" s="124">
        <f t="shared" si="893"/>
        <v>2024</v>
      </c>
      <c r="D2722" s="124" t="s">
        <v>2459</v>
      </c>
      <c r="E2722" s="5" t="str">
        <f>VLOOKUP(F2722,'Set up'!$A$2:$C$50,2,FALSE)</f>
        <v>C00000019</v>
      </c>
      <c r="F2722" s="125" t="s">
        <v>401</v>
      </c>
      <c r="G2722" s="90" t="s">
        <v>1412</v>
      </c>
      <c r="H2722" s="127">
        <v>1</v>
      </c>
      <c r="I2722" s="5" t="str">
        <f>VLOOKUP(F2722,'Set up'!$A$2:$C$50,3,FALSE)</f>
        <v>Cash</v>
      </c>
      <c r="J2722" s="5">
        <f>VLOOKUP(F2722,'Set up'!$A$2:$D$50,4,FALSE)</f>
        <v>0</v>
      </c>
      <c r="K2722" s="123">
        <f t="shared" si="894"/>
        <v>45367</v>
      </c>
      <c r="L2722" s="124">
        <f t="shared" si="895"/>
        <v>3</v>
      </c>
      <c r="M2722" s="124">
        <f t="shared" si="896"/>
        <v>2024</v>
      </c>
      <c r="N2722" s="12">
        <v>405</v>
      </c>
      <c r="O2722" s="12"/>
      <c r="P2722" s="12">
        <f t="shared" si="897"/>
        <v>405</v>
      </c>
      <c r="Q2722" s="126">
        <f t="shared" si="898"/>
        <v>4431607.3499999996</v>
      </c>
      <c r="R2722" s="44" t="str">
        <f>VLOOKUP(F2722,'Set up'!$A$2:$E$50,5,FALSE)</f>
        <v>Trsf</v>
      </c>
    </row>
    <row r="2723" spans="1:18" s="125" customFormat="1" x14ac:dyDescent="0.3">
      <c r="A2723" s="123">
        <v>45367</v>
      </c>
      <c r="B2723" s="124">
        <f t="shared" si="892"/>
        <v>3</v>
      </c>
      <c r="C2723" s="124">
        <f t="shared" si="893"/>
        <v>2024</v>
      </c>
      <c r="D2723" s="124" t="s">
        <v>2459</v>
      </c>
      <c r="E2723" s="5" t="str">
        <f>VLOOKUP(F2723,'Set up'!$A$2:$C$50,2,FALSE)</f>
        <v>C00000019</v>
      </c>
      <c r="F2723" s="125" t="s">
        <v>401</v>
      </c>
      <c r="G2723" s="90" t="s">
        <v>792</v>
      </c>
      <c r="H2723" s="127">
        <v>3</v>
      </c>
      <c r="I2723" s="5" t="str">
        <f>VLOOKUP(F2723,'Set up'!$A$2:$C$50,3,FALSE)</f>
        <v>Cash</v>
      </c>
      <c r="J2723" s="5">
        <f>VLOOKUP(F2723,'Set up'!$A$2:$D$50,4,FALSE)</f>
        <v>0</v>
      </c>
      <c r="K2723" s="123">
        <f t="shared" si="894"/>
        <v>45367</v>
      </c>
      <c r="L2723" s="124">
        <f t="shared" si="895"/>
        <v>3</v>
      </c>
      <c r="M2723" s="124">
        <f t="shared" si="896"/>
        <v>2024</v>
      </c>
      <c r="N2723" s="12">
        <v>187.5</v>
      </c>
      <c r="O2723" s="12"/>
      <c r="P2723" s="12">
        <f t="shared" si="897"/>
        <v>187.5</v>
      </c>
      <c r="Q2723" s="126">
        <f t="shared" si="898"/>
        <v>4431794.8499999996</v>
      </c>
      <c r="R2723" s="44" t="str">
        <f>VLOOKUP(F2723,'Set up'!$A$2:$E$50,5,FALSE)</f>
        <v>Trsf</v>
      </c>
    </row>
    <row r="2724" spans="1:18" s="125" customFormat="1" x14ac:dyDescent="0.3">
      <c r="A2724" s="123">
        <v>45367</v>
      </c>
      <c r="B2724" s="124">
        <f t="shared" si="892"/>
        <v>3</v>
      </c>
      <c r="C2724" s="124">
        <f t="shared" si="893"/>
        <v>2024</v>
      </c>
      <c r="D2724" s="124" t="s">
        <v>2459</v>
      </c>
      <c r="E2724" s="5" t="str">
        <f>VLOOKUP(F2724,'Set up'!$A$2:$C$50,2,FALSE)</f>
        <v>C00000019</v>
      </c>
      <c r="F2724" s="125" t="s">
        <v>401</v>
      </c>
      <c r="G2724" s="90" t="s">
        <v>46</v>
      </c>
      <c r="H2724" s="127">
        <v>1</v>
      </c>
      <c r="I2724" s="5" t="str">
        <f>VLOOKUP(F2724,'Set up'!$A$2:$C$50,3,FALSE)</f>
        <v>Cash</v>
      </c>
      <c r="J2724" s="5">
        <f>VLOOKUP(F2724,'Set up'!$A$2:$D$50,4,FALSE)</f>
        <v>0</v>
      </c>
      <c r="K2724" s="123">
        <f t="shared" si="894"/>
        <v>45367</v>
      </c>
      <c r="L2724" s="124">
        <f t="shared" si="895"/>
        <v>3</v>
      </c>
      <c r="M2724" s="124">
        <f t="shared" si="896"/>
        <v>2024</v>
      </c>
      <c r="N2724" s="12">
        <v>110</v>
      </c>
      <c r="O2724" s="12"/>
      <c r="P2724" s="12">
        <f t="shared" si="897"/>
        <v>110</v>
      </c>
      <c r="Q2724" s="126">
        <f t="shared" si="898"/>
        <v>4431904.8499999996</v>
      </c>
      <c r="R2724" s="44" t="str">
        <f>VLOOKUP(F2724,'Set up'!$A$2:$E$50,5,FALSE)</f>
        <v>Trsf</v>
      </c>
    </row>
    <row r="2725" spans="1:18" s="125" customFormat="1" x14ac:dyDescent="0.3">
      <c r="A2725" s="123">
        <v>45367</v>
      </c>
      <c r="B2725" s="124">
        <f t="shared" si="892"/>
        <v>3</v>
      </c>
      <c r="C2725" s="124">
        <f t="shared" si="893"/>
        <v>2024</v>
      </c>
      <c r="D2725" s="124" t="s">
        <v>2459</v>
      </c>
      <c r="E2725" s="5" t="str">
        <f>VLOOKUP(F2725,'Set up'!$A$2:$C$50,2,FALSE)</f>
        <v>C00000019</v>
      </c>
      <c r="F2725" s="125" t="s">
        <v>401</v>
      </c>
      <c r="G2725" s="90" t="s">
        <v>1470</v>
      </c>
      <c r="H2725" s="127">
        <v>1</v>
      </c>
      <c r="I2725" s="5" t="str">
        <f>VLOOKUP(F2725,'Set up'!$A$2:$C$50,3,FALSE)</f>
        <v>Cash</v>
      </c>
      <c r="J2725" s="5">
        <f>VLOOKUP(F2725,'Set up'!$A$2:$D$50,4,FALSE)</f>
        <v>0</v>
      </c>
      <c r="K2725" s="123">
        <f t="shared" si="894"/>
        <v>45367</v>
      </c>
      <c r="L2725" s="124">
        <f t="shared" si="895"/>
        <v>3</v>
      </c>
      <c r="M2725" s="124">
        <f t="shared" si="896"/>
        <v>2024</v>
      </c>
      <c r="N2725" s="12">
        <v>390</v>
      </c>
      <c r="O2725" s="12"/>
      <c r="P2725" s="12">
        <f t="shared" si="897"/>
        <v>390</v>
      </c>
      <c r="Q2725" s="126">
        <f t="shared" si="898"/>
        <v>4432294.8499999996</v>
      </c>
      <c r="R2725" s="44" t="str">
        <f>VLOOKUP(F2725,'Set up'!$A$2:$E$50,5,FALSE)</f>
        <v>Trsf</v>
      </c>
    </row>
    <row r="2726" spans="1:18" s="125" customFormat="1" x14ac:dyDescent="0.3">
      <c r="A2726" s="123">
        <v>45367</v>
      </c>
      <c r="B2726" s="124">
        <f t="shared" si="892"/>
        <v>3</v>
      </c>
      <c r="C2726" s="124">
        <f t="shared" si="893"/>
        <v>2024</v>
      </c>
      <c r="D2726" s="124" t="s">
        <v>2459</v>
      </c>
      <c r="E2726" s="5" t="str">
        <f>VLOOKUP(F2726,'Set up'!$A$2:$C$50,2,FALSE)</f>
        <v>C00000019</v>
      </c>
      <c r="F2726" s="125" t="s">
        <v>401</v>
      </c>
      <c r="G2726" s="89" t="s">
        <v>2130</v>
      </c>
      <c r="H2726" s="127">
        <v>1</v>
      </c>
      <c r="I2726" s="5" t="str">
        <f>VLOOKUP(F2726,'Set up'!$A$2:$C$50,3,FALSE)</f>
        <v>Cash</v>
      </c>
      <c r="J2726" s="5">
        <f>VLOOKUP(F2726,'Set up'!$A$2:$D$50,4,FALSE)</f>
        <v>0</v>
      </c>
      <c r="K2726" s="123">
        <f t="shared" si="894"/>
        <v>45367</v>
      </c>
      <c r="L2726" s="124">
        <f t="shared" si="895"/>
        <v>3</v>
      </c>
      <c r="M2726" s="124">
        <f t="shared" si="896"/>
        <v>2024</v>
      </c>
      <c r="N2726" s="12">
        <v>283.8</v>
      </c>
      <c r="O2726" s="12"/>
      <c r="P2726" s="12">
        <f t="shared" si="897"/>
        <v>283.8</v>
      </c>
      <c r="Q2726" s="126">
        <f t="shared" si="898"/>
        <v>4432578.6499999994</v>
      </c>
      <c r="R2726" s="44" t="str">
        <f>VLOOKUP(F2726,'Set up'!$A$2:$E$50,5,FALSE)</f>
        <v>Trsf</v>
      </c>
    </row>
    <row r="2727" spans="1:18" s="125" customFormat="1" x14ac:dyDescent="0.3">
      <c r="A2727" s="123">
        <v>45367</v>
      </c>
      <c r="B2727" s="124">
        <f t="shared" si="892"/>
        <v>3</v>
      </c>
      <c r="C2727" s="124">
        <f t="shared" si="893"/>
        <v>2024</v>
      </c>
      <c r="D2727" s="124" t="s">
        <v>2459</v>
      </c>
      <c r="E2727" s="5" t="str">
        <f>VLOOKUP(F2727,'Set up'!$A$2:$C$50,2,FALSE)</f>
        <v>C00000019</v>
      </c>
      <c r="F2727" s="125" t="s">
        <v>401</v>
      </c>
      <c r="G2727" s="90" t="s">
        <v>2458</v>
      </c>
      <c r="H2727" s="127">
        <v>1</v>
      </c>
      <c r="I2727" s="5" t="str">
        <f>VLOOKUP(F2727,'Set up'!$A$2:$C$50,3,FALSE)</f>
        <v>Cash</v>
      </c>
      <c r="J2727" s="5">
        <f>VLOOKUP(F2727,'Set up'!$A$2:$D$50,4,FALSE)</f>
        <v>0</v>
      </c>
      <c r="K2727" s="123">
        <f t="shared" si="894"/>
        <v>45367</v>
      </c>
      <c r="L2727" s="124">
        <f t="shared" si="895"/>
        <v>3</v>
      </c>
      <c r="M2727" s="124">
        <f t="shared" si="896"/>
        <v>2024</v>
      </c>
      <c r="N2727" s="12">
        <v>260</v>
      </c>
      <c r="O2727" s="12"/>
      <c r="P2727" s="12">
        <f t="shared" si="897"/>
        <v>260</v>
      </c>
      <c r="Q2727" s="126">
        <f t="shared" si="898"/>
        <v>4432838.6499999994</v>
      </c>
      <c r="R2727" s="44" t="str">
        <f>VLOOKUP(F2727,'Set up'!$A$2:$E$50,5,FALSE)</f>
        <v>Trsf</v>
      </c>
    </row>
    <row r="2728" spans="1:18" s="125" customFormat="1" x14ac:dyDescent="0.3">
      <c r="A2728" s="123">
        <v>45367</v>
      </c>
      <c r="B2728" s="124">
        <f t="shared" si="892"/>
        <v>3</v>
      </c>
      <c r="C2728" s="124">
        <f t="shared" si="893"/>
        <v>2024</v>
      </c>
      <c r="D2728" s="124" t="s">
        <v>2459</v>
      </c>
      <c r="E2728" s="5" t="str">
        <f>VLOOKUP(F2728,'Set up'!$A$2:$C$50,2,FALSE)</f>
        <v>C00000019</v>
      </c>
      <c r="F2728" s="125" t="s">
        <v>401</v>
      </c>
      <c r="G2728" s="90" t="s">
        <v>950</v>
      </c>
      <c r="H2728" s="127">
        <v>2</v>
      </c>
      <c r="I2728" s="5" t="str">
        <f>VLOOKUP(F2728,'Set up'!$A$2:$C$50,3,FALSE)</f>
        <v>Cash</v>
      </c>
      <c r="J2728" s="5">
        <f>VLOOKUP(F2728,'Set up'!$A$2:$D$50,4,FALSE)</f>
        <v>0</v>
      </c>
      <c r="K2728" s="123">
        <f t="shared" si="894"/>
        <v>45367</v>
      </c>
      <c r="L2728" s="124">
        <f t="shared" si="895"/>
        <v>3</v>
      </c>
      <c r="M2728" s="124">
        <f t="shared" si="896"/>
        <v>2024</v>
      </c>
      <c r="N2728" s="12">
        <v>120</v>
      </c>
      <c r="O2728" s="12"/>
      <c r="P2728" s="12">
        <f t="shared" si="897"/>
        <v>120</v>
      </c>
      <c r="Q2728" s="126">
        <f t="shared" si="898"/>
        <v>4432958.6499999994</v>
      </c>
      <c r="R2728" s="44" t="str">
        <f>VLOOKUP(F2728,'Set up'!$A$2:$E$50,5,FALSE)</f>
        <v>Trsf</v>
      </c>
    </row>
    <row r="2729" spans="1:18" s="125" customFormat="1" ht="16.2" customHeight="1" x14ac:dyDescent="0.3">
      <c r="A2729" s="123">
        <v>45367</v>
      </c>
      <c r="B2729" s="124">
        <f>MONTH(A2729)</f>
        <v>3</v>
      </c>
      <c r="C2729" s="124">
        <f>YEAR(A2729)</f>
        <v>2024</v>
      </c>
      <c r="D2729" s="124" t="s">
        <v>2460</v>
      </c>
      <c r="E2729" s="5" t="str">
        <f>VLOOKUP(F2729,'Set up'!$A$2:$C$50,2,FALSE)</f>
        <v>C00000042</v>
      </c>
      <c r="F2729" s="125" t="s">
        <v>2014</v>
      </c>
      <c r="G2729" s="103" t="s">
        <v>1111</v>
      </c>
      <c r="H2729" s="124">
        <v>3</v>
      </c>
      <c r="I2729" s="5" t="str">
        <f>VLOOKUP(F2729,'Set up'!$A$2:$C$50,3,FALSE)</f>
        <v>Cash</v>
      </c>
      <c r="J2729" s="5">
        <f>VLOOKUP(F2729,'Set up'!$A$2:$D$50,4,FALSE)</f>
        <v>0</v>
      </c>
      <c r="K2729" s="123">
        <f>A2729+J2729</f>
        <v>45367</v>
      </c>
      <c r="L2729" s="124">
        <f>MONTH(K2729)</f>
        <v>3</v>
      </c>
      <c r="M2729" s="124">
        <f>YEAR(K2729)</f>
        <v>2024</v>
      </c>
      <c r="N2729" s="12">
        <v>187.5</v>
      </c>
      <c r="O2729" s="12"/>
      <c r="P2729" s="12">
        <f>SUM(N2729+O2729)</f>
        <v>187.5</v>
      </c>
      <c r="Q2729" s="126">
        <f>SUM(Q2728+N2729)</f>
        <v>4433146.1499999994</v>
      </c>
      <c r="R2729" s="44" t="str">
        <f>VLOOKUP(F2729,'Set up'!$A$2:$E$50,5,FALSE)</f>
        <v>Trsf</v>
      </c>
    </row>
    <row r="2730" spans="1:18" s="125" customFormat="1" ht="16.2" customHeight="1" x14ac:dyDescent="0.3">
      <c r="A2730" s="123">
        <v>45367</v>
      </c>
      <c r="B2730" s="124">
        <f t="shared" ref="B2730:B2771" si="899">MONTH(A2730)</f>
        <v>3</v>
      </c>
      <c r="C2730" s="124">
        <f t="shared" ref="C2730:C2771" si="900">YEAR(A2730)</f>
        <v>2024</v>
      </c>
      <c r="D2730" s="124" t="s">
        <v>2461</v>
      </c>
      <c r="E2730" s="5" t="str">
        <f>VLOOKUP(F2730,'Set up'!$A$2:$C$50,2,FALSE)</f>
        <v>C00000042</v>
      </c>
      <c r="F2730" s="125" t="s">
        <v>2014</v>
      </c>
      <c r="G2730" s="103" t="s">
        <v>1734</v>
      </c>
      <c r="H2730" s="127">
        <v>3</v>
      </c>
      <c r="I2730" s="5" t="str">
        <f>VLOOKUP(F2730,'Set up'!$A$2:$C$50,3,FALSE)</f>
        <v>Cash</v>
      </c>
      <c r="J2730" s="5">
        <f>VLOOKUP(F2730,'Set up'!$A$2:$D$50,4,FALSE)</f>
        <v>0</v>
      </c>
      <c r="K2730" s="123">
        <f t="shared" ref="K2730:K2771" si="901">A2730+J2730</f>
        <v>45367</v>
      </c>
      <c r="L2730" s="124">
        <f t="shared" ref="L2730:L2771" si="902">MONTH(K2730)</f>
        <v>3</v>
      </c>
      <c r="M2730" s="124">
        <f t="shared" ref="M2730:M2771" si="903">YEAR(K2730)</f>
        <v>2024</v>
      </c>
      <c r="N2730" s="12">
        <v>4818</v>
      </c>
      <c r="O2730" s="12"/>
      <c r="P2730" s="12">
        <f t="shared" ref="P2730:P2771" si="904">SUM(N2730+O2730)</f>
        <v>4818</v>
      </c>
      <c r="Q2730" s="126">
        <f t="shared" ref="Q2730:Q2750" si="905">SUM(Q2729+N2730)</f>
        <v>4437964.1499999994</v>
      </c>
      <c r="R2730" s="44" t="str">
        <f>VLOOKUP(F2730,'Set up'!$A$2:$E$50,5,FALSE)</f>
        <v>Trsf</v>
      </c>
    </row>
    <row r="2731" spans="1:18" s="125" customFormat="1" ht="16.2" customHeight="1" x14ac:dyDescent="0.3">
      <c r="A2731" s="123">
        <v>45367</v>
      </c>
      <c r="B2731" s="124">
        <f t="shared" si="899"/>
        <v>3</v>
      </c>
      <c r="C2731" s="124">
        <f t="shared" si="900"/>
        <v>2024</v>
      </c>
      <c r="D2731" s="124" t="s">
        <v>2461</v>
      </c>
      <c r="E2731" s="5" t="str">
        <f>VLOOKUP(F2731,'Set up'!$A$2:$C$50,2,FALSE)</f>
        <v>C00000042</v>
      </c>
      <c r="F2731" s="125" t="s">
        <v>2014</v>
      </c>
      <c r="G2731" s="90" t="s">
        <v>2435</v>
      </c>
      <c r="H2731" s="127">
        <v>9</v>
      </c>
      <c r="I2731" s="5" t="str">
        <f>VLOOKUP(F2731,'Set up'!$A$2:$C$50,3,FALSE)</f>
        <v>Cash</v>
      </c>
      <c r="J2731" s="5">
        <f>VLOOKUP(F2731,'Set up'!$A$2:$D$50,4,FALSE)</f>
        <v>0</v>
      </c>
      <c r="K2731" s="123">
        <f t="shared" si="901"/>
        <v>45367</v>
      </c>
      <c r="L2731" s="124">
        <f t="shared" si="902"/>
        <v>3</v>
      </c>
      <c r="M2731" s="124">
        <f t="shared" si="903"/>
        <v>2024</v>
      </c>
      <c r="N2731" s="12">
        <v>1931.4</v>
      </c>
      <c r="O2731" s="12"/>
      <c r="P2731" s="12">
        <f t="shared" si="904"/>
        <v>1931.4</v>
      </c>
      <c r="Q2731" s="126">
        <f t="shared" si="905"/>
        <v>4439895.55</v>
      </c>
      <c r="R2731" s="44" t="str">
        <f>VLOOKUP(F2731,'Set up'!$A$2:$E$50,5,FALSE)</f>
        <v>Trsf</v>
      </c>
    </row>
    <row r="2732" spans="1:18" s="125" customFormat="1" ht="16.2" customHeight="1" x14ac:dyDescent="0.3">
      <c r="A2732" s="123">
        <v>45367</v>
      </c>
      <c r="B2732" s="124">
        <f t="shared" si="899"/>
        <v>3</v>
      </c>
      <c r="C2732" s="124">
        <f t="shared" si="900"/>
        <v>2024</v>
      </c>
      <c r="D2732" s="124" t="s">
        <v>2461</v>
      </c>
      <c r="E2732" s="5" t="str">
        <f>VLOOKUP(F2732,'Set up'!$A$2:$C$50,2,FALSE)</f>
        <v>C00000042</v>
      </c>
      <c r="F2732" s="125" t="s">
        <v>2014</v>
      </c>
      <c r="G2732" s="90" t="s">
        <v>1923</v>
      </c>
      <c r="H2732" s="127">
        <v>5</v>
      </c>
      <c r="I2732" s="5" t="str">
        <f>VLOOKUP(F2732,'Set up'!$A$2:$C$50,3,FALSE)</f>
        <v>Cash</v>
      </c>
      <c r="J2732" s="5">
        <f>VLOOKUP(F2732,'Set up'!$A$2:$D$50,4,FALSE)</f>
        <v>0</v>
      </c>
      <c r="K2732" s="123">
        <f t="shared" si="901"/>
        <v>45367</v>
      </c>
      <c r="L2732" s="124">
        <f t="shared" si="902"/>
        <v>3</v>
      </c>
      <c r="M2732" s="124">
        <f t="shared" si="903"/>
        <v>2024</v>
      </c>
      <c r="N2732" s="12">
        <v>1170</v>
      </c>
      <c r="O2732" s="12"/>
      <c r="P2732" s="12">
        <f t="shared" si="904"/>
        <v>1170</v>
      </c>
      <c r="Q2732" s="126">
        <f t="shared" si="905"/>
        <v>4441065.55</v>
      </c>
      <c r="R2732" s="44" t="str">
        <f>VLOOKUP(F2732,'Set up'!$A$2:$E$50,5,FALSE)</f>
        <v>Trsf</v>
      </c>
    </row>
    <row r="2733" spans="1:18" s="125" customFormat="1" ht="16.2" customHeight="1" x14ac:dyDescent="0.3">
      <c r="A2733" s="123">
        <v>45367</v>
      </c>
      <c r="B2733" s="124">
        <f t="shared" si="899"/>
        <v>3</v>
      </c>
      <c r="C2733" s="124">
        <f t="shared" si="900"/>
        <v>2024</v>
      </c>
      <c r="D2733" s="124" t="s">
        <v>2461</v>
      </c>
      <c r="E2733" s="5" t="str">
        <f>VLOOKUP(F2733,'Set up'!$A$2:$C$50,2,FALSE)</f>
        <v>C00000042</v>
      </c>
      <c r="F2733" s="125" t="s">
        <v>2014</v>
      </c>
      <c r="G2733" s="90" t="s">
        <v>1074</v>
      </c>
      <c r="H2733" s="127">
        <v>1</v>
      </c>
      <c r="I2733" s="5" t="str">
        <f>VLOOKUP(F2733,'Set up'!$A$2:$C$50,3,FALSE)</f>
        <v>Cash</v>
      </c>
      <c r="J2733" s="5">
        <f>VLOOKUP(F2733,'Set up'!$A$2:$D$50,4,FALSE)</f>
        <v>0</v>
      </c>
      <c r="K2733" s="123">
        <f t="shared" si="901"/>
        <v>45367</v>
      </c>
      <c r="L2733" s="124">
        <f t="shared" si="902"/>
        <v>3</v>
      </c>
      <c r="M2733" s="124">
        <f t="shared" si="903"/>
        <v>2024</v>
      </c>
      <c r="N2733" s="12">
        <v>1000</v>
      </c>
      <c r="O2733" s="12"/>
      <c r="P2733" s="12">
        <f t="shared" si="904"/>
        <v>1000</v>
      </c>
      <c r="Q2733" s="126">
        <f t="shared" si="905"/>
        <v>4442065.55</v>
      </c>
      <c r="R2733" s="44" t="str">
        <f>VLOOKUP(F2733,'Set up'!$A$2:$E$50,5,FALSE)</f>
        <v>Trsf</v>
      </c>
    </row>
    <row r="2734" spans="1:18" s="125" customFormat="1" ht="16.2" customHeight="1" x14ac:dyDescent="0.3">
      <c r="A2734" s="123">
        <v>45367</v>
      </c>
      <c r="B2734" s="124">
        <f t="shared" si="899"/>
        <v>3</v>
      </c>
      <c r="C2734" s="124">
        <f t="shared" si="900"/>
        <v>2024</v>
      </c>
      <c r="D2734" s="124" t="s">
        <v>2461</v>
      </c>
      <c r="E2734" s="5" t="str">
        <f>VLOOKUP(F2734,'Set up'!$A$2:$C$50,2,FALSE)</f>
        <v>C00000042</v>
      </c>
      <c r="F2734" s="125" t="s">
        <v>2014</v>
      </c>
      <c r="G2734" s="90" t="s">
        <v>1062</v>
      </c>
      <c r="H2734" s="127">
        <v>4</v>
      </c>
      <c r="I2734" s="5" t="str">
        <f>VLOOKUP(F2734,'Set up'!$A$2:$C$50,3,FALSE)</f>
        <v>Cash</v>
      </c>
      <c r="J2734" s="5">
        <f>VLOOKUP(F2734,'Set up'!$A$2:$D$50,4,FALSE)</f>
        <v>0</v>
      </c>
      <c r="K2734" s="123">
        <f t="shared" si="901"/>
        <v>45367</v>
      </c>
      <c r="L2734" s="124">
        <f t="shared" si="902"/>
        <v>3</v>
      </c>
      <c r="M2734" s="124">
        <f t="shared" si="903"/>
        <v>2024</v>
      </c>
      <c r="N2734" s="12">
        <v>380</v>
      </c>
      <c r="O2734" s="12"/>
      <c r="P2734" s="12">
        <f t="shared" si="904"/>
        <v>380</v>
      </c>
      <c r="Q2734" s="126">
        <f t="shared" si="905"/>
        <v>4442445.55</v>
      </c>
      <c r="R2734" s="44" t="str">
        <f>VLOOKUP(F2734,'Set up'!$A$2:$E$50,5,FALSE)</f>
        <v>Trsf</v>
      </c>
    </row>
    <row r="2735" spans="1:18" s="125" customFormat="1" ht="16.2" customHeight="1" x14ac:dyDescent="0.3">
      <c r="A2735" s="123">
        <v>45370</v>
      </c>
      <c r="B2735" s="124">
        <f t="shared" si="899"/>
        <v>3</v>
      </c>
      <c r="C2735" s="124">
        <f t="shared" si="900"/>
        <v>2024</v>
      </c>
      <c r="D2735" s="124" t="s">
        <v>2462</v>
      </c>
      <c r="E2735" s="5" t="str">
        <f>VLOOKUP(F2735,'Set up'!$A$2:$C$50,2,FALSE)</f>
        <v>C00000042</v>
      </c>
      <c r="F2735" s="125" t="s">
        <v>2014</v>
      </c>
      <c r="G2735" s="103" t="s">
        <v>1111</v>
      </c>
      <c r="H2735" s="124">
        <v>2</v>
      </c>
      <c r="I2735" s="5" t="str">
        <f>VLOOKUP(F2735,'Set up'!$A$2:$C$50,3,FALSE)</f>
        <v>Cash</v>
      </c>
      <c r="J2735" s="5">
        <f>VLOOKUP(F2735,'Set up'!$A$2:$D$50,4,FALSE)</f>
        <v>0</v>
      </c>
      <c r="K2735" s="123">
        <f t="shared" si="901"/>
        <v>45370</v>
      </c>
      <c r="L2735" s="124">
        <f t="shared" si="902"/>
        <v>3</v>
      </c>
      <c r="M2735" s="124">
        <f t="shared" si="903"/>
        <v>2024</v>
      </c>
      <c r="N2735" s="12">
        <v>125</v>
      </c>
      <c r="O2735" s="12"/>
      <c r="P2735" s="12">
        <f t="shared" si="904"/>
        <v>125</v>
      </c>
      <c r="Q2735" s="126">
        <f t="shared" si="905"/>
        <v>4442570.55</v>
      </c>
      <c r="R2735" s="44" t="str">
        <f>VLOOKUP(F2735,'Set up'!$A$2:$E$50,5,FALSE)</f>
        <v>Trsf</v>
      </c>
    </row>
    <row r="2736" spans="1:18" s="125" customFormat="1" ht="16.2" customHeight="1" x14ac:dyDescent="0.3">
      <c r="A2736" s="123">
        <v>45370</v>
      </c>
      <c r="B2736" s="124">
        <f t="shared" si="899"/>
        <v>3</v>
      </c>
      <c r="C2736" s="124">
        <f t="shared" si="900"/>
        <v>2024</v>
      </c>
      <c r="D2736" s="124" t="s">
        <v>2463</v>
      </c>
      <c r="E2736" s="5" t="str">
        <f>VLOOKUP(F2736,'Set up'!$A$2:$C$50,2,FALSE)</f>
        <v>C00000042</v>
      </c>
      <c r="F2736" s="125" t="s">
        <v>2014</v>
      </c>
      <c r="G2736" s="103" t="s">
        <v>1734</v>
      </c>
      <c r="H2736" s="127">
        <v>2</v>
      </c>
      <c r="I2736" s="5" t="str">
        <f>VLOOKUP(F2736,'Set up'!$A$2:$C$50,3,FALSE)</f>
        <v>Cash</v>
      </c>
      <c r="J2736" s="5">
        <f>VLOOKUP(F2736,'Set up'!$A$2:$D$50,4,FALSE)</f>
        <v>0</v>
      </c>
      <c r="K2736" s="123">
        <f t="shared" si="901"/>
        <v>45370</v>
      </c>
      <c r="L2736" s="124">
        <f t="shared" si="902"/>
        <v>3</v>
      </c>
      <c r="M2736" s="124">
        <f t="shared" si="903"/>
        <v>2024</v>
      </c>
      <c r="N2736" s="12">
        <v>3212</v>
      </c>
      <c r="O2736" s="12"/>
      <c r="P2736" s="12">
        <f t="shared" si="904"/>
        <v>3212</v>
      </c>
      <c r="Q2736" s="126">
        <f t="shared" si="905"/>
        <v>4445782.55</v>
      </c>
      <c r="R2736" s="44" t="str">
        <f>VLOOKUP(F2736,'Set up'!$A$2:$E$50,5,FALSE)</f>
        <v>Trsf</v>
      </c>
    </row>
    <row r="2737" spans="1:18" s="125" customFormat="1" ht="16.2" customHeight="1" x14ac:dyDescent="0.3">
      <c r="A2737" s="123">
        <v>45370</v>
      </c>
      <c r="B2737" s="124">
        <f t="shared" si="899"/>
        <v>3</v>
      </c>
      <c r="C2737" s="124">
        <f t="shared" si="900"/>
        <v>2024</v>
      </c>
      <c r="D2737" s="124" t="s">
        <v>2463</v>
      </c>
      <c r="E2737" s="5" t="str">
        <f>VLOOKUP(F2737,'Set up'!$A$2:$C$50,2,FALSE)</f>
        <v>C00000042</v>
      </c>
      <c r="F2737" s="125" t="s">
        <v>2014</v>
      </c>
      <c r="G2737" s="90" t="s">
        <v>2435</v>
      </c>
      <c r="H2737" s="127">
        <v>5</v>
      </c>
      <c r="I2737" s="5" t="str">
        <f>VLOOKUP(F2737,'Set up'!$A$2:$C$50,3,FALSE)</f>
        <v>Cash</v>
      </c>
      <c r="J2737" s="5">
        <f>VLOOKUP(F2737,'Set up'!$A$2:$D$50,4,FALSE)</f>
        <v>0</v>
      </c>
      <c r="K2737" s="123">
        <f t="shared" si="901"/>
        <v>45370</v>
      </c>
      <c r="L2737" s="124">
        <f t="shared" si="902"/>
        <v>3</v>
      </c>
      <c r="M2737" s="124">
        <f t="shared" si="903"/>
        <v>2024</v>
      </c>
      <c r="N2737" s="12">
        <v>1073</v>
      </c>
      <c r="O2737" s="12"/>
      <c r="P2737" s="12">
        <f t="shared" si="904"/>
        <v>1073</v>
      </c>
      <c r="Q2737" s="126">
        <f t="shared" si="905"/>
        <v>4446855.55</v>
      </c>
      <c r="R2737" s="44" t="str">
        <f>VLOOKUP(F2737,'Set up'!$A$2:$E$50,5,FALSE)</f>
        <v>Trsf</v>
      </c>
    </row>
    <row r="2738" spans="1:18" s="125" customFormat="1" ht="16.2" customHeight="1" x14ac:dyDescent="0.3">
      <c r="A2738" s="123">
        <v>45370</v>
      </c>
      <c r="B2738" s="124">
        <f t="shared" si="899"/>
        <v>3</v>
      </c>
      <c r="C2738" s="124">
        <f t="shared" si="900"/>
        <v>2024</v>
      </c>
      <c r="D2738" s="124" t="s">
        <v>2463</v>
      </c>
      <c r="E2738" s="5" t="str">
        <f>VLOOKUP(F2738,'Set up'!$A$2:$C$50,2,FALSE)</f>
        <v>C00000042</v>
      </c>
      <c r="F2738" s="125" t="s">
        <v>2014</v>
      </c>
      <c r="G2738" s="90" t="s">
        <v>1923</v>
      </c>
      <c r="H2738" s="127">
        <v>3</v>
      </c>
      <c r="I2738" s="5" t="str">
        <f>VLOOKUP(F2738,'Set up'!$A$2:$C$50,3,FALSE)</f>
        <v>Cash</v>
      </c>
      <c r="J2738" s="5">
        <f>VLOOKUP(F2738,'Set up'!$A$2:$D$50,4,FALSE)</f>
        <v>0</v>
      </c>
      <c r="K2738" s="123">
        <f t="shared" si="901"/>
        <v>45370</v>
      </c>
      <c r="L2738" s="124">
        <f t="shared" si="902"/>
        <v>3</v>
      </c>
      <c r="M2738" s="124">
        <f t="shared" si="903"/>
        <v>2024</v>
      </c>
      <c r="N2738" s="12">
        <v>702</v>
      </c>
      <c r="O2738" s="12"/>
      <c r="P2738" s="12">
        <f t="shared" si="904"/>
        <v>702</v>
      </c>
      <c r="Q2738" s="126">
        <f t="shared" si="905"/>
        <v>4447557.55</v>
      </c>
      <c r="R2738" s="44" t="str">
        <f>VLOOKUP(F2738,'Set up'!$A$2:$E$50,5,FALSE)</f>
        <v>Trsf</v>
      </c>
    </row>
    <row r="2739" spans="1:18" s="125" customFormat="1" ht="16.2" customHeight="1" x14ac:dyDescent="0.3">
      <c r="A2739" s="123">
        <v>45370</v>
      </c>
      <c r="B2739" s="124">
        <f t="shared" si="899"/>
        <v>3</v>
      </c>
      <c r="C2739" s="124">
        <f t="shared" si="900"/>
        <v>2024</v>
      </c>
      <c r="D2739" s="124" t="s">
        <v>2463</v>
      </c>
      <c r="E2739" s="5" t="str">
        <f>VLOOKUP(F2739,'Set up'!$A$2:$C$50,2,FALSE)</f>
        <v>C00000042</v>
      </c>
      <c r="F2739" s="125" t="s">
        <v>2014</v>
      </c>
      <c r="G2739" s="90" t="s">
        <v>1074</v>
      </c>
      <c r="H2739" s="127">
        <v>1</v>
      </c>
      <c r="I2739" s="5" t="str">
        <f>VLOOKUP(F2739,'Set up'!$A$2:$C$50,3,FALSE)</f>
        <v>Cash</v>
      </c>
      <c r="J2739" s="5">
        <f>VLOOKUP(F2739,'Set up'!$A$2:$D$50,4,FALSE)</f>
        <v>0</v>
      </c>
      <c r="K2739" s="123">
        <f t="shared" si="901"/>
        <v>45370</v>
      </c>
      <c r="L2739" s="124">
        <f t="shared" si="902"/>
        <v>3</v>
      </c>
      <c r="M2739" s="124">
        <f t="shared" si="903"/>
        <v>2024</v>
      </c>
      <c r="N2739" s="12">
        <v>1000</v>
      </c>
      <c r="O2739" s="12"/>
      <c r="P2739" s="12">
        <f t="shared" si="904"/>
        <v>1000</v>
      </c>
      <c r="Q2739" s="126">
        <f t="shared" si="905"/>
        <v>4448557.55</v>
      </c>
      <c r="R2739" s="44" t="str">
        <f>VLOOKUP(F2739,'Set up'!$A$2:$E$50,5,FALSE)</f>
        <v>Trsf</v>
      </c>
    </row>
    <row r="2740" spans="1:18" s="125" customFormat="1" ht="16.2" customHeight="1" x14ac:dyDescent="0.3">
      <c r="A2740" s="123">
        <v>45371</v>
      </c>
      <c r="B2740" s="124">
        <f t="shared" si="899"/>
        <v>3</v>
      </c>
      <c r="C2740" s="124">
        <f t="shared" si="900"/>
        <v>2024</v>
      </c>
      <c r="D2740" s="124" t="s">
        <v>2464</v>
      </c>
      <c r="E2740" s="5" t="str">
        <f>VLOOKUP(F2740,'Set up'!$A$2:$C$50,2,FALSE)</f>
        <v>C00000037</v>
      </c>
      <c r="F2740" s="125" t="s">
        <v>1310</v>
      </c>
      <c r="G2740" s="11" t="s">
        <v>1895</v>
      </c>
      <c r="H2740" s="129">
        <v>3</v>
      </c>
      <c r="I2740" s="5">
        <f>VLOOKUP(F2740,'Set up'!$A$2:$C$50,3,FALSE)</f>
        <v>30</v>
      </c>
      <c r="J2740" s="5">
        <f>VLOOKUP(F2740,'Set up'!$A$2:$D$50,4,FALSE)</f>
        <v>30</v>
      </c>
      <c r="K2740" s="123">
        <f t="shared" si="901"/>
        <v>45401</v>
      </c>
      <c r="L2740" s="124">
        <f t="shared" si="902"/>
        <v>4</v>
      </c>
      <c r="M2740" s="124">
        <f t="shared" si="903"/>
        <v>2024</v>
      </c>
      <c r="N2740" s="12">
        <v>5214</v>
      </c>
      <c r="O2740" s="12"/>
      <c r="P2740" s="12">
        <f t="shared" si="904"/>
        <v>5214</v>
      </c>
      <c r="Q2740" s="126">
        <f t="shared" si="905"/>
        <v>4453771.55</v>
      </c>
      <c r="R2740" s="44" t="str">
        <f>VLOOKUP(F2740,'Set up'!$A$2:$E$50,5,FALSE)</f>
        <v>Chq</v>
      </c>
    </row>
    <row r="2741" spans="1:18" s="125" customFormat="1" ht="16.2" customHeight="1" x14ac:dyDescent="0.3">
      <c r="A2741" s="123">
        <v>45371</v>
      </c>
      <c r="B2741" s="124">
        <f t="shared" si="899"/>
        <v>3</v>
      </c>
      <c r="C2741" s="124">
        <f t="shared" si="900"/>
        <v>2024</v>
      </c>
      <c r="D2741" s="124" t="s">
        <v>2464</v>
      </c>
      <c r="E2741" s="5" t="str">
        <f>VLOOKUP(F2741,'Set up'!$A$2:$C$50,2,FALSE)</f>
        <v>C00000037</v>
      </c>
      <c r="F2741" s="125" t="s">
        <v>1310</v>
      </c>
      <c r="G2741" s="11" t="s">
        <v>708</v>
      </c>
      <c r="H2741" s="129">
        <v>3</v>
      </c>
      <c r="I2741" s="5">
        <f>VLOOKUP(F2741,'Set up'!$A$2:$C$50,3,FALSE)</f>
        <v>30</v>
      </c>
      <c r="J2741" s="5">
        <f>VLOOKUP(F2741,'Set up'!$A$2:$D$50,4,FALSE)</f>
        <v>30</v>
      </c>
      <c r="K2741" s="123">
        <f t="shared" si="901"/>
        <v>45401</v>
      </c>
      <c r="L2741" s="124">
        <f t="shared" si="902"/>
        <v>4</v>
      </c>
      <c r="M2741" s="124">
        <f t="shared" si="903"/>
        <v>2024</v>
      </c>
      <c r="N2741" s="12">
        <v>1263.5999999999999</v>
      </c>
      <c r="O2741" s="12"/>
      <c r="P2741" s="12">
        <f t="shared" si="904"/>
        <v>1263.5999999999999</v>
      </c>
      <c r="Q2741" s="126">
        <f t="shared" si="905"/>
        <v>4455035.1499999994</v>
      </c>
      <c r="R2741" s="44" t="str">
        <f>VLOOKUP(F2741,'Set up'!$A$2:$E$50,5,FALSE)</f>
        <v>Chq</v>
      </c>
    </row>
    <row r="2742" spans="1:18" s="125" customFormat="1" ht="16.2" customHeight="1" x14ac:dyDescent="0.3">
      <c r="A2742" s="123">
        <v>45371</v>
      </c>
      <c r="B2742" s="124">
        <f t="shared" si="899"/>
        <v>3</v>
      </c>
      <c r="C2742" s="124">
        <f t="shared" si="900"/>
        <v>2024</v>
      </c>
      <c r="D2742" s="124" t="s">
        <v>2464</v>
      </c>
      <c r="E2742" s="5" t="str">
        <f>VLOOKUP(F2742,'Set up'!$A$2:$C$50,2,FALSE)</f>
        <v>C00000037</v>
      </c>
      <c r="F2742" s="125" t="s">
        <v>1310</v>
      </c>
      <c r="G2742" s="11" t="s">
        <v>1406</v>
      </c>
      <c r="H2742" s="127">
        <v>5</v>
      </c>
      <c r="I2742" s="5">
        <f>VLOOKUP(F2742,'Set up'!$A$2:$C$50,3,FALSE)</f>
        <v>30</v>
      </c>
      <c r="J2742" s="5">
        <f>VLOOKUP(F2742,'Set up'!$A$2:$D$50,4,FALSE)</f>
        <v>30</v>
      </c>
      <c r="K2742" s="123">
        <f t="shared" si="901"/>
        <v>45401</v>
      </c>
      <c r="L2742" s="124">
        <f t="shared" si="902"/>
        <v>4</v>
      </c>
      <c r="M2742" s="124">
        <f t="shared" si="903"/>
        <v>2024</v>
      </c>
      <c r="N2742" s="12">
        <v>240</v>
      </c>
      <c r="O2742" s="12"/>
      <c r="P2742" s="12">
        <f t="shared" si="904"/>
        <v>240</v>
      </c>
      <c r="Q2742" s="126">
        <f t="shared" si="905"/>
        <v>4455275.1499999994</v>
      </c>
      <c r="R2742" s="44" t="str">
        <f>VLOOKUP(F2742,'Set up'!$A$2:$E$50,5,FALSE)</f>
        <v>Chq</v>
      </c>
    </row>
    <row r="2743" spans="1:18" s="125" customFormat="1" ht="16.2" customHeight="1" x14ac:dyDescent="0.3">
      <c r="A2743" s="123">
        <v>45371</v>
      </c>
      <c r="B2743" s="124">
        <f t="shared" si="899"/>
        <v>3</v>
      </c>
      <c r="C2743" s="124">
        <f t="shared" si="900"/>
        <v>2024</v>
      </c>
      <c r="D2743" s="124" t="s">
        <v>2464</v>
      </c>
      <c r="E2743" s="5" t="str">
        <f>VLOOKUP(F2743,'Set up'!$A$2:$C$50,2,FALSE)</f>
        <v>C00000037</v>
      </c>
      <c r="F2743" s="125" t="s">
        <v>1310</v>
      </c>
      <c r="G2743" s="99" t="s">
        <v>2218</v>
      </c>
      <c r="H2743" s="129">
        <v>2</v>
      </c>
      <c r="I2743" s="5">
        <f>VLOOKUP(F2743,'Set up'!$A$2:$C$50,3,FALSE)</f>
        <v>30</v>
      </c>
      <c r="J2743" s="5">
        <f>VLOOKUP(F2743,'Set up'!$A$2:$D$50,4,FALSE)</f>
        <v>30</v>
      </c>
      <c r="K2743" s="123">
        <f t="shared" si="901"/>
        <v>45401</v>
      </c>
      <c r="L2743" s="124">
        <f t="shared" si="902"/>
        <v>4</v>
      </c>
      <c r="M2743" s="124">
        <f t="shared" si="903"/>
        <v>2024</v>
      </c>
      <c r="N2743" s="12">
        <v>572</v>
      </c>
      <c r="O2743" s="12"/>
      <c r="P2743" s="12">
        <f t="shared" si="904"/>
        <v>572</v>
      </c>
      <c r="Q2743" s="126">
        <f t="shared" si="905"/>
        <v>4455847.1499999994</v>
      </c>
      <c r="R2743" s="44" t="str">
        <f>VLOOKUP(F2743,'Set up'!$A$2:$E$50,5,FALSE)</f>
        <v>Chq</v>
      </c>
    </row>
    <row r="2744" spans="1:18" s="125" customFormat="1" ht="16.2" customHeight="1" x14ac:dyDescent="0.3">
      <c r="A2744" s="123">
        <v>45371</v>
      </c>
      <c r="B2744" s="124">
        <f t="shared" si="899"/>
        <v>3</v>
      </c>
      <c r="C2744" s="124">
        <f t="shared" si="900"/>
        <v>2024</v>
      </c>
      <c r="D2744" s="124" t="s">
        <v>2464</v>
      </c>
      <c r="E2744" s="5" t="str">
        <f>VLOOKUP(F2744,'Set up'!$A$2:$C$50,2,FALSE)</f>
        <v>C00000037</v>
      </c>
      <c r="F2744" s="125" t="s">
        <v>1310</v>
      </c>
      <c r="G2744" s="90" t="s">
        <v>1062</v>
      </c>
      <c r="H2744" s="127">
        <v>2</v>
      </c>
      <c r="I2744" s="5">
        <f>VLOOKUP(F2744,'Set up'!$A$2:$C$50,3,FALSE)</f>
        <v>30</v>
      </c>
      <c r="J2744" s="5">
        <f>VLOOKUP(F2744,'Set up'!$A$2:$D$50,4,FALSE)</f>
        <v>30</v>
      </c>
      <c r="K2744" s="123">
        <f t="shared" si="901"/>
        <v>45401</v>
      </c>
      <c r="L2744" s="124">
        <f t="shared" si="902"/>
        <v>4</v>
      </c>
      <c r="M2744" s="124">
        <f t="shared" si="903"/>
        <v>2024</v>
      </c>
      <c r="N2744" s="12">
        <v>190</v>
      </c>
      <c r="O2744" s="12"/>
      <c r="P2744" s="12">
        <f t="shared" si="904"/>
        <v>190</v>
      </c>
      <c r="Q2744" s="126">
        <f t="shared" si="905"/>
        <v>4456037.1499999994</v>
      </c>
      <c r="R2744" s="44" t="str">
        <f>VLOOKUP(F2744,'Set up'!$A$2:$E$50,5,FALSE)</f>
        <v>Chq</v>
      </c>
    </row>
    <row r="2745" spans="1:18" s="125" customFormat="1" ht="16.2" customHeight="1" x14ac:dyDescent="0.3">
      <c r="A2745" s="123">
        <v>45372</v>
      </c>
      <c r="B2745" s="124">
        <f t="shared" si="899"/>
        <v>3</v>
      </c>
      <c r="C2745" s="124">
        <f t="shared" si="900"/>
        <v>2024</v>
      </c>
      <c r="D2745" s="124" t="s">
        <v>2467</v>
      </c>
      <c r="E2745" s="5" t="str">
        <f>VLOOKUP(F2751,'Set up'!$A$2:$C$50,2,FALSE)</f>
        <v>C00000010</v>
      </c>
      <c r="F2745" s="125" t="s">
        <v>62</v>
      </c>
      <c r="G2745" s="95" t="s">
        <v>1179</v>
      </c>
      <c r="H2745" s="130">
        <v>6</v>
      </c>
      <c r="I2745" s="5">
        <f>VLOOKUP(F2751,'Set up'!$A$2:$C$50,3,FALSE)</f>
        <v>120</v>
      </c>
      <c r="J2745" s="5">
        <f>VLOOKUP(F2751,'Set up'!$A$2:$D$50,4,FALSE)</f>
        <v>120</v>
      </c>
      <c r="K2745" s="123">
        <f t="shared" si="901"/>
        <v>45492</v>
      </c>
      <c r="L2745" s="124">
        <f t="shared" si="902"/>
        <v>7</v>
      </c>
      <c r="M2745" s="124">
        <f t="shared" si="903"/>
        <v>2024</v>
      </c>
      <c r="N2745" s="12">
        <v>9636</v>
      </c>
      <c r="O2745" s="12"/>
      <c r="P2745" s="12">
        <f t="shared" si="904"/>
        <v>9636</v>
      </c>
      <c r="Q2745" s="126">
        <f t="shared" si="905"/>
        <v>4465673.1499999994</v>
      </c>
      <c r="R2745" s="44" t="str">
        <f>VLOOKUP(F2751,'Set up'!$A$2:$E$50,5,FALSE)</f>
        <v>Trsf</v>
      </c>
    </row>
    <row r="2746" spans="1:18" s="125" customFormat="1" ht="16.2" customHeight="1" x14ac:dyDescent="0.3">
      <c r="A2746" s="123">
        <v>45372</v>
      </c>
      <c r="B2746" s="124">
        <f t="shared" si="899"/>
        <v>3</v>
      </c>
      <c r="C2746" s="124">
        <f t="shared" si="900"/>
        <v>2024</v>
      </c>
      <c r="D2746" s="124" t="s">
        <v>2467</v>
      </c>
      <c r="E2746" s="5" t="str">
        <f>VLOOKUP(F2746,'Set up'!$A$2:$C$50,2,FALSE)</f>
        <v>C00000010</v>
      </c>
      <c r="F2746" s="125" t="s">
        <v>62</v>
      </c>
      <c r="G2746" s="90" t="s">
        <v>1393</v>
      </c>
      <c r="H2746" s="127">
        <v>10</v>
      </c>
      <c r="I2746" s="5">
        <f>VLOOKUP(F2746,'Set up'!$A$2:$C$50,3,FALSE)</f>
        <v>120</v>
      </c>
      <c r="J2746" s="5">
        <f>VLOOKUP(F2746,'Set up'!$A$2:$D$50,4,FALSE)</f>
        <v>120</v>
      </c>
      <c r="K2746" s="123">
        <f t="shared" si="901"/>
        <v>45492</v>
      </c>
      <c r="L2746" s="124">
        <f t="shared" si="902"/>
        <v>7</v>
      </c>
      <c r="M2746" s="124">
        <f t="shared" si="903"/>
        <v>2024</v>
      </c>
      <c r="N2746" s="12">
        <v>1740</v>
      </c>
      <c r="O2746" s="12"/>
      <c r="P2746" s="12">
        <f t="shared" si="904"/>
        <v>1740</v>
      </c>
      <c r="Q2746" s="126">
        <f t="shared" si="905"/>
        <v>4467413.1499999994</v>
      </c>
      <c r="R2746" s="44" t="str">
        <f>VLOOKUP(F2746,'Set up'!$A$2:$E$50,5,FALSE)</f>
        <v>Trsf</v>
      </c>
    </row>
    <row r="2747" spans="1:18" s="125" customFormat="1" ht="16.2" customHeight="1" x14ac:dyDescent="0.3">
      <c r="A2747" s="123">
        <v>45372</v>
      </c>
      <c r="B2747" s="124">
        <f t="shared" si="899"/>
        <v>3</v>
      </c>
      <c r="C2747" s="124">
        <f t="shared" si="900"/>
        <v>2024</v>
      </c>
      <c r="D2747" s="124" t="s">
        <v>2467</v>
      </c>
      <c r="E2747" s="5" t="str">
        <f>VLOOKUP(F2747,'Set up'!$A$2:$C$50,2,FALSE)</f>
        <v>C00000010</v>
      </c>
      <c r="F2747" s="125" t="s">
        <v>62</v>
      </c>
      <c r="G2747" s="90" t="s">
        <v>792</v>
      </c>
      <c r="H2747" s="127">
        <v>10</v>
      </c>
      <c r="I2747" s="5">
        <f>VLOOKUP(F2747,'Set up'!$A$2:$C$50,3,FALSE)</f>
        <v>120</v>
      </c>
      <c r="J2747" s="5">
        <f>VLOOKUP(F2747,'Set up'!$A$2:$D$50,4,FALSE)</f>
        <v>120</v>
      </c>
      <c r="K2747" s="123">
        <f t="shared" si="901"/>
        <v>45492</v>
      </c>
      <c r="L2747" s="124">
        <f t="shared" si="902"/>
        <v>7</v>
      </c>
      <c r="M2747" s="124">
        <f t="shared" si="903"/>
        <v>2024</v>
      </c>
      <c r="N2747" s="12">
        <v>575</v>
      </c>
      <c r="O2747" s="12"/>
      <c r="P2747" s="12">
        <f t="shared" si="904"/>
        <v>575</v>
      </c>
      <c r="Q2747" s="126">
        <f t="shared" si="905"/>
        <v>4467988.1499999994</v>
      </c>
      <c r="R2747" s="44" t="str">
        <f>VLOOKUP(F2747,'Set up'!$A$2:$E$50,5,FALSE)</f>
        <v>Trsf</v>
      </c>
    </row>
    <row r="2748" spans="1:18" s="125" customFormat="1" ht="16.2" customHeight="1" x14ac:dyDescent="0.3">
      <c r="A2748" s="123">
        <v>45372</v>
      </c>
      <c r="B2748" s="124">
        <f t="shared" si="899"/>
        <v>3</v>
      </c>
      <c r="C2748" s="124">
        <f t="shared" si="900"/>
        <v>2024</v>
      </c>
      <c r="D2748" s="124" t="s">
        <v>2467</v>
      </c>
      <c r="E2748" s="5" t="str">
        <f>VLOOKUP(F2748,'Set up'!$A$2:$C$50,2,FALSE)</f>
        <v>C00000010</v>
      </c>
      <c r="F2748" s="125" t="s">
        <v>62</v>
      </c>
      <c r="G2748" s="11" t="s">
        <v>46</v>
      </c>
      <c r="H2748" s="127">
        <v>8</v>
      </c>
      <c r="I2748" s="5">
        <f>VLOOKUP(F2748,'Set up'!$A$2:$C$50,3,FALSE)</f>
        <v>120</v>
      </c>
      <c r="J2748" s="5">
        <f>VLOOKUP(F2748,'Set up'!$A$2:$D$50,4,FALSE)</f>
        <v>120</v>
      </c>
      <c r="K2748" s="123">
        <f t="shared" si="901"/>
        <v>45492</v>
      </c>
      <c r="L2748" s="124">
        <f t="shared" si="902"/>
        <v>7</v>
      </c>
      <c r="M2748" s="124">
        <f t="shared" si="903"/>
        <v>2024</v>
      </c>
      <c r="N2748" s="12">
        <v>880</v>
      </c>
      <c r="O2748" s="12"/>
      <c r="P2748" s="12">
        <f t="shared" si="904"/>
        <v>880</v>
      </c>
      <c r="Q2748" s="126">
        <f t="shared" si="905"/>
        <v>4468868.1499999994</v>
      </c>
      <c r="R2748" s="44" t="str">
        <f>VLOOKUP(F2748,'Set up'!$A$2:$E$50,5,FALSE)</f>
        <v>Trsf</v>
      </c>
    </row>
    <row r="2749" spans="1:18" s="125" customFormat="1" ht="16.2" customHeight="1" x14ac:dyDescent="0.3">
      <c r="A2749" s="123">
        <v>45372</v>
      </c>
      <c r="B2749" s="124">
        <f t="shared" si="899"/>
        <v>3</v>
      </c>
      <c r="C2749" s="124">
        <f t="shared" si="900"/>
        <v>2024</v>
      </c>
      <c r="D2749" s="124" t="s">
        <v>2467</v>
      </c>
      <c r="E2749" s="5" t="str">
        <f>VLOOKUP(F2749,'Set up'!$A$2:$C$50,2,FALSE)</f>
        <v>C00000010</v>
      </c>
      <c r="F2749" s="125" t="s">
        <v>62</v>
      </c>
      <c r="G2749" s="90" t="s">
        <v>2465</v>
      </c>
      <c r="H2749" s="127">
        <v>1</v>
      </c>
      <c r="I2749" s="5">
        <f>VLOOKUP(F2749,'Set up'!$A$2:$C$50,3,FALSE)</f>
        <v>120</v>
      </c>
      <c r="J2749" s="5">
        <f>VLOOKUP(F2749,'Set up'!$A$2:$D$50,4,FALSE)</f>
        <v>120</v>
      </c>
      <c r="K2749" s="123">
        <f t="shared" si="901"/>
        <v>45492</v>
      </c>
      <c r="L2749" s="124">
        <f t="shared" si="902"/>
        <v>7</v>
      </c>
      <c r="M2749" s="124">
        <f t="shared" si="903"/>
        <v>2024</v>
      </c>
      <c r="N2749" s="12">
        <v>420</v>
      </c>
      <c r="O2749" s="12"/>
      <c r="P2749" s="12">
        <f t="shared" si="904"/>
        <v>420</v>
      </c>
      <c r="Q2749" s="126">
        <f t="shared" si="905"/>
        <v>4469288.1499999994</v>
      </c>
      <c r="R2749" s="44" t="str">
        <f>VLOOKUP(F2749,'Set up'!$A$2:$E$50,5,FALSE)</f>
        <v>Trsf</v>
      </c>
    </row>
    <row r="2750" spans="1:18" s="125" customFormat="1" ht="16.2" customHeight="1" x14ac:dyDescent="0.3">
      <c r="A2750" s="123">
        <v>45372</v>
      </c>
      <c r="B2750" s="124">
        <f t="shared" si="899"/>
        <v>3</v>
      </c>
      <c r="C2750" s="124">
        <f t="shared" si="900"/>
        <v>2024</v>
      </c>
      <c r="D2750" s="124" t="s">
        <v>2467</v>
      </c>
      <c r="E2750" s="5" t="str">
        <f>VLOOKUP(F2750,'Set up'!$A$2:$C$50,2,FALSE)</f>
        <v>C00000010</v>
      </c>
      <c r="F2750" s="125" t="s">
        <v>62</v>
      </c>
      <c r="G2750" s="90" t="s">
        <v>615</v>
      </c>
      <c r="H2750" s="127">
        <v>1</v>
      </c>
      <c r="I2750" s="5">
        <f>VLOOKUP(F2750,'Set up'!$A$2:$C$50,3,FALSE)</f>
        <v>120</v>
      </c>
      <c r="J2750" s="5">
        <f>VLOOKUP(F2750,'Set up'!$A$2:$D$50,4,FALSE)</f>
        <v>120</v>
      </c>
      <c r="K2750" s="123">
        <f t="shared" si="901"/>
        <v>45492</v>
      </c>
      <c r="L2750" s="124">
        <f t="shared" si="902"/>
        <v>7</v>
      </c>
      <c r="M2750" s="124">
        <f t="shared" si="903"/>
        <v>2024</v>
      </c>
      <c r="N2750" s="12">
        <v>395</v>
      </c>
      <c r="O2750" s="12"/>
      <c r="P2750" s="12">
        <f t="shared" si="904"/>
        <v>395</v>
      </c>
      <c r="Q2750" s="126">
        <f t="shared" si="905"/>
        <v>4469683.1499999994</v>
      </c>
      <c r="R2750" s="44" t="str">
        <f>VLOOKUP(F2750,'Set up'!$A$2:$E$50,5,FALSE)</f>
        <v>Trsf</v>
      </c>
    </row>
    <row r="2751" spans="1:18" s="125" customFormat="1" ht="16.2" customHeight="1" x14ac:dyDescent="0.3">
      <c r="A2751" s="123">
        <v>45372</v>
      </c>
      <c r="B2751" s="124">
        <f t="shared" si="899"/>
        <v>3</v>
      </c>
      <c r="C2751" s="124">
        <f t="shared" ref="C2751:C2765" si="906">YEAR(A2751)</f>
        <v>2024</v>
      </c>
      <c r="D2751" s="124" t="s">
        <v>2467</v>
      </c>
      <c r="E2751" s="5" t="str">
        <f>VLOOKUP(F2751,'Set up'!$A$2:$C$50,2,FALSE)</f>
        <v>C00000010</v>
      </c>
      <c r="F2751" s="125" t="s">
        <v>62</v>
      </c>
      <c r="G2751" s="90" t="s">
        <v>2466</v>
      </c>
      <c r="H2751" s="127">
        <v>1</v>
      </c>
      <c r="I2751" s="5">
        <f>VLOOKUP(F2751,'Set up'!$A$2:$C$50,3,FALSE)</f>
        <v>120</v>
      </c>
      <c r="J2751" s="5">
        <f>VLOOKUP(F2751,'Set up'!$A$2:$D$50,4,FALSE)</f>
        <v>120</v>
      </c>
      <c r="K2751" s="123">
        <f t="shared" ref="K2751" si="907">A2751+J2751</f>
        <v>45492</v>
      </c>
      <c r="L2751" s="124">
        <f t="shared" si="902"/>
        <v>7</v>
      </c>
      <c r="M2751" s="124">
        <f t="shared" ref="M2751" si="908">YEAR(K2751)</f>
        <v>2024</v>
      </c>
      <c r="N2751" s="12">
        <v>1550</v>
      </c>
      <c r="O2751" s="12"/>
      <c r="P2751" s="12">
        <f t="shared" ref="P2751:P2765" si="909">SUM(N2751+O2751)</f>
        <v>1550</v>
      </c>
      <c r="Q2751" s="126">
        <f t="shared" ref="Q2751:Q2765" si="910">SUM(Q2750+N2751)</f>
        <v>4471233.1499999994</v>
      </c>
      <c r="R2751" s="44" t="e">
        <f>VLOOKUP(#REF!,'Set up'!$A$2:$E$50,5,FALSE)</f>
        <v>#REF!</v>
      </c>
    </row>
    <row r="2752" spans="1:18" s="125" customFormat="1" ht="16.2" customHeight="1" x14ac:dyDescent="0.3">
      <c r="A2752" s="123">
        <v>45373</v>
      </c>
      <c r="B2752" s="124">
        <f t="shared" si="899"/>
        <v>3</v>
      </c>
      <c r="C2752" s="124">
        <f t="shared" si="906"/>
        <v>2024</v>
      </c>
      <c r="D2752" s="124" t="s">
        <v>2468</v>
      </c>
      <c r="E2752" s="5" t="str">
        <f>VLOOKUP(F2752,'Set up'!$A$2:$C$50,2,FALSE)</f>
        <v>C00000044</v>
      </c>
      <c r="F2752" s="125" t="s">
        <v>2213</v>
      </c>
      <c r="G2752" s="120" t="s">
        <v>1179</v>
      </c>
      <c r="H2752" s="131">
        <v>1</v>
      </c>
      <c r="I2752" s="5" t="str">
        <f>VLOOKUP(F2752,'Set up'!$A$2:$C$50,3,FALSE)</f>
        <v>Cash</v>
      </c>
      <c r="J2752" s="5">
        <f>VLOOKUP(F2752,'Set up'!$A$2:$D$50,4,FALSE)</f>
        <v>0</v>
      </c>
      <c r="K2752" s="123">
        <f t="shared" ref="K2752:K2765" si="911">A2752+J2752</f>
        <v>45373</v>
      </c>
      <c r="L2752" s="124">
        <f t="shared" si="902"/>
        <v>3</v>
      </c>
      <c r="M2752" s="124">
        <f t="shared" ref="M2752:M2765" si="912">YEAR(K2752)</f>
        <v>2024</v>
      </c>
      <c r="N2752" s="12">
        <v>1628</v>
      </c>
      <c r="O2752" s="12"/>
      <c r="P2752" s="12">
        <f t="shared" si="909"/>
        <v>1628</v>
      </c>
      <c r="Q2752" s="126">
        <f t="shared" si="910"/>
        <v>4472861.1499999994</v>
      </c>
      <c r="R2752" s="44" t="str">
        <f>VLOOKUP(F2752,'Set up'!$A$2:$E$50,5,FALSE)</f>
        <v>Trsf</v>
      </c>
    </row>
    <row r="2753" spans="1:18" s="125" customFormat="1" ht="16.2" customHeight="1" x14ac:dyDescent="0.3">
      <c r="A2753" s="123">
        <v>45373</v>
      </c>
      <c r="B2753" s="124">
        <f t="shared" si="899"/>
        <v>3</v>
      </c>
      <c r="C2753" s="124">
        <f t="shared" si="906"/>
        <v>2024</v>
      </c>
      <c r="D2753" s="124" t="s">
        <v>2468</v>
      </c>
      <c r="E2753" s="5" t="str">
        <f>VLOOKUP(F2753,'Set up'!$A$2:$C$50,2,FALSE)</f>
        <v>C00000044</v>
      </c>
      <c r="F2753" s="125" t="s">
        <v>2213</v>
      </c>
      <c r="G2753" s="121" t="s">
        <v>1544</v>
      </c>
      <c r="H2753" s="131">
        <v>2</v>
      </c>
      <c r="I2753" s="5" t="str">
        <f>VLOOKUP(F2753,'Set up'!$A$2:$C$50,3,FALSE)</f>
        <v>Cash</v>
      </c>
      <c r="J2753" s="5">
        <f>VLOOKUP(F2753,'Set up'!$A$2:$D$50,4,FALSE)</f>
        <v>0</v>
      </c>
      <c r="K2753" s="123">
        <f t="shared" si="911"/>
        <v>45373</v>
      </c>
      <c r="L2753" s="124">
        <f t="shared" si="902"/>
        <v>3</v>
      </c>
      <c r="M2753" s="124">
        <f t="shared" si="912"/>
        <v>2024</v>
      </c>
      <c r="N2753" s="12">
        <v>420</v>
      </c>
      <c r="O2753" s="12"/>
      <c r="P2753" s="12">
        <f t="shared" si="909"/>
        <v>420</v>
      </c>
      <c r="Q2753" s="126">
        <f t="shared" si="910"/>
        <v>4473281.1499999994</v>
      </c>
      <c r="R2753" s="44" t="str">
        <f>VLOOKUP(F2753,'Set up'!$A$2:$E$50,5,FALSE)</f>
        <v>Trsf</v>
      </c>
    </row>
    <row r="2754" spans="1:18" s="125" customFormat="1" ht="16.2" customHeight="1" x14ac:dyDescent="0.3">
      <c r="A2754" s="123">
        <v>45373</v>
      </c>
      <c r="B2754" s="124">
        <f t="shared" si="899"/>
        <v>3</v>
      </c>
      <c r="C2754" s="124">
        <f t="shared" si="906"/>
        <v>2024</v>
      </c>
      <c r="D2754" s="124" t="s">
        <v>2468</v>
      </c>
      <c r="E2754" s="5" t="str">
        <f>VLOOKUP(F2754,'Set up'!$A$2:$C$50,2,FALSE)</f>
        <v>C00000044</v>
      </c>
      <c r="F2754" s="125" t="s">
        <v>2213</v>
      </c>
      <c r="G2754" s="121" t="s">
        <v>2032</v>
      </c>
      <c r="H2754" s="131">
        <v>1</v>
      </c>
      <c r="I2754" s="5" t="str">
        <f>VLOOKUP(F2754,'Set up'!$A$2:$C$50,3,FALSE)</f>
        <v>Cash</v>
      </c>
      <c r="J2754" s="5">
        <f>VLOOKUP(F2754,'Set up'!$A$2:$D$50,4,FALSE)</f>
        <v>0</v>
      </c>
      <c r="K2754" s="123">
        <f t="shared" si="911"/>
        <v>45373</v>
      </c>
      <c r="L2754" s="124">
        <f t="shared" si="902"/>
        <v>3</v>
      </c>
      <c r="M2754" s="124">
        <f t="shared" si="912"/>
        <v>2024</v>
      </c>
      <c r="N2754" s="12">
        <v>280</v>
      </c>
      <c r="O2754" s="12"/>
      <c r="P2754" s="12">
        <f t="shared" si="909"/>
        <v>280</v>
      </c>
      <c r="Q2754" s="126">
        <f t="shared" si="910"/>
        <v>4473561.1499999994</v>
      </c>
      <c r="R2754" s="44" t="str">
        <f>VLOOKUP(F2754,'Set up'!$A$2:$E$50,5,FALSE)</f>
        <v>Trsf</v>
      </c>
    </row>
    <row r="2755" spans="1:18" s="125" customFormat="1" ht="16.2" customHeight="1" x14ac:dyDescent="0.3">
      <c r="A2755" s="123">
        <v>45373</v>
      </c>
      <c r="B2755" s="124">
        <f t="shared" si="899"/>
        <v>3</v>
      </c>
      <c r="C2755" s="124">
        <f t="shared" si="906"/>
        <v>2024</v>
      </c>
      <c r="D2755" s="124" t="s">
        <v>2468</v>
      </c>
      <c r="E2755" s="5" t="str">
        <f>VLOOKUP(F2755,'Set up'!$A$2:$C$50,2,FALSE)</f>
        <v>C00000044</v>
      </c>
      <c r="F2755" s="125" t="s">
        <v>2213</v>
      </c>
      <c r="G2755" s="121" t="s">
        <v>46</v>
      </c>
      <c r="H2755" s="131">
        <v>1</v>
      </c>
      <c r="I2755" s="5" t="str">
        <f>VLOOKUP(F2755,'Set up'!$A$2:$C$50,3,FALSE)</f>
        <v>Cash</v>
      </c>
      <c r="J2755" s="5">
        <f>VLOOKUP(F2755,'Set up'!$A$2:$D$50,4,FALSE)</f>
        <v>0</v>
      </c>
      <c r="K2755" s="123">
        <f t="shared" si="911"/>
        <v>45373</v>
      </c>
      <c r="L2755" s="124">
        <f t="shared" si="902"/>
        <v>3</v>
      </c>
      <c r="M2755" s="124">
        <f t="shared" si="912"/>
        <v>2024</v>
      </c>
      <c r="N2755" s="12">
        <v>110</v>
      </c>
      <c r="O2755" s="12"/>
      <c r="P2755" s="12">
        <f t="shared" si="909"/>
        <v>110</v>
      </c>
      <c r="Q2755" s="126">
        <f t="shared" si="910"/>
        <v>4473671.1499999994</v>
      </c>
      <c r="R2755" s="44" t="str">
        <f>VLOOKUP(F2755,'Set up'!$A$2:$E$50,5,FALSE)</f>
        <v>Trsf</v>
      </c>
    </row>
    <row r="2756" spans="1:18" s="125" customFormat="1" ht="16.2" customHeight="1" x14ac:dyDescent="0.3">
      <c r="A2756" s="123">
        <v>45379</v>
      </c>
      <c r="B2756" s="124">
        <f t="shared" si="899"/>
        <v>3</v>
      </c>
      <c r="C2756" s="124">
        <f t="shared" si="906"/>
        <v>2024</v>
      </c>
      <c r="D2756" s="124" t="s">
        <v>2469</v>
      </c>
      <c r="E2756" s="5" t="str">
        <f>VLOOKUP(F2756,'Set up'!$A$2:$C$50,2,FALSE)</f>
        <v>C00000019</v>
      </c>
      <c r="F2756" s="125" t="s">
        <v>401</v>
      </c>
      <c r="G2756" s="90" t="s">
        <v>95</v>
      </c>
      <c r="H2756" s="127">
        <v>1</v>
      </c>
      <c r="I2756" s="5" t="str">
        <f>VLOOKUP(F2756,'Set up'!$A$2:$C$50,3,FALSE)</f>
        <v>Cash</v>
      </c>
      <c r="J2756" s="5">
        <f>VLOOKUP(F2756,'Set up'!$A$2:$D$50,4,FALSE)</f>
        <v>0</v>
      </c>
      <c r="K2756" s="123">
        <f t="shared" si="911"/>
        <v>45379</v>
      </c>
      <c r="L2756" s="124">
        <f t="shared" si="902"/>
        <v>3</v>
      </c>
      <c r="M2756" s="124">
        <f t="shared" si="912"/>
        <v>2024</v>
      </c>
      <c r="N2756" s="98">
        <v>1738</v>
      </c>
      <c r="O2756" s="12"/>
      <c r="P2756" s="12">
        <f t="shared" si="909"/>
        <v>1738</v>
      </c>
      <c r="Q2756" s="126">
        <f t="shared" si="910"/>
        <v>4475409.1499999994</v>
      </c>
      <c r="R2756" s="44" t="str">
        <f>VLOOKUP(F2756,'Set up'!$A$2:$E$50,5,FALSE)</f>
        <v>Trsf</v>
      </c>
    </row>
    <row r="2757" spans="1:18" s="125" customFormat="1" ht="16.2" customHeight="1" x14ac:dyDescent="0.3">
      <c r="A2757" s="123">
        <v>45379</v>
      </c>
      <c r="B2757" s="124">
        <f t="shared" si="899"/>
        <v>3</v>
      </c>
      <c r="C2757" s="124">
        <f t="shared" si="906"/>
        <v>2024</v>
      </c>
      <c r="D2757" s="124" t="s">
        <v>2469</v>
      </c>
      <c r="E2757" s="5" t="str">
        <f>VLOOKUP(F2757,'Set up'!$A$2:$C$50,2,FALSE)</f>
        <v>C00000019</v>
      </c>
      <c r="F2757" s="125" t="s">
        <v>401</v>
      </c>
      <c r="G2757" s="90" t="s">
        <v>1412</v>
      </c>
      <c r="H2757" s="127">
        <v>1</v>
      </c>
      <c r="I2757" s="5" t="str">
        <f>VLOOKUP(F2757,'Set up'!$A$2:$C$50,3,FALSE)</f>
        <v>Cash</v>
      </c>
      <c r="J2757" s="5">
        <f>VLOOKUP(F2757,'Set up'!$A$2:$D$50,4,FALSE)</f>
        <v>0</v>
      </c>
      <c r="K2757" s="123">
        <f t="shared" si="911"/>
        <v>45379</v>
      </c>
      <c r="L2757" s="124">
        <f t="shared" si="902"/>
        <v>3</v>
      </c>
      <c r="M2757" s="124">
        <f t="shared" si="912"/>
        <v>2024</v>
      </c>
      <c r="N2757" s="98">
        <v>405</v>
      </c>
      <c r="O2757" s="12"/>
      <c r="P2757" s="12">
        <f t="shared" si="909"/>
        <v>405</v>
      </c>
      <c r="Q2757" s="126">
        <f t="shared" si="910"/>
        <v>4475814.1499999994</v>
      </c>
      <c r="R2757" s="44" t="str">
        <f>VLOOKUP(F2757,'Set up'!$A$2:$E$50,5,FALSE)</f>
        <v>Trsf</v>
      </c>
    </row>
    <row r="2758" spans="1:18" s="125" customFormat="1" ht="16.2" customHeight="1" x14ac:dyDescent="0.3">
      <c r="A2758" s="123">
        <v>45379</v>
      </c>
      <c r="B2758" s="124">
        <f t="shared" si="899"/>
        <v>3</v>
      </c>
      <c r="C2758" s="124">
        <f t="shared" si="906"/>
        <v>2024</v>
      </c>
      <c r="D2758" s="124" t="s">
        <v>2469</v>
      </c>
      <c r="E2758" s="5" t="str">
        <f>VLOOKUP(F2758,'Set up'!$A$2:$C$50,2,FALSE)</f>
        <v>C00000019</v>
      </c>
      <c r="F2758" s="125" t="s">
        <v>401</v>
      </c>
      <c r="G2758" s="90" t="s">
        <v>1470</v>
      </c>
      <c r="H2758" s="127">
        <v>1</v>
      </c>
      <c r="I2758" s="5" t="str">
        <f>VLOOKUP(F2758,'Set up'!$A$2:$C$50,3,FALSE)</f>
        <v>Cash</v>
      </c>
      <c r="J2758" s="5">
        <f>VLOOKUP(F2758,'Set up'!$A$2:$D$50,4,FALSE)</f>
        <v>0</v>
      </c>
      <c r="K2758" s="123">
        <f t="shared" si="911"/>
        <v>45379</v>
      </c>
      <c r="L2758" s="124">
        <f t="shared" si="902"/>
        <v>3</v>
      </c>
      <c r="M2758" s="124">
        <f t="shared" si="912"/>
        <v>2024</v>
      </c>
      <c r="N2758" s="98">
        <v>390</v>
      </c>
      <c r="O2758" s="12"/>
      <c r="P2758" s="12">
        <f t="shared" si="909"/>
        <v>390</v>
      </c>
      <c r="Q2758" s="126">
        <f t="shared" si="910"/>
        <v>4476204.1499999994</v>
      </c>
      <c r="R2758" s="44" t="str">
        <f>VLOOKUP(F2758,'Set up'!$A$2:$E$50,5,FALSE)</f>
        <v>Trsf</v>
      </c>
    </row>
    <row r="2759" spans="1:18" s="125" customFormat="1" ht="16.2" customHeight="1" x14ac:dyDescent="0.3">
      <c r="A2759" s="123">
        <v>45380</v>
      </c>
      <c r="B2759" s="124">
        <f t="shared" si="899"/>
        <v>3</v>
      </c>
      <c r="C2759" s="124">
        <f t="shared" si="906"/>
        <v>2024</v>
      </c>
      <c r="D2759" s="124" t="s">
        <v>2470</v>
      </c>
      <c r="E2759" s="5" t="str">
        <f>VLOOKUP(F2759,'Set up'!$A$2:$C$50,2,FALSE)</f>
        <v>C00000042</v>
      </c>
      <c r="F2759" s="125" t="s">
        <v>2014</v>
      </c>
      <c r="G2759" s="103" t="s">
        <v>1111</v>
      </c>
      <c r="H2759" s="124">
        <v>4</v>
      </c>
      <c r="I2759" s="5" t="str">
        <f>VLOOKUP(F2759,'Set up'!$A$2:$C$50,3,FALSE)</f>
        <v>Cash</v>
      </c>
      <c r="J2759" s="5">
        <f>VLOOKUP(F2759,'Set up'!$A$2:$D$50,4,FALSE)</f>
        <v>0</v>
      </c>
      <c r="K2759" s="123">
        <f t="shared" si="911"/>
        <v>45380</v>
      </c>
      <c r="L2759" s="124">
        <f t="shared" si="902"/>
        <v>3</v>
      </c>
      <c r="M2759" s="124">
        <f t="shared" si="912"/>
        <v>2024</v>
      </c>
      <c r="N2759" s="12">
        <v>250</v>
      </c>
      <c r="O2759" s="12"/>
      <c r="P2759" s="12">
        <f t="shared" si="909"/>
        <v>250</v>
      </c>
      <c r="Q2759" s="126">
        <f t="shared" si="910"/>
        <v>4476454.1499999994</v>
      </c>
      <c r="R2759" s="44" t="str">
        <f>VLOOKUP(F2759,'Set up'!$A$2:$E$50,5,FALSE)</f>
        <v>Trsf</v>
      </c>
    </row>
    <row r="2760" spans="1:18" s="125" customFormat="1" ht="16.2" customHeight="1" x14ac:dyDescent="0.3">
      <c r="A2760" s="123">
        <v>45380</v>
      </c>
      <c r="B2760" s="124">
        <f t="shared" si="899"/>
        <v>3</v>
      </c>
      <c r="C2760" s="124">
        <f t="shared" si="906"/>
        <v>2024</v>
      </c>
      <c r="D2760" s="124" t="s">
        <v>2471</v>
      </c>
      <c r="E2760" s="5" t="str">
        <f>VLOOKUP(F2760,'Set up'!$A$2:$C$50,2,FALSE)</f>
        <v>C00000042</v>
      </c>
      <c r="F2760" s="125" t="s">
        <v>2014</v>
      </c>
      <c r="G2760" s="103" t="s">
        <v>1734</v>
      </c>
      <c r="H2760" s="127">
        <v>4</v>
      </c>
      <c r="I2760" s="5" t="str">
        <f>VLOOKUP(F2760,'Set up'!$A$2:$C$50,3,FALSE)</f>
        <v>Cash</v>
      </c>
      <c r="J2760" s="5">
        <f>VLOOKUP(F2760,'Set up'!$A$2:$D$50,4,FALSE)</f>
        <v>0</v>
      </c>
      <c r="K2760" s="123">
        <f t="shared" si="911"/>
        <v>45380</v>
      </c>
      <c r="L2760" s="124">
        <f t="shared" si="902"/>
        <v>3</v>
      </c>
      <c r="M2760" s="124">
        <f t="shared" si="912"/>
        <v>2024</v>
      </c>
      <c r="N2760" s="12">
        <v>6424</v>
      </c>
      <c r="O2760" s="12"/>
      <c r="P2760" s="12">
        <f t="shared" si="909"/>
        <v>6424</v>
      </c>
      <c r="Q2760" s="126">
        <f t="shared" si="910"/>
        <v>4482878.1499999994</v>
      </c>
      <c r="R2760" s="44" t="str">
        <f>VLOOKUP(F2760,'Set up'!$A$2:$E$50,5,FALSE)</f>
        <v>Trsf</v>
      </c>
    </row>
    <row r="2761" spans="1:18" s="125" customFormat="1" ht="16.2" customHeight="1" x14ac:dyDescent="0.3">
      <c r="A2761" s="123">
        <v>45380</v>
      </c>
      <c r="B2761" s="124">
        <f t="shared" si="899"/>
        <v>3</v>
      </c>
      <c r="C2761" s="124">
        <f t="shared" si="906"/>
        <v>2024</v>
      </c>
      <c r="D2761" s="124" t="s">
        <v>2471</v>
      </c>
      <c r="E2761" s="5" t="str">
        <f>VLOOKUP(F2761,'Set up'!$A$2:$C$50,2,FALSE)</f>
        <v>C00000042</v>
      </c>
      <c r="F2761" s="125" t="s">
        <v>2014</v>
      </c>
      <c r="G2761" s="90" t="s">
        <v>655</v>
      </c>
      <c r="H2761" s="127">
        <v>12</v>
      </c>
      <c r="I2761" s="5" t="str">
        <f>VLOOKUP(F2761,'Set up'!$A$2:$C$50,3,FALSE)</f>
        <v>Cash</v>
      </c>
      <c r="J2761" s="5">
        <f>VLOOKUP(F2761,'Set up'!$A$2:$D$50,4,FALSE)</f>
        <v>0</v>
      </c>
      <c r="K2761" s="123">
        <f t="shared" si="911"/>
        <v>45380</v>
      </c>
      <c r="L2761" s="124">
        <f t="shared" si="902"/>
        <v>3</v>
      </c>
      <c r="M2761" s="124">
        <f t="shared" si="912"/>
        <v>2024</v>
      </c>
      <c r="N2761" s="12">
        <v>2088</v>
      </c>
      <c r="O2761" s="12"/>
      <c r="P2761" s="12">
        <f t="shared" si="909"/>
        <v>2088</v>
      </c>
      <c r="Q2761" s="126">
        <f t="shared" si="910"/>
        <v>4484966.1499999994</v>
      </c>
      <c r="R2761" s="44" t="str">
        <f>VLOOKUP(F2761,'Set up'!$A$2:$E$50,5,FALSE)</f>
        <v>Trsf</v>
      </c>
    </row>
    <row r="2762" spans="1:18" s="125" customFormat="1" ht="16.2" customHeight="1" x14ac:dyDescent="0.3">
      <c r="A2762" s="123">
        <v>45380</v>
      </c>
      <c r="B2762" s="124">
        <f t="shared" si="899"/>
        <v>3</v>
      </c>
      <c r="C2762" s="124">
        <f t="shared" si="906"/>
        <v>2024</v>
      </c>
      <c r="D2762" s="124" t="s">
        <v>2471</v>
      </c>
      <c r="E2762" s="5" t="str">
        <f>VLOOKUP(F2762,'Set up'!$A$2:$C$50,2,FALSE)</f>
        <v>C00000042</v>
      </c>
      <c r="F2762" s="125" t="s">
        <v>2014</v>
      </c>
      <c r="G2762" s="90" t="s">
        <v>1923</v>
      </c>
      <c r="H2762" s="127">
        <v>6</v>
      </c>
      <c r="I2762" s="5" t="str">
        <f>VLOOKUP(F2762,'Set up'!$A$2:$C$50,3,FALSE)</f>
        <v>Cash</v>
      </c>
      <c r="J2762" s="5">
        <f>VLOOKUP(F2762,'Set up'!$A$2:$D$50,4,FALSE)</f>
        <v>0</v>
      </c>
      <c r="K2762" s="123">
        <f t="shared" si="911"/>
        <v>45380</v>
      </c>
      <c r="L2762" s="124">
        <f t="shared" si="902"/>
        <v>3</v>
      </c>
      <c r="M2762" s="124">
        <f t="shared" si="912"/>
        <v>2024</v>
      </c>
      <c r="N2762" s="12">
        <v>1404</v>
      </c>
      <c r="O2762" s="12"/>
      <c r="P2762" s="12">
        <f t="shared" si="909"/>
        <v>1404</v>
      </c>
      <c r="Q2762" s="126">
        <f t="shared" si="910"/>
        <v>4486370.1499999994</v>
      </c>
      <c r="R2762" s="44" t="str">
        <f>VLOOKUP(F2762,'Set up'!$A$2:$E$50,5,FALSE)</f>
        <v>Trsf</v>
      </c>
    </row>
    <row r="2763" spans="1:18" s="125" customFormat="1" ht="16.2" customHeight="1" x14ac:dyDescent="0.3">
      <c r="A2763" s="123">
        <v>45380</v>
      </c>
      <c r="B2763" s="124">
        <f t="shared" si="899"/>
        <v>3</v>
      </c>
      <c r="C2763" s="124">
        <f t="shared" si="906"/>
        <v>2024</v>
      </c>
      <c r="D2763" s="124" t="s">
        <v>2471</v>
      </c>
      <c r="E2763" s="5" t="str">
        <f>VLOOKUP(F2763,'Set up'!$A$2:$C$50,2,FALSE)</f>
        <v>C00000042</v>
      </c>
      <c r="F2763" s="125" t="s">
        <v>2014</v>
      </c>
      <c r="G2763" s="90" t="s">
        <v>1062</v>
      </c>
      <c r="H2763" s="127">
        <v>4</v>
      </c>
      <c r="I2763" s="5" t="str">
        <f>VLOOKUP(F2763,'Set up'!$A$2:$C$50,3,FALSE)</f>
        <v>Cash</v>
      </c>
      <c r="J2763" s="5">
        <f>VLOOKUP(F2763,'Set up'!$A$2:$D$50,4,FALSE)</f>
        <v>0</v>
      </c>
      <c r="K2763" s="123">
        <f t="shared" si="911"/>
        <v>45380</v>
      </c>
      <c r="L2763" s="124">
        <f t="shared" si="902"/>
        <v>3</v>
      </c>
      <c r="M2763" s="124">
        <f t="shared" si="912"/>
        <v>2024</v>
      </c>
      <c r="N2763" s="12">
        <v>380</v>
      </c>
      <c r="O2763" s="12"/>
      <c r="P2763" s="12">
        <f t="shared" si="909"/>
        <v>380</v>
      </c>
      <c r="Q2763" s="126">
        <f t="shared" si="910"/>
        <v>4486750.1499999994</v>
      </c>
      <c r="R2763" s="44" t="str">
        <f>VLOOKUP(F2763,'Set up'!$A$2:$E$50,5,FALSE)</f>
        <v>Trsf</v>
      </c>
    </row>
    <row r="2764" spans="1:18" s="125" customFormat="1" ht="16.2" customHeight="1" x14ac:dyDescent="0.3">
      <c r="A2764" s="123">
        <v>45381</v>
      </c>
      <c r="B2764" s="124">
        <f t="shared" si="899"/>
        <v>3</v>
      </c>
      <c r="C2764" s="124">
        <f t="shared" si="906"/>
        <v>2024</v>
      </c>
      <c r="D2764" s="124" t="s">
        <v>2472</v>
      </c>
      <c r="E2764" s="5" t="str">
        <f>VLOOKUP(F2764,'Set up'!$A$2:$C$50,2,FALSE)</f>
        <v>C00000021</v>
      </c>
      <c r="F2764" s="125" t="s">
        <v>492</v>
      </c>
      <c r="G2764" s="107" t="s">
        <v>67</v>
      </c>
      <c r="H2764" s="129">
        <v>1</v>
      </c>
      <c r="I2764" s="5" t="str">
        <f>VLOOKUP(F2764,'Set up'!$A$2:$C$50,3,FALSE)</f>
        <v>Cash</v>
      </c>
      <c r="J2764" s="5">
        <f>VLOOKUP(F2764,'Set up'!$A$2:$D$50,4,FALSE)</f>
        <v>0</v>
      </c>
      <c r="K2764" s="123">
        <f t="shared" si="911"/>
        <v>45381</v>
      </c>
      <c r="L2764" s="124">
        <f t="shared" si="902"/>
        <v>3</v>
      </c>
      <c r="M2764" s="124">
        <f t="shared" si="912"/>
        <v>2024</v>
      </c>
      <c r="N2764" s="12">
        <v>1738</v>
      </c>
      <c r="O2764" s="12"/>
      <c r="P2764" s="12">
        <f t="shared" si="909"/>
        <v>1738</v>
      </c>
      <c r="Q2764" s="126">
        <f t="shared" si="910"/>
        <v>4488488.1499999994</v>
      </c>
      <c r="R2764" s="44" t="str">
        <f>VLOOKUP(F2764,'Set up'!$A$2:$E$50,5,FALSE)</f>
        <v>PD Chq</v>
      </c>
    </row>
    <row r="2765" spans="1:18" s="125" customFormat="1" ht="16.2" customHeight="1" x14ac:dyDescent="0.3">
      <c r="A2765" s="123">
        <v>45381</v>
      </c>
      <c r="B2765" s="124">
        <f t="shared" si="899"/>
        <v>3</v>
      </c>
      <c r="C2765" s="124">
        <f t="shared" si="906"/>
        <v>2024</v>
      </c>
      <c r="D2765" s="124" t="s">
        <v>2472</v>
      </c>
      <c r="E2765" s="5" t="str">
        <f>VLOOKUP(F2765,'Set up'!$A$2:$C$50,2,FALSE)</f>
        <v>C00000021</v>
      </c>
      <c r="F2765" s="125" t="s">
        <v>492</v>
      </c>
      <c r="G2765" s="99" t="s">
        <v>2202</v>
      </c>
      <c r="H2765" s="129">
        <v>3</v>
      </c>
      <c r="I2765" s="5" t="str">
        <f>VLOOKUP(F2765,'Set up'!$A$2:$C$50,3,FALSE)</f>
        <v>Cash</v>
      </c>
      <c r="J2765" s="5">
        <f>VLOOKUP(F2765,'Set up'!$A$2:$D$50,4,FALSE)</f>
        <v>0</v>
      </c>
      <c r="K2765" s="123">
        <f t="shared" si="911"/>
        <v>45381</v>
      </c>
      <c r="L2765" s="124">
        <f t="shared" si="902"/>
        <v>3</v>
      </c>
      <c r="M2765" s="124">
        <f t="shared" si="912"/>
        <v>2024</v>
      </c>
      <c r="N2765" s="12">
        <v>832.5</v>
      </c>
      <c r="O2765" s="12"/>
      <c r="P2765" s="12">
        <f t="shared" si="909"/>
        <v>832.5</v>
      </c>
      <c r="Q2765" s="126">
        <f t="shared" si="910"/>
        <v>4489320.6499999994</v>
      </c>
      <c r="R2765" s="44" t="str">
        <f>VLOOKUP(F2765,'Set up'!$A$2:$E$50,5,FALSE)</f>
        <v>PD Chq</v>
      </c>
    </row>
    <row r="2766" spans="1:18" s="125" customFormat="1" ht="16.2" customHeight="1" x14ac:dyDescent="0.3">
      <c r="A2766" s="123">
        <v>45381</v>
      </c>
      <c r="B2766" s="124">
        <f t="shared" si="899"/>
        <v>3</v>
      </c>
      <c r="C2766" s="124">
        <f t="shared" ref="C2766:C2770" si="913">YEAR(A2766)</f>
        <v>2024</v>
      </c>
      <c r="D2766" s="124" t="s">
        <v>2472</v>
      </c>
      <c r="E2766" s="5" t="str">
        <f>VLOOKUP(F2766,'Set up'!$A$2:$C$50,2,FALSE)</f>
        <v>C00000021</v>
      </c>
      <c r="F2766" s="125" t="s">
        <v>492</v>
      </c>
      <c r="G2766" s="99" t="s">
        <v>1062</v>
      </c>
      <c r="H2766" s="129">
        <v>1</v>
      </c>
      <c r="I2766" s="5" t="str">
        <f>VLOOKUP(F2766,'Set up'!$A$2:$C$50,3,FALSE)</f>
        <v>Cash</v>
      </c>
      <c r="J2766" s="5">
        <f>VLOOKUP(F2766,'Set up'!$A$2:$D$50,4,FALSE)</f>
        <v>0</v>
      </c>
      <c r="K2766" s="123">
        <f t="shared" ref="K2766:K2770" si="914">A2766+J2766</f>
        <v>45381</v>
      </c>
      <c r="L2766" s="124">
        <f t="shared" si="902"/>
        <v>3</v>
      </c>
      <c r="M2766" s="124">
        <f t="shared" ref="M2766:M2770" si="915">YEAR(K2766)</f>
        <v>2024</v>
      </c>
      <c r="N2766" s="12">
        <v>95</v>
      </c>
      <c r="O2766" s="12"/>
      <c r="P2766" s="12">
        <f t="shared" ref="P2766:P2770" si="916">SUM(N2766+O2766)</f>
        <v>95</v>
      </c>
      <c r="Q2766" s="126">
        <f t="shared" ref="Q2766:Q2770" si="917">SUM(Q2765+N2766)</f>
        <v>4489415.6499999994</v>
      </c>
      <c r="R2766" s="44" t="str">
        <f>VLOOKUP(F2766,'Set up'!$A$2:$E$50,5,FALSE)</f>
        <v>PD Chq</v>
      </c>
    </row>
    <row r="2767" spans="1:18" s="125" customFormat="1" ht="16.2" customHeight="1" x14ac:dyDescent="0.3">
      <c r="A2767" s="123">
        <v>45381</v>
      </c>
      <c r="B2767" s="124">
        <f t="shared" si="899"/>
        <v>3</v>
      </c>
      <c r="C2767" s="124">
        <f t="shared" si="913"/>
        <v>2024</v>
      </c>
      <c r="D2767" s="124" t="s">
        <v>2473</v>
      </c>
      <c r="E2767" s="5" t="str">
        <f>VLOOKUP(F2767,'Set up'!$A$2:$C$50,2,FALSE)</f>
        <v>C00000003</v>
      </c>
      <c r="F2767" s="125" t="s">
        <v>20</v>
      </c>
      <c r="G2767" s="107" t="s">
        <v>67</v>
      </c>
      <c r="H2767" s="124">
        <v>1</v>
      </c>
      <c r="I2767" s="5">
        <f>VLOOKUP(F2767,'Set up'!$A$2:$C$50,3,FALSE)</f>
        <v>45</v>
      </c>
      <c r="J2767" s="5">
        <f>VLOOKUP(F2767,'Set up'!$A$2:$D$50,4,FALSE)</f>
        <v>45</v>
      </c>
      <c r="K2767" s="123">
        <f t="shared" si="914"/>
        <v>45426</v>
      </c>
      <c r="L2767" s="124">
        <f t="shared" si="902"/>
        <v>5</v>
      </c>
      <c r="M2767" s="124">
        <f t="shared" si="915"/>
        <v>2024</v>
      </c>
      <c r="N2767" s="12">
        <v>1738</v>
      </c>
      <c r="O2767" s="12"/>
      <c r="P2767" s="12">
        <f t="shared" si="916"/>
        <v>1738</v>
      </c>
      <c r="Q2767" s="126">
        <f t="shared" si="917"/>
        <v>4491153.6499999994</v>
      </c>
      <c r="R2767" s="44" t="str">
        <f>VLOOKUP(F2767,'Set up'!$A$2:$E$50,5,FALSE)</f>
        <v>PD Chq</v>
      </c>
    </row>
    <row r="2768" spans="1:18" s="125" customFormat="1" ht="16.2" customHeight="1" x14ac:dyDescent="0.3">
      <c r="A2768" s="123">
        <v>45381</v>
      </c>
      <c r="B2768" s="124">
        <f t="shared" si="899"/>
        <v>3</v>
      </c>
      <c r="C2768" s="124">
        <f t="shared" si="913"/>
        <v>2024</v>
      </c>
      <c r="D2768" s="124" t="s">
        <v>2473</v>
      </c>
      <c r="E2768" s="5" t="str">
        <f>VLOOKUP(F2768,'Set up'!$A$2:$C$50,2,FALSE)</f>
        <v>C00000003</v>
      </c>
      <c r="F2768" s="125" t="s">
        <v>20</v>
      </c>
      <c r="G2768" s="99" t="s">
        <v>17</v>
      </c>
      <c r="H2768" s="124">
        <v>2</v>
      </c>
      <c r="I2768" s="5">
        <f>VLOOKUP(F2768,'Set up'!$A$2:$C$50,3,FALSE)</f>
        <v>45</v>
      </c>
      <c r="J2768" s="5">
        <f>VLOOKUP(F2768,'Set up'!$A$2:$D$50,4,FALSE)</f>
        <v>45</v>
      </c>
      <c r="K2768" s="123">
        <f t="shared" si="914"/>
        <v>45426</v>
      </c>
      <c r="L2768" s="124">
        <f t="shared" si="902"/>
        <v>5</v>
      </c>
      <c r="M2768" s="124">
        <f t="shared" si="915"/>
        <v>2024</v>
      </c>
      <c r="N2768" s="12">
        <v>220</v>
      </c>
      <c r="O2768" s="12"/>
      <c r="P2768" s="12">
        <f t="shared" si="916"/>
        <v>220</v>
      </c>
      <c r="Q2768" s="126">
        <f t="shared" si="917"/>
        <v>4491373.6499999994</v>
      </c>
      <c r="R2768" s="44" t="str">
        <f>VLOOKUP(F2768,'Set up'!$A$2:$E$50,5,FALSE)</f>
        <v>PD Chq</v>
      </c>
    </row>
    <row r="2769" spans="1:18" s="125" customFormat="1" ht="16.2" customHeight="1" x14ac:dyDescent="0.3">
      <c r="A2769" s="123"/>
      <c r="B2769" s="124">
        <f t="shared" si="899"/>
        <v>1</v>
      </c>
      <c r="C2769" s="124">
        <f t="shared" si="913"/>
        <v>1900</v>
      </c>
      <c r="D2769" s="124"/>
      <c r="E2769" s="5" t="e">
        <f>VLOOKUP(F2769,'Set up'!$A$2:$C$50,2,FALSE)</f>
        <v>#N/A</v>
      </c>
      <c r="G2769" s="128"/>
      <c r="H2769" s="124"/>
      <c r="I2769" s="5" t="e">
        <f>VLOOKUP(F2769,'Set up'!$A$2:$C$50,3,FALSE)</f>
        <v>#N/A</v>
      </c>
      <c r="J2769" s="5" t="e">
        <f>VLOOKUP(F2769,'Set up'!$A$2:$D$50,4,FALSE)</f>
        <v>#N/A</v>
      </c>
      <c r="K2769" s="123" t="e">
        <f t="shared" si="914"/>
        <v>#N/A</v>
      </c>
      <c r="L2769" s="124" t="e">
        <f t="shared" si="902"/>
        <v>#N/A</v>
      </c>
      <c r="M2769" s="124" t="e">
        <f t="shared" si="915"/>
        <v>#N/A</v>
      </c>
      <c r="N2769" s="12"/>
      <c r="O2769" s="12"/>
      <c r="P2769" s="12">
        <f t="shared" si="916"/>
        <v>0</v>
      </c>
      <c r="Q2769" s="126">
        <f t="shared" si="917"/>
        <v>4491373.6499999994</v>
      </c>
      <c r="R2769" s="44" t="e">
        <f>VLOOKUP(F2769,'Set up'!$A$2:$E$50,5,FALSE)</f>
        <v>#N/A</v>
      </c>
    </row>
    <row r="2770" spans="1:18" s="125" customFormat="1" ht="16.2" customHeight="1" x14ac:dyDescent="0.3">
      <c r="A2770" s="123"/>
      <c r="B2770" s="124">
        <f t="shared" si="899"/>
        <v>1</v>
      </c>
      <c r="C2770" s="124">
        <f t="shared" si="913"/>
        <v>1900</v>
      </c>
      <c r="D2770" s="124"/>
      <c r="E2770" s="5" t="e">
        <f>VLOOKUP(F2770,'Set up'!$A$2:$C$50,2,FALSE)</f>
        <v>#N/A</v>
      </c>
      <c r="G2770" s="128"/>
      <c r="H2770" s="124"/>
      <c r="I2770" s="5" t="e">
        <f>VLOOKUP(F2770,'Set up'!$A$2:$C$50,3,FALSE)</f>
        <v>#N/A</v>
      </c>
      <c r="J2770" s="5" t="e">
        <f>VLOOKUP(F2770,'Set up'!$A$2:$D$50,4,FALSE)</f>
        <v>#N/A</v>
      </c>
      <c r="K2770" s="123" t="e">
        <f t="shared" si="914"/>
        <v>#N/A</v>
      </c>
      <c r="L2770" s="124" t="e">
        <f t="shared" si="902"/>
        <v>#N/A</v>
      </c>
      <c r="M2770" s="124" t="e">
        <f t="shared" si="915"/>
        <v>#N/A</v>
      </c>
      <c r="N2770" s="12"/>
      <c r="O2770" s="12"/>
      <c r="P2770" s="12">
        <f t="shared" si="916"/>
        <v>0</v>
      </c>
      <c r="Q2770" s="126">
        <f t="shared" si="917"/>
        <v>4491373.6499999994</v>
      </c>
      <c r="R2770" s="44" t="e">
        <f>VLOOKUP(F2770,'Set up'!$A$2:$E$50,5,FALSE)</f>
        <v>#N/A</v>
      </c>
    </row>
    <row r="2771" spans="1:18" s="125" customFormat="1" ht="16.2" customHeight="1" x14ac:dyDescent="0.3">
      <c r="A2771" s="123"/>
      <c r="B2771" s="124">
        <f t="shared" si="899"/>
        <v>1</v>
      </c>
      <c r="C2771" s="124">
        <f t="shared" si="900"/>
        <v>1900</v>
      </c>
      <c r="D2771" s="124"/>
      <c r="E2771" s="5" t="e">
        <f>VLOOKUP(F2771,'Set up'!$A$2:$C$50,2,FALSE)</f>
        <v>#N/A</v>
      </c>
      <c r="G2771" s="128"/>
      <c r="H2771" s="124"/>
      <c r="I2771" s="5" t="e">
        <f>VLOOKUP(F2771,'Set up'!$A$2:$C$50,3,FALSE)</f>
        <v>#N/A</v>
      </c>
      <c r="J2771" s="5" t="e">
        <f>VLOOKUP(F2771,'Set up'!$A$2:$D$50,4,FALSE)</f>
        <v>#N/A</v>
      </c>
      <c r="K2771" s="123" t="e">
        <f t="shared" si="901"/>
        <v>#N/A</v>
      </c>
      <c r="L2771" s="124" t="e">
        <f t="shared" si="902"/>
        <v>#N/A</v>
      </c>
      <c r="M2771" s="124" t="e">
        <f t="shared" si="903"/>
        <v>#N/A</v>
      </c>
      <c r="N2771" s="12"/>
      <c r="O2771" s="12"/>
      <c r="P2771" s="12">
        <f t="shared" si="904"/>
        <v>0</v>
      </c>
      <c r="Q2771" s="126">
        <f>SUM(Q2750+N2771)</f>
        <v>4469683.1499999994</v>
      </c>
      <c r="R2771" s="44" t="e">
        <f>VLOOKUP(F2771,'Set up'!$A$2:$E$50,5,FALSE)</f>
        <v>#N/A</v>
      </c>
    </row>
    <row r="2772" spans="1:18" x14ac:dyDescent="0.3">
      <c r="A2772" s="123"/>
      <c r="K2772" s="4"/>
      <c r="Q2772" s="51"/>
    </row>
    <row r="2773" spans="1:18" x14ac:dyDescent="0.3">
      <c r="A2773" s="123"/>
      <c r="K2773" s="4"/>
      <c r="Q2773" s="51"/>
    </row>
    <row r="2774" spans="1:18" x14ac:dyDescent="0.3">
      <c r="A2774" s="123"/>
      <c r="K2774" s="11" t="s">
        <v>195</v>
      </c>
      <c r="N2774" s="30">
        <f>SUM(N2:N2773)</f>
        <v>4491373.6499999994</v>
      </c>
      <c r="O2774" s="32">
        <f>SUM(O2:O2773)</f>
        <v>-3435199.9500000011</v>
      </c>
      <c r="P2774" s="34">
        <f>SUM(P2:P2773)</f>
        <v>1056173.7000000002</v>
      </c>
      <c r="Q2774" s="52">
        <f>SUM(N2774+O2774)</f>
        <v>1056173.6999999983</v>
      </c>
    </row>
    <row r="2775" spans="1:18" x14ac:dyDescent="0.3">
      <c r="A2775" s="123"/>
      <c r="N2775" s="31" t="s">
        <v>198</v>
      </c>
      <c r="O2775" s="33" t="s">
        <v>196</v>
      </c>
      <c r="P2775" s="35" t="s">
        <v>197</v>
      </c>
      <c r="Q2775" s="53"/>
    </row>
    <row r="2776" spans="1:18" x14ac:dyDescent="0.3">
      <c r="A2776" s="123"/>
      <c r="N2776" s="28"/>
      <c r="O2776" s="28"/>
      <c r="P2776" s="28"/>
      <c r="Q2776" s="28"/>
    </row>
    <row r="2777" spans="1:18" x14ac:dyDescent="0.3">
      <c r="A2777" s="123"/>
      <c r="Q2777" s="51"/>
    </row>
    <row r="2778" spans="1:18" x14ac:dyDescent="0.3">
      <c r="A2778" s="123"/>
      <c r="O2778" s="32">
        <f>SUM(O2774)</f>
        <v>-3435199.9500000011</v>
      </c>
      <c r="P2778" s="27" t="s">
        <v>194</v>
      </c>
      <c r="Q2778" s="54" t="s">
        <v>196</v>
      </c>
    </row>
    <row r="2779" spans="1:18" x14ac:dyDescent="0.3">
      <c r="A2779" s="123"/>
      <c r="O2779" s="6">
        <v>0.5</v>
      </c>
      <c r="P2779" s="27" t="s">
        <v>194</v>
      </c>
      <c r="Q2779" s="50" t="s">
        <v>285</v>
      </c>
    </row>
    <row r="2780" spans="1:18" x14ac:dyDescent="0.3">
      <c r="A2780" s="123"/>
      <c r="P2780" s="27"/>
      <c r="Q2780" s="50"/>
    </row>
    <row r="2781" spans="1:18" ht="16.2" thickBot="1" x14ac:dyDescent="0.35">
      <c r="A2781" s="123"/>
      <c r="O2781" s="29">
        <f>SUM(O2778:O2780)</f>
        <v>-3435199.4500000011</v>
      </c>
      <c r="P2781" s="27" t="s">
        <v>194</v>
      </c>
      <c r="Q2781" s="49" t="s">
        <v>2342</v>
      </c>
    </row>
    <row r="2782" spans="1:18" ht="16.2" thickTop="1" x14ac:dyDescent="0.3">
      <c r="A2782" s="123"/>
      <c r="Q2782" s="51"/>
    </row>
    <row r="2783" spans="1:18" x14ac:dyDescent="0.3">
      <c r="A2783" s="123"/>
      <c r="Q2783" s="51"/>
    </row>
    <row r="2784" spans="1:18" x14ac:dyDescent="0.3">
      <c r="A2784" s="123"/>
    </row>
    <row r="2785" spans="1:1" x14ac:dyDescent="0.3">
      <c r="A2785" s="123"/>
    </row>
  </sheetData>
  <autoFilter ref="A1:T2591">
    <filterColumn colId="5">
      <filters>
        <filter val="Welltech (M) Sdn Bhd"/>
        <filter val="WSK Tanks Sdn Bhd"/>
      </filters>
    </filterColumn>
  </autoFilter>
  <phoneticPr fontId="2" type="noConversion"/>
  <pageMargins left="0.70866141732283472" right="0.70866141732283472" top="0.74803149606299213" bottom="0.74803149606299213" header="0.31496062992125984" footer="0.31496062992125984"/>
  <pageSetup scale="34" orientation="landscape" r:id="rId1"/>
  <ignoredErrors>
    <ignoredError sqref="O1173" formula="1"/>
  </ignoredError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0"/>
  <sheetViews>
    <sheetView topLeftCell="A37" workbookViewId="0">
      <selection activeCell="D56" sqref="D56"/>
    </sheetView>
  </sheetViews>
  <sheetFormatPr defaultRowHeight="14.4" x14ac:dyDescent="0.3"/>
  <cols>
    <col min="1" max="1" width="38.33203125" bestFit="1" customWidth="1"/>
    <col min="2" max="2" width="16" style="118" bestFit="1" customWidth="1"/>
    <col min="3" max="3" width="17.5546875" style="118" bestFit="1" customWidth="1"/>
    <col min="4" max="4" width="7.44140625" style="118" bestFit="1" customWidth="1"/>
    <col min="5" max="5" width="13.44140625" style="118" bestFit="1" customWidth="1"/>
  </cols>
  <sheetData>
    <row r="1" spans="1:5" x14ac:dyDescent="0.3">
      <c r="A1" t="s">
        <v>1</v>
      </c>
      <c r="B1" s="118" t="s">
        <v>0</v>
      </c>
      <c r="C1" s="118" t="s">
        <v>4</v>
      </c>
      <c r="D1" s="118" t="s">
        <v>87</v>
      </c>
      <c r="E1" s="118" t="s">
        <v>83</v>
      </c>
    </row>
    <row r="2" spans="1:5" x14ac:dyDescent="0.3">
      <c r="A2" t="s">
        <v>7</v>
      </c>
      <c r="B2" s="118" t="s">
        <v>6</v>
      </c>
      <c r="C2" s="118" t="s">
        <v>5</v>
      </c>
      <c r="D2" s="118">
        <v>0</v>
      </c>
      <c r="E2" s="118" t="s">
        <v>84</v>
      </c>
    </row>
    <row r="3" spans="1:5" x14ac:dyDescent="0.3">
      <c r="A3" t="s">
        <v>14</v>
      </c>
      <c r="B3" s="118" t="s">
        <v>13</v>
      </c>
      <c r="C3" s="118" t="s">
        <v>5</v>
      </c>
      <c r="D3" s="118">
        <v>0</v>
      </c>
      <c r="E3" s="118" t="s">
        <v>85</v>
      </c>
    </row>
    <row r="4" spans="1:5" x14ac:dyDescent="0.3">
      <c r="A4" t="s">
        <v>20</v>
      </c>
      <c r="B4" s="118" t="s">
        <v>19</v>
      </c>
      <c r="C4" s="118">
        <v>45</v>
      </c>
      <c r="D4" s="118">
        <v>45</v>
      </c>
      <c r="E4" s="118" t="s">
        <v>86</v>
      </c>
    </row>
    <row r="5" spans="1:5" x14ac:dyDescent="0.3">
      <c r="A5" t="s">
        <v>23</v>
      </c>
      <c r="B5" s="118" t="s">
        <v>22</v>
      </c>
      <c r="C5" s="118">
        <v>120</v>
      </c>
      <c r="D5" s="118">
        <v>120</v>
      </c>
      <c r="E5" s="118" t="s">
        <v>85</v>
      </c>
    </row>
    <row r="6" spans="1:5" x14ac:dyDescent="0.3">
      <c r="A6" t="s">
        <v>35</v>
      </c>
      <c r="B6" s="118" t="s">
        <v>34</v>
      </c>
      <c r="C6" s="118" t="s">
        <v>5</v>
      </c>
      <c r="D6" s="118">
        <v>0</v>
      </c>
      <c r="E6" s="118" t="s">
        <v>85</v>
      </c>
    </row>
    <row r="7" spans="1:5" x14ac:dyDescent="0.3">
      <c r="A7" t="s">
        <v>43</v>
      </c>
      <c r="B7" s="118" t="s">
        <v>42</v>
      </c>
      <c r="C7" s="118" t="s">
        <v>5</v>
      </c>
      <c r="D7" s="118">
        <v>0</v>
      </c>
      <c r="E7" s="118" t="s">
        <v>85</v>
      </c>
    </row>
    <row r="8" spans="1:5" x14ac:dyDescent="0.3">
      <c r="A8" t="s">
        <v>47</v>
      </c>
      <c r="B8" s="118" t="s">
        <v>48</v>
      </c>
      <c r="C8" s="118" t="s">
        <v>5</v>
      </c>
      <c r="D8" s="118">
        <v>0</v>
      </c>
      <c r="E8" s="118" t="s">
        <v>84</v>
      </c>
    </row>
    <row r="9" spans="1:5" x14ac:dyDescent="0.3">
      <c r="A9" t="s">
        <v>52</v>
      </c>
      <c r="B9" s="118" t="s">
        <v>51</v>
      </c>
      <c r="C9" s="118" t="s">
        <v>5</v>
      </c>
      <c r="D9" s="118">
        <v>0</v>
      </c>
      <c r="E9" s="118" t="s">
        <v>84</v>
      </c>
    </row>
    <row r="10" spans="1:5" x14ac:dyDescent="0.3">
      <c r="A10" t="s">
        <v>58</v>
      </c>
      <c r="B10" s="118" t="s">
        <v>59</v>
      </c>
      <c r="C10" s="118">
        <v>60</v>
      </c>
      <c r="D10" s="118">
        <v>60</v>
      </c>
      <c r="E10" s="118" t="s">
        <v>85</v>
      </c>
    </row>
    <row r="11" spans="1:5" x14ac:dyDescent="0.3">
      <c r="A11" t="s">
        <v>62</v>
      </c>
      <c r="B11" s="118" t="s">
        <v>61</v>
      </c>
      <c r="C11" s="118">
        <v>120</v>
      </c>
      <c r="D11" s="118">
        <v>120</v>
      </c>
      <c r="E11" s="118" t="s">
        <v>84</v>
      </c>
    </row>
    <row r="12" spans="1:5" x14ac:dyDescent="0.3">
      <c r="A12" t="s">
        <v>174</v>
      </c>
      <c r="B12" s="118" t="s">
        <v>175</v>
      </c>
      <c r="C12" s="118" t="s">
        <v>5</v>
      </c>
      <c r="D12" s="118">
        <v>0</v>
      </c>
      <c r="E12" s="118" t="s">
        <v>84</v>
      </c>
    </row>
    <row r="13" spans="1:5" x14ac:dyDescent="0.3">
      <c r="A13" t="s">
        <v>2024</v>
      </c>
      <c r="B13" s="118" t="s">
        <v>1697</v>
      </c>
      <c r="C13" s="118" t="s">
        <v>5</v>
      </c>
      <c r="D13" s="118">
        <v>0</v>
      </c>
      <c r="E13" s="118" t="s">
        <v>5</v>
      </c>
    </row>
    <row r="14" spans="1:5" x14ac:dyDescent="0.3">
      <c r="A14" t="s">
        <v>1454</v>
      </c>
      <c r="B14" s="118" t="s">
        <v>228</v>
      </c>
      <c r="C14" s="118" t="s">
        <v>5</v>
      </c>
      <c r="D14" s="118">
        <v>0</v>
      </c>
      <c r="E14" s="118" t="s">
        <v>85</v>
      </c>
    </row>
    <row r="15" spans="1:5" x14ac:dyDescent="0.3">
      <c r="A15" t="s">
        <v>263</v>
      </c>
      <c r="B15" s="118" t="s">
        <v>258</v>
      </c>
      <c r="C15" s="118" t="s">
        <v>5</v>
      </c>
      <c r="D15" s="118">
        <v>0</v>
      </c>
      <c r="E15" s="118" t="s">
        <v>5</v>
      </c>
    </row>
    <row r="16" spans="1:5" x14ac:dyDescent="0.3">
      <c r="A16" t="s">
        <v>281</v>
      </c>
      <c r="B16" s="118" t="s">
        <v>280</v>
      </c>
      <c r="C16" s="118" t="s">
        <v>5</v>
      </c>
      <c r="D16" s="118">
        <v>0</v>
      </c>
      <c r="E16" s="118" t="s">
        <v>84</v>
      </c>
    </row>
    <row r="17" spans="1:5" x14ac:dyDescent="0.3">
      <c r="A17" t="s">
        <v>290</v>
      </c>
      <c r="B17" s="118" t="s">
        <v>289</v>
      </c>
      <c r="C17" s="118" t="s">
        <v>5</v>
      </c>
      <c r="D17" s="118">
        <v>0</v>
      </c>
      <c r="E17" s="118" t="s">
        <v>84</v>
      </c>
    </row>
    <row r="18" spans="1:5" x14ac:dyDescent="0.3">
      <c r="A18" t="s">
        <v>1698</v>
      </c>
      <c r="B18" s="118" t="s">
        <v>365</v>
      </c>
      <c r="C18" s="118" t="s">
        <v>5</v>
      </c>
      <c r="D18" s="118">
        <v>0</v>
      </c>
      <c r="E18" s="118" t="s">
        <v>84</v>
      </c>
    </row>
    <row r="19" spans="1:5" x14ac:dyDescent="0.3">
      <c r="A19" t="s">
        <v>376</v>
      </c>
      <c r="B19" s="118" t="s">
        <v>375</v>
      </c>
      <c r="C19" s="118" t="s">
        <v>5</v>
      </c>
      <c r="D19" s="118">
        <v>0</v>
      </c>
      <c r="E19" s="118" t="s">
        <v>84</v>
      </c>
    </row>
    <row r="20" spans="1:5" x14ac:dyDescent="0.3">
      <c r="A20" t="s">
        <v>401</v>
      </c>
      <c r="B20" s="118" t="s">
        <v>400</v>
      </c>
      <c r="C20" s="118" t="s">
        <v>5</v>
      </c>
      <c r="D20" s="118">
        <v>0</v>
      </c>
      <c r="E20" s="118" t="s">
        <v>84</v>
      </c>
    </row>
    <row r="21" spans="1:5" x14ac:dyDescent="0.3">
      <c r="A21" t="s">
        <v>410</v>
      </c>
      <c r="B21" s="118" t="s">
        <v>409</v>
      </c>
      <c r="C21" s="118" t="s">
        <v>5</v>
      </c>
      <c r="D21" s="118">
        <v>0</v>
      </c>
      <c r="E21" s="118" t="s">
        <v>84</v>
      </c>
    </row>
    <row r="22" spans="1:5" ht="15.6" x14ac:dyDescent="0.3">
      <c r="A22" t="s">
        <v>492</v>
      </c>
      <c r="B22" s="118" t="s">
        <v>475</v>
      </c>
      <c r="C22" s="118" t="s">
        <v>5</v>
      </c>
      <c r="D22" s="118">
        <v>0</v>
      </c>
      <c r="E22" s="44" t="s">
        <v>86</v>
      </c>
    </row>
    <row r="23" spans="1:5" x14ac:dyDescent="0.3">
      <c r="A23" t="s">
        <v>638</v>
      </c>
      <c r="B23" s="118" t="s">
        <v>637</v>
      </c>
      <c r="C23" s="118" t="s">
        <v>5</v>
      </c>
      <c r="D23" s="118">
        <v>0</v>
      </c>
      <c r="E23" s="118" t="s">
        <v>84</v>
      </c>
    </row>
    <row r="24" spans="1:5" x14ac:dyDescent="0.3">
      <c r="A24" t="s">
        <v>666</v>
      </c>
      <c r="B24" s="118" t="s">
        <v>665</v>
      </c>
      <c r="C24" s="118" t="s">
        <v>5</v>
      </c>
      <c r="D24" s="118">
        <v>0</v>
      </c>
      <c r="E24" s="118" t="s">
        <v>84</v>
      </c>
    </row>
    <row r="25" spans="1:5" x14ac:dyDescent="0.3">
      <c r="A25" t="s">
        <v>774</v>
      </c>
      <c r="B25" s="118" t="s">
        <v>705</v>
      </c>
      <c r="C25" s="118" t="s">
        <v>5</v>
      </c>
      <c r="D25" s="118">
        <v>0</v>
      </c>
      <c r="E25" s="118" t="s">
        <v>84</v>
      </c>
    </row>
    <row r="26" spans="1:5" x14ac:dyDescent="0.3">
      <c r="A26" t="s">
        <v>710</v>
      </c>
      <c r="B26" s="118" t="s">
        <v>711</v>
      </c>
      <c r="C26" s="118" t="s">
        <v>5</v>
      </c>
      <c r="D26" s="118">
        <v>0</v>
      </c>
      <c r="E26" s="118" t="s">
        <v>84</v>
      </c>
    </row>
    <row r="27" spans="1:5" x14ac:dyDescent="0.3">
      <c r="A27" t="s">
        <v>785</v>
      </c>
      <c r="B27" s="118" t="s">
        <v>786</v>
      </c>
      <c r="C27" s="118" t="s">
        <v>5</v>
      </c>
      <c r="D27" s="118">
        <v>0</v>
      </c>
      <c r="E27" s="118" t="s">
        <v>84</v>
      </c>
    </row>
    <row r="28" spans="1:5" x14ac:dyDescent="0.3">
      <c r="A28" t="s">
        <v>860</v>
      </c>
      <c r="B28" s="118" t="s">
        <v>861</v>
      </c>
      <c r="C28" s="118" t="s">
        <v>5</v>
      </c>
      <c r="D28" s="118">
        <v>0</v>
      </c>
      <c r="E28" s="118" t="s">
        <v>84</v>
      </c>
    </row>
    <row r="29" spans="1:5" x14ac:dyDescent="0.3">
      <c r="A29" t="s">
        <v>1700</v>
      </c>
      <c r="B29" s="118" t="s">
        <v>1699</v>
      </c>
      <c r="C29" s="118" t="s">
        <v>5</v>
      </c>
      <c r="D29" s="118">
        <v>0</v>
      </c>
      <c r="E29" s="118" t="s">
        <v>84</v>
      </c>
    </row>
    <row r="30" spans="1:5" x14ac:dyDescent="0.3">
      <c r="A30" t="s">
        <v>959</v>
      </c>
      <c r="B30" s="118" t="s">
        <v>930</v>
      </c>
      <c r="C30" s="118" t="s">
        <v>5</v>
      </c>
      <c r="D30" s="118">
        <v>0</v>
      </c>
      <c r="E30" s="118" t="s">
        <v>84</v>
      </c>
    </row>
    <row r="31" spans="1:5" x14ac:dyDescent="0.3">
      <c r="A31" t="s">
        <v>1058</v>
      </c>
      <c r="B31" s="118" t="s">
        <v>1701</v>
      </c>
      <c r="C31" s="118" t="s">
        <v>5</v>
      </c>
      <c r="D31" s="118">
        <v>0</v>
      </c>
      <c r="E31" s="118" t="s">
        <v>84</v>
      </c>
    </row>
    <row r="32" spans="1:5" x14ac:dyDescent="0.3">
      <c r="A32" t="s">
        <v>1052</v>
      </c>
      <c r="B32" s="118" t="s">
        <v>1053</v>
      </c>
      <c r="C32" s="118" t="s">
        <v>5</v>
      </c>
      <c r="D32" s="118">
        <v>0</v>
      </c>
      <c r="E32" s="118" t="s">
        <v>84</v>
      </c>
    </row>
    <row r="33" spans="1:5" x14ac:dyDescent="0.3">
      <c r="A33" t="s">
        <v>1058</v>
      </c>
      <c r="B33" s="118" t="s">
        <v>1053</v>
      </c>
      <c r="C33" s="118" t="s">
        <v>5</v>
      </c>
      <c r="D33" s="118">
        <v>0</v>
      </c>
      <c r="E33" s="118" t="s">
        <v>84</v>
      </c>
    </row>
    <row r="34" spans="1:5" x14ac:dyDescent="0.3">
      <c r="A34" t="s">
        <v>1102</v>
      </c>
      <c r="B34" s="118" t="s">
        <v>1099</v>
      </c>
      <c r="C34" s="118" t="s">
        <v>5</v>
      </c>
      <c r="D34" s="118">
        <v>0</v>
      </c>
      <c r="E34" s="118" t="s">
        <v>84</v>
      </c>
    </row>
    <row r="35" spans="1:5" x14ac:dyDescent="0.3">
      <c r="A35" t="s">
        <v>1101</v>
      </c>
      <c r="B35" s="118" t="s">
        <v>1100</v>
      </c>
      <c r="C35" s="118" t="s">
        <v>5</v>
      </c>
      <c r="D35" s="118">
        <v>0</v>
      </c>
      <c r="E35" s="118" t="s">
        <v>84</v>
      </c>
    </row>
    <row r="36" spans="1:5" x14ac:dyDescent="0.3">
      <c r="A36" t="s">
        <v>1197</v>
      </c>
      <c r="B36" s="118" t="s">
        <v>1203</v>
      </c>
      <c r="C36" s="118" t="s">
        <v>5</v>
      </c>
      <c r="D36" s="118">
        <v>0</v>
      </c>
      <c r="E36" s="118" t="s">
        <v>84</v>
      </c>
    </row>
    <row r="37" spans="1:5" x14ac:dyDescent="0.3">
      <c r="A37" t="s">
        <v>1258</v>
      </c>
      <c r="B37" s="118" t="s">
        <v>1262</v>
      </c>
      <c r="C37" s="118" t="s">
        <v>5</v>
      </c>
      <c r="D37" s="118">
        <v>0</v>
      </c>
      <c r="E37" s="118" t="s">
        <v>84</v>
      </c>
    </row>
    <row r="38" spans="1:5" x14ac:dyDescent="0.3">
      <c r="A38" t="s">
        <v>1305</v>
      </c>
      <c r="B38" s="118" t="s">
        <v>1306</v>
      </c>
      <c r="C38" s="118" t="s">
        <v>5</v>
      </c>
      <c r="D38" s="118">
        <v>0</v>
      </c>
      <c r="E38" s="118" t="s">
        <v>84</v>
      </c>
    </row>
    <row r="39" spans="1:5" ht="15.6" x14ac:dyDescent="0.3">
      <c r="A39" t="s">
        <v>1310</v>
      </c>
      <c r="B39" s="118" t="s">
        <v>1311</v>
      </c>
      <c r="C39" s="118">
        <v>30</v>
      </c>
      <c r="D39" s="118">
        <v>30</v>
      </c>
      <c r="E39" s="44" t="s">
        <v>85</v>
      </c>
    </row>
    <row r="40" spans="1:5" x14ac:dyDescent="0.3">
      <c r="A40" t="s">
        <v>1421</v>
      </c>
      <c r="B40" s="118" t="s">
        <v>1422</v>
      </c>
      <c r="C40" s="118" t="s">
        <v>5</v>
      </c>
      <c r="D40" s="118">
        <v>0</v>
      </c>
      <c r="E40" s="118" t="s">
        <v>84</v>
      </c>
    </row>
    <row r="41" spans="1:5" x14ac:dyDescent="0.3">
      <c r="A41" t="s">
        <v>1621</v>
      </c>
      <c r="B41" s="118" t="s">
        <v>1620</v>
      </c>
      <c r="C41" s="118" t="s">
        <v>5</v>
      </c>
      <c r="D41" s="118">
        <v>0</v>
      </c>
      <c r="E41" s="118" t="s">
        <v>84</v>
      </c>
    </row>
    <row r="42" spans="1:5" x14ac:dyDescent="0.3">
      <c r="A42" t="s">
        <v>1703</v>
      </c>
      <c r="B42" s="118" t="s">
        <v>1702</v>
      </c>
      <c r="C42" s="118" t="s">
        <v>5</v>
      </c>
      <c r="D42" s="118">
        <v>0</v>
      </c>
      <c r="E42" s="118" t="s">
        <v>5</v>
      </c>
    </row>
    <row r="43" spans="1:5" x14ac:dyDescent="0.3">
      <c r="A43" t="s">
        <v>1705</v>
      </c>
      <c r="B43" s="118" t="s">
        <v>1704</v>
      </c>
      <c r="C43" s="118" t="s">
        <v>5</v>
      </c>
      <c r="D43" s="118">
        <v>0</v>
      </c>
      <c r="E43" s="118" t="s">
        <v>84</v>
      </c>
    </row>
    <row r="44" spans="1:5" x14ac:dyDescent="0.3">
      <c r="A44" t="s">
        <v>2014</v>
      </c>
      <c r="B44" s="118" t="s">
        <v>2017</v>
      </c>
      <c r="C44" s="118" t="s">
        <v>5</v>
      </c>
      <c r="D44" s="118">
        <v>0</v>
      </c>
      <c r="E44" s="118" t="s">
        <v>84</v>
      </c>
    </row>
    <row r="45" spans="1:5" x14ac:dyDescent="0.3">
      <c r="A45" t="s">
        <v>2207</v>
      </c>
      <c r="B45" s="118" t="s">
        <v>2220</v>
      </c>
      <c r="C45" s="118" t="s">
        <v>5</v>
      </c>
      <c r="D45" s="118">
        <v>0</v>
      </c>
      <c r="E45" s="118" t="s">
        <v>84</v>
      </c>
    </row>
    <row r="46" spans="1:5" x14ac:dyDescent="0.3">
      <c r="A46" t="s">
        <v>2213</v>
      </c>
      <c r="B46" s="118" t="s">
        <v>2221</v>
      </c>
      <c r="C46" s="118" t="s">
        <v>5</v>
      </c>
      <c r="D46" s="118">
        <v>0</v>
      </c>
      <c r="E46" s="118" t="s">
        <v>84</v>
      </c>
    </row>
    <row r="47" spans="1:5" ht="15.6" x14ac:dyDescent="0.3">
      <c r="A47" s="1" t="s">
        <v>2351</v>
      </c>
      <c r="B47" s="118" t="s">
        <v>2382</v>
      </c>
      <c r="C47" s="118" t="s">
        <v>5</v>
      </c>
      <c r="D47" s="118">
        <v>0</v>
      </c>
      <c r="E47" s="118" t="s">
        <v>5</v>
      </c>
    </row>
    <row r="48" spans="1:5" ht="15.6" x14ac:dyDescent="0.3">
      <c r="A48" s="1" t="s">
        <v>2364</v>
      </c>
      <c r="B48" s="118" t="s">
        <v>2383</v>
      </c>
      <c r="C48" s="118" t="s">
        <v>5</v>
      </c>
      <c r="D48" s="118">
        <v>0</v>
      </c>
      <c r="E48" s="118" t="s">
        <v>84</v>
      </c>
    </row>
    <row r="49" spans="1:5" x14ac:dyDescent="0.3">
      <c r="B49" s="118" t="s">
        <v>2456</v>
      </c>
      <c r="C49" s="118" t="s">
        <v>5</v>
      </c>
      <c r="D49" s="118">
        <v>0</v>
      </c>
      <c r="E49" s="118" t="s">
        <v>84</v>
      </c>
    </row>
    <row r="50" spans="1:5" ht="15.6" x14ac:dyDescent="0.3">
      <c r="A50" s="1" t="s">
        <v>2457</v>
      </c>
      <c r="B50" s="118" t="s">
        <v>2455</v>
      </c>
      <c r="C50" s="118" t="s">
        <v>5</v>
      </c>
      <c r="D50" s="118">
        <v>0</v>
      </c>
      <c r="E50" s="118" t="s">
        <v>84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AP94"/>
  <sheetViews>
    <sheetView topLeftCell="A77" zoomScaleNormal="100" workbookViewId="0">
      <selection activeCell="D69" sqref="D69"/>
    </sheetView>
  </sheetViews>
  <sheetFormatPr defaultRowHeight="14.4" x14ac:dyDescent="0.3"/>
  <cols>
    <col min="1" max="1" width="37.88671875" bestFit="1" customWidth="1"/>
    <col min="2" max="2" width="38.33203125" bestFit="1" customWidth="1"/>
    <col min="3" max="9" width="11.44140625" bestFit="1" customWidth="1"/>
    <col min="10" max="12" width="9.88671875" bestFit="1" customWidth="1"/>
    <col min="13" max="13" width="11.44140625" bestFit="1" customWidth="1"/>
    <col min="14" max="20" width="9.88671875" bestFit="1" customWidth="1"/>
    <col min="21" max="21" width="11.44140625" bestFit="1" customWidth="1"/>
    <col min="22" max="22" width="37.88671875" bestFit="1" customWidth="1"/>
    <col min="23" max="23" width="12.77734375" bestFit="1" customWidth="1"/>
    <col min="24" max="24" width="9.5546875" bestFit="1" customWidth="1"/>
    <col min="25" max="29" width="8.88671875" bestFit="1" customWidth="1"/>
    <col min="30" max="40" width="9.88671875" bestFit="1" customWidth="1"/>
    <col min="41" max="43" width="11.44140625" bestFit="1" customWidth="1"/>
    <col min="44" max="44" width="9.88671875" bestFit="1" customWidth="1"/>
    <col min="45" max="45" width="11.44140625" bestFit="1" customWidth="1"/>
  </cols>
  <sheetData>
    <row r="1" spans="1:42" x14ac:dyDescent="0.3">
      <c r="A1" t="s">
        <v>204</v>
      </c>
      <c r="V1" t="s">
        <v>204</v>
      </c>
    </row>
    <row r="4" spans="1:42" x14ac:dyDescent="0.3">
      <c r="A4" s="14" t="s">
        <v>199</v>
      </c>
      <c r="C4" s="14" t="s">
        <v>87</v>
      </c>
      <c r="V4" s="14" t="s">
        <v>199</v>
      </c>
      <c r="W4" s="14" t="s">
        <v>226</v>
      </c>
      <c r="X4" s="14" t="s">
        <v>87</v>
      </c>
    </row>
    <row r="5" spans="1:42" x14ac:dyDescent="0.3">
      <c r="A5" s="14" t="s">
        <v>226</v>
      </c>
      <c r="B5" s="14" t="s">
        <v>1</v>
      </c>
      <c r="C5">
        <v>0</v>
      </c>
      <c r="D5">
        <v>45</v>
      </c>
      <c r="E5">
        <v>60</v>
      </c>
      <c r="F5">
        <v>120</v>
      </c>
      <c r="G5" t="s">
        <v>1764</v>
      </c>
      <c r="H5">
        <v>30</v>
      </c>
      <c r="I5" t="s">
        <v>131</v>
      </c>
      <c r="W5">
        <v>2019</v>
      </c>
      <c r="X5" t="s">
        <v>350</v>
      </c>
      <c r="Y5">
        <v>2020</v>
      </c>
      <c r="AD5" t="s">
        <v>351</v>
      </c>
      <c r="AE5">
        <v>2021</v>
      </c>
      <c r="AJ5" t="s">
        <v>352</v>
      </c>
      <c r="AK5">
        <v>2022</v>
      </c>
      <c r="AO5" t="s">
        <v>585</v>
      </c>
      <c r="AP5" t="s">
        <v>131</v>
      </c>
    </row>
    <row r="6" spans="1:42" x14ac:dyDescent="0.3">
      <c r="A6">
        <v>2019</v>
      </c>
      <c r="B6" t="s">
        <v>7</v>
      </c>
      <c r="C6" s="18">
        <v>2973</v>
      </c>
      <c r="D6" s="18"/>
      <c r="E6" s="18"/>
      <c r="F6" s="18"/>
      <c r="G6" s="18"/>
      <c r="H6" s="18"/>
      <c r="I6" s="18">
        <v>2973</v>
      </c>
      <c r="V6" s="14" t="s">
        <v>1</v>
      </c>
      <c r="W6">
        <v>0</v>
      </c>
      <c r="Y6">
        <v>0</v>
      </c>
      <c r="Z6">
        <v>45</v>
      </c>
      <c r="AA6">
        <v>60</v>
      </c>
      <c r="AB6" t="s">
        <v>150</v>
      </c>
      <c r="AC6">
        <v>120</v>
      </c>
      <c r="AE6">
        <v>0</v>
      </c>
      <c r="AF6">
        <v>45</v>
      </c>
      <c r="AG6">
        <v>60</v>
      </c>
      <c r="AH6" t="s">
        <v>150</v>
      </c>
      <c r="AI6">
        <v>120</v>
      </c>
      <c r="AK6">
        <v>0</v>
      </c>
      <c r="AL6">
        <v>45</v>
      </c>
      <c r="AM6">
        <v>60</v>
      </c>
      <c r="AN6">
        <v>120</v>
      </c>
    </row>
    <row r="7" spans="1:42" x14ac:dyDescent="0.3">
      <c r="A7" s="36" t="s">
        <v>350</v>
      </c>
      <c r="B7" s="36"/>
      <c r="C7" s="37">
        <v>2973</v>
      </c>
      <c r="D7" s="37"/>
      <c r="E7" s="37"/>
      <c r="F7" s="37"/>
      <c r="G7" s="37"/>
      <c r="H7" s="37"/>
      <c r="I7" s="37">
        <v>2973</v>
      </c>
      <c r="V7" t="s">
        <v>35</v>
      </c>
      <c r="W7" s="18"/>
      <c r="X7" s="18"/>
      <c r="Y7" s="18">
        <v>9334</v>
      </c>
      <c r="Z7" s="18"/>
      <c r="AA7" s="18"/>
      <c r="AB7" s="18"/>
      <c r="AC7" s="18"/>
      <c r="AD7" s="18">
        <v>9334</v>
      </c>
      <c r="AE7" s="18">
        <v>13661.4</v>
      </c>
      <c r="AF7" s="18"/>
      <c r="AG7" s="18"/>
      <c r="AH7" s="18"/>
      <c r="AI7" s="18"/>
      <c r="AJ7" s="18">
        <v>13661.4</v>
      </c>
      <c r="AK7" s="18"/>
      <c r="AL7" s="18"/>
      <c r="AM7" s="18"/>
      <c r="AN7" s="18"/>
      <c r="AO7" s="18"/>
      <c r="AP7" s="18">
        <v>22995.4</v>
      </c>
    </row>
    <row r="8" spans="1:42" x14ac:dyDescent="0.3">
      <c r="A8">
        <v>2020</v>
      </c>
      <c r="B8" t="s">
        <v>35</v>
      </c>
      <c r="C8" s="18">
        <v>9334</v>
      </c>
      <c r="D8" s="18"/>
      <c r="E8" s="18"/>
      <c r="F8" s="18"/>
      <c r="G8" s="18"/>
      <c r="H8" s="18"/>
      <c r="I8" s="18">
        <v>9334</v>
      </c>
      <c r="V8" t="s">
        <v>47</v>
      </c>
      <c r="W8" s="18"/>
      <c r="X8" s="18"/>
      <c r="Y8" s="18"/>
      <c r="Z8" s="18"/>
      <c r="AA8" s="18">
        <v>5606</v>
      </c>
      <c r="AB8" s="18"/>
      <c r="AC8" s="18"/>
      <c r="AD8" s="18">
        <v>5606</v>
      </c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>
        <v>5606</v>
      </c>
    </row>
    <row r="9" spans="1:42" x14ac:dyDescent="0.3">
      <c r="B9" t="s">
        <v>47</v>
      </c>
      <c r="C9" s="18">
        <v>5606</v>
      </c>
      <c r="D9" s="18"/>
      <c r="E9" s="18"/>
      <c r="F9" s="18"/>
      <c r="G9" s="18"/>
      <c r="H9" s="18"/>
      <c r="I9" s="18">
        <v>5606</v>
      </c>
      <c r="V9" t="s">
        <v>58</v>
      </c>
      <c r="W9" s="18"/>
      <c r="X9" s="18"/>
      <c r="Y9" s="18"/>
      <c r="Z9" s="18"/>
      <c r="AA9" s="18">
        <v>4191.2000000000007</v>
      </c>
      <c r="AB9" s="18"/>
      <c r="AC9" s="18"/>
      <c r="AD9" s="18">
        <v>4191.2000000000007</v>
      </c>
      <c r="AE9" s="18"/>
      <c r="AF9" s="18"/>
      <c r="AG9" s="18">
        <v>23646.6</v>
      </c>
      <c r="AH9" s="18"/>
      <c r="AI9" s="18"/>
      <c r="AJ9" s="18">
        <v>23646.6</v>
      </c>
      <c r="AK9" s="18"/>
      <c r="AL9" s="18"/>
      <c r="AM9" s="18">
        <v>37167.5</v>
      </c>
      <c r="AN9" s="18"/>
      <c r="AO9" s="18">
        <v>37167.5</v>
      </c>
      <c r="AP9" s="18">
        <v>65005.3</v>
      </c>
    </row>
    <row r="10" spans="1:42" x14ac:dyDescent="0.3">
      <c r="B10" t="s">
        <v>58</v>
      </c>
      <c r="C10" s="18"/>
      <c r="D10" s="18"/>
      <c r="E10" s="18">
        <v>4191.2000000000007</v>
      </c>
      <c r="F10" s="18"/>
      <c r="G10" s="18"/>
      <c r="H10" s="18"/>
      <c r="I10" s="18">
        <v>4191.2000000000007</v>
      </c>
      <c r="V10" t="s">
        <v>7</v>
      </c>
      <c r="W10" s="18">
        <v>2973</v>
      </c>
      <c r="X10" s="18">
        <v>2973</v>
      </c>
      <c r="Y10" s="18">
        <v>34235</v>
      </c>
      <c r="Z10" s="18"/>
      <c r="AA10" s="18"/>
      <c r="AB10" s="18"/>
      <c r="AC10" s="18"/>
      <c r="AD10" s="18">
        <v>34235</v>
      </c>
      <c r="AE10" s="18">
        <v>22043</v>
      </c>
      <c r="AF10" s="18"/>
      <c r="AG10" s="18"/>
      <c r="AH10" s="18"/>
      <c r="AI10" s="18"/>
      <c r="AJ10" s="18">
        <v>22043</v>
      </c>
      <c r="AK10" s="18">
        <v>23044</v>
      </c>
      <c r="AL10" s="18"/>
      <c r="AM10" s="18"/>
      <c r="AN10" s="18"/>
      <c r="AO10" s="18">
        <v>23044</v>
      </c>
      <c r="AP10" s="18">
        <v>82295</v>
      </c>
    </row>
    <row r="11" spans="1:42" x14ac:dyDescent="0.3">
      <c r="B11" t="s">
        <v>7</v>
      </c>
      <c r="C11" s="18">
        <v>34235</v>
      </c>
      <c r="D11" s="18"/>
      <c r="E11" s="18"/>
      <c r="F11" s="18"/>
      <c r="G11" s="18"/>
      <c r="H11" s="18"/>
      <c r="I11" s="18">
        <v>34235</v>
      </c>
      <c r="V11" t="s">
        <v>20</v>
      </c>
      <c r="W11" s="18"/>
      <c r="X11" s="18"/>
      <c r="Y11" s="18"/>
      <c r="Z11" s="18">
        <v>28025.7</v>
      </c>
      <c r="AA11" s="18"/>
      <c r="AB11" s="18"/>
      <c r="AC11" s="18"/>
      <c r="AD11" s="18">
        <v>28025.7</v>
      </c>
      <c r="AE11" s="18"/>
      <c r="AF11" s="18">
        <v>34482.5</v>
      </c>
      <c r="AG11" s="18"/>
      <c r="AH11" s="18"/>
      <c r="AI11" s="18"/>
      <c r="AJ11" s="18">
        <v>34482.5</v>
      </c>
      <c r="AK11" s="18"/>
      <c r="AL11" s="18">
        <v>43991</v>
      </c>
      <c r="AM11" s="18"/>
      <c r="AN11" s="18"/>
      <c r="AO11" s="18">
        <v>43991</v>
      </c>
      <c r="AP11" s="18">
        <v>106499.2</v>
      </c>
    </row>
    <row r="12" spans="1:42" x14ac:dyDescent="0.3">
      <c r="B12" t="s">
        <v>20</v>
      </c>
      <c r="C12" s="18"/>
      <c r="D12" s="18">
        <v>28025.7</v>
      </c>
      <c r="E12" s="18"/>
      <c r="F12" s="18"/>
      <c r="G12" s="18"/>
      <c r="H12" s="18"/>
      <c r="I12" s="18">
        <v>28025.7</v>
      </c>
      <c r="V12" t="s">
        <v>43</v>
      </c>
      <c r="W12" s="18"/>
      <c r="X12" s="18"/>
      <c r="Y12" s="18">
        <v>4008</v>
      </c>
      <c r="Z12" s="18"/>
      <c r="AA12" s="18"/>
      <c r="AB12" s="18"/>
      <c r="AC12" s="18"/>
      <c r="AD12" s="18">
        <v>4008</v>
      </c>
      <c r="AE12" s="18">
        <v>240</v>
      </c>
      <c r="AF12" s="18"/>
      <c r="AG12" s="18"/>
      <c r="AH12" s="18"/>
      <c r="AI12" s="18"/>
      <c r="AJ12" s="18">
        <v>240</v>
      </c>
      <c r="AK12" s="18">
        <v>11828.5</v>
      </c>
      <c r="AL12" s="18"/>
      <c r="AM12" s="18"/>
      <c r="AN12" s="18"/>
      <c r="AO12" s="18">
        <v>11828.5</v>
      </c>
      <c r="AP12" s="18">
        <v>16076.5</v>
      </c>
    </row>
    <row r="13" spans="1:42" x14ac:dyDescent="0.3">
      <c r="B13" t="s">
        <v>43</v>
      </c>
      <c r="C13" s="18">
        <v>4008</v>
      </c>
      <c r="D13" s="18"/>
      <c r="E13" s="18"/>
      <c r="F13" s="18"/>
      <c r="G13" s="18"/>
      <c r="H13" s="18"/>
      <c r="I13" s="18">
        <v>4008</v>
      </c>
      <c r="V13" t="s">
        <v>23</v>
      </c>
      <c r="W13" s="18"/>
      <c r="X13" s="18"/>
      <c r="Y13" s="18"/>
      <c r="Z13" s="18"/>
      <c r="AA13" s="18"/>
      <c r="AB13" s="18">
        <v>49425.600000000006</v>
      </c>
      <c r="AC13" s="18">
        <v>2860</v>
      </c>
      <c r="AD13" s="18">
        <v>52285.600000000006</v>
      </c>
      <c r="AE13" s="18"/>
      <c r="AF13" s="18"/>
      <c r="AG13" s="18"/>
      <c r="AH13" s="18"/>
      <c r="AI13" s="18">
        <v>85763.000000000015</v>
      </c>
      <c r="AJ13" s="18">
        <v>85763.000000000015</v>
      </c>
      <c r="AK13" s="18"/>
      <c r="AL13" s="18"/>
      <c r="AM13" s="18"/>
      <c r="AN13" s="18">
        <v>101459.40000000001</v>
      </c>
      <c r="AO13" s="18">
        <v>101459.40000000001</v>
      </c>
      <c r="AP13" s="18">
        <v>239508.00000000006</v>
      </c>
    </row>
    <row r="14" spans="1:42" x14ac:dyDescent="0.3">
      <c r="B14" t="s">
        <v>23</v>
      </c>
      <c r="C14" s="18"/>
      <c r="D14" s="18"/>
      <c r="E14" s="18"/>
      <c r="F14" s="18">
        <v>52285.600000000006</v>
      </c>
      <c r="G14" s="18"/>
      <c r="H14" s="18"/>
      <c r="I14" s="18">
        <v>52285.600000000006</v>
      </c>
      <c r="V14" t="s">
        <v>14</v>
      </c>
      <c r="W14" s="18"/>
      <c r="X14" s="18"/>
      <c r="Y14" s="18">
        <v>2067</v>
      </c>
      <c r="Z14" s="18"/>
      <c r="AA14" s="18"/>
      <c r="AB14" s="18"/>
      <c r="AC14" s="18"/>
      <c r="AD14" s="18">
        <v>2067</v>
      </c>
      <c r="AE14" s="18">
        <v>3432</v>
      </c>
      <c r="AF14" s="18"/>
      <c r="AG14" s="18"/>
      <c r="AH14" s="18"/>
      <c r="AI14" s="18"/>
      <c r="AJ14" s="18">
        <v>3432</v>
      </c>
      <c r="AK14" s="18"/>
      <c r="AL14" s="18"/>
      <c r="AM14" s="18"/>
      <c r="AN14" s="18"/>
      <c r="AO14" s="18"/>
      <c r="AP14" s="18">
        <v>5499</v>
      </c>
    </row>
    <row r="15" spans="1:42" x14ac:dyDescent="0.3">
      <c r="B15" t="s">
        <v>14</v>
      </c>
      <c r="C15" s="18">
        <v>2067</v>
      </c>
      <c r="D15" s="18"/>
      <c r="E15" s="18"/>
      <c r="F15" s="18"/>
      <c r="G15" s="18"/>
      <c r="H15" s="18"/>
      <c r="I15" s="18">
        <v>2067</v>
      </c>
      <c r="V15" t="s">
        <v>52</v>
      </c>
      <c r="W15" s="18"/>
      <c r="X15" s="18"/>
      <c r="Y15" s="18">
        <v>9082</v>
      </c>
      <c r="Z15" s="18"/>
      <c r="AA15" s="18"/>
      <c r="AB15" s="18"/>
      <c r="AC15" s="18"/>
      <c r="AD15" s="18">
        <v>9082</v>
      </c>
      <c r="AE15" s="18">
        <v>8568</v>
      </c>
      <c r="AF15" s="18"/>
      <c r="AG15" s="18"/>
      <c r="AH15" s="18"/>
      <c r="AI15" s="18"/>
      <c r="AJ15" s="18">
        <v>8568</v>
      </c>
      <c r="AK15" s="18"/>
      <c r="AL15" s="18"/>
      <c r="AM15" s="18"/>
      <c r="AN15" s="18"/>
      <c r="AO15" s="18"/>
      <c r="AP15" s="18">
        <v>17650</v>
      </c>
    </row>
    <row r="16" spans="1:42" x14ac:dyDescent="0.3">
      <c r="B16" t="s">
        <v>52</v>
      </c>
      <c r="C16" s="18">
        <v>9082</v>
      </c>
      <c r="D16" s="18"/>
      <c r="E16" s="18"/>
      <c r="F16" s="18"/>
      <c r="G16" s="18"/>
      <c r="H16" s="18"/>
      <c r="I16" s="18">
        <v>9082</v>
      </c>
      <c r="V16" t="s">
        <v>62</v>
      </c>
      <c r="W16" s="18"/>
      <c r="X16" s="18"/>
      <c r="Y16" s="18"/>
      <c r="Z16" s="18"/>
      <c r="AA16" s="18"/>
      <c r="AB16" s="18">
        <v>50446</v>
      </c>
      <c r="AC16" s="18"/>
      <c r="AD16" s="18">
        <v>50446</v>
      </c>
      <c r="AE16" s="18">
        <v>0</v>
      </c>
      <c r="AF16" s="18"/>
      <c r="AG16" s="18"/>
      <c r="AH16" s="18">
        <v>20385</v>
      </c>
      <c r="AI16" s="18">
        <v>120292.6</v>
      </c>
      <c r="AJ16" s="18">
        <v>140677.6</v>
      </c>
      <c r="AK16" s="18"/>
      <c r="AL16" s="18"/>
      <c r="AM16" s="18"/>
      <c r="AN16" s="18">
        <v>206833.5</v>
      </c>
      <c r="AO16" s="18">
        <v>206833.5</v>
      </c>
      <c r="AP16" s="18">
        <v>397957.1</v>
      </c>
    </row>
    <row r="17" spans="1:42" x14ac:dyDescent="0.3">
      <c r="B17" t="s">
        <v>62</v>
      </c>
      <c r="C17" s="18"/>
      <c r="D17" s="18"/>
      <c r="E17" s="18"/>
      <c r="F17" s="18">
        <v>50446</v>
      </c>
      <c r="G17" s="18"/>
      <c r="H17" s="18"/>
      <c r="I17" s="18">
        <v>50446</v>
      </c>
      <c r="V17" t="s">
        <v>174</v>
      </c>
      <c r="W17" s="18"/>
      <c r="X17" s="18"/>
      <c r="Y17" s="18">
        <v>1082.8000000000002</v>
      </c>
      <c r="Z17" s="18"/>
      <c r="AA17" s="18"/>
      <c r="AB17" s="18"/>
      <c r="AC17" s="18"/>
      <c r="AD17" s="18">
        <v>1082.8000000000002</v>
      </c>
      <c r="AE17" s="18"/>
      <c r="AF17" s="18"/>
      <c r="AG17" s="18"/>
      <c r="AH17" s="18"/>
      <c r="AI17" s="18"/>
      <c r="AJ17" s="18"/>
      <c r="AK17" s="18"/>
      <c r="AL17" s="18"/>
      <c r="AM17" s="18"/>
      <c r="AN17" s="18"/>
      <c r="AO17" s="18"/>
      <c r="AP17" s="18">
        <v>1082.8000000000002</v>
      </c>
    </row>
    <row r="18" spans="1:42" x14ac:dyDescent="0.3">
      <c r="B18" t="s">
        <v>174</v>
      </c>
      <c r="C18" s="18">
        <v>1082.8000000000002</v>
      </c>
      <c r="D18" s="18"/>
      <c r="E18" s="18"/>
      <c r="F18" s="18"/>
      <c r="G18" s="18"/>
      <c r="H18" s="18"/>
      <c r="I18" s="18">
        <v>1082.8000000000002</v>
      </c>
      <c r="V18" t="s">
        <v>224</v>
      </c>
      <c r="W18" s="18"/>
      <c r="X18" s="18"/>
      <c r="Y18" s="18">
        <v>799.2</v>
      </c>
      <c r="Z18" s="18"/>
      <c r="AA18" s="18"/>
      <c r="AB18" s="18"/>
      <c r="AC18" s="18"/>
      <c r="AD18" s="18">
        <v>799.2</v>
      </c>
      <c r="AE18" s="18"/>
      <c r="AF18" s="18"/>
      <c r="AG18" s="18"/>
      <c r="AH18" s="18"/>
      <c r="AI18" s="18"/>
      <c r="AJ18" s="18"/>
      <c r="AK18" s="18"/>
      <c r="AL18" s="18"/>
      <c r="AM18" s="18"/>
      <c r="AN18" s="18"/>
      <c r="AO18" s="18"/>
      <c r="AP18" s="18">
        <v>799.2</v>
      </c>
    </row>
    <row r="19" spans="1:42" x14ac:dyDescent="0.3">
      <c r="B19" t="s">
        <v>224</v>
      </c>
      <c r="C19" s="18"/>
      <c r="D19" s="18"/>
      <c r="E19" s="18"/>
      <c r="F19" s="18"/>
      <c r="G19" s="18">
        <v>799.2</v>
      </c>
      <c r="H19" s="18"/>
      <c r="I19" s="18">
        <v>799.2</v>
      </c>
      <c r="V19" t="s">
        <v>229</v>
      </c>
      <c r="W19" s="18"/>
      <c r="X19" s="18"/>
      <c r="Y19" s="18"/>
      <c r="Z19" s="18"/>
      <c r="AA19" s="18"/>
      <c r="AB19" s="18"/>
      <c r="AC19" s="18"/>
      <c r="AD19" s="18"/>
      <c r="AE19" s="18">
        <v>29463.4</v>
      </c>
      <c r="AF19" s="18"/>
      <c r="AG19" s="18"/>
      <c r="AH19" s="18"/>
      <c r="AI19" s="18"/>
      <c r="AJ19" s="18">
        <v>29463.4</v>
      </c>
      <c r="AK19" s="18"/>
      <c r="AL19" s="18"/>
      <c r="AM19" s="18"/>
      <c r="AN19" s="18"/>
      <c r="AO19" s="18"/>
      <c r="AP19" s="18">
        <v>29463.4</v>
      </c>
    </row>
    <row r="20" spans="1:42" x14ac:dyDescent="0.3">
      <c r="A20" s="36" t="s">
        <v>351</v>
      </c>
      <c r="B20" s="36"/>
      <c r="C20" s="37">
        <v>65414.8</v>
      </c>
      <c r="D20" s="37">
        <v>28025.7</v>
      </c>
      <c r="E20" s="37">
        <v>4191.2000000000007</v>
      </c>
      <c r="F20" s="37">
        <v>102731.6</v>
      </c>
      <c r="G20" s="37">
        <v>799.2</v>
      </c>
      <c r="H20" s="37"/>
      <c r="I20" s="37">
        <v>201162.5</v>
      </c>
      <c r="V20" t="s">
        <v>263</v>
      </c>
      <c r="W20" s="18"/>
      <c r="X20" s="18"/>
      <c r="Y20" s="18"/>
      <c r="Z20" s="18"/>
      <c r="AA20" s="18"/>
      <c r="AB20" s="18"/>
      <c r="AC20" s="18"/>
      <c r="AD20" s="18"/>
      <c r="AE20" s="18">
        <v>8402</v>
      </c>
      <c r="AF20" s="18"/>
      <c r="AG20" s="18"/>
      <c r="AH20" s="18"/>
      <c r="AI20" s="18"/>
      <c r="AJ20" s="18">
        <v>8402</v>
      </c>
      <c r="AK20" s="18"/>
      <c r="AL20" s="18"/>
      <c r="AM20" s="18"/>
      <c r="AN20" s="18"/>
      <c r="AO20" s="18"/>
      <c r="AP20" s="18">
        <v>8402</v>
      </c>
    </row>
    <row r="21" spans="1:42" x14ac:dyDescent="0.3">
      <c r="A21">
        <v>2021</v>
      </c>
      <c r="B21" t="s">
        <v>35</v>
      </c>
      <c r="C21" s="18">
        <v>13661.4</v>
      </c>
      <c r="D21" s="18"/>
      <c r="E21" s="18"/>
      <c r="F21" s="18"/>
      <c r="G21" s="18"/>
      <c r="H21" s="18"/>
      <c r="I21" s="18">
        <v>13661.4</v>
      </c>
      <c r="V21" t="s">
        <v>281</v>
      </c>
      <c r="W21" s="18"/>
      <c r="X21" s="18"/>
      <c r="Y21" s="18"/>
      <c r="Z21" s="18"/>
      <c r="AA21" s="18"/>
      <c r="AB21" s="18"/>
      <c r="AC21" s="18"/>
      <c r="AD21" s="18"/>
      <c r="AE21" s="18">
        <v>4247</v>
      </c>
      <c r="AF21" s="18"/>
      <c r="AG21" s="18"/>
      <c r="AH21" s="18"/>
      <c r="AI21" s="18"/>
      <c r="AJ21" s="18">
        <v>4247</v>
      </c>
      <c r="AK21" s="18"/>
      <c r="AL21" s="18"/>
      <c r="AM21" s="18"/>
      <c r="AN21" s="18"/>
      <c r="AO21" s="18"/>
      <c r="AP21" s="18">
        <v>4247</v>
      </c>
    </row>
    <row r="22" spans="1:42" x14ac:dyDescent="0.3">
      <c r="B22" t="s">
        <v>58</v>
      </c>
      <c r="C22" s="18"/>
      <c r="D22" s="18"/>
      <c r="E22" s="18">
        <v>23646.6</v>
      </c>
      <c r="F22" s="18"/>
      <c r="G22" s="18"/>
      <c r="H22" s="18"/>
      <c r="I22" s="18">
        <v>23646.6</v>
      </c>
      <c r="V22" t="s">
        <v>290</v>
      </c>
      <c r="W22" s="18"/>
      <c r="X22" s="18"/>
      <c r="Y22" s="18"/>
      <c r="Z22" s="18"/>
      <c r="AA22" s="18"/>
      <c r="AB22" s="18"/>
      <c r="AC22" s="18"/>
      <c r="AD22" s="18"/>
      <c r="AE22" s="18">
        <v>10807.25</v>
      </c>
      <c r="AF22" s="18"/>
      <c r="AG22" s="18"/>
      <c r="AH22" s="18"/>
      <c r="AI22" s="18"/>
      <c r="AJ22" s="18">
        <v>10807.25</v>
      </c>
      <c r="AK22" s="18"/>
      <c r="AL22" s="18"/>
      <c r="AM22" s="18"/>
      <c r="AN22" s="18"/>
      <c r="AO22" s="18"/>
      <c r="AP22" s="18">
        <v>10807.25</v>
      </c>
    </row>
    <row r="23" spans="1:42" x14ac:dyDescent="0.3">
      <c r="B23" t="s">
        <v>7</v>
      </c>
      <c r="C23" s="18">
        <v>22043</v>
      </c>
      <c r="D23" s="18"/>
      <c r="E23" s="18"/>
      <c r="F23" s="18"/>
      <c r="G23" s="18"/>
      <c r="H23" s="18"/>
      <c r="I23" s="18">
        <v>22043</v>
      </c>
      <c r="V23" t="s">
        <v>366</v>
      </c>
      <c r="W23" s="18"/>
      <c r="X23" s="18"/>
      <c r="Y23" s="18"/>
      <c r="Z23" s="18"/>
      <c r="AA23" s="18"/>
      <c r="AB23" s="18"/>
      <c r="AC23" s="18"/>
      <c r="AD23" s="18"/>
      <c r="AE23" s="18">
        <v>855</v>
      </c>
      <c r="AF23" s="18"/>
      <c r="AG23" s="18"/>
      <c r="AH23" s="18"/>
      <c r="AI23" s="18"/>
      <c r="AJ23" s="18">
        <v>855</v>
      </c>
      <c r="AK23" s="18"/>
      <c r="AL23" s="18"/>
      <c r="AM23" s="18"/>
      <c r="AN23" s="18"/>
      <c r="AO23" s="18"/>
      <c r="AP23" s="18">
        <v>855</v>
      </c>
    </row>
    <row r="24" spans="1:42" x14ac:dyDescent="0.3">
      <c r="B24" t="s">
        <v>20</v>
      </c>
      <c r="C24" s="18"/>
      <c r="D24" s="18">
        <v>34482.5</v>
      </c>
      <c r="E24" s="18"/>
      <c r="F24" s="18"/>
      <c r="G24" s="18"/>
      <c r="H24" s="18"/>
      <c r="I24" s="18">
        <v>34482.5</v>
      </c>
      <c r="V24" t="s">
        <v>376</v>
      </c>
      <c r="W24" s="18"/>
      <c r="X24" s="18"/>
      <c r="Y24" s="18"/>
      <c r="Z24" s="18"/>
      <c r="AA24" s="18"/>
      <c r="AB24" s="18"/>
      <c r="AC24" s="18"/>
      <c r="AD24" s="18"/>
      <c r="AE24" s="18">
        <v>9592</v>
      </c>
      <c r="AF24" s="18"/>
      <c r="AG24" s="18"/>
      <c r="AH24" s="18"/>
      <c r="AI24" s="18"/>
      <c r="AJ24" s="18">
        <v>9592</v>
      </c>
      <c r="AK24" s="18"/>
      <c r="AL24" s="18"/>
      <c r="AM24" s="18"/>
      <c r="AN24" s="18"/>
      <c r="AO24" s="18"/>
      <c r="AP24" s="18">
        <v>9592</v>
      </c>
    </row>
    <row r="25" spans="1:42" x14ac:dyDescent="0.3">
      <c r="B25" t="s">
        <v>43</v>
      </c>
      <c r="C25" s="18">
        <v>240</v>
      </c>
      <c r="D25" s="18"/>
      <c r="E25" s="18"/>
      <c r="F25" s="18"/>
      <c r="G25" s="18"/>
      <c r="H25" s="18"/>
      <c r="I25" s="18">
        <v>240</v>
      </c>
      <c r="V25" t="s">
        <v>401</v>
      </c>
      <c r="W25" s="18"/>
      <c r="X25" s="18"/>
      <c r="Y25" s="18"/>
      <c r="Z25" s="18"/>
      <c r="AA25" s="18"/>
      <c r="AB25" s="18"/>
      <c r="AC25" s="18"/>
      <c r="AD25" s="18"/>
      <c r="AE25" s="18">
        <v>31181.999999999996</v>
      </c>
      <c r="AF25" s="18"/>
      <c r="AG25" s="18"/>
      <c r="AH25" s="18"/>
      <c r="AI25" s="18"/>
      <c r="AJ25" s="18">
        <v>31181.999999999996</v>
      </c>
      <c r="AK25" s="18">
        <v>76338.899999999994</v>
      </c>
      <c r="AL25" s="18"/>
      <c r="AM25" s="18"/>
      <c r="AN25" s="18"/>
      <c r="AO25" s="18">
        <v>76338.899999999994</v>
      </c>
      <c r="AP25" s="18">
        <v>107520.9</v>
      </c>
    </row>
    <row r="26" spans="1:42" x14ac:dyDescent="0.3">
      <c r="B26" t="s">
        <v>23</v>
      </c>
      <c r="C26" s="18"/>
      <c r="D26" s="18"/>
      <c r="E26" s="18"/>
      <c r="F26" s="18">
        <v>85763.000000000015</v>
      </c>
      <c r="G26" s="18"/>
      <c r="H26" s="18"/>
      <c r="I26" s="18">
        <v>85763.000000000015</v>
      </c>
      <c r="V26" t="s">
        <v>410</v>
      </c>
      <c r="W26" s="18"/>
      <c r="X26" s="18"/>
      <c r="Y26" s="18"/>
      <c r="Z26" s="18"/>
      <c r="AA26" s="18"/>
      <c r="AB26" s="18"/>
      <c r="AC26" s="18"/>
      <c r="AD26" s="18"/>
      <c r="AE26" s="18">
        <v>204219.6</v>
      </c>
      <c r="AF26" s="18"/>
      <c r="AG26" s="18"/>
      <c r="AH26" s="18"/>
      <c r="AI26" s="18"/>
      <c r="AJ26" s="18">
        <v>204219.6</v>
      </c>
      <c r="AK26" s="18">
        <v>583746.29999999993</v>
      </c>
      <c r="AL26" s="18"/>
      <c r="AM26" s="18"/>
      <c r="AN26" s="18"/>
      <c r="AO26" s="18">
        <v>583746.29999999993</v>
      </c>
      <c r="AP26" s="18">
        <v>787965.89999999991</v>
      </c>
    </row>
    <row r="27" spans="1:42" x14ac:dyDescent="0.3">
      <c r="B27" t="s">
        <v>14</v>
      </c>
      <c r="C27" s="18">
        <v>3432</v>
      </c>
      <c r="D27" s="18"/>
      <c r="E27" s="18"/>
      <c r="F27" s="18"/>
      <c r="G27" s="18"/>
      <c r="H27" s="18"/>
      <c r="I27" s="18">
        <v>3432</v>
      </c>
      <c r="V27" t="s">
        <v>470</v>
      </c>
      <c r="W27" s="18"/>
      <c r="X27" s="18"/>
      <c r="Y27" s="18"/>
      <c r="Z27" s="18"/>
      <c r="AA27" s="18"/>
      <c r="AB27" s="18"/>
      <c r="AC27" s="18"/>
      <c r="AD27" s="18"/>
      <c r="AE27" s="18">
        <v>240</v>
      </c>
      <c r="AF27" s="18"/>
      <c r="AG27" s="18"/>
      <c r="AH27" s="18"/>
      <c r="AI27" s="18"/>
      <c r="AJ27" s="18">
        <v>240</v>
      </c>
      <c r="AK27" s="18"/>
      <c r="AL27" s="18"/>
      <c r="AM27" s="18"/>
      <c r="AN27" s="18"/>
      <c r="AO27" s="18"/>
      <c r="AP27" s="18">
        <v>240</v>
      </c>
    </row>
    <row r="28" spans="1:42" x14ac:dyDescent="0.3">
      <c r="B28" t="s">
        <v>52</v>
      </c>
      <c r="C28" s="18">
        <v>8568</v>
      </c>
      <c r="D28" s="18"/>
      <c r="E28" s="18"/>
      <c r="F28" s="18"/>
      <c r="G28" s="18"/>
      <c r="H28" s="18"/>
      <c r="I28" s="18">
        <v>8568</v>
      </c>
      <c r="V28" t="s">
        <v>492</v>
      </c>
      <c r="W28" s="18"/>
      <c r="X28" s="18"/>
      <c r="Y28" s="18"/>
      <c r="Z28" s="18"/>
      <c r="AA28" s="18"/>
      <c r="AB28" s="18"/>
      <c r="AC28" s="18"/>
      <c r="AD28" s="18"/>
      <c r="AE28" s="18">
        <v>2024</v>
      </c>
      <c r="AF28" s="18"/>
      <c r="AG28" s="18"/>
      <c r="AH28" s="18"/>
      <c r="AI28" s="18"/>
      <c r="AJ28" s="18">
        <v>2024</v>
      </c>
      <c r="AK28" s="18">
        <v>79757.299999999988</v>
      </c>
      <c r="AL28" s="18"/>
      <c r="AM28" s="18"/>
      <c r="AN28" s="18"/>
      <c r="AO28" s="18">
        <v>79757.299999999988</v>
      </c>
      <c r="AP28" s="18">
        <v>81781.299999999988</v>
      </c>
    </row>
    <row r="29" spans="1:42" x14ac:dyDescent="0.3">
      <c r="B29" t="s">
        <v>62</v>
      </c>
      <c r="C29" s="18"/>
      <c r="D29" s="18"/>
      <c r="E29" s="18"/>
      <c r="F29" s="18">
        <v>140677.6</v>
      </c>
      <c r="G29" s="18"/>
      <c r="H29" s="18"/>
      <c r="I29" s="18">
        <v>140677.6</v>
      </c>
      <c r="V29" t="s">
        <v>638</v>
      </c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>
        <v>23064.7</v>
      </c>
      <c r="AL29" s="18"/>
      <c r="AM29" s="18"/>
      <c r="AN29" s="18"/>
      <c r="AO29" s="18">
        <v>23064.7</v>
      </c>
      <c r="AP29" s="18">
        <v>23064.7</v>
      </c>
    </row>
    <row r="30" spans="1:42" x14ac:dyDescent="0.3">
      <c r="B30" t="s">
        <v>229</v>
      </c>
      <c r="C30" s="18"/>
      <c r="D30" s="18"/>
      <c r="E30" s="18"/>
      <c r="F30" s="18"/>
      <c r="G30" s="18">
        <v>3070</v>
      </c>
      <c r="H30" s="18"/>
      <c r="I30" s="18">
        <v>3070</v>
      </c>
      <c r="V30" t="s">
        <v>666</v>
      </c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>
        <v>26300.5</v>
      </c>
      <c r="AL30" s="18"/>
      <c r="AM30" s="18"/>
      <c r="AN30" s="18"/>
      <c r="AO30" s="18">
        <v>26300.5</v>
      </c>
      <c r="AP30" s="18">
        <v>26300.5</v>
      </c>
    </row>
    <row r="31" spans="1:42" x14ac:dyDescent="0.3">
      <c r="B31" t="s">
        <v>263</v>
      </c>
      <c r="C31" s="18">
        <v>8402</v>
      </c>
      <c r="D31" s="18"/>
      <c r="E31" s="18"/>
      <c r="F31" s="18"/>
      <c r="G31" s="18"/>
      <c r="H31" s="18"/>
      <c r="I31" s="18">
        <v>8402</v>
      </c>
      <c r="V31" t="s">
        <v>774</v>
      </c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>
        <v>15169</v>
      </c>
      <c r="AL31" s="18"/>
      <c r="AM31" s="18"/>
      <c r="AN31" s="18"/>
      <c r="AO31" s="18">
        <v>15169</v>
      </c>
      <c r="AP31" s="18">
        <v>15169</v>
      </c>
    </row>
    <row r="32" spans="1:42" x14ac:dyDescent="0.3">
      <c r="B32" t="s">
        <v>281</v>
      </c>
      <c r="C32" s="18">
        <v>4247</v>
      </c>
      <c r="D32" s="18"/>
      <c r="E32" s="18"/>
      <c r="F32" s="18"/>
      <c r="G32" s="18"/>
      <c r="H32" s="18"/>
      <c r="I32" s="18">
        <v>4247</v>
      </c>
      <c r="V32" t="s">
        <v>710</v>
      </c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>
        <v>1238</v>
      </c>
      <c r="AL32" s="18"/>
      <c r="AM32" s="18"/>
      <c r="AN32" s="18"/>
      <c r="AO32" s="18">
        <v>1238</v>
      </c>
      <c r="AP32" s="18">
        <v>1238</v>
      </c>
    </row>
    <row r="33" spans="1:42" x14ac:dyDescent="0.3">
      <c r="B33" t="s">
        <v>290</v>
      </c>
      <c r="C33" s="18">
        <v>10807.25</v>
      </c>
      <c r="D33" s="18"/>
      <c r="E33" s="18"/>
      <c r="F33" s="18"/>
      <c r="G33" s="18"/>
      <c r="H33" s="18"/>
      <c r="I33" s="18">
        <v>10807.25</v>
      </c>
      <c r="V33" t="s">
        <v>785</v>
      </c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>
        <v>6907.6</v>
      </c>
      <c r="AL33" s="18"/>
      <c r="AM33" s="18"/>
      <c r="AN33" s="18"/>
      <c r="AO33" s="18">
        <v>6907.6</v>
      </c>
      <c r="AP33" s="18">
        <v>6907.6</v>
      </c>
    </row>
    <row r="34" spans="1:42" x14ac:dyDescent="0.3">
      <c r="B34" t="s">
        <v>376</v>
      </c>
      <c r="C34" s="18">
        <v>9592</v>
      </c>
      <c r="D34" s="18"/>
      <c r="E34" s="18"/>
      <c r="F34" s="18"/>
      <c r="G34" s="18"/>
      <c r="H34" s="18"/>
      <c r="I34" s="18">
        <v>9592</v>
      </c>
      <c r="V34" t="s">
        <v>860</v>
      </c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>
        <v>58888.799999999996</v>
      </c>
      <c r="AL34" s="18"/>
      <c r="AM34" s="18"/>
      <c r="AN34" s="18"/>
      <c r="AO34" s="18">
        <v>58888.799999999996</v>
      </c>
      <c r="AP34" s="18">
        <v>58888.799999999996</v>
      </c>
    </row>
    <row r="35" spans="1:42" x14ac:dyDescent="0.3">
      <c r="B35" t="s">
        <v>401</v>
      </c>
      <c r="C35" s="18">
        <v>31181.999999999996</v>
      </c>
      <c r="D35" s="18"/>
      <c r="E35" s="18"/>
      <c r="F35" s="18"/>
      <c r="G35" s="18"/>
      <c r="H35" s="18"/>
      <c r="I35" s="18">
        <v>31181.999999999996</v>
      </c>
      <c r="V35" t="s">
        <v>1045</v>
      </c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>
        <v>0</v>
      </c>
      <c r="AL35" s="18"/>
      <c r="AM35" s="18"/>
      <c r="AN35" s="18"/>
      <c r="AO35" s="18">
        <v>0</v>
      </c>
      <c r="AP35" s="18">
        <v>0</v>
      </c>
    </row>
    <row r="36" spans="1:42" x14ac:dyDescent="0.3">
      <c r="B36" t="s">
        <v>410</v>
      </c>
      <c r="C36" s="18">
        <v>204219.6</v>
      </c>
      <c r="D36" s="18"/>
      <c r="E36" s="18"/>
      <c r="F36" s="18"/>
      <c r="G36" s="18"/>
      <c r="H36" s="18"/>
      <c r="I36" s="18">
        <v>204219.6</v>
      </c>
      <c r="V36" t="s">
        <v>959</v>
      </c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>
        <v>4447.5</v>
      </c>
      <c r="AL36" s="18"/>
      <c r="AM36" s="18"/>
      <c r="AN36" s="18"/>
      <c r="AO36" s="18">
        <v>4447.5</v>
      </c>
      <c r="AP36" s="18">
        <v>4447.5</v>
      </c>
    </row>
    <row r="37" spans="1:42" x14ac:dyDescent="0.3">
      <c r="B37" t="s">
        <v>470</v>
      </c>
      <c r="C37" s="18"/>
      <c r="D37" s="18"/>
      <c r="E37" s="18"/>
      <c r="F37" s="18"/>
      <c r="G37" s="18">
        <v>240</v>
      </c>
      <c r="H37" s="18"/>
      <c r="I37" s="18">
        <v>240</v>
      </c>
      <c r="V37" t="s">
        <v>1052</v>
      </c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>
        <v>1672.6</v>
      </c>
      <c r="AL37" s="18"/>
      <c r="AM37" s="18"/>
      <c r="AN37" s="18"/>
      <c r="AO37" s="18">
        <v>1672.6</v>
      </c>
      <c r="AP37" s="18">
        <v>1672.6</v>
      </c>
    </row>
    <row r="38" spans="1:42" x14ac:dyDescent="0.3">
      <c r="B38" t="s">
        <v>492</v>
      </c>
      <c r="C38" s="18">
        <v>2024</v>
      </c>
      <c r="D38" s="18"/>
      <c r="E38" s="18"/>
      <c r="F38" s="18"/>
      <c r="G38" s="18"/>
      <c r="H38" s="18"/>
      <c r="I38" s="18">
        <v>2024</v>
      </c>
      <c r="V38" t="s">
        <v>1058</v>
      </c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>
        <v>4373</v>
      </c>
      <c r="AL38" s="18"/>
      <c r="AM38" s="18"/>
      <c r="AN38" s="18"/>
      <c r="AO38" s="18">
        <v>4373</v>
      </c>
      <c r="AP38" s="18">
        <v>4373</v>
      </c>
    </row>
    <row r="39" spans="1:42" x14ac:dyDescent="0.3">
      <c r="B39" t="s">
        <v>1454</v>
      </c>
      <c r="C39" s="18">
        <v>26393.4</v>
      </c>
      <c r="D39" s="18"/>
      <c r="E39" s="18"/>
      <c r="F39" s="18"/>
      <c r="G39" s="18"/>
      <c r="H39" s="18"/>
      <c r="I39" s="18">
        <v>26393.4</v>
      </c>
      <c r="V39" t="s">
        <v>131</v>
      </c>
      <c r="W39" s="18">
        <v>2973</v>
      </c>
      <c r="X39" s="18">
        <v>2973</v>
      </c>
      <c r="Y39" s="18">
        <v>60608</v>
      </c>
      <c r="Z39" s="18">
        <v>28025.7</v>
      </c>
      <c r="AA39" s="18">
        <v>9797.2000000000007</v>
      </c>
      <c r="AB39" s="18">
        <v>99871.6</v>
      </c>
      <c r="AC39" s="18">
        <v>2860</v>
      </c>
      <c r="AD39" s="18">
        <v>201162.5</v>
      </c>
      <c r="AE39" s="18">
        <v>348976.65</v>
      </c>
      <c r="AF39" s="18">
        <v>34482.5</v>
      </c>
      <c r="AG39" s="18">
        <v>23646.6</v>
      </c>
      <c r="AH39" s="18">
        <v>20385</v>
      </c>
      <c r="AI39" s="18">
        <v>206055.60000000003</v>
      </c>
      <c r="AJ39" s="18">
        <v>633546.35</v>
      </c>
      <c r="AK39" s="18">
        <v>916776.7</v>
      </c>
      <c r="AL39" s="18">
        <v>43991</v>
      </c>
      <c r="AM39" s="18">
        <v>37167.5</v>
      </c>
      <c r="AN39" s="18">
        <v>308292.90000000002</v>
      </c>
      <c r="AO39" s="18">
        <v>1306228.1000000003</v>
      </c>
      <c r="AP39" s="18">
        <v>2143909.9500000002</v>
      </c>
    </row>
    <row r="40" spans="1:42" x14ac:dyDescent="0.3">
      <c r="B40" t="s">
        <v>1698</v>
      </c>
      <c r="C40" s="18">
        <v>855</v>
      </c>
      <c r="D40" s="18"/>
      <c r="E40" s="18"/>
      <c r="F40" s="18"/>
      <c r="G40" s="18"/>
      <c r="H40" s="18"/>
      <c r="I40" s="18">
        <v>855</v>
      </c>
    </row>
    <row r="41" spans="1:42" x14ac:dyDescent="0.3">
      <c r="A41" s="36" t="s">
        <v>352</v>
      </c>
      <c r="B41" s="36"/>
      <c r="C41" s="37">
        <v>345666.65</v>
      </c>
      <c r="D41" s="37">
        <v>34482.5</v>
      </c>
      <c r="E41" s="37">
        <v>23646.6</v>
      </c>
      <c r="F41" s="37">
        <v>226440.60000000003</v>
      </c>
      <c r="G41" s="37">
        <v>3310</v>
      </c>
      <c r="H41" s="37"/>
      <c r="I41" s="37">
        <v>633546.35</v>
      </c>
    </row>
    <row r="42" spans="1:42" x14ac:dyDescent="0.3">
      <c r="A42">
        <v>2022</v>
      </c>
      <c r="B42" t="s">
        <v>58</v>
      </c>
      <c r="C42" s="18"/>
      <c r="D42" s="18"/>
      <c r="E42" s="18">
        <v>41800.300000000003</v>
      </c>
      <c r="F42" s="18"/>
      <c r="G42" s="18"/>
      <c r="H42" s="18"/>
      <c r="I42" s="18">
        <v>41800.300000000003</v>
      </c>
    </row>
    <row r="43" spans="1:42" x14ac:dyDescent="0.3">
      <c r="B43" t="s">
        <v>7</v>
      </c>
      <c r="C43" s="18">
        <v>26376</v>
      </c>
      <c r="D43" s="18"/>
      <c r="E43" s="18"/>
      <c r="F43" s="18"/>
      <c r="G43" s="18"/>
      <c r="H43" s="18"/>
      <c r="I43" s="18">
        <v>26376</v>
      </c>
    </row>
    <row r="44" spans="1:42" x14ac:dyDescent="0.3">
      <c r="B44" t="s">
        <v>20</v>
      </c>
      <c r="C44" s="18"/>
      <c r="D44" s="18">
        <v>51210</v>
      </c>
      <c r="E44" s="18"/>
      <c r="F44" s="18"/>
      <c r="G44" s="18"/>
      <c r="H44" s="18"/>
      <c r="I44" s="18">
        <v>51210</v>
      </c>
    </row>
    <row r="45" spans="1:42" x14ac:dyDescent="0.3">
      <c r="B45" t="s">
        <v>43</v>
      </c>
      <c r="C45" s="18">
        <v>11828.5</v>
      </c>
      <c r="D45" s="18"/>
      <c r="E45" s="18"/>
      <c r="F45" s="18"/>
      <c r="G45" s="18"/>
      <c r="H45" s="18"/>
      <c r="I45" s="18">
        <v>11828.5</v>
      </c>
    </row>
    <row r="46" spans="1:42" x14ac:dyDescent="0.3">
      <c r="B46" t="s">
        <v>23</v>
      </c>
      <c r="C46" s="18"/>
      <c r="D46" s="18"/>
      <c r="E46" s="18"/>
      <c r="F46" s="18">
        <v>101459.40000000001</v>
      </c>
      <c r="G46" s="18"/>
      <c r="H46" s="18"/>
      <c r="I46" s="18">
        <v>101459.40000000001</v>
      </c>
    </row>
    <row r="47" spans="1:42" x14ac:dyDescent="0.3">
      <c r="B47" t="s">
        <v>62</v>
      </c>
      <c r="C47" s="18"/>
      <c r="D47" s="18"/>
      <c r="E47" s="18"/>
      <c r="F47" s="18">
        <v>232471</v>
      </c>
      <c r="G47" s="18"/>
      <c r="H47" s="18"/>
      <c r="I47" s="18">
        <v>232471</v>
      </c>
    </row>
    <row r="48" spans="1:42" x14ac:dyDescent="0.3">
      <c r="B48" t="s">
        <v>401</v>
      </c>
      <c r="C48" s="18">
        <v>82475</v>
      </c>
      <c r="D48" s="18"/>
      <c r="E48" s="18"/>
      <c r="F48" s="18"/>
      <c r="G48" s="18"/>
      <c r="H48" s="18"/>
      <c r="I48" s="18">
        <v>82475</v>
      </c>
    </row>
    <row r="49" spans="1:9" x14ac:dyDescent="0.3">
      <c r="B49" t="s">
        <v>410</v>
      </c>
      <c r="C49" s="18">
        <v>719068.89999999991</v>
      </c>
      <c r="D49" s="18"/>
      <c r="E49" s="18"/>
      <c r="F49" s="18"/>
      <c r="G49" s="18"/>
      <c r="H49" s="18"/>
      <c r="I49" s="18">
        <v>719068.89999999991</v>
      </c>
    </row>
    <row r="50" spans="1:9" x14ac:dyDescent="0.3">
      <c r="B50" t="s">
        <v>492</v>
      </c>
      <c r="C50" s="18">
        <v>88508.299999999988</v>
      </c>
      <c r="D50" s="18"/>
      <c r="E50" s="18"/>
      <c r="F50" s="18"/>
      <c r="G50" s="18"/>
      <c r="H50" s="18"/>
      <c r="I50" s="18">
        <v>88508.299999999988</v>
      </c>
    </row>
    <row r="51" spans="1:9" x14ac:dyDescent="0.3">
      <c r="B51" t="s">
        <v>638</v>
      </c>
      <c r="C51" s="18">
        <v>26086.7</v>
      </c>
      <c r="D51" s="18"/>
      <c r="E51" s="18"/>
      <c r="F51" s="18"/>
      <c r="G51" s="18"/>
      <c r="H51" s="18"/>
      <c r="I51" s="18">
        <v>26086.7</v>
      </c>
    </row>
    <row r="52" spans="1:9" x14ac:dyDescent="0.3">
      <c r="B52" t="s">
        <v>666</v>
      </c>
      <c r="C52" s="18">
        <v>26300.5</v>
      </c>
      <c r="D52" s="18"/>
      <c r="E52" s="18"/>
      <c r="F52" s="18"/>
      <c r="G52" s="18"/>
      <c r="H52" s="18"/>
      <c r="I52" s="18">
        <v>26300.5</v>
      </c>
    </row>
    <row r="53" spans="1:9" x14ac:dyDescent="0.3">
      <c r="B53" t="s">
        <v>710</v>
      </c>
      <c r="C53" s="18">
        <v>1238</v>
      </c>
      <c r="D53" s="18"/>
      <c r="E53" s="18"/>
      <c r="F53" s="18"/>
      <c r="G53" s="18"/>
      <c r="H53" s="18"/>
      <c r="I53" s="18">
        <v>1238</v>
      </c>
    </row>
    <row r="54" spans="1:9" x14ac:dyDescent="0.3">
      <c r="B54" t="s">
        <v>774</v>
      </c>
      <c r="C54" s="18">
        <v>15169</v>
      </c>
      <c r="D54" s="18"/>
      <c r="E54" s="18"/>
      <c r="F54" s="18"/>
      <c r="G54" s="18"/>
      <c r="H54" s="18"/>
      <c r="I54" s="18">
        <v>15169</v>
      </c>
    </row>
    <row r="55" spans="1:9" x14ac:dyDescent="0.3">
      <c r="B55" t="s">
        <v>785</v>
      </c>
      <c r="C55" s="18">
        <v>8970.6</v>
      </c>
      <c r="D55" s="18"/>
      <c r="E55" s="18"/>
      <c r="F55" s="18"/>
      <c r="G55" s="18"/>
      <c r="H55" s="18"/>
      <c r="I55" s="18">
        <v>8970.6</v>
      </c>
    </row>
    <row r="56" spans="1:9" x14ac:dyDescent="0.3">
      <c r="B56" t="s">
        <v>860</v>
      </c>
      <c r="C56" s="18">
        <v>58888.799999999996</v>
      </c>
      <c r="D56" s="18"/>
      <c r="E56" s="18"/>
      <c r="F56" s="18"/>
      <c r="G56" s="18"/>
      <c r="H56" s="18"/>
      <c r="I56" s="18">
        <v>58888.799999999996</v>
      </c>
    </row>
    <row r="57" spans="1:9" x14ac:dyDescent="0.3">
      <c r="B57" t="s">
        <v>959</v>
      </c>
      <c r="C57" s="18">
        <v>4447.5</v>
      </c>
      <c r="D57" s="18"/>
      <c r="E57" s="18"/>
      <c r="F57" s="18"/>
      <c r="G57" s="18"/>
      <c r="H57" s="18"/>
      <c r="I57" s="18">
        <v>4447.5</v>
      </c>
    </row>
    <row r="58" spans="1:9" x14ac:dyDescent="0.3">
      <c r="B58" t="s">
        <v>1045</v>
      </c>
      <c r="C58" s="18"/>
      <c r="D58" s="18"/>
      <c r="E58" s="18"/>
      <c r="F58" s="18"/>
      <c r="G58" s="18">
        <v>0</v>
      </c>
      <c r="H58" s="18"/>
      <c r="I58" s="18">
        <v>0</v>
      </c>
    </row>
    <row r="59" spans="1:9" x14ac:dyDescent="0.3">
      <c r="B59" t="s">
        <v>1052</v>
      </c>
      <c r="C59" s="18">
        <v>1732.6</v>
      </c>
      <c r="D59" s="18"/>
      <c r="E59" s="18"/>
      <c r="F59" s="18"/>
      <c r="G59" s="18"/>
      <c r="H59" s="18"/>
      <c r="I59" s="18">
        <v>1732.6</v>
      </c>
    </row>
    <row r="60" spans="1:9" x14ac:dyDescent="0.3">
      <c r="B60" t="s">
        <v>1058</v>
      </c>
      <c r="C60" s="18">
        <v>4373</v>
      </c>
      <c r="D60" s="18"/>
      <c r="E60" s="18"/>
      <c r="F60" s="18"/>
      <c r="G60" s="18"/>
      <c r="H60" s="18"/>
      <c r="I60" s="18">
        <v>4373</v>
      </c>
    </row>
    <row r="61" spans="1:9" x14ac:dyDescent="0.3">
      <c r="B61" t="s">
        <v>1102</v>
      </c>
      <c r="C61" s="18">
        <v>260</v>
      </c>
      <c r="D61" s="18"/>
      <c r="E61" s="18"/>
      <c r="F61" s="18"/>
      <c r="G61" s="18"/>
      <c r="H61" s="18"/>
      <c r="I61" s="18">
        <v>260</v>
      </c>
    </row>
    <row r="62" spans="1:9" x14ac:dyDescent="0.3">
      <c r="B62" t="s">
        <v>1101</v>
      </c>
      <c r="C62" s="18">
        <v>375</v>
      </c>
      <c r="D62" s="18"/>
      <c r="E62" s="18"/>
      <c r="F62" s="18"/>
      <c r="G62" s="18"/>
      <c r="H62" s="18"/>
      <c r="I62" s="18">
        <v>375</v>
      </c>
    </row>
    <row r="63" spans="1:9" x14ac:dyDescent="0.3">
      <c r="A63" s="36" t="s">
        <v>585</v>
      </c>
      <c r="B63" s="36"/>
      <c r="C63" s="37">
        <v>1076098.3999999999</v>
      </c>
      <c r="D63" s="37">
        <v>51210</v>
      </c>
      <c r="E63" s="37">
        <v>41800.300000000003</v>
      </c>
      <c r="F63" s="37">
        <v>333930.40000000002</v>
      </c>
      <c r="G63" s="37">
        <v>0</v>
      </c>
      <c r="H63" s="37"/>
      <c r="I63" s="37">
        <v>1503039.1</v>
      </c>
    </row>
    <row r="64" spans="1:9" x14ac:dyDescent="0.3">
      <c r="A64">
        <v>2023</v>
      </c>
      <c r="B64" t="s">
        <v>58</v>
      </c>
      <c r="C64" s="18"/>
      <c r="D64" s="18"/>
      <c r="E64" s="18">
        <v>36638.200000000012</v>
      </c>
      <c r="F64" s="18"/>
      <c r="G64" s="18"/>
      <c r="H64" s="18"/>
      <c r="I64" s="18">
        <v>36638.200000000012</v>
      </c>
    </row>
    <row r="65" spans="2:9" x14ac:dyDescent="0.3">
      <c r="B65" t="s">
        <v>7</v>
      </c>
      <c r="C65" s="18">
        <v>11804</v>
      </c>
      <c r="D65" s="18"/>
      <c r="E65" s="18"/>
      <c r="F65" s="18"/>
      <c r="G65" s="18"/>
      <c r="H65" s="18"/>
      <c r="I65" s="18">
        <v>11804</v>
      </c>
    </row>
    <row r="66" spans="2:9" x14ac:dyDescent="0.3">
      <c r="B66" t="s">
        <v>20</v>
      </c>
      <c r="C66" s="18"/>
      <c r="D66" s="18">
        <v>10972</v>
      </c>
      <c r="E66" s="18"/>
      <c r="F66" s="18"/>
      <c r="G66" s="18"/>
      <c r="H66" s="18"/>
      <c r="I66" s="18">
        <v>10972</v>
      </c>
    </row>
    <row r="67" spans="2:9" x14ac:dyDescent="0.3">
      <c r="B67" t="s">
        <v>43</v>
      </c>
      <c r="C67" s="18">
        <v>14405.2</v>
      </c>
      <c r="D67" s="18"/>
      <c r="E67" s="18"/>
      <c r="F67" s="18"/>
      <c r="G67" s="18"/>
      <c r="H67" s="18"/>
      <c r="I67" s="18">
        <v>14405.2</v>
      </c>
    </row>
    <row r="68" spans="2:9" x14ac:dyDescent="0.3">
      <c r="B68" t="s">
        <v>23</v>
      </c>
      <c r="C68" s="18"/>
      <c r="D68" s="18"/>
      <c r="E68" s="18"/>
      <c r="F68" s="18">
        <v>1620</v>
      </c>
      <c r="G68" s="18"/>
      <c r="H68" s="18"/>
      <c r="I68" s="18">
        <v>1620</v>
      </c>
    </row>
    <row r="69" spans="2:9" x14ac:dyDescent="0.3">
      <c r="B69" t="s">
        <v>62</v>
      </c>
      <c r="C69" s="18"/>
      <c r="D69" s="18"/>
      <c r="E69" s="18"/>
      <c r="F69" s="18">
        <v>183637.4</v>
      </c>
      <c r="G69" s="18"/>
      <c r="H69" s="18"/>
      <c r="I69" s="18">
        <v>183637.4</v>
      </c>
    </row>
    <row r="70" spans="2:9" x14ac:dyDescent="0.3">
      <c r="B70" t="s">
        <v>263</v>
      </c>
      <c r="C70" s="18">
        <v>113330.09999999999</v>
      </c>
      <c r="D70" s="18"/>
      <c r="E70" s="18"/>
      <c r="F70" s="18"/>
      <c r="G70" s="18"/>
      <c r="H70" s="18"/>
      <c r="I70" s="18">
        <v>113330.09999999999</v>
      </c>
    </row>
    <row r="71" spans="2:9" x14ac:dyDescent="0.3">
      <c r="B71" t="s">
        <v>401</v>
      </c>
      <c r="C71" s="18">
        <v>88097.9</v>
      </c>
      <c r="D71" s="18"/>
      <c r="E71" s="18"/>
      <c r="F71" s="18"/>
      <c r="G71" s="18"/>
      <c r="H71" s="18"/>
      <c r="I71" s="18">
        <v>88097.9</v>
      </c>
    </row>
    <row r="72" spans="2:9" x14ac:dyDescent="0.3">
      <c r="B72" t="s">
        <v>410</v>
      </c>
      <c r="C72" s="18">
        <v>566294.10000000009</v>
      </c>
      <c r="D72" s="18"/>
      <c r="E72" s="18"/>
      <c r="F72" s="18"/>
      <c r="G72" s="18"/>
      <c r="H72" s="18"/>
      <c r="I72" s="18">
        <v>566294.10000000009</v>
      </c>
    </row>
    <row r="73" spans="2:9" x14ac:dyDescent="0.3">
      <c r="B73" t="s">
        <v>492</v>
      </c>
      <c r="C73" s="18">
        <v>80917.5</v>
      </c>
      <c r="D73" s="18"/>
      <c r="E73" s="18"/>
      <c r="F73" s="18"/>
      <c r="G73" s="18"/>
      <c r="H73" s="18"/>
      <c r="I73" s="18">
        <v>80917.5</v>
      </c>
    </row>
    <row r="74" spans="2:9" x14ac:dyDescent="0.3">
      <c r="B74" t="s">
        <v>638</v>
      </c>
      <c r="C74" s="18">
        <v>34560.199999999997</v>
      </c>
      <c r="D74" s="18"/>
      <c r="E74" s="18"/>
      <c r="F74" s="18"/>
      <c r="G74" s="18"/>
      <c r="H74" s="18"/>
      <c r="I74" s="18">
        <v>34560.199999999997</v>
      </c>
    </row>
    <row r="75" spans="2:9" x14ac:dyDescent="0.3">
      <c r="B75" t="s">
        <v>666</v>
      </c>
      <c r="C75" s="18">
        <v>17384</v>
      </c>
      <c r="D75" s="18"/>
      <c r="E75" s="18"/>
      <c r="F75" s="18"/>
      <c r="G75" s="18"/>
      <c r="H75" s="18"/>
      <c r="I75" s="18">
        <v>17384</v>
      </c>
    </row>
    <row r="76" spans="2:9" x14ac:dyDescent="0.3">
      <c r="B76" t="s">
        <v>785</v>
      </c>
      <c r="C76" s="18">
        <v>3972.5</v>
      </c>
      <c r="D76" s="18"/>
      <c r="E76" s="18"/>
      <c r="F76" s="18"/>
      <c r="G76" s="18"/>
      <c r="H76" s="18"/>
      <c r="I76" s="18">
        <v>3972.5</v>
      </c>
    </row>
    <row r="77" spans="2:9" x14ac:dyDescent="0.3">
      <c r="B77" t="s">
        <v>860</v>
      </c>
      <c r="C77" s="18">
        <v>27345.699999999997</v>
      </c>
      <c r="D77" s="18"/>
      <c r="E77" s="18"/>
      <c r="F77" s="18"/>
      <c r="G77" s="18"/>
      <c r="H77" s="18"/>
      <c r="I77" s="18">
        <v>27345.699999999997</v>
      </c>
    </row>
    <row r="78" spans="2:9" x14ac:dyDescent="0.3">
      <c r="B78" t="s">
        <v>959</v>
      </c>
      <c r="C78" s="18">
        <v>250</v>
      </c>
      <c r="D78" s="18"/>
      <c r="E78" s="18"/>
      <c r="F78" s="18"/>
      <c r="G78" s="18"/>
      <c r="H78" s="18"/>
      <c r="I78" s="18">
        <v>250</v>
      </c>
    </row>
    <row r="79" spans="2:9" x14ac:dyDescent="0.3">
      <c r="B79" t="s">
        <v>1045</v>
      </c>
      <c r="C79" s="18"/>
      <c r="D79" s="18"/>
      <c r="E79" s="18"/>
      <c r="F79" s="18"/>
      <c r="G79" s="18">
        <v>0</v>
      </c>
      <c r="H79" s="18"/>
      <c r="I79" s="18">
        <v>0</v>
      </c>
    </row>
    <row r="80" spans="2:9" x14ac:dyDescent="0.3">
      <c r="B80" t="s">
        <v>1197</v>
      </c>
      <c r="C80" s="18">
        <v>125347.1</v>
      </c>
      <c r="D80" s="18"/>
      <c r="E80" s="18"/>
      <c r="F80" s="18"/>
      <c r="G80" s="18"/>
      <c r="H80" s="18"/>
      <c r="I80" s="18">
        <v>125347.1</v>
      </c>
    </row>
    <row r="81" spans="1:9" x14ac:dyDescent="0.3">
      <c r="B81" t="s">
        <v>1454</v>
      </c>
      <c r="C81" s="18">
        <v>111066.89999999998</v>
      </c>
      <c r="D81" s="18"/>
      <c r="E81" s="18"/>
      <c r="F81" s="18"/>
      <c r="G81" s="18"/>
      <c r="H81" s="18"/>
      <c r="I81" s="18">
        <v>111066.89999999998</v>
      </c>
    </row>
    <row r="82" spans="1:9" x14ac:dyDescent="0.3">
      <c r="B82" t="s">
        <v>1258</v>
      </c>
      <c r="C82" s="18">
        <v>1313</v>
      </c>
      <c r="D82" s="18"/>
      <c r="E82" s="18"/>
      <c r="F82" s="18"/>
      <c r="G82" s="18"/>
      <c r="H82" s="18"/>
      <c r="I82" s="18">
        <v>1313</v>
      </c>
    </row>
    <row r="83" spans="1:9" x14ac:dyDescent="0.3">
      <c r="B83" t="s">
        <v>1305</v>
      </c>
      <c r="C83" s="18">
        <v>1791</v>
      </c>
      <c r="D83" s="18"/>
      <c r="E83" s="18"/>
      <c r="F83" s="18"/>
      <c r="G83" s="18"/>
      <c r="H83" s="18"/>
      <c r="I83" s="18">
        <v>1791</v>
      </c>
    </row>
    <row r="84" spans="1:9" x14ac:dyDescent="0.3">
      <c r="B84" t="s">
        <v>1310</v>
      </c>
      <c r="C84" s="18"/>
      <c r="D84" s="18"/>
      <c r="E84" s="18"/>
      <c r="F84" s="18"/>
      <c r="G84" s="18"/>
      <c r="H84" s="18">
        <v>115065.69999999998</v>
      </c>
      <c r="I84" s="18">
        <v>115065.69999999998</v>
      </c>
    </row>
    <row r="85" spans="1:9" x14ac:dyDescent="0.3">
      <c r="B85" t="s">
        <v>1421</v>
      </c>
      <c r="C85" s="18">
        <v>3063</v>
      </c>
      <c r="D85" s="18"/>
      <c r="E85" s="18"/>
      <c r="F85" s="18"/>
      <c r="G85" s="18"/>
      <c r="H85" s="18"/>
      <c r="I85" s="18">
        <v>3063</v>
      </c>
    </row>
    <row r="86" spans="1:9" x14ac:dyDescent="0.3">
      <c r="B86" t="s">
        <v>1621</v>
      </c>
      <c r="C86" s="18">
        <v>5351</v>
      </c>
      <c r="D86" s="18"/>
      <c r="E86" s="18"/>
      <c r="F86" s="18"/>
      <c r="G86" s="18"/>
      <c r="H86" s="18"/>
      <c r="I86" s="18">
        <v>5351</v>
      </c>
    </row>
    <row r="87" spans="1:9" x14ac:dyDescent="0.3">
      <c r="B87" t="s">
        <v>1703</v>
      </c>
      <c r="C87" s="18">
        <v>48</v>
      </c>
      <c r="D87" s="18"/>
      <c r="E87" s="18"/>
      <c r="F87" s="18"/>
      <c r="G87" s="18"/>
      <c r="H87" s="18"/>
      <c r="I87" s="18">
        <v>48</v>
      </c>
    </row>
    <row r="88" spans="1:9" x14ac:dyDescent="0.3">
      <c r="B88" t="s">
        <v>1705</v>
      </c>
      <c r="C88" s="18">
        <v>2363</v>
      </c>
      <c r="D88" s="18"/>
      <c r="E88" s="18"/>
      <c r="F88" s="18"/>
      <c r="G88" s="18"/>
      <c r="H88" s="18"/>
      <c r="I88" s="18">
        <v>2363</v>
      </c>
    </row>
    <row r="89" spans="1:9" x14ac:dyDescent="0.3">
      <c r="B89" t="s">
        <v>2014</v>
      </c>
      <c r="C89" s="18">
        <v>168528.7</v>
      </c>
      <c r="D89" s="18"/>
      <c r="E89" s="18"/>
      <c r="F89" s="18"/>
      <c r="G89" s="18"/>
      <c r="H89" s="18"/>
      <c r="I89" s="18">
        <v>168528.7</v>
      </c>
    </row>
    <row r="90" spans="1:9" x14ac:dyDescent="0.3">
      <c r="B90" t="s">
        <v>2024</v>
      </c>
      <c r="C90" s="18">
        <v>4709.2</v>
      </c>
      <c r="D90" s="18"/>
      <c r="E90" s="18"/>
      <c r="F90" s="18"/>
      <c r="G90" s="18"/>
      <c r="H90" s="18"/>
      <c r="I90" s="18">
        <v>4709.2</v>
      </c>
    </row>
    <row r="91" spans="1:9" x14ac:dyDescent="0.3">
      <c r="B91" t="s">
        <v>2207</v>
      </c>
      <c r="C91" s="18">
        <v>9653.7999999999993</v>
      </c>
      <c r="D91" s="18"/>
      <c r="E91" s="18"/>
      <c r="F91" s="18"/>
      <c r="G91" s="18"/>
      <c r="H91" s="18"/>
      <c r="I91" s="18">
        <v>9653.7999999999993</v>
      </c>
    </row>
    <row r="92" spans="1:9" x14ac:dyDescent="0.3">
      <c r="B92" t="s">
        <v>2213</v>
      </c>
      <c r="C92" s="18">
        <v>2131</v>
      </c>
      <c r="D92" s="18"/>
      <c r="E92" s="18"/>
      <c r="F92" s="18"/>
      <c r="G92" s="18"/>
      <c r="H92" s="18"/>
      <c r="I92" s="18">
        <v>2131</v>
      </c>
    </row>
    <row r="93" spans="1:9" x14ac:dyDescent="0.3">
      <c r="A93" s="36" t="s">
        <v>1234</v>
      </c>
      <c r="B93" s="36"/>
      <c r="C93" s="37">
        <v>1393726.9</v>
      </c>
      <c r="D93" s="37">
        <v>10972</v>
      </c>
      <c r="E93" s="37">
        <v>36638.200000000012</v>
      </c>
      <c r="F93" s="37">
        <v>185257.4</v>
      </c>
      <c r="G93" s="37">
        <v>0</v>
      </c>
      <c r="H93" s="37">
        <v>115065.69999999998</v>
      </c>
      <c r="I93" s="37">
        <v>1741660.1999999997</v>
      </c>
    </row>
    <row r="94" spans="1:9" x14ac:dyDescent="0.3">
      <c r="A94" t="s">
        <v>131</v>
      </c>
      <c r="C94" s="18">
        <v>2883879.7500000009</v>
      </c>
      <c r="D94" s="18">
        <v>124690.2</v>
      </c>
      <c r="E94" s="18">
        <v>106276.30000000002</v>
      </c>
      <c r="F94" s="18">
        <v>848360.00000000012</v>
      </c>
      <c r="G94" s="18">
        <v>4109.2</v>
      </c>
      <c r="H94" s="18">
        <v>115065.69999999998</v>
      </c>
      <c r="I94" s="18">
        <v>4082381.1500000013</v>
      </c>
    </row>
  </sheetData>
  <pageMargins left="0.39370078740157483" right="0" top="0.39370078740157483" bottom="0" header="0.31496062992125984" footer="0.31496062992125984"/>
  <pageSetup scale="82" orientation="portrait" r:id="rId3"/>
  <headerFooter>
    <oddFooter>&amp;R&amp;F&amp;A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rgb="FF00B050"/>
  </sheetPr>
  <dimension ref="A3:G411"/>
  <sheetViews>
    <sheetView topLeftCell="A259" workbookViewId="0">
      <selection activeCell="E277" sqref="E277"/>
    </sheetView>
  </sheetViews>
  <sheetFormatPr defaultRowHeight="14.4" x14ac:dyDescent="0.3"/>
  <cols>
    <col min="1" max="1" width="12.109375" bestFit="1" customWidth="1"/>
    <col min="2" max="2" width="13.88671875" bestFit="1" customWidth="1"/>
    <col min="3" max="3" width="19.109375" bestFit="1" customWidth="1"/>
    <col min="4" max="4" width="33.88671875" bestFit="1" customWidth="1"/>
    <col min="5" max="5" width="10.33203125" style="16" customWidth="1"/>
    <col min="7" max="7" width="9.109375" bestFit="1" customWidth="1"/>
  </cols>
  <sheetData>
    <row r="3" spans="1:5" x14ac:dyDescent="0.3">
      <c r="A3" s="65" t="s">
        <v>163</v>
      </c>
      <c r="B3" s="62" t="s">
        <v>308</v>
      </c>
      <c r="C3" s="63" t="s">
        <v>2</v>
      </c>
      <c r="D3" s="63" t="s">
        <v>1</v>
      </c>
      <c r="E3" s="66" t="s">
        <v>307</v>
      </c>
    </row>
    <row r="4" spans="1:5" x14ac:dyDescent="0.3">
      <c r="A4">
        <v>12</v>
      </c>
      <c r="B4" s="57">
        <v>43822</v>
      </c>
      <c r="C4" t="s">
        <v>312</v>
      </c>
      <c r="D4" t="s">
        <v>7</v>
      </c>
      <c r="E4" s="16">
        <v>80</v>
      </c>
    </row>
    <row r="5" spans="1:5" x14ac:dyDescent="0.3">
      <c r="A5" s="17" t="s">
        <v>223</v>
      </c>
      <c r="B5" s="17"/>
      <c r="C5" s="17"/>
      <c r="D5" s="17"/>
      <c r="E5" s="22">
        <f>SUM(E4)</f>
        <v>80</v>
      </c>
    </row>
    <row r="6" spans="1:5" x14ac:dyDescent="0.3">
      <c r="A6">
        <v>6</v>
      </c>
      <c r="B6" s="57">
        <v>43984</v>
      </c>
      <c r="C6" t="s">
        <v>10</v>
      </c>
      <c r="D6" t="s">
        <v>7</v>
      </c>
      <c r="E6" s="16">
        <v>80</v>
      </c>
    </row>
    <row r="7" spans="1:5" x14ac:dyDescent="0.3">
      <c r="B7" s="57">
        <v>43993</v>
      </c>
      <c r="C7" t="s">
        <v>11</v>
      </c>
      <c r="D7" t="s">
        <v>14</v>
      </c>
      <c r="E7" s="16">
        <v>80</v>
      </c>
    </row>
    <row r="8" spans="1:5" x14ac:dyDescent="0.3">
      <c r="B8" s="57">
        <v>43999</v>
      </c>
      <c r="C8" t="s">
        <v>12</v>
      </c>
      <c r="D8" t="s">
        <v>7</v>
      </c>
      <c r="E8" s="16">
        <v>80</v>
      </c>
    </row>
    <row r="9" spans="1:5" x14ac:dyDescent="0.3">
      <c r="B9" s="57">
        <v>44004</v>
      </c>
      <c r="C9" t="s">
        <v>18</v>
      </c>
      <c r="D9" t="s">
        <v>20</v>
      </c>
      <c r="E9" s="16">
        <v>80</v>
      </c>
    </row>
    <row r="10" spans="1:5" x14ac:dyDescent="0.3">
      <c r="A10" s="17" t="s">
        <v>141</v>
      </c>
      <c r="B10" s="17"/>
      <c r="C10" s="17"/>
      <c r="D10" s="17"/>
      <c r="E10" s="23">
        <f>SUM(E6:E9)</f>
        <v>320</v>
      </c>
    </row>
    <row r="11" spans="1:5" x14ac:dyDescent="0.3">
      <c r="A11" s="58" t="s">
        <v>310</v>
      </c>
      <c r="B11" s="58"/>
      <c r="C11" s="58"/>
      <c r="D11" s="58"/>
      <c r="E11" s="59">
        <f>SUM(E10,E5)</f>
        <v>400</v>
      </c>
    </row>
    <row r="12" spans="1:5" x14ac:dyDescent="0.3">
      <c r="E12" s="45"/>
    </row>
    <row r="13" spans="1:5" x14ac:dyDescent="0.3">
      <c r="E13" s="45"/>
    </row>
    <row r="14" spans="1:5" x14ac:dyDescent="0.3">
      <c r="A14" s="61" t="s">
        <v>163</v>
      </c>
      <c r="B14" s="62" t="s">
        <v>308</v>
      </c>
      <c r="C14" s="63" t="s">
        <v>2</v>
      </c>
      <c r="D14" s="63" t="s">
        <v>1</v>
      </c>
      <c r="E14" s="64" t="s">
        <v>307</v>
      </c>
    </row>
    <row r="15" spans="1:5" x14ac:dyDescent="0.3">
      <c r="A15">
        <v>7</v>
      </c>
      <c r="B15" s="57">
        <v>44013</v>
      </c>
      <c r="C15" t="s">
        <v>21</v>
      </c>
      <c r="D15" t="s">
        <v>23</v>
      </c>
      <c r="E15" s="16">
        <v>80</v>
      </c>
    </row>
    <row r="16" spans="1:5" x14ac:dyDescent="0.3">
      <c r="B16" s="57">
        <v>44026</v>
      </c>
      <c r="C16" t="s">
        <v>26</v>
      </c>
      <c r="D16" t="s">
        <v>20</v>
      </c>
      <c r="E16" s="16">
        <v>80</v>
      </c>
    </row>
    <row r="17" spans="1:5" x14ac:dyDescent="0.3">
      <c r="B17" s="57">
        <v>44027</v>
      </c>
      <c r="C17" t="s">
        <v>27</v>
      </c>
      <c r="D17" t="s">
        <v>7</v>
      </c>
      <c r="E17" s="16">
        <v>80</v>
      </c>
    </row>
    <row r="18" spans="1:5" x14ac:dyDescent="0.3">
      <c r="A18" s="17" t="s">
        <v>142</v>
      </c>
      <c r="B18" s="17"/>
      <c r="C18" s="17"/>
      <c r="D18" s="17"/>
      <c r="E18" s="23">
        <f>SUM(E15:E17)</f>
        <v>240</v>
      </c>
    </row>
    <row r="19" spans="1:5" x14ac:dyDescent="0.3">
      <c r="A19">
        <v>8</v>
      </c>
      <c r="B19" s="57">
        <v>44044</v>
      </c>
      <c r="C19" t="s">
        <v>30</v>
      </c>
      <c r="D19" t="s">
        <v>23</v>
      </c>
      <c r="E19" s="16">
        <v>80</v>
      </c>
    </row>
    <row r="20" spans="1:5" x14ac:dyDescent="0.3">
      <c r="B20" s="57">
        <v>44051</v>
      </c>
      <c r="C20" t="s">
        <v>31</v>
      </c>
      <c r="D20" t="s">
        <v>23</v>
      </c>
      <c r="E20" s="16">
        <v>80</v>
      </c>
    </row>
    <row r="21" spans="1:5" x14ac:dyDescent="0.3">
      <c r="C21" t="s">
        <v>32</v>
      </c>
      <c r="D21" t="s">
        <v>23</v>
      </c>
      <c r="E21" s="16">
        <v>80</v>
      </c>
    </row>
    <row r="22" spans="1:5" x14ac:dyDescent="0.3">
      <c r="B22" s="57">
        <v>44053</v>
      </c>
      <c r="C22" t="s">
        <v>33</v>
      </c>
      <c r="D22" t="s">
        <v>35</v>
      </c>
      <c r="E22" s="16">
        <v>80</v>
      </c>
    </row>
    <row r="23" spans="1:5" x14ac:dyDescent="0.3">
      <c r="C23" t="s">
        <v>36</v>
      </c>
      <c r="D23" t="s">
        <v>20</v>
      </c>
      <c r="E23" s="16">
        <v>80</v>
      </c>
    </row>
    <row r="24" spans="1:5" x14ac:dyDescent="0.3">
      <c r="B24" s="57">
        <v>44055</v>
      </c>
      <c r="C24" t="s">
        <v>37</v>
      </c>
      <c r="D24" t="s">
        <v>7</v>
      </c>
      <c r="E24" s="16">
        <v>80</v>
      </c>
    </row>
    <row r="25" spans="1:5" x14ac:dyDescent="0.3">
      <c r="B25" s="57">
        <v>44056</v>
      </c>
      <c r="C25" t="s">
        <v>38</v>
      </c>
      <c r="D25" t="s">
        <v>7</v>
      </c>
      <c r="E25" s="16">
        <v>80</v>
      </c>
    </row>
    <row r="26" spans="1:5" x14ac:dyDescent="0.3">
      <c r="B26" s="57">
        <v>44062</v>
      </c>
      <c r="C26" t="s">
        <v>40</v>
      </c>
      <c r="D26" t="s">
        <v>20</v>
      </c>
      <c r="E26" s="16">
        <v>80</v>
      </c>
    </row>
    <row r="27" spans="1:5" x14ac:dyDescent="0.3">
      <c r="C27" t="s">
        <v>41</v>
      </c>
      <c r="D27" t="s">
        <v>43</v>
      </c>
      <c r="E27" s="16">
        <v>80</v>
      </c>
    </row>
    <row r="28" spans="1:5" x14ac:dyDescent="0.3">
      <c r="B28" s="57">
        <v>44065</v>
      </c>
      <c r="C28" t="s">
        <v>49</v>
      </c>
      <c r="D28" t="s">
        <v>47</v>
      </c>
      <c r="E28" s="16">
        <v>80</v>
      </c>
    </row>
    <row r="29" spans="1:5" x14ac:dyDescent="0.3">
      <c r="C29" t="s">
        <v>50</v>
      </c>
      <c r="D29" t="s">
        <v>52</v>
      </c>
      <c r="E29" s="16">
        <v>80</v>
      </c>
    </row>
    <row r="30" spans="1:5" x14ac:dyDescent="0.3">
      <c r="B30" s="57">
        <v>44067</v>
      </c>
      <c r="C30" t="s">
        <v>53</v>
      </c>
      <c r="D30" t="s">
        <v>20</v>
      </c>
      <c r="E30" s="16">
        <v>80</v>
      </c>
    </row>
    <row r="31" spans="1:5" x14ac:dyDescent="0.3">
      <c r="B31" s="57">
        <v>44068</v>
      </c>
      <c r="C31" t="s">
        <v>55</v>
      </c>
      <c r="D31" t="s">
        <v>58</v>
      </c>
      <c r="E31" s="16">
        <v>80</v>
      </c>
    </row>
    <row r="32" spans="1:5" x14ac:dyDescent="0.3">
      <c r="C32" t="s">
        <v>56</v>
      </c>
      <c r="D32" t="s">
        <v>7</v>
      </c>
      <c r="E32" s="16">
        <v>80</v>
      </c>
    </row>
    <row r="33" spans="1:5" x14ac:dyDescent="0.3">
      <c r="B33" s="57">
        <v>44070</v>
      </c>
      <c r="C33" t="s">
        <v>60</v>
      </c>
      <c r="D33" t="s">
        <v>62</v>
      </c>
      <c r="E33" s="16">
        <v>80</v>
      </c>
    </row>
    <row r="34" spans="1:5" x14ac:dyDescent="0.3">
      <c r="A34" s="17" t="s">
        <v>143</v>
      </c>
      <c r="B34" s="17"/>
      <c r="C34" s="17"/>
      <c r="D34" s="17"/>
      <c r="E34" s="23">
        <f>SUM(E19:E33)</f>
        <v>1200</v>
      </c>
    </row>
    <row r="35" spans="1:5" x14ac:dyDescent="0.3">
      <c r="A35">
        <v>9</v>
      </c>
      <c r="B35" s="57">
        <v>44075</v>
      </c>
      <c r="C35" t="s">
        <v>66</v>
      </c>
      <c r="D35" t="s">
        <v>52</v>
      </c>
      <c r="E35" s="16">
        <v>80</v>
      </c>
    </row>
    <row r="36" spans="1:5" x14ac:dyDescent="0.3">
      <c r="B36" s="57">
        <v>44076</v>
      </c>
      <c r="C36" t="s">
        <v>68</v>
      </c>
      <c r="D36" t="s">
        <v>7</v>
      </c>
      <c r="E36" s="16">
        <v>80</v>
      </c>
    </row>
    <row r="37" spans="1:5" x14ac:dyDescent="0.3">
      <c r="B37" s="57">
        <v>44079</v>
      </c>
      <c r="C37" t="s">
        <v>91</v>
      </c>
      <c r="D37" t="s">
        <v>7</v>
      </c>
      <c r="E37" s="16">
        <v>80</v>
      </c>
    </row>
    <row r="38" spans="1:5" x14ac:dyDescent="0.3">
      <c r="B38" s="57">
        <v>44091</v>
      </c>
      <c r="C38" t="s">
        <v>99</v>
      </c>
      <c r="D38" t="s">
        <v>23</v>
      </c>
      <c r="E38" s="16">
        <v>80</v>
      </c>
    </row>
    <row r="39" spans="1:5" x14ac:dyDescent="0.3">
      <c r="C39" t="s">
        <v>100</v>
      </c>
      <c r="D39" t="s">
        <v>7</v>
      </c>
      <c r="E39" s="16">
        <v>80</v>
      </c>
    </row>
    <row r="40" spans="1:5" x14ac:dyDescent="0.3">
      <c r="B40" s="57">
        <v>44096</v>
      </c>
      <c r="C40" t="s">
        <v>101</v>
      </c>
      <c r="D40" t="s">
        <v>23</v>
      </c>
      <c r="E40" s="16">
        <v>80</v>
      </c>
    </row>
    <row r="41" spans="1:5" x14ac:dyDescent="0.3">
      <c r="B41" s="57">
        <v>44097</v>
      </c>
      <c r="C41" t="s">
        <v>102</v>
      </c>
      <c r="D41" t="s">
        <v>62</v>
      </c>
      <c r="E41" s="16">
        <v>80</v>
      </c>
    </row>
    <row r="42" spans="1:5" x14ac:dyDescent="0.3">
      <c r="C42" t="s">
        <v>103</v>
      </c>
      <c r="D42" t="s">
        <v>7</v>
      </c>
      <c r="E42" s="16">
        <v>80</v>
      </c>
    </row>
    <row r="43" spans="1:5" x14ac:dyDescent="0.3">
      <c r="B43" s="57">
        <v>44100</v>
      </c>
      <c r="C43" t="s">
        <v>105</v>
      </c>
      <c r="D43" t="s">
        <v>7</v>
      </c>
      <c r="E43" s="16">
        <v>80</v>
      </c>
    </row>
    <row r="44" spans="1:5" x14ac:dyDescent="0.3">
      <c r="A44" s="17" t="s">
        <v>144</v>
      </c>
      <c r="B44" s="17"/>
      <c r="C44" s="17"/>
      <c r="D44" s="17"/>
      <c r="E44" s="23">
        <f>SUM(E35:E43)</f>
        <v>720</v>
      </c>
    </row>
    <row r="45" spans="1:5" x14ac:dyDescent="0.3">
      <c r="A45" s="58" t="s">
        <v>310</v>
      </c>
      <c r="B45" s="58"/>
      <c r="C45" s="58"/>
      <c r="D45" s="58"/>
      <c r="E45" s="59">
        <f>SUM(E44,E34,E18)</f>
        <v>2160</v>
      </c>
    </row>
    <row r="46" spans="1:5" x14ac:dyDescent="0.3">
      <c r="E46" s="45"/>
    </row>
    <row r="47" spans="1:5" x14ac:dyDescent="0.3">
      <c r="E47" s="45"/>
    </row>
    <row r="48" spans="1:5" x14ac:dyDescent="0.3">
      <c r="A48" s="65" t="s">
        <v>163</v>
      </c>
      <c r="B48" s="62" t="s">
        <v>308</v>
      </c>
      <c r="C48" s="63" t="s">
        <v>2</v>
      </c>
      <c r="D48" s="63" t="s">
        <v>1</v>
      </c>
      <c r="E48" s="66" t="s">
        <v>307</v>
      </c>
    </row>
    <row r="49" spans="1:5" x14ac:dyDescent="0.3">
      <c r="A49">
        <v>10</v>
      </c>
      <c r="B49" s="57">
        <v>44109</v>
      </c>
      <c r="C49" t="s">
        <v>106</v>
      </c>
      <c r="D49" t="s">
        <v>35</v>
      </c>
      <c r="E49" s="45">
        <v>80</v>
      </c>
    </row>
    <row r="50" spans="1:5" x14ac:dyDescent="0.3">
      <c r="C50" t="s">
        <v>109</v>
      </c>
      <c r="D50" t="s">
        <v>20</v>
      </c>
      <c r="E50" s="16">
        <v>80</v>
      </c>
    </row>
    <row r="51" spans="1:5" x14ac:dyDescent="0.3">
      <c r="B51" s="57">
        <v>44112</v>
      </c>
      <c r="C51" t="s">
        <v>110</v>
      </c>
      <c r="D51" t="s">
        <v>23</v>
      </c>
      <c r="E51" s="16">
        <v>80</v>
      </c>
    </row>
    <row r="52" spans="1:5" x14ac:dyDescent="0.3">
      <c r="B52" s="57">
        <v>44116</v>
      </c>
      <c r="C52" t="s">
        <v>112</v>
      </c>
      <c r="D52" t="s">
        <v>23</v>
      </c>
      <c r="E52" s="16">
        <v>80</v>
      </c>
    </row>
    <row r="53" spans="1:5" x14ac:dyDescent="0.3">
      <c r="C53" t="s">
        <v>116</v>
      </c>
      <c r="D53" t="s">
        <v>7</v>
      </c>
      <c r="E53" s="16">
        <v>80</v>
      </c>
    </row>
    <row r="54" spans="1:5" x14ac:dyDescent="0.3">
      <c r="B54" s="57">
        <v>44123</v>
      </c>
      <c r="C54" t="s">
        <v>117</v>
      </c>
      <c r="D54" t="s">
        <v>47</v>
      </c>
      <c r="E54" s="16">
        <v>80</v>
      </c>
    </row>
    <row r="55" spans="1:5" x14ac:dyDescent="0.3">
      <c r="B55" s="57">
        <v>44121</v>
      </c>
      <c r="C55" t="s">
        <v>118</v>
      </c>
      <c r="D55" t="s">
        <v>20</v>
      </c>
      <c r="E55" s="16">
        <v>80</v>
      </c>
    </row>
    <row r="56" spans="1:5" x14ac:dyDescent="0.3">
      <c r="C56" t="s">
        <v>120</v>
      </c>
      <c r="D56" t="s">
        <v>20</v>
      </c>
      <c r="E56" s="16">
        <v>80</v>
      </c>
    </row>
    <row r="57" spans="1:5" x14ac:dyDescent="0.3">
      <c r="C57" t="s">
        <v>122</v>
      </c>
      <c r="D57" t="s">
        <v>7</v>
      </c>
      <c r="E57" s="16">
        <v>80</v>
      </c>
    </row>
    <row r="58" spans="1:5" x14ac:dyDescent="0.3">
      <c r="C58" t="s">
        <v>123</v>
      </c>
      <c r="D58" t="s">
        <v>35</v>
      </c>
      <c r="E58" s="16">
        <v>80</v>
      </c>
    </row>
    <row r="59" spans="1:5" x14ac:dyDescent="0.3">
      <c r="B59" s="57">
        <v>44125</v>
      </c>
      <c r="C59" t="s">
        <v>126</v>
      </c>
      <c r="D59" t="s">
        <v>35</v>
      </c>
      <c r="E59" s="16">
        <v>80</v>
      </c>
    </row>
    <row r="60" spans="1:5" x14ac:dyDescent="0.3">
      <c r="C60" t="s">
        <v>127</v>
      </c>
      <c r="D60" t="s">
        <v>62</v>
      </c>
      <c r="E60" s="16">
        <v>80</v>
      </c>
    </row>
    <row r="61" spans="1:5" x14ac:dyDescent="0.3">
      <c r="B61" s="57">
        <v>44130</v>
      </c>
      <c r="C61" t="s">
        <v>130</v>
      </c>
      <c r="D61" t="s">
        <v>20</v>
      </c>
      <c r="E61" s="16">
        <v>80</v>
      </c>
    </row>
    <row r="62" spans="1:5" x14ac:dyDescent="0.3">
      <c r="B62" s="57">
        <v>44135</v>
      </c>
      <c r="C62" t="s">
        <v>148</v>
      </c>
      <c r="D62" t="s">
        <v>7</v>
      </c>
      <c r="E62" s="16">
        <v>80</v>
      </c>
    </row>
    <row r="63" spans="1:5" x14ac:dyDescent="0.3">
      <c r="C63" t="s">
        <v>149</v>
      </c>
      <c r="D63" t="s">
        <v>35</v>
      </c>
      <c r="E63" s="16">
        <v>80</v>
      </c>
    </row>
    <row r="64" spans="1:5" x14ac:dyDescent="0.3">
      <c r="A64" s="17" t="s">
        <v>145</v>
      </c>
      <c r="B64" s="17"/>
      <c r="C64" s="17"/>
      <c r="D64" s="17"/>
      <c r="E64" s="23">
        <f>SUM(E49:E63)</f>
        <v>1200</v>
      </c>
    </row>
    <row r="65" spans="1:5" x14ac:dyDescent="0.3">
      <c r="A65">
        <v>11</v>
      </c>
      <c r="B65" s="57">
        <v>44144</v>
      </c>
      <c r="C65" t="s">
        <v>152</v>
      </c>
      <c r="D65" t="s">
        <v>43</v>
      </c>
      <c r="E65" s="16">
        <v>80</v>
      </c>
    </row>
    <row r="66" spans="1:5" x14ac:dyDescent="0.3">
      <c r="B66" s="57">
        <v>44145</v>
      </c>
      <c r="C66" t="s">
        <v>154</v>
      </c>
      <c r="D66" t="s">
        <v>7</v>
      </c>
      <c r="E66" s="16">
        <v>80</v>
      </c>
    </row>
    <row r="67" spans="1:5" x14ac:dyDescent="0.3">
      <c r="C67" t="s">
        <v>155</v>
      </c>
      <c r="D67" t="s">
        <v>35</v>
      </c>
      <c r="E67" s="16">
        <v>80</v>
      </c>
    </row>
    <row r="68" spans="1:5" ht="15" customHeight="1" x14ac:dyDescent="0.3">
      <c r="B68" s="57">
        <v>44146</v>
      </c>
      <c r="C68" t="s">
        <v>156</v>
      </c>
      <c r="D68" t="s">
        <v>58</v>
      </c>
      <c r="E68" s="16">
        <v>80</v>
      </c>
    </row>
    <row r="69" spans="1:5" ht="15" customHeight="1" x14ac:dyDescent="0.3">
      <c r="B69" s="57">
        <v>44153</v>
      </c>
      <c r="C69" t="s">
        <v>166</v>
      </c>
      <c r="D69" t="s">
        <v>7</v>
      </c>
      <c r="E69" s="16">
        <v>80</v>
      </c>
    </row>
    <row r="70" spans="1:5" ht="15" customHeight="1" x14ac:dyDescent="0.3">
      <c r="B70" s="57">
        <v>44159</v>
      </c>
      <c r="C70" t="s">
        <v>167</v>
      </c>
      <c r="D70" t="s">
        <v>7</v>
      </c>
      <c r="E70" s="16">
        <v>80</v>
      </c>
    </row>
    <row r="71" spans="1:5" ht="15" customHeight="1" x14ac:dyDescent="0.3">
      <c r="B71" s="57">
        <v>44155</v>
      </c>
      <c r="C71" t="s">
        <v>168</v>
      </c>
      <c r="D71" t="s">
        <v>62</v>
      </c>
      <c r="E71" s="16">
        <v>80</v>
      </c>
    </row>
    <row r="72" spans="1:5" ht="15" customHeight="1" x14ac:dyDescent="0.3">
      <c r="B72" s="57">
        <v>44156</v>
      </c>
      <c r="C72" t="s">
        <v>171</v>
      </c>
      <c r="D72" t="s">
        <v>52</v>
      </c>
      <c r="E72" s="16">
        <v>80</v>
      </c>
    </row>
    <row r="73" spans="1:5" ht="15" customHeight="1" x14ac:dyDescent="0.3">
      <c r="B73" s="57">
        <v>44158</v>
      </c>
      <c r="C73" t="s">
        <v>173</v>
      </c>
      <c r="D73" t="s">
        <v>35</v>
      </c>
      <c r="E73" s="16">
        <v>80</v>
      </c>
    </row>
    <row r="74" spans="1:5" ht="15" customHeight="1" x14ac:dyDescent="0.3">
      <c r="B74" s="57">
        <v>44159</v>
      </c>
      <c r="C74" t="s">
        <v>176</v>
      </c>
      <c r="D74" t="s">
        <v>174</v>
      </c>
      <c r="E74" s="16">
        <v>80</v>
      </c>
    </row>
    <row r="75" spans="1:5" ht="15" customHeight="1" x14ac:dyDescent="0.3">
      <c r="C75" t="s">
        <v>180</v>
      </c>
      <c r="D75" t="s">
        <v>20</v>
      </c>
      <c r="E75" s="16">
        <v>80</v>
      </c>
    </row>
    <row r="76" spans="1:5" ht="15" customHeight="1" x14ac:dyDescent="0.3">
      <c r="B76" s="57">
        <v>44162</v>
      </c>
      <c r="C76" t="s">
        <v>182</v>
      </c>
      <c r="D76" t="s">
        <v>7</v>
      </c>
      <c r="E76" s="16">
        <v>80</v>
      </c>
    </row>
    <row r="77" spans="1:5" ht="15" customHeight="1" x14ac:dyDescent="0.3">
      <c r="B77" s="57">
        <v>44163</v>
      </c>
      <c r="C77" t="s">
        <v>183</v>
      </c>
      <c r="D77" t="s">
        <v>58</v>
      </c>
      <c r="E77" s="16">
        <v>80</v>
      </c>
    </row>
    <row r="78" spans="1:5" ht="15" customHeight="1" x14ac:dyDescent="0.3">
      <c r="B78" s="57">
        <v>44165</v>
      </c>
      <c r="C78" t="s">
        <v>184</v>
      </c>
      <c r="D78" t="s">
        <v>52</v>
      </c>
      <c r="E78" s="16">
        <v>80</v>
      </c>
    </row>
    <row r="79" spans="1:5" ht="15" customHeight="1" x14ac:dyDescent="0.3">
      <c r="C79" t="s">
        <v>335</v>
      </c>
      <c r="D79" t="s">
        <v>62</v>
      </c>
      <c r="E79" s="16">
        <v>80</v>
      </c>
    </row>
    <row r="80" spans="1:5" ht="15" customHeight="1" x14ac:dyDescent="0.3">
      <c r="A80" s="17" t="s">
        <v>161</v>
      </c>
      <c r="B80" s="17"/>
      <c r="C80" s="17"/>
      <c r="D80" s="17"/>
      <c r="E80" s="23">
        <f>SUM(E65:E79)</f>
        <v>1200</v>
      </c>
    </row>
    <row r="81" spans="1:5" ht="15" customHeight="1" x14ac:dyDescent="0.3">
      <c r="A81">
        <v>12</v>
      </c>
      <c r="B81" s="57">
        <v>44170</v>
      </c>
      <c r="C81" t="s">
        <v>210</v>
      </c>
      <c r="D81" t="s">
        <v>224</v>
      </c>
      <c r="E81" s="16">
        <v>80</v>
      </c>
    </row>
    <row r="82" spans="1:5" ht="15" customHeight="1" x14ac:dyDescent="0.3">
      <c r="B82" s="57">
        <v>44180</v>
      </c>
      <c r="C82" t="s">
        <v>211</v>
      </c>
      <c r="D82" t="s">
        <v>7</v>
      </c>
      <c r="E82" s="16">
        <v>80</v>
      </c>
    </row>
    <row r="83" spans="1:5" ht="15" customHeight="1" x14ac:dyDescent="0.3">
      <c r="B83" s="57">
        <v>44191</v>
      </c>
      <c r="C83" t="s">
        <v>212</v>
      </c>
      <c r="D83" t="s">
        <v>23</v>
      </c>
      <c r="E83" s="16">
        <v>80</v>
      </c>
    </row>
    <row r="84" spans="1:5" ht="15" customHeight="1" x14ac:dyDescent="0.3">
      <c r="B84" s="57">
        <v>44195</v>
      </c>
      <c r="C84" t="s">
        <v>217</v>
      </c>
      <c r="D84" t="s">
        <v>20</v>
      </c>
      <c r="E84" s="16">
        <v>80</v>
      </c>
    </row>
    <row r="85" spans="1:5" ht="15" customHeight="1" x14ac:dyDescent="0.3">
      <c r="B85" s="57">
        <v>44196</v>
      </c>
      <c r="C85" t="s">
        <v>218</v>
      </c>
      <c r="D85" t="s">
        <v>62</v>
      </c>
      <c r="E85" s="16">
        <v>80</v>
      </c>
    </row>
    <row r="86" spans="1:5" x14ac:dyDescent="0.3">
      <c r="A86" s="17" t="s">
        <v>223</v>
      </c>
      <c r="B86" s="17"/>
      <c r="C86" s="17"/>
      <c r="D86" s="17"/>
      <c r="E86" s="23">
        <f>SUM(E81:E85)</f>
        <v>400</v>
      </c>
    </row>
    <row r="87" spans="1:5" x14ac:dyDescent="0.3">
      <c r="A87" s="58" t="s">
        <v>310</v>
      </c>
      <c r="B87" s="58"/>
      <c r="C87" s="58"/>
      <c r="D87" s="58"/>
      <c r="E87" s="59">
        <f>SUM(E86,E80,E64)</f>
        <v>2800</v>
      </c>
    </row>
    <row r="88" spans="1:5" x14ac:dyDescent="0.3">
      <c r="E88" s="45"/>
    </row>
    <row r="89" spans="1:5" x14ac:dyDescent="0.3">
      <c r="E89" s="45"/>
    </row>
    <row r="90" spans="1:5" x14ac:dyDescent="0.3">
      <c r="A90" s="65" t="s">
        <v>163</v>
      </c>
      <c r="B90" s="62" t="s">
        <v>308</v>
      </c>
      <c r="C90" s="63" t="s">
        <v>2</v>
      </c>
      <c r="D90" s="63" t="s">
        <v>1</v>
      </c>
      <c r="E90" s="66" t="s">
        <v>307</v>
      </c>
    </row>
    <row r="91" spans="1:5" x14ac:dyDescent="0.3">
      <c r="A91">
        <v>1</v>
      </c>
      <c r="B91" s="57">
        <v>44200</v>
      </c>
      <c r="C91" t="s">
        <v>227</v>
      </c>
      <c r="D91" t="s">
        <v>229</v>
      </c>
      <c r="E91" s="45">
        <v>80</v>
      </c>
    </row>
    <row r="92" spans="1:5" x14ac:dyDescent="0.3">
      <c r="B92" s="57">
        <v>44207</v>
      </c>
      <c r="C92" t="s">
        <v>240</v>
      </c>
      <c r="D92" t="s">
        <v>62</v>
      </c>
      <c r="E92" s="45">
        <v>80</v>
      </c>
    </row>
    <row r="93" spans="1:5" x14ac:dyDescent="0.3">
      <c r="B93" s="57">
        <v>44204</v>
      </c>
      <c r="C93" t="s">
        <v>243</v>
      </c>
      <c r="D93" t="s">
        <v>229</v>
      </c>
      <c r="E93" s="45">
        <v>80</v>
      </c>
    </row>
    <row r="94" spans="1:5" x14ac:dyDescent="0.3">
      <c r="B94" s="57">
        <v>44205</v>
      </c>
      <c r="C94" t="s">
        <v>245</v>
      </c>
      <c r="D94" t="s">
        <v>20</v>
      </c>
      <c r="E94" s="45">
        <v>80</v>
      </c>
    </row>
    <row r="95" spans="1:5" x14ac:dyDescent="0.3">
      <c r="B95" s="57">
        <v>44214</v>
      </c>
      <c r="C95" t="s">
        <v>247</v>
      </c>
      <c r="D95" t="s">
        <v>229</v>
      </c>
      <c r="E95" s="45">
        <v>80</v>
      </c>
    </row>
    <row r="96" spans="1:5" x14ac:dyDescent="0.3">
      <c r="B96" s="57">
        <v>44223</v>
      </c>
      <c r="C96" t="s">
        <v>251</v>
      </c>
      <c r="D96" t="s">
        <v>20</v>
      </c>
      <c r="E96" s="45">
        <v>80</v>
      </c>
    </row>
    <row r="97" spans="1:7" x14ac:dyDescent="0.3">
      <c r="B97" s="57">
        <v>44225</v>
      </c>
      <c r="C97" t="s">
        <v>253</v>
      </c>
      <c r="D97" t="s">
        <v>7</v>
      </c>
      <c r="E97" s="45">
        <v>80</v>
      </c>
    </row>
    <row r="98" spans="1:7" x14ac:dyDescent="0.3">
      <c r="C98" t="s">
        <v>254</v>
      </c>
      <c r="D98" t="s">
        <v>62</v>
      </c>
      <c r="E98" s="45">
        <v>80</v>
      </c>
    </row>
    <row r="99" spans="1:7" x14ac:dyDescent="0.3">
      <c r="A99" s="17" t="s">
        <v>255</v>
      </c>
      <c r="B99" s="17"/>
      <c r="C99" s="17"/>
      <c r="D99" s="17"/>
      <c r="E99" s="23">
        <f>SUM(E91:E98)</f>
        <v>640</v>
      </c>
    </row>
    <row r="100" spans="1:7" x14ac:dyDescent="0.3">
      <c r="A100">
        <v>2</v>
      </c>
      <c r="B100" s="57">
        <v>44230</v>
      </c>
      <c r="C100" t="s">
        <v>257</v>
      </c>
      <c r="D100" t="s">
        <v>263</v>
      </c>
      <c r="E100" s="47">
        <v>80</v>
      </c>
    </row>
    <row r="101" spans="1:7" x14ac:dyDescent="0.3">
      <c r="B101" s="57">
        <v>44229</v>
      </c>
      <c r="C101" t="s">
        <v>261</v>
      </c>
      <c r="D101" t="s">
        <v>35</v>
      </c>
      <c r="E101" s="47">
        <v>80</v>
      </c>
    </row>
    <row r="102" spans="1:7" x14ac:dyDescent="0.3">
      <c r="B102" s="57">
        <v>44233</v>
      </c>
      <c r="C102" t="s">
        <v>262</v>
      </c>
      <c r="D102" t="s">
        <v>263</v>
      </c>
      <c r="E102" s="47">
        <v>80</v>
      </c>
    </row>
    <row r="103" spans="1:7" x14ac:dyDescent="0.3">
      <c r="B103" s="57">
        <v>44236</v>
      </c>
      <c r="C103" t="s">
        <v>266</v>
      </c>
      <c r="D103" t="s">
        <v>229</v>
      </c>
      <c r="E103" s="47">
        <v>80</v>
      </c>
    </row>
    <row r="104" spans="1:7" x14ac:dyDescent="0.3">
      <c r="B104" s="57">
        <v>44244</v>
      </c>
      <c r="C104" t="s">
        <v>267</v>
      </c>
      <c r="D104" t="s">
        <v>35</v>
      </c>
      <c r="E104" s="47">
        <v>80</v>
      </c>
    </row>
    <row r="105" spans="1:7" x14ac:dyDescent="0.3">
      <c r="B105" s="57">
        <v>44246</v>
      </c>
      <c r="C105" t="s">
        <v>274</v>
      </c>
      <c r="D105" t="s">
        <v>7</v>
      </c>
      <c r="E105" s="47">
        <v>80</v>
      </c>
    </row>
    <row r="106" spans="1:7" x14ac:dyDescent="0.3">
      <c r="B106" s="57">
        <v>44249</v>
      </c>
      <c r="C106" t="s">
        <v>275</v>
      </c>
      <c r="D106" t="s">
        <v>23</v>
      </c>
      <c r="E106" s="47">
        <v>80</v>
      </c>
    </row>
    <row r="107" spans="1:7" x14ac:dyDescent="0.3">
      <c r="B107" s="57">
        <v>44250</v>
      </c>
      <c r="C107" t="s">
        <v>276</v>
      </c>
      <c r="D107" t="s">
        <v>52</v>
      </c>
      <c r="E107" s="47">
        <v>80</v>
      </c>
    </row>
    <row r="108" spans="1:7" x14ac:dyDescent="0.3">
      <c r="B108" s="57">
        <v>44253</v>
      </c>
      <c r="C108" t="s">
        <v>279</v>
      </c>
      <c r="D108" t="s">
        <v>281</v>
      </c>
      <c r="E108" s="47">
        <v>80</v>
      </c>
    </row>
    <row r="109" spans="1:7" x14ac:dyDescent="0.3">
      <c r="A109" s="17" t="s">
        <v>273</v>
      </c>
      <c r="B109" s="17"/>
      <c r="C109" s="17"/>
      <c r="D109" s="17"/>
      <c r="E109" s="23">
        <f>SUM(E100:E108)</f>
        <v>720</v>
      </c>
    </row>
    <row r="110" spans="1:7" x14ac:dyDescent="0.3">
      <c r="A110" s="58" t="s">
        <v>310</v>
      </c>
      <c r="B110" s="58"/>
      <c r="C110" s="58"/>
      <c r="D110" s="58"/>
      <c r="E110" s="59">
        <f>SUM(E109,E99)</f>
        <v>1360</v>
      </c>
      <c r="G110" s="60">
        <f>SUM(E11+E45+E87+E110)</f>
        <v>6720</v>
      </c>
    </row>
    <row r="111" spans="1:7" x14ac:dyDescent="0.3">
      <c r="E111" s="45"/>
    </row>
    <row r="113" spans="1:5" x14ac:dyDescent="0.3">
      <c r="A113" s="65" t="s">
        <v>163</v>
      </c>
      <c r="B113" s="62" t="s">
        <v>308</v>
      </c>
      <c r="C113" s="63" t="s">
        <v>2</v>
      </c>
      <c r="D113" s="63" t="s">
        <v>1</v>
      </c>
      <c r="E113" s="66" t="s">
        <v>307</v>
      </c>
    </row>
    <row r="114" spans="1:5" x14ac:dyDescent="0.3">
      <c r="A114">
        <v>3</v>
      </c>
      <c r="B114" s="57">
        <v>44263</v>
      </c>
      <c r="C114" t="s">
        <v>286</v>
      </c>
      <c r="D114" t="s">
        <v>23</v>
      </c>
      <c r="E114" s="47">
        <v>80</v>
      </c>
    </row>
    <row r="115" spans="1:5" x14ac:dyDescent="0.3">
      <c r="B115" s="57">
        <v>44265</v>
      </c>
      <c r="C115" t="s">
        <v>316</v>
      </c>
      <c r="D115" t="s">
        <v>290</v>
      </c>
      <c r="E115" s="47">
        <v>80</v>
      </c>
    </row>
    <row r="116" spans="1:5" ht="15" customHeight="1" x14ac:dyDescent="0.3">
      <c r="B116" s="57">
        <v>44266</v>
      </c>
      <c r="C116" t="s">
        <v>317</v>
      </c>
      <c r="D116" t="s">
        <v>58</v>
      </c>
      <c r="E116" s="47">
        <v>80</v>
      </c>
    </row>
    <row r="117" spans="1:5" ht="15" customHeight="1" x14ac:dyDescent="0.3">
      <c r="B117" s="57">
        <v>44278</v>
      </c>
      <c r="C117" t="s">
        <v>319</v>
      </c>
      <c r="D117" t="s">
        <v>23</v>
      </c>
      <c r="E117" s="47">
        <v>80</v>
      </c>
    </row>
    <row r="118" spans="1:5" ht="15" customHeight="1" x14ac:dyDescent="0.3">
      <c r="B118" s="57">
        <v>44279</v>
      </c>
      <c r="C118" t="s">
        <v>320</v>
      </c>
      <c r="D118" t="s">
        <v>58</v>
      </c>
      <c r="E118" s="47">
        <v>80</v>
      </c>
    </row>
    <row r="119" spans="1:5" ht="15" customHeight="1" x14ac:dyDescent="0.3">
      <c r="C119" t="s">
        <v>321</v>
      </c>
      <c r="D119" t="s">
        <v>62</v>
      </c>
      <c r="E119" s="47">
        <v>80</v>
      </c>
    </row>
    <row r="120" spans="1:5" ht="15" customHeight="1" x14ac:dyDescent="0.3">
      <c r="B120" s="57">
        <v>44280</v>
      </c>
      <c r="C120" t="s">
        <v>322</v>
      </c>
      <c r="D120" t="s">
        <v>263</v>
      </c>
      <c r="E120" s="47">
        <v>80</v>
      </c>
    </row>
    <row r="121" spans="1:5" ht="15" customHeight="1" x14ac:dyDescent="0.3">
      <c r="B121" s="57">
        <v>44285</v>
      </c>
      <c r="C121" t="s">
        <v>323</v>
      </c>
      <c r="D121" t="s">
        <v>23</v>
      </c>
      <c r="E121" s="47">
        <v>80</v>
      </c>
    </row>
    <row r="122" spans="1:5" x14ac:dyDescent="0.3">
      <c r="A122" s="17" t="s">
        <v>598</v>
      </c>
      <c r="B122" s="17"/>
      <c r="C122" s="17"/>
      <c r="D122" s="17"/>
      <c r="E122" s="22">
        <f>SUM(E114:E121)</f>
        <v>640</v>
      </c>
    </row>
    <row r="123" spans="1:5" x14ac:dyDescent="0.3">
      <c r="A123">
        <v>4</v>
      </c>
      <c r="B123" s="57">
        <v>44287</v>
      </c>
      <c r="C123" t="s">
        <v>334</v>
      </c>
      <c r="D123" t="s">
        <v>20</v>
      </c>
      <c r="E123" s="47">
        <v>100</v>
      </c>
    </row>
    <row r="124" spans="1:5" x14ac:dyDescent="0.3">
      <c r="B124" s="57">
        <v>44294</v>
      </c>
      <c r="C124" t="s">
        <v>326</v>
      </c>
      <c r="D124" t="s">
        <v>281</v>
      </c>
      <c r="E124" s="47">
        <v>80</v>
      </c>
    </row>
    <row r="125" spans="1:5" x14ac:dyDescent="0.3">
      <c r="C125" t="s">
        <v>327</v>
      </c>
      <c r="D125" t="s">
        <v>62</v>
      </c>
      <c r="E125" s="47">
        <v>80</v>
      </c>
    </row>
    <row r="126" spans="1:5" x14ac:dyDescent="0.3">
      <c r="B126" s="57">
        <v>44295</v>
      </c>
      <c r="C126" t="s">
        <v>328</v>
      </c>
      <c r="D126" t="s">
        <v>7</v>
      </c>
      <c r="E126" s="47">
        <v>80</v>
      </c>
    </row>
    <row r="127" spans="1:5" x14ac:dyDescent="0.3">
      <c r="B127" s="57">
        <v>44313</v>
      </c>
      <c r="C127" t="s">
        <v>329</v>
      </c>
      <c r="D127" t="s">
        <v>58</v>
      </c>
      <c r="E127" s="47">
        <v>80</v>
      </c>
    </row>
    <row r="128" spans="1:5" x14ac:dyDescent="0.3">
      <c r="B128" s="57">
        <v>44315</v>
      </c>
      <c r="C128" t="s">
        <v>332</v>
      </c>
      <c r="D128" t="s">
        <v>62</v>
      </c>
      <c r="E128" s="47">
        <v>80</v>
      </c>
    </row>
    <row r="129" spans="1:5" x14ac:dyDescent="0.3">
      <c r="A129" s="17" t="s">
        <v>597</v>
      </c>
      <c r="B129" s="17"/>
      <c r="C129" s="17"/>
      <c r="D129" s="17"/>
      <c r="E129" s="23">
        <f>SUM(E123:E128)</f>
        <v>500</v>
      </c>
    </row>
    <row r="130" spans="1:5" x14ac:dyDescent="0.3">
      <c r="A130">
        <v>5</v>
      </c>
      <c r="B130" s="57">
        <v>44319</v>
      </c>
      <c r="C130" t="s">
        <v>330</v>
      </c>
      <c r="D130" t="s">
        <v>23</v>
      </c>
      <c r="E130" s="45">
        <v>80</v>
      </c>
    </row>
    <row r="131" spans="1:5" x14ac:dyDescent="0.3">
      <c r="B131" s="57">
        <v>44322</v>
      </c>
      <c r="C131" t="s">
        <v>338</v>
      </c>
      <c r="D131" t="s">
        <v>35</v>
      </c>
      <c r="E131" s="45">
        <v>80</v>
      </c>
    </row>
    <row r="132" spans="1:5" x14ac:dyDescent="0.3">
      <c r="B132" s="57">
        <v>44323</v>
      </c>
      <c r="C132" t="s">
        <v>339</v>
      </c>
      <c r="D132" t="s">
        <v>7</v>
      </c>
      <c r="E132" s="45">
        <v>80</v>
      </c>
    </row>
    <row r="133" spans="1:5" x14ac:dyDescent="0.3">
      <c r="B133" s="57" t="s">
        <v>354</v>
      </c>
      <c r="C133" t="s">
        <v>353</v>
      </c>
      <c r="D133" t="s">
        <v>35</v>
      </c>
      <c r="E133" s="45">
        <v>100</v>
      </c>
    </row>
    <row r="134" spans="1:5" x14ac:dyDescent="0.3">
      <c r="B134" s="57">
        <v>44337</v>
      </c>
      <c r="C134" t="s">
        <v>342</v>
      </c>
      <c r="D134" t="s">
        <v>20</v>
      </c>
      <c r="E134" s="45">
        <v>80</v>
      </c>
    </row>
    <row r="135" spans="1:5" x14ac:dyDescent="0.3">
      <c r="B135" s="57">
        <v>44337</v>
      </c>
      <c r="C135" t="s">
        <v>318</v>
      </c>
      <c r="D135" t="s">
        <v>229</v>
      </c>
      <c r="E135" s="45">
        <v>80</v>
      </c>
    </row>
    <row r="136" spans="1:5" x14ac:dyDescent="0.3">
      <c r="A136" s="17" t="s">
        <v>595</v>
      </c>
      <c r="B136" s="17"/>
      <c r="C136" s="17"/>
      <c r="D136" s="17"/>
      <c r="E136" s="23">
        <f>SUM(E130:E135)</f>
        <v>500</v>
      </c>
    </row>
    <row r="137" spans="1:5" x14ac:dyDescent="0.3">
      <c r="A137">
        <v>6</v>
      </c>
      <c r="B137" s="57">
        <v>44348</v>
      </c>
      <c r="C137" t="s">
        <v>362</v>
      </c>
      <c r="D137" t="s">
        <v>62</v>
      </c>
      <c r="E137" s="45">
        <v>100</v>
      </c>
    </row>
    <row r="138" spans="1:5" x14ac:dyDescent="0.3">
      <c r="B138" s="57">
        <v>44348</v>
      </c>
      <c r="C138" t="s">
        <v>363</v>
      </c>
      <c r="D138" t="s">
        <v>58</v>
      </c>
      <c r="E138" s="45">
        <v>100</v>
      </c>
    </row>
    <row r="139" spans="1:5" x14ac:dyDescent="0.3">
      <c r="A139" s="17" t="s">
        <v>594</v>
      </c>
      <c r="B139" s="17"/>
      <c r="C139" s="17"/>
      <c r="D139" s="17"/>
      <c r="E139" s="23">
        <f>SUM(E137:E138)</f>
        <v>200</v>
      </c>
    </row>
    <row r="140" spans="1:5" x14ac:dyDescent="0.3">
      <c r="A140" s="58" t="s">
        <v>756</v>
      </c>
      <c r="B140" s="58"/>
      <c r="C140" s="58"/>
      <c r="D140" s="58"/>
      <c r="E140" s="59">
        <f>SUM(E139,E136,E129,E122)</f>
        <v>1840</v>
      </c>
    </row>
    <row r="141" spans="1:5" x14ac:dyDescent="0.3">
      <c r="E141" s="45"/>
    </row>
    <row r="142" spans="1:5" x14ac:dyDescent="0.3">
      <c r="A142" s="65" t="s">
        <v>163</v>
      </c>
      <c r="B142" s="62" t="s">
        <v>308</v>
      </c>
      <c r="C142" s="63" t="s">
        <v>2</v>
      </c>
      <c r="D142" s="101" t="s">
        <v>1</v>
      </c>
      <c r="E142" s="66" t="s">
        <v>307</v>
      </c>
    </row>
    <row r="143" spans="1:5" x14ac:dyDescent="0.3">
      <c r="A143">
        <v>9</v>
      </c>
      <c r="B143" s="57">
        <v>44440</v>
      </c>
      <c r="C143" t="s">
        <v>364</v>
      </c>
      <c r="D143" t="s">
        <v>366</v>
      </c>
      <c r="E143" s="45">
        <v>80</v>
      </c>
    </row>
    <row r="144" spans="1:5" x14ac:dyDescent="0.3">
      <c r="B144" s="57">
        <v>44440</v>
      </c>
      <c r="C144" t="s">
        <v>468</v>
      </c>
      <c r="D144" t="s">
        <v>35</v>
      </c>
      <c r="E144" s="45">
        <v>90</v>
      </c>
    </row>
    <row r="145" spans="1:5" x14ac:dyDescent="0.3">
      <c r="B145" s="57">
        <v>44440</v>
      </c>
      <c r="C145" t="s">
        <v>370</v>
      </c>
      <c r="D145" t="s">
        <v>23</v>
      </c>
      <c r="E145" s="45">
        <v>80</v>
      </c>
    </row>
    <row r="146" spans="1:5" x14ac:dyDescent="0.3">
      <c r="B146" s="57">
        <v>44440</v>
      </c>
      <c r="C146" t="s">
        <v>371</v>
      </c>
      <c r="D146" t="s">
        <v>14</v>
      </c>
      <c r="E146" s="45">
        <v>80</v>
      </c>
    </row>
    <row r="147" spans="1:5" x14ac:dyDescent="0.3">
      <c r="B147" s="57">
        <v>44453</v>
      </c>
      <c r="C147" t="s">
        <v>372</v>
      </c>
      <c r="D147" t="s">
        <v>20</v>
      </c>
      <c r="E147" s="45">
        <v>80</v>
      </c>
    </row>
    <row r="148" spans="1:5" x14ac:dyDescent="0.3">
      <c r="B148" s="57">
        <v>44453</v>
      </c>
      <c r="C148" t="s">
        <v>373</v>
      </c>
      <c r="D148" t="s">
        <v>62</v>
      </c>
      <c r="E148" s="45">
        <v>80</v>
      </c>
    </row>
    <row r="149" spans="1:5" x14ac:dyDescent="0.3">
      <c r="B149" s="57">
        <v>44460</v>
      </c>
      <c r="C149" t="s">
        <v>374</v>
      </c>
      <c r="D149" t="s">
        <v>376</v>
      </c>
      <c r="E149" s="45">
        <v>80</v>
      </c>
    </row>
    <row r="150" spans="1:5" x14ac:dyDescent="0.3">
      <c r="B150" s="57">
        <v>44464</v>
      </c>
      <c r="C150" t="s">
        <v>377</v>
      </c>
      <c r="D150" t="s">
        <v>7</v>
      </c>
      <c r="E150" s="45">
        <v>80</v>
      </c>
    </row>
    <row r="151" spans="1:5" ht="13.95" customHeight="1" x14ac:dyDescent="0.3">
      <c r="B151" t="s">
        <v>757</v>
      </c>
      <c r="C151" t="s">
        <v>467</v>
      </c>
      <c r="D151" t="s">
        <v>23</v>
      </c>
      <c r="E151" s="45">
        <v>100</v>
      </c>
    </row>
    <row r="152" spans="1:5" ht="13.95" customHeight="1" x14ac:dyDescent="0.3">
      <c r="B152" s="57">
        <v>44467</v>
      </c>
      <c r="C152" t="s">
        <v>380</v>
      </c>
      <c r="D152" t="s">
        <v>35</v>
      </c>
      <c r="E152" s="45">
        <v>80</v>
      </c>
    </row>
    <row r="153" spans="1:5" ht="13.95" customHeight="1" x14ac:dyDescent="0.3">
      <c r="A153" s="17" t="s">
        <v>596</v>
      </c>
      <c r="B153" s="17"/>
      <c r="C153" s="17"/>
      <c r="D153" s="17"/>
      <c r="E153" s="23">
        <f>SUM(E143:E152)</f>
        <v>830</v>
      </c>
    </row>
    <row r="154" spans="1:5" x14ac:dyDescent="0.3">
      <c r="A154">
        <v>10</v>
      </c>
      <c r="B154" s="57">
        <v>44470</v>
      </c>
      <c r="C154" t="s">
        <v>398</v>
      </c>
      <c r="D154" t="s">
        <v>43</v>
      </c>
      <c r="E154" s="45">
        <v>80</v>
      </c>
    </row>
    <row r="155" spans="1:5" x14ac:dyDescent="0.3">
      <c r="B155" s="57">
        <v>44471</v>
      </c>
      <c r="C155" t="s">
        <v>586</v>
      </c>
      <c r="D155" t="s">
        <v>401</v>
      </c>
      <c r="E155" s="45">
        <v>90</v>
      </c>
    </row>
    <row r="156" spans="1:5" x14ac:dyDescent="0.3">
      <c r="B156" s="57">
        <v>44474</v>
      </c>
      <c r="C156" t="s">
        <v>403</v>
      </c>
      <c r="D156" t="s">
        <v>62</v>
      </c>
      <c r="E156" s="45">
        <v>80</v>
      </c>
    </row>
    <row r="157" spans="1:5" x14ac:dyDescent="0.3">
      <c r="B157" s="57">
        <v>44476</v>
      </c>
      <c r="C157" t="s">
        <v>404</v>
      </c>
      <c r="D157" t="s">
        <v>20</v>
      </c>
      <c r="E157" s="45">
        <v>80</v>
      </c>
    </row>
    <row r="158" spans="1:5" x14ac:dyDescent="0.3">
      <c r="B158" s="57">
        <v>44477</v>
      </c>
      <c r="C158" t="s">
        <v>406</v>
      </c>
      <c r="D158" t="s">
        <v>20</v>
      </c>
      <c r="E158" s="45">
        <v>80</v>
      </c>
    </row>
    <row r="159" spans="1:5" x14ac:dyDescent="0.3">
      <c r="B159" s="57">
        <v>44478</v>
      </c>
      <c r="C159" t="s">
        <v>408</v>
      </c>
      <c r="D159" t="s">
        <v>410</v>
      </c>
      <c r="E159" s="45">
        <v>100</v>
      </c>
    </row>
    <row r="160" spans="1:5" x14ac:dyDescent="0.3">
      <c r="B160" s="57">
        <v>44480</v>
      </c>
      <c r="C160" t="s">
        <v>411</v>
      </c>
      <c r="D160" t="s">
        <v>587</v>
      </c>
      <c r="E160" s="45">
        <v>80</v>
      </c>
    </row>
    <row r="161" spans="2:5" x14ac:dyDescent="0.3">
      <c r="B161" s="57">
        <v>44481</v>
      </c>
      <c r="C161" t="s">
        <v>412</v>
      </c>
      <c r="D161" t="s">
        <v>410</v>
      </c>
      <c r="E161" s="45">
        <v>150</v>
      </c>
    </row>
    <row r="162" spans="2:5" x14ac:dyDescent="0.3">
      <c r="B162" t="s">
        <v>758</v>
      </c>
      <c r="C162" t="s">
        <v>588</v>
      </c>
      <c r="D162" t="s">
        <v>401</v>
      </c>
      <c r="E162" s="45">
        <v>90</v>
      </c>
    </row>
    <row r="163" spans="2:5" x14ac:dyDescent="0.3">
      <c r="B163" s="57">
        <v>44483</v>
      </c>
      <c r="C163" t="s">
        <v>419</v>
      </c>
      <c r="D163" t="s">
        <v>58</v>
      </c>
      <c r="E163" s="45">
        <v>80</v>
      </c>
    </row>
    <row r="164" spans="2:5" x14ac:dyDescent="0.3">
      <c r="B164" s="57">
        <v>44484</v>
      </c>
      <c r="C164" t="s">
        <v>420</v>
      </c>
      <c r="D164" t="s">
        <v>263</v>
      </c>
      <c r="E164" s="45">
        <v>80</v>
      </c>
    </row>
    <row r="165" spans="2:5" x14ac:dyDescent="0.3">
      <c r="B165" s="57">
        <v>44484</v>
      </c>
      <c r="C165" t="s">
        <v>424</v>
      </c>
      <c r="D165" t="s">
        <v>35</v>
      </c>
      <c r="E165" s="45">
        <v>80</v>
      </c>
    </row>
    <row r="166" spans="2:5" x14ac:dyDescent="0.3">
      <c r="B166" s="57">
        <v>44487</v>
      </c>
      <c r="C166" t="s">
        <v>426</v>
      </c>
      <c r="D166" t="s">
        <v>410</v>
      </c>
      <c r="E166" s="45">
        <v>150</v>
      </c>
    </row>
    <row r="167" spans="2:5" x14ac:dyDescent="0.3">
      <c r="B167" s="57">
        <v>44488</v>
      </c>
      <c r="C167" t="s">
        <v>427</v>
      </c>
      <c r="D167" t="s">
        <v>410</v>
      </c>
      <c r="E167" s="45">
        <v>100</v>
      </c>
    </row>
    <row r="168" spans="2:5" x14ac:dyDescent="0.3">
      <c r="B168" s="57">
        <v>44489</v>
      </c>
      <c r="C168" t="s">
        <v>428</v>
      </c>
      <c r="D168" t="s">
        <v>410</v>
      </c>
      <c r="E168" s="45">
        <v>150</v>
      </c>
    </row>
    <row r="169" spans="2:5" x14ac:dyDescent="0.3">
      <c r="B169" s="57">
        <v>44492</v>
      </c>
      <c r="C169" t="s">
        <v>442</v>
      </c>
      <c r="D169" t="s">
        <v>52</v>
      </c>
      <c r="E169" s="45">
        <v>100</v>
      </c>
    </row>
    <row r="170" spans="2:5" x14ac:dyDescent="0.3">
      <c r="B170" s="57">
        <v>44495</v>
      </c>
      <c r="C170" t="s">
        <v>443</v>
      </c>
      <c r="D170" t="s">
        <v>7</v>
      </c>
      <c r="E170" s="45">
        <v>80</v>
      </c>
    </row>
    <row r="171" spans="2:5" x14ac:dyDescent="0.3">
      <c r="B171" s="57">
        <v>44495</v>
      </c>
      <c r="C171" t="s">
        <v>444</v>
      </c>
      <c r="D171" t="s">
        <v>410</v>
      </c>
      <c r="E171" s="45">
        <v>150</v>
      </c>
    </row>
    <row r="172" spans="2:5" x14ac:dyDescent="0.3">
      <c r="B172" s="57">
        <v>44497</v>
      </c>
      <c r="C172" t="s">
        <v>445</v>
      </c>
      <c r="D172" t="s">
        <v>52</v>
      </c>
      <c r="E172" s="45">
        <v>90</v>
      </c>
    </row>
    <row r="173" spans="2:5" x14ac:dyDescent="0.3">
      <c r="B173" s="57">
        <v>44496</v>
      </c>
      <c r="C173" t="s">
        <v>446</v>
      </c>
      <c r="D173" t="s">
        <v>410</v>
      </c>
      <c r="E173" s="45">
        <v>150</v>
      </c>
    </row>
    <row r="174" spans="2:5" x14ac:dyDescent="0.3">
      <c r="B174" s="57">
        <v>44497</v>
      </c>
      <c r="C174" t="s">
        <v>447</v>
      </c>
      <c r="D174" t="s">
        <v>62</v>
      </c>
      <c r="E174" s="45">
        <v>80</v>
      </c>
    </row>
    <row r="175" spans="2:5" x14ac:dyDescent="0.3">
      <c r="B175" s="57">
        <v>44497</v>
      </c>
      <c r="C175" t="s">
        <v>448</v>
      </c>
      <c r="D175" t="s">
        <v>401</v>
      </c>
      <c r="E175" s="45">
        <v>80</v>
      </c>
    </row>
    <row r="176" spans="2:5" x14ac:dyDescent="0.3">
      <c r="B176" s="57">
        <v>44499</v>
      </c>
      <c r="C176" t="s">
        <v>450</v>
      </c>
      <c r="D176" t="s">
        <v>62</v>
      </c>
      <c r="E176" s="45">
        <v>80</v>
      </c>
    </row>
    <row r="177" spans="1:5" x14ac:dyDescent="0.3">
      <c r="A177" s="17" t="s">
        <v>599</v>
      </c>
      <c r="B177" s="17"/>
      <c r="C177" s="17"/>
      <c r="D177" s="17"/>
      <c r="E177" s="23">
        <f>SUM(E154:E176)</f>
        <v>2280</v>
      </c>
    </row>
    <row r="178" spans="1:5" x14ac:dyDescent="0.3">
      <c r="A178">
        <v>11</v>
      </c>
      <c r="B178" s="57">
        <v>44501</v>
      </c>
      <c r="C178" t="s">
        <v>456</v>
      </c>
      <c r="D178" t="s">
        <v>35</v>
      </c>
      <c r="E178" s="45">
        <v>80</v>
      </c>
    </row>
    <row r="179" spans="1:5" x14ac:dyDescent="0.3">
      <c r="B179" s="57">
        <v>44502</v>
      </c>
      <c r="C179" t="s">
        <v>458</v>
      </c>
      <c r="D179" t="s">
        <v>401</v>
      </c>
      <c r="E179" s="45">
        <v>80</v>
      </c>
    </row>
    <row r="180" spans="1:5" x14ac:dyDescent="0.3">
      <c r="B180" s="57">
        <v>44502</v>
      </c>
      <c r="C180" t="s">
        <v>459</v>
      </c>
      <c r="D180" t="s">
        <v>20</v>
      </c>
      <c r="E180" s="45">
        <v>80</v>
      </c>
    </row>
    <row r="181" spans="1:5" x14ac:dyDescent="0.3">
      <c r="B181" s="57">
        <v>44503</v>
      </c>
      <c r="C181" t="s">
        <v>460</v>
      </c>
      <c r="D181" t="s">
        <v>410</v>
      </c>
      <c r="E181" s="45">
        <v>150</v>
      </c>
    </row>
    <row r="182" spans="1:5" x14ac:dyDescent="0.3">
      <c r="B182" s="57">
        <v>44503</v>
      </c>
      <c r="C182" t="s">
        <v>461</v>
      </c>
      <c r="D182" t="s">
        <v>62</v>
      </c>
      <c r="E182" s="45">
        <v>80</v>
      </c>
    </row>
    <row r="183" spans="1:5" x14ac:dyDescent="0.3">
      <c r="B183" s="57">
        <v>44506</v>
      </c>
      <c r="C183" t="s">
        <v>465</v>
      </c>
      <c r="D183" t="s">
        <v>410</v>
      </c>
      <c r="E183" s="45">
        <v>150</v>
      </c>
    </row>
    <row r="184" spans="1:5" x14ac:dyDescent="0.3">
      <c r="B184" s="57">
        <v>44508</v>
      </c>
      <c r="C184" t="s">
        <v>466</v>
      </c>
      <c r="D184" t="s">
        <v>62</v>
      </c>
      <c r="E184" s="45">
        <v>80</v>
      </c>
    </row>
    <row r="185" spans="1:5" x14ac:dyDescent="0.3">
      <c r="B185" s="57">
        <v>44510</v>
      </c>
      <c r="C185" t="s">
        <v>473</v>
      </c>
      <c r="D185" t="s">
        <v>492</v>
      </c>
      <c r="E185" s="45">
        <v>80</v>
      </c>
    </row>
    <row r="186" spans="1:5" x14ac:dyDescent="0.3">
      <c r="B186" s="57">
        <v>44511</v>
      </c>
      <c r="C186" t="s">
        <v>589</v>
      </c>
      <c r="D186" t="s">
        <v>410</v>
      </c>
      <c r="E186" s="45">
        <v>150</v>
      </c>
    </row>
    <row r="187" spans="1:5" x14ac:dyDescent="0.3">
      <c r="B187" s="57">
        <v>44510</v>
      </c>
      <c r="C187" t="s">
        <v>477</v>
      </c>
      <c r="D187" t="s">
        <v>587</v>
      </c>
      <c r="E187" s="45">
        <v>80</v>
      </c>
    </row>
    <row r="188" spans="1:5" x14ac:dyDescent="0.3">
      <c r="B188" s="57">
        <v>44513</v>
      </c>
      <c r="C188" t="s">
        <v>478</v>
      </c>
      <c r="D188" t="s">
        <v>401</v>
      </c>
      <c r="E188" s="45">
        <v>80</v>
      </c>
    </row>
    <row r="189" spans="1:5" x14ac:dyDescent="0.3">
      <c r="B189" s="57">
        <v>44523</v>
      </c>
      <c r="C189" t="s">
        <v>481</v>
      </c>
      <c r="D189" t="s">
        <v>20</v>
      </c>
      <c r="E189" s="45">
        <v>80</v>
      </c>
    </row>
    <row r="190" spans="1:5" x14ac:dyDescent="0.3">
      <c r="B190" s="57">
        <v>44526</v>
      </c>
      <c r="C190" t="s">
        <v>590</v>
      </c>
      <c r="D190" t="s">
        <v>401</v>
      </c>
      <c r="E190" s="45">
        <v>100</v>
      </c>
    </row>
    <row r="191" spans="1:5" x14ac:dyDescent="0.3">
      <c r="B191" s="57">
        <v>44529</v>
      </c>
      <c r="C191" t="s">
        <v>485</v>
      </c>
      <c r="D191" t="s">
        <v>52</v>
      </c>
      <c r="E191" s="45">
        <v>80</v>
      </c>
    </row>
    <row r="192" spans="1:5" x14ac:dyDescent="0.3">
      <c r="A192" s="17" t="s">
        <v>600</v>
      </c>
      <c r="B192" s="17"/>
      <c r="C192" s="17"/>
      <c r="D192" s="17"/>
      <c r="E192" s="23">
        <f>SUM(E178:E191)</f>
        <v>1350</v>
      </c>
    </row>
    <row r="193" spans="1:5" x14ac:dyDescent="0.3">
      <c r="A193">
        <v>12</v>
      </c>
      <c r="B193" s="57">
        <v>44537</v>
      </c>
      <c r="C193" t="s">
        <v>502</v>
      </c>
      <c r="D193" t="s">
        <v>410</v>
      </c>
      <c r="E193" s="45">
        <v>150</v>
      </c>
    </row>
    <row r="194" spans="1:5" x14ac:dyDescent="0.3">
      <c r="B194" s="57">
        <v>44540</v>
      </c>
      <c r="C194" t="s">
        <v>503</v>
      </c>
      <c r="D194" t="s">
        <v>587</v>
      </c>
      <c r="E194" s="45">
        <v>80</v>
      </c>
    </row>
    <row r="195" spans="1:5" x14ac:dyDescent="0.3">
      <c r="B195" s="57">
        <v>44540</v>
      </c>
      <c r="C195" t="s">
        <v>505</v>
      </c>
      <c r="D195" t="s">
        <v>410</v>
      </c>
      <c r="E195" s="45">
        <v>80</v>
      </c>
    </row>
    <row r="196" spans="1:5" x14ac:dyDescent="0.3">
      <c r="B196" s="57">
        <v>44545</v>
      </c>
      <c r="C196" t="s">
        <v>508</v>
      </c>
      <c r="D196" t="s">
        <v>62</v>
      </c>
      <c r="E196" s="45">
        <v>80</v>
      </c>
    </row>
    <row r="197" spans="1:5" x14ac:dyDescent="0.3">
      <c r="B197" t="s">
        <v>759</v>
      </c>
      <c r="C197" t="s">
        <v>591</v>
      </c>
      <c r="D197" t="s">
        <v>23</v>
      </c>
      <c r="E197" s="45">
        <v>100</v>
      </c>
    </row>
    <row r="198" spans="1:5" x14ac:dyDescent="0.3">
      <c r="B198" s="57">
        <v>44550</v>
      </c>
      <c r="C198" t="s">
        <v>512</v>
      </c>
      <c r="D198" t="s">
        <v>410</v>
      </c>
      <c r="E198" s="45">
        <v>150</v>
      </c>
    </row>
    <row r="199" spans="1:5" x14ac:dyDescent="0.3">
      <c r="B199" s="57">
        <v>44551</v>
      </c>
      <c r="C199" t="s">
        <v>513</v>
      </c>
      <c r="D199" t="s">
        <v>23</v>
      </c>
      <c r="E199" s="45">
        <v>80</v>
      </c>
    </row>
    <row r="200" spans="1:5" x14ac:dyDescent="0.3">
      <c r="B200" s="57">
        <v>44552</v>
      </c>
      <c r="C200" t="s">
        <v>523</v>
      </c>
      <c r="D200" t="s">
        <v>410</v>
      </c>
      <c r="E200" s="45">
        <v>150</v>
      </c>
    </row>
    <row r="201" spans="1:5" x14ac:dyDescent="0.3">
      <c r="B201" s="57">
        <v>44558</v>
      </c>
      <c r="C201" t="s">
        <v>532</v>
      </c>
      <c r="D201" t="s">
        <v>7</v>
      </c>
      <c r="E201" s="45">
        <v>80</v>
      </c>
    </row>
    <row r="202" spans="1:5" x14ac:dyDescent="0.3">
      <c r="B202" s="57">
        <v>44560</v>
      </c>
      <c r="C202" t="s">
        <v>533</v>
      </c>
      <c r="D202" t="s">
        <v>410</v>
      </c>
      <c r="E202" s="45">
        <v>150</v>
      </c>
    </row>
    <row r="203" spans="1:5" x14ac:dyDescent="0.3">
      <c r="B203" s="57">
        <v>44561</v>
      </c>
      <c r="C203" t="s">
        <v>536</v>
      </c>
      <c r="D203" t="s">
        <v>62</v>
      </c>
      <c r="E203" s="45">
        <v>80</v>
      </c>
    </row>
    <row r="204" spans="1:5" x14ac:dyDescent="0.3">
      <c r="B204" s="57">
        <v>44561</v>
      </c>
      <c r="C204" t="s">
        <v>537</v>
      </c>
      <c r="D204" t="s">
        <v>401</v>
      </c>
      <c r="E204" s="45">
        <v>150</v>
      </c>
    </row>
    <row r="205" spans="1:5" x14ac:dyDescent="0.3">
      <c r="A205" s="17" t="s">
        <v>601</v>
      </c>
      <c r="B205" s="17"/>
      <c r="C205" s="17"/>
      <c r="D205" s="17"/>
      <c r="E205" s="23">
        <f>SUM(E193:E204)</f>
        <v>1330</v>
      </c>
    </row>
    <row r="206" spans="1:5" x14ac:dyDescent="0.3">
      <c r="A206" s="58" t="s">
        <v>760</v>
      </c>
      <c r="B206" s="58"/>
      <c r="C206" s="58"/>
      <c r="D206" s="58"/>
      <c r="E206" s="59">
        <f>SUM(E205,E192,E177,E153)</f>
        <v>5790</v>
      </c>
    </row>
    <row r="207" spans="1:5" x14ac:dyDescent="0.3">
      <c r="E207" s="45"/>
    </row>
    <row r="208" spans="1:5" x14ac:dyDescent="0.3">
      <c r="E208" s="45"/>
    </row>
    <row r="209" spans="1:5" x14ac:dyDescent="0.3">
      <c r="A209" s="65" t="s">
        <v>163</v>
      </c>
      <c r="B209" s="62" t="s">
        <v>308</v>
      </c>
      <c r="C209" s="63" t="s">
        <v>2</v>
      </c>
      <c r="D209" s="63" t="s">
        <v>1</v>
      </c>
      <c r="E209" s="66" t="s">
        <v>307</v>
      </c>
    </row>
    <row r="210" spans="1:5" x14ac:dyDescent="0.3">
      <c r="A210" s="94" t="s">
        <v>761</v>
      </c>
      <c r="B210" s="57">
        <v>44564</v>
      </c>
      <c r="C210" t="s">
        <v>547</v>
      </c>
      <c r="D210" t="s">
        <v>410</v>
      </c>
      <c r="E210" s="45">
        <v>180</v>
      </c>
    </row>
    <row r="211" spans="1:5" x14ac:dyDescent="0.3">
      <c r="B211" s="57">
        <v>44567</v>
      </c>
      <c r="C211" t="s">
        <v>548</v>
      </c>
      <c r="D211" t="s">
        <v>401</v>
      </c>
      <c r="E211" s="45">
        <v>120</v>
      </c>
    </row>
    <row r="212" spans="1:5" x14ac:dyDescent="0.3">
      <c r="B212" s="57">
        <v>44569</v>
      </c>
      <c r="C212" t="s">
        <v>592</v>
      </c>
      <c r="D212" t="s">
        <v>410</v>
      </c>
      <c r="E212" s="45">
        <v>180</v>
      </c>
    </row>
    <row r="213" spans="1:5" x14ac:dyDescent="0.3">
      <c r="B213" s="57">
        <v>44571</v>
      </c>
      <c r="C213" t="s">
        <v>551</v>
      </c>
      <c r="D213" t="s">
        <v>20</v>
      </c>
      <c r="E213" s="45">
        <v>150</v>
      </c>
    </row>
    <row r="214" spans="1:5" x14ac:dyDescent="0.3">
      <c r="B214" s="57">
        <v>44572</v>
      </c>
      <c r="C214" t="s">
        <v>553</v>
      </c>
      <c r="D214" t="s">
        <v>62</v>
      </c>
      <c r="E214" s="45">
        <v>150</v>
      </c>
    </row>
    <row r="215" spans="1:5" x14ac:dyDescent="0.3">
      <c r="B215" s="57">
        <v>44574</v>
      </c>
      <c r="C215" t="s">
        <v>558</v>
      </c>
      <c r="D215" t="s">
        <v>401</v>
      </c>
      <c r="E215" s="45">
        <v>120</v>
      </c>
    </row>
    <row r="216" spans="1:5" x14ac:dyDescent="0.3">
      <c r="B216" s="57">
        <v>44574</v>
      </c>
      <c r="C216" t="s">
        <v>559</v>
      </c>
      <c r="D216" t="s">
        <v>410</v>
      </c>
      <c r="E216" s="45">
        <v>180</v>
      </c>
    </row>
    <row r="217" spans="1:5" x14ac:dyDescent="0.3">
      <c r="B217" s="57">
        <v>44575</v>
      </c>
      <c r="C217" t="s">
        <v>560</v>
      </c>
      <c r="D217" t="s">
        <v>23</v>
      </c>
      <c r="E217" s="45">
        <v>120</v>
      </c>
    </row>
    <row r="218" spans="1:5" x14ac:dyDescent="0.3">
      <c r="B218" s="57">
        <v>44575</v>
      </c>
      <c r="C218" t="s">
        <v>562</v>
      </c>
      <c r="D218" t="s">
        <v>23</v>
      </c>
      <c r="E218" s="45">
        <v>100</v>
      </c>
    </row>
    <row r="219" spans="1:5" x14ac:dyDescent="0.3">
      <c r="B219" s="57">
        <v>44578</v>
      </c>
      <c r="C219" t="s">
        <v>563</v>
      </c>
      <c r="D219" t="s">
        <v>23</v>
      </c>
      <c r="E219" s="45">
        <v>120</v>
      </c>
    </row>
    <row r="220" spans="1:5" x14ac:dyDescent="0.3">
      <c r="B220" s="57">
        <v>44579</v>
      </c>
      <c r="C220" t="s">
        <v>565</v>
      </c>
      <c r="D220" t="s">
        <v>410</v>
      </c>
      <c r="E220" s="45">
        <v>180</v>
      </c>
    </row>
    <row r="221" spans="1:5" x14ac:dyDescent="0.3">
      <c r="B221" s="57">
        <v>44583</v>
      </c>
      <c r="C221" t="s">
        <v>566</v>
      </c>
      <c r="D221" t="s">
        <v>401</v>
      </c>
      <c r="E221" s="45">
        <v>120</v>
      </c>
    </row>
    <row r="222" spans="1:5" x14ac:dyDescent="0.3">
      <c r="B222" s="57">
        <v>44585</v>
      </c>
      <c r="C222" t="s">
        <v>568</v>
      </c>
      <c r="D222" t="s">
        <v>62</v>
      </c>
      <c r="E222" s="45">
        <v>150</v>
      </c>
    </row>
    <row r="223" spans="1:5" x14ac:dyDescent="0.3">
      <c r="B223" s="57">
        <v>44586</v>
      </c>
      <c r="C223" t="s">
        <v>569</v>
      </c>
      <c r="D223" t="s">
        <v>43</v>
      </c>
      <c r="E223" s="45">
        <v>80</v>
      </c>
    </row>
    <row r="224" spans="1:5" x14ac:dyDescent="0.3">
      <c r="B224" s="57">
        <v>44587</v>
      </c>
      <c r="C224" t="s">
        <v>570</v>
      </c>
      <c r="D224" t="s">
        <v>23</v>
      </c>
      <c r="E224" s="45">
        <v>120</v>
      </c>
    </row>
    <row r="225" spans="1:5" x14ac:dyDescent="0.3">
      <c r="A225" s="17" t="s">
        <v>593</v>
      </c>
      <c r="B225" s="17"/>
      <c r="C225" s="17"/>
      <c r="D225" s="17"/>
      <c r="E225" s="23">
        <f>SUM(E210:E224)</f>
        <v>2070</v>
      </c>
    </row>
    <row r="226" spans="1:5" x14ac:dyDescent="0.3">
      <c r="A226" s="94" t="s">
        <v>762</v>
      </c>
      <c r="B226" s="57">
        <v>44602</v>
      </c>
      <c r="C226" t="s">
        <v>602</v>
      </c>
      <c r="D226" t="s">
        <v>401</v>
      </c>
      <c r="E226" s="45">
        <v>120</v>
      </c>
    </row>
    <row r="227" spans="1:5" x14ac:dyDescent="0.3">
      <c r="B227" s="57">
        <v>44607</v>
      </c>
      <c r="C227" t="s">
        <v>603</v>
      </c>
      <c r="D227" t="s">
        <v>23</v>
      </c>
      <c r="E227" s="45">
        <v>120</v>
      </c>
    </row>
    <row r="228" spans="1:5" x14ac:dyDescent="0.3">
      <c r="B228" s="57">
        <v>44609</v>
      </c>
      <c r="C228" t="s">
        <v>604</v>
      </c>
      <c r="D228" t="s">
        <v>62</v>
      </c>
      <c r="E228" s="45">
        <v>150</v>
      </c>
    </row>
    <row r="229" spans="1:5" x14ac:dyDescent="0.3">
      <c r="B229" s="57">
        <v>44610</v>
      </c>
      <c r="C229" t="s">
        <v>605</v>
      </c>
      <c r="D229" t="s">
        <v>58</v>
      </c>
      <c r="E229" s="45">
        <v>120</v>
      </c>
    </row>
    <row r="230" spans="1:5" x14ac:dyDescent="0.3">
      <c r="B230" s="57">
        <v>44611</v>
      </c>
      <c r="C230" t="s">
        <v>606</v>
      </c>
      <c r="D230" t="s">
        <v>20</v>
      </c>
      <c r="E230" s="45">
        <v>150</v>
      </c>
    </row>
    <row r="231" spans="1:5" x14ac:dyDescent="0.3">
      <c r="B231" s="57">
        <v>44613</v>
      </c>
      <c r="C231" t="s">
        <v>607</v>
      </c>
      <c r="D231" t="s">
        <v>492</v>
      </c>
      <c r="E231" s="45">
        <v>150</v>
      </c>
    </row>
    <row r="232" spans="1:5" x14ac:dyDescent="0.3">
      <c r="B232" s="57">
        <v>44613</v>
      </c>
      <c r="C232" t="s">
        <v>608</v>
      </c>
      <c r="D232" t="s">
        <v>43</v>
      </c>
      <c r="E232" s="45">
        <v>80</v>
      </c>
    </row>
    <row r="233" spans="1:5" x14ac:dyDescent="0.3">
      <c r="B233" s="57">
        <v>44614</v>
      </c>
      <c r="C233" t="s">
        <v>609</v>
      </c>
      <c r="D233" t="s">
        <v>401</v>
      </c>
      <c r="E233" s="45">
        <v>120</v>
      </c>
    </row>
    <row r="234" spans="1:5" x14ac:dyDescent="0.3">
      <c r="B234" s="57">
        <v>44616</v>
      </c>
      <c r="C234" t="s">
        <v>610</v>
      </c>
      <c r="D234" t="s">
        <v>410</v>
      </c>
      <c r="E234" s="45">
        <v>180</v>
      </c>
    </row>
    <row r="235" spans="1:5" x14ac:dyDescent="0.3">
      <c r="B235" s="57">
        <v>44618</v>
      </c>
      <c r="C235" t="s">
        <v>611</v>
      </c>
      <c r="D235" t="s">
        <v>410</v>
      </c>
      <c r="E235" s="45">
        <v>180</v>
      </c>
    </row>
    <row r="236" spans="1:5" x14ac:dyDescent="0.3">
      <c r="B236" s="57">
        <v>44618</v>
      </c>
      <c r="C236" t="s">
        <v>612</v>
      </c>
      <c r="D236" t="s">
        <v>20</v>
      </c>
      <c r="E236" s="45">
        <v>150</v>
      </c>
    </row>
    <row r="237" spans="1:5" x14ac:dyDescent="0.3">
      <c r="A237" s="87" t="s">
        <v>613</v>
      </c>
      <c r="B237" s="17"/>
      <c r="C237" s="17"/>
      <c r="D237" s="17"/>
      <c r="E237" s="23">
        <f>SUM(E226:E236)</f>
        <v>1520</v>
      </c>
    </row>
    <row r="238" spans="1:5" x14ac:dyDescent="0.3">
      <c r="A238" s="58" t="s">
        <v>131</v>
      </c>
      <c r="B238" s="58"/>
      <c r="C238" s="58"/>
      <c r="D238" s="58"/>
      <c r="E238" s="59">
        <f>SUM(E237,E225)</f>
        <v>3590</v>
      </c>
    </row>
    <row r="242" spans="1:5" x14ac:dyDescent="0.3">
      <c r="A242" s="65" t="s">
        <v>163</v>
      </c>
      <c r="B242" s="62" t="s">
        <v>308</v>
      </c>
      <c r="C242" s="63" t="s">
        <v>2</v>
      </c>
      <c r="D242" s="63" t="s">
        <v>1</v>
      </c>
      <c r="E242" s="66" t="s">
        <v>307</v>
      </c>
    </row>
    <row r="243" spans="1:5" x14ac:dyDescent="0.3">
      <c r="C243" t="s">
        <v>634</v>
      </c>
      <c r="D243" t="s">
        <v>492</v>
      </c>
      <c r="E243" s="16">
        <v>180</v>
      </c>
    </row>
    <row r="244" spans="1:5" x14ac:dyDescent="0.3">
      <c r="C244" t="s">
        <v>635</v>
      </c>
      <c r="D244" t="s">
        <v>638</v>
      </c>
      <c r="E244" s="16">
        <v>80</v>
      </c>
    </row>
    <row r="245" spans="1:5" x14ac:dyDescent="0.3">
      <c r="C245" t="s">
        <v>636</v>
      </c>
      <c r="D245" t="s">
        <v>62</v>
      </c>
      <c r="E245" s="16">
        <v>150</v>
      </c>
    </row>
    <row r="246" spans="1:5" x14ac:dyDescent="0.3">
      <c r="C246" t="s">
        <v>643</v>
      </c>
      <c r="D246" t="s">
        <v>638</v>
      </c>
      <c r="E246" s="16">
        <v>80</v>
      </c>
    </row>
    <row r="247" spans="1:5" x14ac:dyDescent="0.3">
      <c r="C247" t="s">
        <v>644</v>
      </c>
      <c r="D247" t="s">
        <v>401</v>
      </c>
      <c r="E247" s="16">
        <v>120</v>
      </c>
    </row>
    <row r="248" spans="1:5" x14ac:dyDescent="0.3">
      <c r="C248" t="s">
        <v>645</v>
      </c>
      <c r="D248" t="s">
        <v>638</v>
      </c>
      <c r="E248" s="16">
        <v>80</v>
      </c>
    </row>
    <row r="249" spans="1:5" x14ac:dyDescent="0.3">
      <c r="C249" t="s">
        <v>646</v>
      </c>
      <c r="D249" t="s">
        <v>43</v>
      </c>
      <c r="E249" s="16">
        <v>80</v>
      </c>
    </row>
    <row r="250" spans="1:5" x14ac:dyDescent="0.3">
      <c r="C250" t="s">
        <v>647</v>
      </c>
      <c r="D250" t="s">
        <v>410</v>
      </c>
      <c r="E250" s="16">
        <v>180</v>
      </c>
    </row>
    <row r="251" spans="1:5" x14ac:dyDescent="0.3">
      <c r="C251" t="s">
        <v>648</v>
      </c>
      <c r="D251" t="s">
        <v>62</v>
      </c>
      <c r="E251" s="16">
        <v>150</v>
      </c>
    </row>
    <row r="252" spans="1:5" x14ac:dyDescent="0.3">
      <c r="C252" t="s">
        <v>649</v>
      </c>
      <c r="D252" t="s">
        <v>410</v>
      </c>
      <c r="E252" s="16">
        <v>180</v>
      </c>
    </row>
    <row r="253" spans="1:5" x14ac:dyDescent="0.3">
      <c r="C253" t="s">
        <v>650</v>
      </c>
      <c r="D253" t="s">
        <v>401</v>
      </c>
      <c r="E253" s="16">
        <v>120</v>
      </c>
    </row>
    <row r="254" spans="1:5" x14ac:dyDescent="0.3">
      <c r="C254" t="s">
        <v>651</v>
      </c>
      <c r="D254" t="s">
        <v>410</v>
      </c>
      <c r="E254" s="16">
        <v>180</v>
      </c>
    </row>
    <row r="255" spans="1:5" x14ac:dyDescent="0.3">
      <c r="C255" t="s">
        <v>652</v>
      </c>
      <c r="D255" t="s">
        <v>492</v>
      </c>
      <c r="E255" s="16">
        <v>150</v>
      </c>
    </row>
    <row r="256" spans="1:5" x14ac:dyDescent="0.3">
      <c r="C256" t="s">
        <v>653</v>
      </c>
      <c r="D256" t="s">
        <v>43</v>
      </c>
      <c r="E256" s="16">
        <v>80</v>
      </c>
    </row>
    <row r="257" spans="1:5" x14ac:dyDescent="0.3">
      <c r="C257" t="s">
        <v>654</v>
      </c>
      <c r="D257" t="s">
        <v>410</v>
      </c>
      <c r="E257" s="16">
        <v>180</v>
      </c>
    </row>
    <row r="258" spans="1:5" x14ac:dyDescent="0.3">
      <c r="C258" t="s">
        <v>661</v>
      </c>
      <c r="D258" t="s">
        <v>410</v>
      </c>
      <c r="E258" s="16">
        <v>180</v>
      </c>
    </row>
    <row r="259" spans="1:5" x14ac:dyDescent="0.3">
      <c r="C259" t="s">
        <v>662</v>
      </c>
      <c r="D259" t="s">
        <v>7</v>
      </c>
      <c r="E259" s="16">
        <v>100</v>
      </c>
    </row>
    <row r="260" spans="1:5" x14ac:dyDescent="0.3">
      <c r="C260" t="s">
        <v>663</v>
      </c>
      <c r="D260" t="s">
        <v>410</v>
      </c>
      <c r="E260" s="16">
        <v>180</v>
      </c>
    </row>
    <row r="261" spans="1:5" x14ac:dyDescent="0.3">
      <c r="C261" t="s">
        <v>664</v>
      </c>
      <c r="D261" t="s">
        <v>666</v>
      </c>
      <c r="E261" s="16">
        <v>150</v>
      </c>
    </row>
    <row r="262" spans="1:5" x14ac:dyDescent="0.3">
      <c r="A262" s="87" t="s">
        <v>633</v>
      </c>
      <c r="B262" s="17"/>
      <c r="C262" s="17"/>
      <c r="D262" s="17"/>
      <c r="E262" s="23">
        <f>SUM(E243:E261)</f>
        <v>2600</v>
      </c>
    </row>
    <row r="263" spans="1:5" x14ac:dyDescent="0.3">
      <c r="A263" s="93"/>
      <c r="C263" t="s">
        <v>681</v>
      </c>
      <c r="D263" t="s">
        <v>492</v>
      </c>
      <c r="E263" s="45">
        <v>150</v>
      </c>
    </row>
    <row r="264" spans="1:5" x14ac:dyDescent="0.3">
      <c r="A264" s="93"/>
      <c r="C264" t="s">
        <v>684</v>
      </c>
      <c r="D264" t="s">
        <v>410</v>
      </c>
      <c r="E264" s="45">
        <v>180</v>
      </c>
    </row>
    <row r="265" spans="1:5" x14ac:dyDescent="0.3">
      <c r="A265" s="93"/>
      <c r="C265" t="s">
        <v>685</v>
      </c>
      <c r="D265" t="s">
        <v>638</v>
      </c>
      <c r="E265" s="45">
        <v>80</v>
      </c>
    </row>
    <row r="266" spans="1:5" x14ac:dyDescent="0.3">
      <c r="A266" s="93"/>
      <c r="C266" t="s">
        <v>686</v>
      </c>
      <c r="D266" t="s">
        <v>410</v>
      </c>
      <c r="E266" s="45">
        <v>180</v>
      </c>
    </row>
    <row r="267" spans="1:5" x14ac:dyDescent="0.3">
      <c r="A267" s="93"/>
      <c r="C267" t="s">
        <v>687</v>
      </c>
      <c r="D267" t="s">
        <v>401</v>
      </c>
      <c r="E267" s="45">
        <v>120</v>
      </c>
    </row>
    <row r="268" spans="1:5" x14ac:dyDescent="0.3">
      <c r="A268" s="93"/>
      <c r="C268" t="s">
        <v>688</v>
      </c>
      <c r="D268" t="s">
        <v>20</v>
      </c>
      <c r="E268" s="45">
        <v>150</v>
      </c>
    </row>
    <row r="269" spans="1:5" x14ac:dyDescent="0.3">
      <c r="A269" s="93"/>
      <c r="C269" t="s">
        <v>689</v>
      </c>
      <c r="D269" t="s">
        <v>58</v>
      </c>
      <c r="E269" s="45">
        <v>120</v>
      </c>
    </row>
    <row r="270" spans="1:5" x14ac:dyDescent="0.3">
      <c r="A270" s="93"/>
      <c r="C270" t="s">
        <v>690</v>
      </c>
      <c r="D270" t="s">
        <v>410</v>
      </c>
      <c r="E270" s="45">
        <v>180</v>
      </c>
    </row>
    <row r="271" spans="1:5" x14ac:dyDescent="0.3">
      <c r="A271" s="93"/>
      <c r="C271" t="s">
        <v>691</v>
      </c>
      <c r="D271" t="s">
        <v>774</v>
      </c>
      <c r="E271" s="45">
        <v>150</v>
      </c>
    </row>
    <row r="272" spans="1:5" x14ac:dyDescent="0.3">
      <c r="A272" s="93"/>
      <c r="C272" t="s">
        <v>692</v>
      </c>
      <c r="D272" t="s">
        <v>638</v>
      </c>
      <c r="E272" s="45">
        <v>80</v>
      </c>
    </row>
    <row r="273" spans="1:5" x14ac:dyDescent="0.3">
      <c r="A273" s="93"/>
      <c r="C273" t="s">
        <v>693</v>
      </c>
      <c r="D273" t="s">
        <v>774</v>
      </c>
      <c r="E273" s="45">
        <v>50</v>
      </c>
    </row>
    <row r="274" spans="1:5" x14ac:dyDescent="0.3">
      <c r="A274" s="93"/>
      <c r="C274" t="s">
        <v>694</v>
      </c>
      <c r="D274" t="s">
        <v>410</v>
      </c>
      <c r="E274" s="45">
        <v>180</v>
      </c>
    </row>
    <row r="275" spans="1:5" x14ac:dyDescent="0.3">
      <c r="A275" s="93"/>
      <c r="C275" t="s">
        <v>695</v>
      </c>
      <c r="D275" t="s">
        <v>492</v>
      </c>
      <c r="E275" s="45">
        <v>150</v>
      </c>
    </row>
    <row r="276" spans="1:5" x14ac:dyDescent="0.3">
      <c r="A276" s="93"/>
      <c r="C276" t="s">
        <v>696</v>
      </c>
      <c r="D276" t="s">
        <v>774</v>
      </c>
      <c r="E276" s="45">
        <v>180</v>
      </c>
    </row>
    <row r="277" spans="1:5" x14ac:dyDescent="0.3">
      <c r="A277" s="93"/>
      <c r="C277" t="s">
        <v>697</v>
      </c>
      <c r="D277" t="s">
        <v>410</v>
      </c>
      <c r="E277" s="45"/>
    </row>
    <row r="278" spans="1:5" x14ac:dyDescent="0.3">
      <c r="A278" s="93"/>
      <c r="C278" t="s">
        <v>698</v>
      </c>
      <c r="D278" t="s">
        <v>666</v>
      </c>
      <c r="E278" s="45"/>
    </row>
    <row r="279" spans="1:5" x14ac:dyDescent="0.3">
      <c r="A279" s="93"/>
      <c r="C279" t="s">
        <v>699</v>
      </c>
      <c r="D279" t="s">
        <v>410</v>
      </c>
      <c r="E279" s="45"/>
    </row>
    <row r="280" spans="1:5" x14ac:dyDescent="0.3">
      <c r="A280" s="93"/>
      <c r="C280" t="s">
        <v>700</v>
      </c>
      <c r="D280" t="s">
        <v>710</v>
      </c>
      <c r="E280" s="45"/>
    </row>
    <row r="281" spans="1:5" x14ac:dyDescent="0.3">
      <c r="A281" s="93"/>
      <c r="C281" t="s">
        <v>701</v>
      </c>
      <c r="D281" t="s">
        <v>23</v>
      </c>
      <c r="E281" s="45"/>
    </row>
    <row r="282" spans="1:5" x14ac:dyDescent="0.3">
      <c r="A282" s="93"/>
      <c r="C282" t="s">
        <v>702</v>
      </c>
      <c r="D282" t="s">
        <v>710</v>
      </c>
      <c r="E282" s="45"/>
    </row>
    <row r="283" spans="1:5" x14ac:dyDescent="0.3">
      <c r="A283" s="93"/>
      <c r="C283" t="s">
        <v>716</v>
      </c>
      <c r="D283" t="s">
        <v>7</v>
      </c>
      <c r="E283" s="45"/>
    </row>
    <row r="284" spans="1:5" x14ac:dyDescent="0.3">
      <c r="A284" s="93"/>
      <c r="C284" t="s">
        <v>719</v>
      </c>
      <c r="D284" t="s">
        <v>410</v>
      </c>
      <c r="E284" s="45"/>
    </row>
    <row r="285" spans="1:5" x14ac:dyDescent="0.3">
      <c r="A285" s="93"/>
      <c r="C285" t="s">
        <v>721</v>
      </c>
      <c r="D285" t="s">
        <v>666</v>
      </c>
      <c r="E285" s="45"/>
    </row>
    <row r="286" spans="1:5" x14ac:dyDescent="0.3">
      <c r="A286" s="93"/>
      <c r="C286" t="s">
        <v>724</v>
      </c>
      <c r="D286" t="s">
        <v>62</v>
      </c>
      <c r="E286" s="45"/>
    </row>
    <row r="287" spans="1:5" x14ac:dyDescent="0.3">
      <c r="A287" s="93"/>
      <c r="C287" t="s">
        <v>725</v>
      </c>
      <c r="D287" t="s">
        <v>492</v>
      </c>
      <c r="E287" s="45"/>
    </row>
    <row r="288" spans="1:5" x14ac:dyDescent="0.3">
      <c r="A288" s="93"/>
      <c r="C288" t="s">
        <v>726</v>
      </c>
      <c r="D288" t="s">
        <v>410</v>
      </c>
      <c r="E288" s="45"/>
    </row>
    <row r="289" spans="1:5" x14ac:dyDescent="0.3">
      <c r="A289" s="93"/>
      <c r="C289" t="s">
        <v>727</v>
      </c>
      <c r="D289" t="s">
        <v>401</v>
      </c>
      <c r="E289" s="45"/>
    </row>
    <row r="290" spans="1:5" x14ac:dyDescent="0.3">
      <c r="A290" s="93"/>
      <c r="C290" t="s">
        <v>729</v>
      </c>
      <c r="D290" t="s">
        <v>666</v>
      </c>
      <c r="E290" s="45"/>
    </row>
    <row r="291" spans="1:5" x14ac:dyDescent="0.3">
      <c r="A291" s="93"/>
      <c r="C291" t="s">
        <v>730</v>
      </c>
      <c r="D291" t="s">
        <v>410</v>
      </c>
      <c r="E291" s="45"/>
    </row>
    <row r="292" spans="1:5" x14ac:dyDescent="0.3">
      <c r="A292" s="87" t="s">
        <v>703</v>
      </c>
      <c r="B292" s="17"/>
      <c r="C292" s="17"/>
      <c r="D292" s="17"/>
      <c r="E292" s="23">
        <f>SUM(E263:E282)</f>
        <v>1950</v>
      </c>
    </row>
    <row r="293" spans="1:5" x14ac:dyDescent="0.3">
      <c r="A293" s="93"/>
      <c r="C293" t="s">
        <v>763</v>
      </c>
      <c r="D293" t="s">
        <v>410</v>
      </c>
      <c r="E293" s="45"/>
    </row>
    <row r="294" spans="1:5" x14ac:dyDescent="0.3">
      <c r="A294" s="93"/>
      <c r="C294" t="s">
        <v>764</v>
      </c>
      <c r="D294" t="s">
        <v>666</v>
      </c>
      <c r="E294" s="45"/>
    </row>
    <row r="295" spans="1:5" x14ac:dyDescent="0.3">
      <c r="A295" s="93"/>
      <c r="C295" t="s">
        <v>765</v>
      </c>
      <c r="D295" t="s">
        <v>410</v>
      </c>
      <c r="E295" s="45"/>
    </row>
    <row r="296" spans="1:5" x14ac:dyDescent="0.3">
      <c r="A296" s="93"/>
      <c r="C296" t="s">
        <v>766</v>
      </c>
      <c r="D296" t="s">
        <v>58</v>
      </c>
      <c r="E296" s="45"/>
    </row>
    <row r="297" spans="1:5" x14ac:dyDescent="0.3">
      <c r="A297" s="93"/>
      <c r="C297" t="s">
        <v>767</v>
      </c>
      <c r="D297" t="s">
        <v>43</v>
      </c>
      <c r="E297" s="45"/>
    </row>
    <row r="298" spans="1:5" x14ac:dyDescent="0.3">
      <c r="A298" s="93"/>
      <c r="C298" t="s">
        <v>770</v>
      </c>
      <c r="D298" t="s">
        <v>638</v>
      </c>
      <c r="E298" s="45"/>
    </row>
    <row r="299" spans="1:5" x14ac:dyDescent="0.3">
      <c r="A299" s="93"/>
      <c r="C299" t="s">
        <v>775</v>
      </c>
      <c r="D299" t="s">
        <v>774</v>
      </c>
      <c r="E299" s="45"/>
    </row>
    <row r="300" spans="1:5" x14ac:dyDescent="0.3">
      <c r="A300" s="93"/>
      <c r="C300" t="s">
        <v>777</v>
      </c>
      <c r="D300" t="s">
        <v>43</v>
      </c>
      <c r="E300" s="45"/>
    </row>
    <row r="301" spans="1:5" x14ac:dyDescent="0.3">
      <c r="A301" s="93"/>
      <c r="C301" t="s">
        <v>778</v>
      </c>
      <c r="D301" t="s">
        <v>410</v>
      </c>
      <c r="E301" s="45"/>
    </row>
    <row r="302" spans="1:5" x14ac:dyDescent="0.3">
      <c r="A302" s="93"/>
      <c r="C302" t="s">
        <v>780</v>
      </c>
      <c r="D302" t="s">
        <v>20</v>
      </c>
      <c r="E302" s="45"/>
    </row>
    <row r="303" spans="1:5" x14ac:dyDescent="0.3">
      <c r="A303" s="93"/>
      <c r="C303" t="s">
        <v>781</v>
      </c>
      <c r="D303" t="s">
        <v>410</v>
      </c>
      <c r="E303" s="45"/>
    </row>
    <row r="304" spans="1:5" x14ac:dyDescent="0.3">
      <c r="A304" s="93"/>
      <c r="C304" t="s">
        <v>782</v>
      </c>
      <c r="D304" t="s">
        <v>492</v>
      </c>
      <c r="E304" s="45"/>
    </row>
    <row r="305" spans="1:5" x14ac:dyDescent="0.3">
      <c r="A305" s="93"/>
      <c r="C305" t="s">
        <v>784</v>
      </c>
      <c r="D305" t="s">
        <v>410</v>
      </c>
      <c r="E305" s="45"/>
    </row>
    <row r="306" spans="1:5" x14ac:dyDescent="0.3">
      <c r="A306" s="93"/>
      <c r="C306" t="s">
        <v>789</v>
      </c>
      <c r="D306" t="s">
        <v>785</v>
      </c>
      <c r="E306" s="45"/>
    </row>
    <row r="307" spans="1:5" x14ac:dyDescent="0.3">
      <c r="A307" s="93"/>
      <c r="C307" t="s">
        <v>790</v>
      </c>
      <c r="D307" t="s">
        <v>410</v>
      </c>
      <c r="E307" s="45"/>
    </row>
    <row r="308" spans="1:5" x14ac:dyDescent="0.3">
      <c r="A308" s="93"/>
      <c r="C308" t="s">
        <v>791</v>
      </c>
      <c r="D308" t="s">
        <v>62</v>
      </c>
      <c r="E308" s="45"/>
    </row>
    <row r="309" spans="1:5" x14ac:dyDescent="0.3">
      <c r="A309" s="93"/>
      <c r="C309" t="s">
        <v>794</v>
      </c>
      <c r="D309" t="s">
        <v>410</v>
      </c>
      <c r="E309" s="45"/>
    </row>
    <row r="310" spans="1:5" x14ac:dyDescent="0.3">
      <c r="A310" s="93"/>
      <c r="C310" t="s">
        <v>795</v>
      </c>
      <c r="D310" t="s">
        <v>401</v>
      </c>
      <c r="E310" s="45"/>
    </row>
    <row r="311" spans="1:5" x14ac:dyDescent="0.3">
      <c r="A311" s="93"/>
      <c r="C311" t="s">
        <v>796</v>
      </c>
      <c r="D311" t="s">
        <v>23</v>
      </c>
      <c r="E311" s="45"/>
    </row>
    <row r="312" spans="1:5" x14ac:dyDescent="0.3">
      <c r="A312" s="93"/>
      <c r="C312" t="s">
        <v>797</v>
      </c>
      <c r="D312" t="s">
        <v>410</v>
      </c>
      <c r="E312" s="45"/>
    </row>
    <row r="313" spans="1:5" x14ac:dyDescent="0.3">
      <c r="A313" s="93"/>
      <c r="C313" t="s">
        <v>798</v>
      </c>
      <c r="D313" t="s">
        <v>492</v>
      </c>
      <c r="E313" s="45"/>
    </row>
    <row r="314" spans="1:5" x14ac:dyDescent="0.3">
      <c r="A314" s="87" t="s">
        <v>939</v>
      </c>
      <c r="B314" s="17"/>
      <c r="C314" s="17"/>
      <c r="D314" s="17"/>
      <c r="E314" s="23"/>
    </row>
    <row r="315" spans="1:5" x14ac:dyDescent="0.3">
      <c r="A315" s="93"/>
      <c r="C315" t="s">
        <v>827</v>
      </c>
      <c r="D315" t="s">
        <v>410</v>
      </c>
      <c r="E315" s="45"/>
    </row>
    <row r="316" spans="1:5" x14ac:dyDescent="0.3">
      <c r="A316" s="93"/>
      <c r="C316" t="s">
        <v>828</v>
      </c>
      <c r="D316" t="s">
        <v>638</v>
      </c>
      <c r="E316" s="45"/>
    </row>
    <row r="317" spans="1:5" x14ac:dyDescent="0.3">
      <c r="A317" s="93"/>
      <c r="C317" t="s">
        <v>829</v>
      </c>
      <c r="D317" t="s">
        <v>410</v>
      </c>
      <c r="E317" s="45"/>
    </row>
    <row r="318" spans="1:5" x14ac:dyDescent="0.3">
      <c r="A318" s="93"/>
      <c r="C318" t="s">
        <v>830</v>
      </c>
      <c r="D318" t="s">
        <v>7</v>
      </c>
      <c r="E318" s="45"/>
    </row>
    <row r="319" spans="1:5" x14ac:dyDescent="0.3">
      <c r="A319" s="93"/>
      <c r="C319" t="s">
        <v>832</v>
      </c>
      <c r="D319" t="s">
        <v>62</v>
      </c>
      <c r="E319" s="45"/>
    </row>
    <row r="320" spans="1:5" x14ac:dyDescent="0.3">
      <c r="A320" s="93"/>
      <c r="C320" t="s">
        <v>833</v>
      </c>
      <c r="D320" t="s">
        <v>638</v>
      </c>
      <c r="E320" s="45"/>
    </row>
    <row r="321" spans="1:5" x14ac:dyDescent="0.3">
      <c r="A321" s="93"/>
      <c r="C321" t="s">
        <v>834</v>
      </c>
      <c r="D321" t="s">
        <v>492</v>
      </c>
      <c r="E321" s="45"/>
    </row>
    <row r="322" spans="1:5" x14ac:dyDescent="0.3">
      <c r="A322" s="93"/>
      <c r="C322" t="s">
        <v>835</v>
      </c>
      <c r="D322" t="s">
        <v>410</v>
      </c>
      <c r="E322" s="45"/>
    </row>
    <row r="323" spans="1:5" x14ac:dyDescent="0.3">
      <c r="A323" s="93"/>
      <c r="C323" t="s">
        <v>836</v>
      </c>
      <c r="D323" t="s">
        <v>666</v>
      </c>
      <c r="E323" s="45"/>
    </row>
    <row r="324" spans="1:5" x14ac:dyDescent="0.3">
      <c r="A324" s="93"/>
      <c r="C324" t="s">
        <v>837</v>
      </c>
      <c r="D324" t="s">
        <v>58</v>
      </c>
      <c r="E324" s="45"/>
    </row>
    <row r="325" spans="1:5" x14ac:dyDescent="0.3">
      <c r="A325" s="93"/>
      <c r="C325" t="s">
        <v>838</v>
      </c>
      <c r="D325" t="s">
        <v>7</v>
      </c>
      <c r="E325" s="45"/>
    </row>
    <row r="326" spans="1:5" x14ac:dyDescent="0.3">
      <c r="A326" s="93"/>
      <c r="C326" t="s">
        <v>843</v>
      </c>
      <c r="D326" t="s">
        <v>410</v>
      </c>
      <c r="E326" s="45"/>
    </row>
    <row r="327" spans="1:5" x14ac:dyDescent="0.3">
      <c r="A327" s="93"/>
      <c r="C327" t="s">
        <v>844</v>
      </c>
      <c r="D327" t="s">
        <v>43</v>
      </c>
      <c r="E327" s="45"/>
    </row>
    <row r="328" spans="1:5" x14ac:dyDescent="0.3">
      <c r="A328" s="93"/>
      <c r="C328" t="s">
        <v>845</v>
      </c>
      <c r="D328" t="s">
        <v>492</v>
      </c>
      <c r="E328" s="45"/>
    </row>
    <row r="329" spans="1:5" x14ac:dyDescent="0.3">
      <c r="A329" s="93"/>
      <c r="C329" t="s">
        <v>846</v>
      </c>
      <c r="D329" t="s">
        <v>410</v>
      </c>
      <c r="E329" s="45"/>
    </row>
    <row r="330" spans="1:5" x14ac:dyDescent="0.3">
      <c r="A330" s="93"/>
      <c r="C330" t="s">
        <v>847</v>
      </c>
      <c r="D330" t="s">
        <v>401</v>
      </c>
      <c r="E330" s="45"/>
    </row>
    <row r="331" spans="1:5" x14ac:dyDescent="0.3">
      <c r="A331" s="93"/>
      <c r="C331" t="s">
        <v>848</v>
      </c>
      <c r="D331" t="s">
        <v>62</v>
      </c>
      <c r="E331" s="45"/>
    </row>
    <row r="332" spans="1:5" x14ac:dyDescent="0.3">
      <c r="A332" s="87" t="s">
        <v>940</v>
      </c>
      <c r="B332" s="17"/>
      <c r="C332" s="17"/>
      <c r="D332" s="17"/>
      <c r="E332" s="23"/>
    </row>
    <row r="333" spans="1:5" x14ac:dyDescent="0.3">
      <c r="A333" s="93"/>
      <c r="C333" t="s">
        <v>857</v>
      </c>
      <c r="D333" t="s">
        <v>58</v>
      </c>
      <c r="E333" s="45"/>
    </row>
    <row r="334" spans="1:5" x14ac:dyDescent="0.3">
      <c r="A334" s="93"/>
      <c r="C334" t="s">
        <v>858</v>
      </c>
      <c r="D334" t="s">
        <v>401</v>
      </c>
      <c r="E334" s="45"/>
    </row>
    <row r="335" spans="1:5" x14ac:dyDescent="0.3">
      <c r="A335" s="93"/>
      <c r="C335" t="s">
        <v>859</v>
      </c>
      <c r="D335" t="s">
        <v>410</v>
      </c>
      <c r="E335" s="45"/>
    </row>
    <row r="336" spans="1:5" x14ac:dyDescent="0.3">
      <c r="A336" s="93"/>
      <c r="C336" t="s">
        <v>862</v>
      </c>
      <c r="D336" t="s">
        <v>860</v>
      </c>
      <c r="E336" s="45"/>
    </row>
    <row r="337" spans="1:5" x14ac:dyDescent="0.3">
      <c r="A337" s="93"/>
      <c r="C337" t="s">
        <v>867</v>
      </c>
      <c r="D337" t="s">
        <v>410</v>
      </c>
      <c r="E337" s="45"/>
    </row>
    <row r="338" spans="1:5" x14ac:dyDescent="0.3">
      <c r="A338" s="93"/>
      <c r="C338" t="s">
        <v>868</v>
      </c>
      <c r="D338" t="s">
        <v>410</v>
      </c>
      <c r="E338" s="45"/>
    </row>
    <row r="339" spans="1:5" x14ac:dyDescent="0.3">
      <c r="A339" s="93"/>
      <c r="C339" t="s">
        <v>869</v>
      </c>
      <c r="D339" t="s">
        <v>410</v>
      </c>
      <c r="E339" s="45"/>
    </row>
    <row r="340" spans="1:5" x14ac:dyDescent="0.3">
      <c r="A340" s="93"/>
      <c r="C340" t="s">
        <v>870</v>
      </c>
      <c r="D340" t="s">
        <v>7</v>
      </c>
      <c r="E340" s="45"/>
    </row>
    <row r="341" spans="1:5" x14ac:dyDescent="0.3">
      <c r="A341" s="93"/>
      <c r="C341" t="s">
        <v>871</v>
      </c>
      <c r="D341" t="s">
        <v>62</v>
      </c>
      <c r="E341" s="45"/>
    </row>
    <row r="342" spans="1:5" x14ac:dyDescent="0.3">
      <c r="A342" s="93"/>
      <c r="C342" t="s">
        <v>872</v>
      </c>
      <c r="D342" t="s">
        <v>492</v>
      </c>
      <c r="E342" s="45"/>
    </row>
    <row r="343" spans="1:5" x14ac:dyDescent="0.3">
      <c r="A343" s="93"/>
      <c r="C343" t="s">
        <v>874</v>
      </c>
      <c r="D343" t="s">
        <v>58</v>
      </c>
      <c r="E343" s="45"/>
    </row>
    <row r="344" spans="1:5" x14ac:dyDescent="0.3">
      <c r="A344" s="87" t="s">
        <v>941</v>
      </c>
      <c r="B344" s="17"/>
      <c r="C344" s="17"/>
      <c r="D344" s="17"/>
      <c r="E344" s="23"/>
    </row>
    <row r="345" spans="1:5" x14ac:dyDescent="0.3">
      <c r="A345" s="93"/>
      <c r="C345" t="s">
        <v>892</v>
      </c>
      <c r="D345" t="s">
        <v>860</v>
      </c>
      <c r="E345" s="45"/>
    </row>
    <row r="346" spans="1:5" x14ac:dyDescent="0.3">
      <c r="A346" s="93"/>
      <c r="C346" t="s">
        <v>896</v>
      </c>
      <c r="D346" t="s">
        <v>410</v>
      </c>
      <c r="E346" s="45"/>
    </row>
    <row r="347" spans="1:5" x14ac:dyDescent="0.3">
      <c r="A347" s="93"/>
      <c r="C347" t="s">
        <v>898</v>
      </c>
      <c r="D347" t="s">
        <v>7</v>
      </c>
      <c r="E347" s="45"/>
    </row>
    <row r="348" spans="1:5" x14ac:dyDescent="0.3">
      <c r="A348" s="93"/>
      <c r="C348" t="s">
        <v>899</v>
      </c>
      <c r="D348" t="s">
        <v>785</v>
      </c>
      <c r="E348" s="45"/>
    </row>
    <row r="349" spans="1:5" x14ac:dyDescent="0.3">
      <c r="A349" s="93"/>
      <c r="C349" t="s">
        <v>900</v>
      </c>
      <c r="D349" t="s">
        <v>410</v>
      </c>
      <c r="E349" s="45"/>
    </row>
    <row r="350" spans="1:5" x14ac:dyDescent="0.3">
      <c r="A350" s="93"/>
      <c r="C350" t="s">
        <v>901</v>
      </c>
      <c r="D350" t="s">
        <v>902</v>
      </c>
      <c r="E350" s="45"/>
    </row>
    <row r="351" spans="1:5" x14ac:dyDescent="0.3">
      <c r="A351" s="93"/>
      <c r="C351" t="s">
        <v>903</v>
      </c>
      <c r="D351" t="s">
        <v>23</v>
      </c>
      <c r="E351" s="45"/>
    </row>
    <row r="352" spans="1:5" x14ac:dyDescent="0.3">
      <c r="A352" s="93"/>
      <c r="C352" t="s">
        <v>907</v>
      </c>
      <c r="D352" t="s">
        <v>20</v>
      </c>
      <c r="E352" s="45"/>
    </row>
    <row r="353" spans="1:5" x14ac:dyDescent="0.3">
      <c r="A353" s="93"/>
      <c r="C353" t="s">
        <v>908</v>
      </c>
      <c r="D353" t="s">
        <v>492</v>
      </c>
      <c r="E353" s="45"/>
    </row>
    <row r="354" spans="1:5" x14ac:dyDescent="0.3">
      <c r="A354" s="93"/>
      <c r="C354" t="s">
        <v>910</v>
      </c>
      <c r="D354" t="s">
        <v>860</v>
      </c>
      <c r="E354" s="45"/>
    </row>
    <row r="355" spans="1:5" x14ac:dyDescent="0.3">
      <c r="A355" s="93"/>
      <c r="C355" t="s">
        <v>911</v>
      </c>
      <c r="D355" t="s">
        <v>410</v>
      </c>
      <c r="E355" s="45"/>
    </row>
    <row r="356" spans="1:5" x14ac:dyDescent="0.3">
      <c r="A356" s="93"/>
      <c r="C356" t="s">
        <v>912</v>
      </c>
      <c r="D356" t="s">
        <v>58</v>
      </c>
      <c r="E356" s="45"/>
    </row>
    <row r="357" spans="1:5" x14ac:dyDescent="0.3">
      <c r="A357" s="93"/>
      <c r="C357" t="s">
        <v>913</v>
      </c>
      <c r="D357" t="s">
        <v>62</v>
      </c>
      <c r="E357" s="45"/>
    </row>
    <row r="358" spans="1:5" x14ac:dyDescent="0.3">
      <c r="A358" s="93"/>
      <c r="C358" t="s">
        <v>915</v>
      </c>
      <c r="D358" t="s">
        <v>860</v>
      </c>
      <c r="E358" s="45"/>
    </row>
    <row r="359" spans="1:5" x14ac:dyDescent="0.3">
      <c r="A359" s="93"/>
      <c r="C359" t="s">
        <v>916</v>
      </c>
      <c r="D359" t="s">
        <v>401</v>
      </c>
      <c r="E359" s="45"/>
    </row>
    <row r="360" spans="1:5" x14ac:dyDescent="0.3">
      <c r="A360" s="87" t="s">
        <v>942</v>
      </c>
      <c r="B360" s="17"/>
      <c r="C360" s="17"/>
      <c r="D360" s="17"/>
      <c r="E360" s="23"/>
    </row>
    <row r="361" spans="1:5" x14ac:dyDescent="0.3">
      <c r="A361" s="93"/>
      <c r="C361" t="s">
        <v>925</v>
      </c>
      <c r="D361" t="s">
        <v>410</v>
      </c>
      <c r="E361" s="45"/>
    </row>
    <row r="362" spans="1:5" x14ac:dyDescent="0.3">
      <c r="A362" s="93"/>
      <c r="C362" t="s">
        <v>926</v>
      </c>
      <c r="D362" t="s">
        <v>58</v>
      </c>
      <c r="E362" s="45"/>
    </row>
    <row r="363" spans="1:5" x14ac:dyDescent="0.3">
      <c r="A363" s="93"/>
      <c r="C363" t="s">
        <v>928</v>
      </c>
      <c r="D363" t="s">
        <v>410</v>
      </c>
      <c r="E363" s="45"/>
    </row>
    <row r="364" spans="1:5" x14ac:dyDescent="0.3">
      <c r="A364" s="93"/>
      <c r="C364" t="s">
        <v>931</v>
      </c>
      <c r="D364" t="s">
        <v>929</v>
      </c>
      <c r="E364" s="45"/>
    </row>
    <row r="365" spans="1:5" x14ac:dyDescent="0.3">
      <c r="A365" s="93"/>
      <c r="C365" t="s">
        <v>932</v>
      </c>
      <c r="D365" t="s">
        <v>410</v>
      </c>
      <c r="E365" s="45"/>
    </row>
    <row r="366" spans="1:5" x14ac:dyDescent="0.3">
      <c r="A366" s="93"/>
      <c r="C366" t="s">
        <v>933</v>
      </c>
      <c r="D366" t="s">
        <v>492</v>
      </c>
      <c r="E366" s="45"/>
    </row>
    <row r="367" spans="1:5" x14ac:dyDescent="0.3">
      <c r="A367" s="93"/>
      <c r="C367" t="s">
        <v>934</v>
      </c>
      <c r="D367" t="s">
        <v>410</v>
      </c>
      <c r="E367" s="45"/>
    </row>
    <row r="368" spans="1:5" x14ac:dyDescent="0.3">
      <c r="A368" s="93"/>
      <c r="C368" t="s">
        <v>935</v>
      </c>
      <c r="D368" t="s">
        <v>410</v>
      </c>
      <c r="E368" s="45"/>
    </row>
    <row r="369" spans="1:5" x14ac:dyDescent="0.3">
      <c r="A369" s="93"/>
      <c r="C369" t="s">
        <v>937</v>
      </c>
      <c r="D369" t="s">
        <v>7</v>
      </c>
      <c r="E369" s="45"/>
    </row>
    <row r="370" spans="1:5" x14ac:dyDescent="0.3">
      <c r="A370" s="93"/>
      <c r="C370" t="s">
        <v>938</v>
      </c>
      <c r="D370" t="s">
        <v>492</v>
      </c>
      <c r="E370" s="45"/>
    </row>
    <row r="371" spans="1:5" x14ac:dyDescent="0.3">
      <c r="A371" s="93"/>
      <c r="E371" s="45"/>
    </row>
    <row r="372" spans="1:5" x14ac:dyDescent="0.3">
      <c r="A372" s="93"/>
      <c r="E372" s="45"/>
    </row>
    <row r="373" spans="1:5" x14ac:dyDescent="0.3">
      <c r="A373" s="93"/>
      <c r="E373" s="45"/>
    </row>
    <row r="374" spans="1:5" x14ac:dyDescent="0.3">
      <c r="A374" s="93"/>
      <c r="E374" s="45"/>
    </row>
    <row r="375" spans="1:5" x14ac:dyDescent="0.3">
      <c r="A375" s="93"/>
      <c r="E375" s="45"/>
    </row>
    <row r="376" spans="1:5" x14ac:dyDescent="0.3">
      <c r="A376" s="93"/>
      <c r="E376" s="45"/>
    </row>
    <row r="377" spans="1:5" x14ac:dyDescent="0.3">
      <c r="A377" s="93"/>
      <c r="E377" s="45"/>
    </row>
    <row r="378" spans="1:5" x14ac:dyDescent="0.3">
      <c r="A378" s="93"/>
      <c r="E378" s="45"/>
    </row>
    <row r="379" spans="1:5" x14ac:dyDescent="0.3">
      <c r="A379" s="93"/>
      <c r="E379" s="45"/>
    </row>
    <row r="380" spans="1:5" x14ac:dyDescent="0.3">
      <c r="A380" s="93"/>
      <c r="E380" s="45"/>
    </row>
    <row r="381" spans="1:5" x14ac:dyDescent="0.3">
      <c r="A381" s="93"/>
      <c r="E381" s="45"/>
    </row>
    <row r="382" spans="1:5" x14ac:dyDescent="0.3">
      <c r="A382" s="93"/>
      <c r="E382" s="45"/>
    </row>
    <row r="383" spans="1:5" x14ac:dyDescent="0.3">
      <c r="A383" s="87" t="s">
        <v>943</v>
      </c>
      <c r="B383" s="17"/>
      <c r="C383" s="17"/>
      <c r="D383" s="17"/>
      <c r="E383" s="23"/>
    </row>
    <row r="384" spans="1:5" x14ac:dyDescent="0.3">
      <c r="A384" s="93"/>
      <c r="E384" s="45"/>
    </row>
    <row r="385" spans="1:5" x14ac:dyDescent="0.3">
      <c r="A385" s="93"/>
      <c r="E385" s="45"/>
    </row>
    <row r="386" spans="1:5" x14ac:dyDescent="0.3">
      <c r="A386" s="93"/>
      <c r="E386" s="45"/>
    </row>
    <row r="387" spans="1:5" x14ac:dyDescent="0.3">
      <c r="A387" s="93"/>
      <c r="E387" s="45"/>
    </row>
    <row r="388" spans="1:5" x14ac:dyDescent="0.3">
      <c r="A388" s="93"/>
      <c r="E388" s="45"/>
    </row>
    <row r="389" spans="1:5" x14ac:dyDescent="0.3">
      <c r="A389" s="93"/>
      <c r="E389" s="45"/>
    </row>
    <row r="390" spans="1:5" x14ac:dyDescent="0.3">
      <c r="A390" s="93"/>
      <c r="E390" s="45"/>
    </row>
    <row r="391" spans="1:5" x14ac:dyDescent="0.3">
      <c r="A391" s="93"/>
      <c r="E391" s="45"/>
    </row>
    <row r="392" spans="1:5" x14ac:dyDescent="0.3">
      <c r="A392" s="93"/>
      <c r="E392" s="45"/>
    </row>
    <row r="393" spans="1:5" x14ac:dyDescent="0.3">
      <c r="A393" s="93"/>
      <c r="E393" s="45"/>
    </row>
    <row r="394" spans="1:5" x14ac:dyDescent="0.3">
      <c r="A394" s="93"/>
      <c r="E394" s="45"/>
    </row>
    <row r="395" spans="1:5" x14ac:dyDescent="0.3">
      <c r="A395" s="93"/>
      <c r="E395" s="45"/>
    </row>
    <row r="396" spans="1:5" x14ac:dyDescent="0.3">
      <c r="A396" s="93"/>
      <c r="E396" s="45"/>
    </row>
    <row r="397" spans="1:5" x14ac:dyDescent="0.3">
      <c r="A397" s="93"/>
      <c r="E397" s="45"/>
    </row>
    <row r="398" spans="1:5" x14ac:dyDescent="0.3">
      <c r="A398" s="93"/>
      <c r="E398" s="45"/>
    </row>
    <row r="399" spans="1:5" x14ac:dyDescent="0.3">
      <c r="A399" s="93"/>
      <c r="E399" s="45"/>
    </row>
    <row r="400" spans="1:5" x14ac:dyDescent="0.3">
      <c r="A400" s="93"/>
      <c r="E400" s="45"/>
    </row>
    <row r="401" spans="1:5" x14ac:dyDescent="0.3">
      <c r="A401" s="93"/>
      <c r="E401" s="45"/>
    </row>
    <row r="402" spans="1:5" x14ac:dyDescent="0.3">
      <c r="A402" s="93"/>
      <c r="E402" s="45"/>
    </row>
    <row r="403" spans="1:5" x14ac:dyDescent="0.3">
      <c r="A403" s="93"/>
      <c r="E403" s="45"/>
    </row>
    <row r="404" spans="1:5" x14ac:dyDescent="0.3">
      <c r="A404" s="93"/>
      <c r="E404" s="45"/>
    </row>
    <row r="405" spans="1:5" x14ac:dyDescent="0.3">
      <c r="A405" s="93"/>
      <c r="E405" s="45"/>
    </row>
    <row r="406" spans="1:5" x14ac:dyDescent="0.3">
      <c r="A406" s="93"/>
      <c r="E406" s="45"/>
    </row>
    <row r="407" spans="1:5" x14ac:dyDescent="0.3">
      <c r="A407" s="93"/>
      <c r="E407" s="45"/>
    </row>
    <row r="408" spans="1:5" x14ac:dyDescent="0.3">
      <c r="A408" s="93"/>
      <c r="E408" s="45"/>
    </row>
    <row r="409" spans="1:5" x14ac:dyDescent="0.3">
      <c r="A409" s="93"/>
      <c r="E409" s="45"/>
    </row>
    <row r="410" spans="1:5" x14ac:dyDescent="0.3">
      <c r="A410" s="93"/>
      <c r="E410" s="45"/>
    </row>
    <row r="411" spans="1:5" x14ac:dyDescent="0.3">
      <c r="A411" s="58" t="s">
        <v>131</v>
      </c>
      <c r="B411" s="58"/>
      <c r="C411" s="58"/>
      <c r="D411" s="58"/>
      <c r="E411" s="59">
        <f>SUM(E292,E262)</f>
        <v>4550</v>
      </c>
    </row>
  </sheetData>
  <phoneticPr fontId="2" type="noConversion"/>
  <pageMargins left="0.78740157480314965" right="0" top="0.39370078740157483" bottom="0.39370078740157483" header="0.31496062992125984" footer="0"/>
  <pageSetup scale="75" orientation="portrait" r:id="rId1"/>
  <headerFooter>
    <oddHeader>&amp;LChemitjaya Sdn Bhd - Transportation Fee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tabColor rgb="FF00B050"/>
  </sheetPr>
  <dimension ref="A1:E205"/>
  <sheetViews>
    <sheetView topLeftCell="A187" workbookViewId="0">
      <selection activeCell="E206" sqref="E206"/>
    </sheetView>
  </sheetViews>
  <sheetFormatPr defaultRowHeight="14.4" x14ac:dyDescent="0.3"/>
  <cols>
    <col min="1" max="1" width="20.5546875" bestFit="1" customWidth="1"/>
    <col min="2" max="2" width="21.44140625" customWidth="1"/>
    <col min="3" max="3" width="37.88671875" bestFit="1" customWidth="1"/>
    <col min="4" max="4" width="31.44140625" bestFit="1" customWidth="1"/>
    <col min="5" max="5" width="11.44140625" bestFit="1" customWidth="1"/>
  </cols>
  <sheetData>
    <row r="1" spans="1:5" x14ac:dyDescent="0.3">
      <c r="A1" s="14" t="s">
        <v>226</v>
      </c>
      <c r="B1" s="92">
        <v>2022</v>
      </c>
    </row>
    <row r="3" spans="1:5" x14ac:dyDescent="0.3">
      <c r="A3" s="14" t="s">
        <v>199</v>
      </c>
    </row>
    <row r="4" spans="1:5" x14ac:dyDescent="0.3">
      <c r="A4" s="14" t="s">
        <v>163</v>
      </c>
      <c r="B4" s="14" t="s">
        <v>3</v>
      </c>
      <c r="C4" s="14" t="s">
        <v>2</v>
      </c>
      <c r="D4" s="14" t="s">
        <v>1</v>
      </c>
      <c r="E4" t="s">
        <v>310</v>
      </c>
    </row>
    <row r="5" spans="1:5" x14ac:dyDescent="0.3">
      <c r="A5">
        <v>3</v>
      </c>
      <c r="B5" s="57">
        <v>44625</v>
      </c>
      <c r="C5" t="s">
        <v>634</v>
      </c>
      <c r="D5" t="s">
        <v>492</v>
      </c>
      <c r="E5" s="18">
        <v>6301</v>
      </c>
    </row>
    <row r="6" spans="1:5" x14ac:dyDescent="0.3">
      <c r="B6" s="57">
        <v>44628</v>
      </c>
      <c r="C6" t="s">
        <v>635</v>
      </c>
      <c r="D6" t="s">
        <v>638</v>
      </c>
      <c r="E6" s="18">
        <v>4873</v>
      </c>
    </row>
    <row r="7" spans="1:5" x14ac:dyDescent="0.3">
      <c r="C7" t="s">
        <v>636</v>
      </c>
      <c r="D7" t="s">
        <v>62</v>
      </c>
      <c r="E7" s="18">
        <v>15280</v>
      </c>
    </row>
    <row r="8" spans="1:5" x14ac:dyDescent="0.3">
      <c r="B8" s="57">
        <v>44629</v>
      </c>
      <c r="C8" t="s">
        <v>643</v>
      </c>
      <c r="D8" t="s">
        <v>638</v>
      </c>
      <c r="E8" s="18">
        <v>65</v>
      </c>
    </row>
    <row r="9" spans="1:5" x14ac:dyDescent="0.3">
      <c r="B9" s="57">
        <v>44631</v>
      </c>
      <c r="C9" t="s">
        <v>644</v>
      </c>
      <c r="D9" t="s">
        <v>401</v>
      </c>
      <c r="E9" s="18">
        <v>6379.9</v>
      </c>
    </row>
    <row r="10" spans="1:5" x14ac:dyDescent="0.3">
      <c r="B10" s="57">
        <v>44632</v>
      </c>
      <c r="C10" t="s">
        <v>645</v>
      </c>
      <c r="D10" t="s">
        <v>638</v>
      </c>
      <c r="E10" s="18">
        <v>390</v>
      </c>
    </row>
    <row r="11" spans="1:5" x14ac:dyDescent="0.3">
      <c r="C11" t="s">
        <v>646</v>
      </c>
      <c r="D11" t="s">
        <v>43</v>
      </c>
      <c r="E11" s="18">
        <v>2068</v>
      </c>
    </row>
    <row r="12" spans="1:5" x14ac:dyDescent="0.3">
      <c r="B12" s="57">
        <v>44634</v>
      </c>
      <c r="C12" t="s">
        <v>647</v>
      </c>
      <c r="D12" t="s">
        <v>410</v>
      </c>
      <c r="E12" s="18">
        <v>3029</v>
      </c>
    </row>
    <row r="13" spans="1:5" x14ac:dyDescent="0.3">
      <c r="B13" s="57">
        <v>44635</v>
      </c>
      <c r="C13" t="s">
        <v>648</v>
      </c>
      <c r="D13" t="s">
        <v>62</v>
      </c>
      <c r="E13" s="18">
        <v>14185</v>
      </c>
    </row>
    <row r="14" spans="1:5" x14ac:dyDescent="0.3">
      <c r="C14" t="s">
        <v>649</v>
      </c>
      <c r="D14" t="s">
        <v>410</v>
      </c>
      <c r="E14" s="18">
        <v>11425</v>
      </c>
    </row>
    <row r="15" spans="1:5" x14ac:dyDescent="0.3">
      <c r="B15" s="57">
        <v>44637</v>
      </c>
      <c r="C15" t="s">
        <v>650</v>
      </c>
      <c r="D15" t="s">
        <v>401</v>
      </c>
      <c r="E15" s="18">
        <v>315</v>
      </c>
    </row>
    <row r="16" spans="1:5" x14ac:dyDescent="0.3">
      <c r="B16" s="57">
        <v>44638</v>
      </c>
      <c r="C16" t="s">
        <v>651</v>
      </c>
      <c r="D16" t="s">
        <v>410</v>
      </c>
      <c r="E16" s="18">
        <v>9888</v>
      </c>
    </row>
    <row r="17" spans="1:5" x14ac:dyDescent="0.3">
      <c r="B17" s="57">
        <v>44639</v>
      </c>
      <c r="C17" t="s">
        <v>652</v>
      </c>
      <c r="D17" t="s">
        <v>492</v>
      </c>
      <c r="E17" s="18">
        <v>8127.5</v>
      </c>
    </row>
    <row r="18" spans="1:5" x14ac:dyDescent="0.3">
      <c r="B18" s="57">
        <v>44641</v>
      </c>
      <c r="C18" t="s">
        <v>653</v>
      </c>
      <c r="D18" t="s">
        <v>43</v>
      </c>
      <c r="E18" s="18">
        <v>337.5</v>
      </c>
    </row>
    <row r="19" spans="1:5" x14ac:dyDescent="0.3">
      <c r="B19" s="57">
        <v>44643</v>
      </c>
      <c r="C19" t="s">
        <v>654</v>
      </c>
      <c r="D19" t="s">
        <v>410</v>
      </c>
      <c r="E19" s="18">
        <v>8819</v>
      </c>
    </row>
    <row r="20" spans="1:5" x14ac:dyDescent="0.3">
      <c r="B20" s="57">
        <v>44645</v>
      </c>
      <c r="C20" t="s">
        <v>661</v>
      </c>
      <c r="D20" t="s">
        <v>410</v>
      </c>
      <c r="E20" s="18">
        <v>14422</v>
      </c>
    </row>
    <row r="21" spans="1:5" x14ac:dyDescent="0.3">
      <c r="B21" s="57">
        <v>44649</v>
      </c>
      <c r="C21" t="s">
        <v>662</v>
      </c>
      <c r="D21" t="s">
        <v>7</v>
      </c>
      <c r="E21" s="18">
        <v>3232</v>
      </c>
    </row>
    <row r="22" spans="1:5" x14ac:dyDescent="0.3">
      <c r="C22" t="s">
        <v>663</v>
      </c>
      <c r="D22" t="s">
        <v>410</v>
      </c>
      <c r="E22" s="18">
        <v>7593</v>
      </c>
    </row>
    <row r="23" spans="1:5" x14ac:dyDescent="0.3">
      <c r="B23" s="57">
        <v>44651</v>
      </c>
      <c r="C23" t="s">
        <v>664</v>
      </c>
      <c r="D23" t="s">
        <v>666</v>
      </c>
      <c r="E23" s="18">
        <v>3555</v>
      </c>
    </row>
    <row r="24" spans="1:5" x14ac:dyDescent="0.3">
      <c r="A24" s="58" t="s">
        <v>288</v>
      </c>
      <c r="B24" s="58"/>
      <c r="C24" s="58"/>
      <c r="D24" s="58"/>
      <c r="E24" s="102">
        <v>120284.9</v>
      </c>
    </row>
    <row r="25" spans="1:5" x14ac:dyDescent="0.3">
      <c r="A25">
        <v>4</v>
      </c>
      <c r="B25" t="s">
        <v>722</v>
      </c>
      <c r="C25" t="s">
        <v>721</v>
      </c>
      <c r="D25" t="s">
        <v>666</v>
      </c>
      <c r="E25" s="18">
        <v>3799</v>
      </c>
    </row>
    <row r="26" spans="1:5" x14ac:dyDescent="0.3">
      <c r="B26" s="57">
        <v>44652</v>
      </c>
      <c r="C26" t="s">
        <v>681</v>
      </c>
      <c r="D26" t="s">
        <v>492</v>
      </c>
      <c r="E26" s="18">
        <v>6083.5</v>
      </c>
    </row>
    <row r="27" spans="1:5" x14ac:dyDescent="0.3">
      <c r="C27" t="s">
        <v>684</v>
      </c>
      <c r="D27" t="s">
        <v>410</v>
      </c>
      <c r="E27" s="18">
        <v>9157.5</v>
      </c>
    </row>
    <row r="28" spans="1:5" x14ac:dyDescent="0.3">
      <c r="C28" t="s">
        <v>685</v>
      </c>
      <c r="D28" t="s">
        <v>638</v>
      </c>
      <c r="E28" s="18">
        <v>3480</v>
      </c>
    </row>
    <row r="29" spans="1:5" x14ac:dyDescent="0.3">
      <c r="B29" s="57">
        <v>44656</v>
      </c>
      <c r="C29" t="s">
        <v>686</v>
      </c>
      <c r="D29" t="s">
        <v>410</v>
      </c>
      <c r="E29" s="18">
        <v>10497.5</v>
      </c>
    </row>
    <row r="30" spans="1:5" x14ac:dyDescent="0.3">
      <c r="B30" s="57">
        <v>44659</v>
      </c>
      <c r="C30" t="s">
        <v>687</v>
      </c>
      <c r="D30" t="s">
        <v>401</v>
      </c>
      <c r="E30" s="18">
        <v>6361.1</v>
      </c>
    </row>
    <row r="31" spans="1:5" x14ac:dyDescent="0.3">
      <c r="C31" t="s">
        <v>688</v>
      </c>
      <c r="D31" t="s">
        <v>20</v>
      </c>
      <c r="E31" s="18">
        <v>7316</v>
      </c>
    </row>
    <row r="32" spans="1:5" x14ac:dyDescent="0.3">
      <c r="B32" s="57">
        <v>44660</v>
      </c>
      <c r="C32" t="s">
        <v>689</v>
      </c>
      <c r="D32" t="s">
        <v>58</v>
      </c>
      <c r="E32" s="18">
        <v>5043</v>
      </c>
    </row>
    <row r="33" spans="2:5" x14ac:dyDescent="0.3">
      <c r="C33" t="s">
        <v>690</v>
      </c>
      <c r="D33" t="s">
        <v>410</v>
      </c>
      <c r="E33" s="18">
        <v>8569.5</v>
      </c>
    </row>
    <row r="34" spans="2:5" x14ac:dyDescent="0.3">
      <c r="C34" t="s">
        <v>691</v>
      </c>
      <c r="D34" t="s">
        <v>774</v>
      </c>
      <c r="E34" s="18">
        <v>3881.5</v>
      </c>
    </row>
    <row r="35" spans="2:5" x14ac:dyDescent="0.3">
      <c r="B35" s="57">
        <v>44663</v>
      </c>
      <c r="C35" t="s">
        <v>692</v>
      </c>
      <c r="D35" t="s">
        <v>638</v>
      </c>
      <c r="E35" s="18">
        <v>590</v>
      </c>
    </row>
    <row r="36" spans="2:5" x14ac:dyDescent="0.3">
      <c r="B36" s="57">
        <v>44664</v>
      </c>
      <c r="C36" t="s">
        <v>693</v>
      </c>
      <c r="D36" t="s">
        <v>774</v>
      </c>
      <c r="E36" s="18">
        <v>588</v>
      </c>
    </row>
    <row r="37" spans="2:5" x14ac:dyDescent="0.3">
      <c r="C37" t="s">
        <v>694</v>
      </c>
      <c r="D37" t="s">
        <v>410</v>
      </c>
      <c r="E37" s="18">
        <v>10975.5</v>
      </c>
    </row>
    <row r="38" spans="2:5" x14ac:dyDescent="0.3">
      <c r="B38" s="57">
        <v>44665</v>
      </c>
      <c r="C38" t="s">
        <v>695</v>
      </c>
      <c r="D38" t="s">
        <v>492</v>
      </c>
      <c r="E38" s="18">
        <v>5746</v>
      </c>
    </row>
    <row r="39" spans="2:5" x14ac:dyDescent="0.3">
      <c r="B39" s="57">
        <v>44666</v>
      </c>
      <c r="C39" t="s">
        <v>696</v>
      </c>
      <c r="D39" t="s">
        <v>774</v>
      </c>
      <c r="E39" s="18">
        <v>2175</v>
      </c>
    </row>
    <row r="40" spans="2:5" x14ac:dyDescent="0.3">
      <c r="B40" s="57">
        <v>44667</v>
      </c>
      <c r="C40" t="s">
        <v>697</v>
      </c>
      <c r="D40" t="s">
        <v>410</v>
      </c>
      <c r="E40" s="18">
        <v>10103.5</v>
      </c>
    </row>
    <row r="41" spans="2:5" x14ac:dyDescent="0.3">
      <c r="C41" t="s">
        <v>698</v>
      </c>
      <c r="D41" t="s">
        <v>666</v>
      </c>
      <c r="E41" s="18">
        <v>14088.5</v>
      </c>
    </row>
    <row r="42" spans="2:5" x14ac:dyDescent="0.3">
      <c r="B42" s="57">
        <v>44670</v>
      </c>
      <c r="C42" t="s">
        <v>699</v>
      </c>
      <c r="D42" t="s">
        <v>410</v>
      </c>
      <c r="E42" s="18">
        <v>3076</v>
      </c>
    </row>
    <row r="43" spans="2:5" x14ac:dyDescent="0.3">
      <c r="B43" s="57">
        <v>44671</v>
      </c>
      <c r="C43" t="s">
        <v>700</v>
      </c>
      <c r="D43" t="s">
        <v>710</v>
      </c>
      <c r="E43" s="18">
        <v>1170</v>
      </c>
    </row>
    <row r="44" spans="2:5" x14ac:dyDescent="0.3">
      <c r="B44" s="57">
        <v>44672</v>
      </c>
      <c r="C44" t="s">
        <v>701</v>
      </c>
      <c r="D44" t="s">
        <v>23</v>
      </c>
      <c r="E44" s="18">
        <v>15222</v>
      </c>
    </row>
    <row r="45" spans="2:5" x14ac:dyDescent="0.3">
      <c r="C45" t="s">
        <v>702</v>
      </c>
      <c r="D45" t="s">
        <v>710</v>
      </c>
      <c r="E45" s="18">
        <v>68</v>
      </c>
    </row>
    <row r="46" spans="2:5" x14ac:dyDescent="0.3">
      <c r="C46" t="s">
        <v>716</v>
      </c>
      <c r="D46" t="s">
        <v>7</v>
      </c>
      <c r="E46" s="18">
        <v>2068</v>
      </c>
    </row>
    <row r="47" spans="2:5" x14ac:dyDescent="0.3">
      <c r="B47" s="57">
        <v>44673</v>
      </c>
      <c r="C47" t="s">
        <v>716</v>
      </c>
      <c r="D47" t="s">
        <v>7</v>
      </c>
      <c r="E47" s="18">
        <v>420</v>
      </c>
    </row>
    <row r="48" spans="2:5" x14ac:dyDescent="0.3">
      <c r="B48" s="57">
        <v>44674</v>
      </c>
      <c r="C48" t="s">
        <v>719</v>
      </c>
      <c r="D48" t="s">
        <v>410</v>
      </c>
      <c r="E48" s="18">
        <v>11151</v>
      </c>
    </row>
    <row r="49" spans="1:5" x14ac:dyDescent="0.3">
      <c r="B49" s="57">
        <v>44678</v>
      </c>
      <c r="C49" t="s">
        <v>724</v>
      </c>
      <c r="D49" t="s">
        <v>62</v>
      </c>
      <c r="E49" s="18">
        <v>11160</v>
      </c>
    </row>
    <row r="50" spans="1:5" x14ac:dyDescent="0.3">
      <c r="B50" s="57">
        <v>44679</v>
      </c>
      <c r="C50" t="s">
        <v>725</v>
      </c>
      <c r="D50" t="s">
        <v>492</v>
      </c>
      <c r="E50" s="18">
        <v>5458</v>
      </c>
    </row>
    <row r="51" spans="1:5" x14ac:dyDescent="0.3">
      <c r="C51" t="s">
        <v>726</v>
      </c>
      <c r="D51" t="s">
        <v>410</v>
      </c>
      <c r="E51" s="18">
        <v>11858.5</v>
      </c>
    </row>
    <row r="52" spans="1:5" x14ac:dyDescent="0.3">
      <c r="C52" t="s">
        <v>727</v>
      </c>
      <c r="D52" t="s">
        <v>401</v>
      </c>
      <c r="E52" s="18">
        <v>6096.1</v>
      </c>
    </row>
    <row r="53" spans="1:5" x14ac:dyDescent="0.3">
      <c r="B53" s="57">
        <v>44680</v>
      </c>
      <c r="C53" t="s">
        <v>729</v>
      </c>
      <c r="D53" t="s">
        <v>666</v>
      </c>
      <c r="E53" s="18">
        <v>1350</v>
      </c>
    </row>
    <row r="54" spans="1:5" x14ac:dyDescent="0.3">
      <c r="B54" s="57">
        <v>44681</v>
      </c>
      <c r="C54" t="s">
        <v>730</v>
      </c>
      <c r="D54" t="s">
        <v>410</v>
      </c>
      <c r="E54" s="18">
        <v>15244</v>
      </c>
    </row>
    <row r="55" spans="1:5" x14ac:dyDescent="0.3">
      <c r="A55" s="58" t="s">
        <v>309</v>
      </c>
      <c r="B55" s="58"/>
      <c r="C55" s="58"/>
      <c r="D55" s="58"/>
      <c r="E55" s="102">
        <v>192796.7</v>
      </c>
    </row>
    <row r="56" spans="1:5" x14ac:dyDescent="0.3">
      <c r="A56">
        <v>5</v>
      </c>
      <c r="B56" t="s">
        <v>768</v>
      </c>
      <c r="C56" t="s">
        <v>767</v>
      </c>
      <c r="D56" t="s">
        <v>43</v>
      </c>
      <c r="E56" s="18">
        <v>2534</v>
      </c>
    </row>
    <row r="57" spans="1:5" x14ac:dyDescent="0.3">
      <c r="B57" s="57">
        <v>44687</v>
      </c>
      <c r="C57" t="s">
        <v>763</v>
      </c>
      <c r="D57" t="s">
        <v>410</v>
      </c>
      <c r="E57" s="18">
        <v>11530</v>
      </c>
    </row>
    <row r="58" spans="1:5" x14ac:dyDescent="0.3">
      <c r="C58" t="s">
        <v>764</v>
      </c>
      <c r="D58" t="s">
        <v>666</v>
      </c>
      <c r="E58" s="18">
        <v>1350</v>
      </c>
    </row>
    <row r="59" spans="1:5" x14ac:dyDescent="0.3">
      <c r="B59" s="57">
        <v>44688</v>
      </c>
      <c r="C59" t="s">
        <v>765</v>
      </c>
      <c r="D59" t="s">
        <v>410</v>
      </c>
      <c r="E59" s="18">
        <v>16245</v>
      </c>
    </row>
    <row r="60" spans="1:5" x14ac:dyDescent="0.3">
      <c r="B60" s="57">
        <v>44691</v>
      </c>
      <c r="C60" t="s">
        <v>766</v>
      </c>
      <c r="D60" t="s">
        <v>58</v>
      </c>
      <c r="E60" s="18">
        <v>5100</v>
      </c>
    </row>
    <row r="61" spans="1:5" x14ac:dyDescent="0.3">
      <c r="B61" s="57">
        <v>44693</v>
      </c>
      <c r="C61" t="s">
        <v>770</v>
      </c>
      <c r="D61" t="s">
        <v>638</v>
      </c>
      <c r="E61" s="18">
        <v>4317.8999999999996</v>
      </c>
    </row>
    <row r="62" spans="1:5" x14ac:dyDescent="0.3">
      <c r="C62" t="s">
        <v>775</v>
      </c>
      <c r="D62" t="s">
        <v>774</v>
      </c>
      <c r="E62" s="18">
        <v>8524.5</v>
      </c>
    </row>
    <row r="63" spans="1:5" x14ac:dyDescent="0.3">
      <c r="B63" s="57">
        <v>44695</v>
      </c>
      <c r="C63" t="s">
        <v>777</v>
      </c>
      <c r="D63" t="s">
        <v>43</v>
      </c>
      <c r="E63" s="18">
        <v>100</v>
      </c>
    </row>
    <row r="64" spans="1:5" x14ac:dyDescent="0.3">
      <c r="C64" t="s">
        <v>778</v>
      </c>
      <c r="D64" t="s">
        <v>410</v>
      </c>
      <c r="E64" s="18">
        <v>10369.5</v>
      </c>
    </row>
    <row r="65" spans="1:5" x14ac:dyDescent="0.3">
      <c r="B65" s="57">
        <v>44697</v>
      </c>
      <c r="C65" t="s">
        <v>780</v>
      </c>
      <c r="D65" t="s">
        <v>20</v>
      </c>
      <c r="E65" s="18">
        <v>7336</v>
      </c>
    </row>
    <row r="66" spans="1:5" x14ac:dyDescent="0.3">
      <c r="B66" s="57">
        <v>44699</v>
      </c>
      <c r="C66" t="s">
        <v>781</v>
      </c>
      <c r="D66" t="s">
        <v>410</v>
      </c>
      <c r="E66" s="18">
        <v>8417</v>
      </c>
    </row>
    <row r="67" spans="1:5" x14ac:dyDescent="0.3">
      <c r="B67" s="57">
        <v>44700</v>
      </c>
      <c r="C67" t="s">
        <v>782</v>
      </c>
      <c r="D67" t="s">
        <v>492</v>
      </c>
      <c r="E67" s="18">
        <v>3484</v>
      </c>
    </row>
    <row r="68" spans="1:5" x14ac:dyDescent="0.3">
      <c r="B68" s="57">
        <v>44701</v>
      </c>
      <c r="C68" t="s">
        <v>784</v>
      </c>
      <c r="D68" t="s">
        <v>410</v>
      </c>
      <c r="E68" s="18">
        <v>13110</v>
      </c>
    </row>
    <row r="69" spans="1:5" x14ac:dyDescent="0.3">
      <c r="B69" s="57">
        <v>44702</v>
      </c>
      <c r="C69" t="s">
        <v>789</v>
      </c>
      <c r="D69" t="s">
        <v>785</v>
      </c>
      <c r="E69" s="18">
        <v>1239.5999999999999</v>
      </c>
    </row>
    <row r="70" spans="1:5" x14ac:dyDescent="0.3">
      <c r="C70" t="s">
        <v>790</v>
      </c>
      <c r="D70" t="s">
        <v>410</v>
      </c>
      <c r="E70" s="18">
        <v>13110</v>
      </c>
    </row>
    <row r="71" spans="1:5" x14ac:dyDescent="0.3">
      <c r="B71" s="57">
        <v>44704</v>
      </c>
      <c r="C71" t="s">
        <v>791</v>
      </c>
      <c r="D71" t="s">
        <v>62</v>
      </c>
      <c r="E71" s="18">
        <v>14715</v>
      </c>
    </row>
    <row r="72" spans="1:5" x14ac:dyDescent="0.3">
      <c r="C72" t="s">
        <v>794</v>
      </c>
      <c r="D72" t="s">
        <v>410</v>
      </c>
      <c r="E72" s="18">
        <v>6750</v>
      </c>
    </row>
    <row r="73" spans="1:5" x14ac:dyDescent="0.3">
      <c r="C73" t="s">
        <v>795</v>
      </c>
      <c r="D73" t="s">
        <v>401</v>
      </c>
      <c r="E73" s="18">
        <v>6201.1</v>
      </c>
    </row>
    <row r="74" spans="1:5" x14ac:dyDescent="0.3">
      <c r="B74" s="57">
        <v>44705</v>
      </c>
      <c r="C74" t="s">
        <v>796</v>
      </c>
      <c r="D74" t="s">
        <v>23</v>
      </c>
      <c r="E74" s="18">
        <v>10120</v>
      </c>
    </row>
    <row r="75" spans="1:5" x14ac:dyDescent="0.3">
      <c r="B75" s="57">
        <v>44706</v>
      </c>
      <c r="C75" t="s">
        <v>797</v>
      </c>
      <c r="D75" t="s">
        <v>410</v>
      </c>
      <c r="E75" s="18">
        <v>14068</v>
      </c>
    </row>
    <row r="76" spans="1:5" x14ac:dyDescent="0.3">
      <c r="B76" s="57">
        <v>44709</v>
      </c>
      <c r="C76" t="s">
        <v>798</v>
      </c>
      <c r="D76" t="s">
        <v>492</v>
      </c>
      <c r="E76" s="18">
        <v>3241</v>
      </c>
    </row>
    <row r="77" spans="1:5" x14ac:dyDescent="0.3">
      <c r="A77" s="58" t="s">
        <v>331</v>
      </c>
      <c r="B77" s="58"/>
      <c r="C77" s="58"/>
      <c r="D77" s="58"/>
      <c r="E77" s="102">
        <v>161862.6</v>
      </c>
    </row>
    <row r="78" spans="1:5" x14ac:dyDescent="0.3">
      <c r="A78">
        <v>6</v>
      </c>
      <c r="B78" s="57">
        <v>44714</v>
      </c>
      <c r="C78" t="s">
        <v>827</v>
      </c>
      <c r="D78" t="s">
        <v>410</v>
      </c>
      <c r="E78" s="18">
        <v>12427</v>
      </c>
    </row>
    <row r="79" spans="1:5" x14ac:dyDescent="0.3">
      <c r="B79" s="57">
        <v>44715</v>
      </c>
      <c r="C79" t="s">
        <v>828</v>
      </c>
      <c r="D79" t="s">
        <v>638</v>
      </c>
      <c r="E79" s="18">
        <v>2112</v>
      </c>
    </row>
    <row r="80" spans="1:5" x14ac:dyDescent="0.3">
      <c r="B80" s="57">
        <v>44716</v>
      </c>
      <c r="C80" t="s">
        <v>829</v>
      </c>
      <c r="D80" t="s">
        <v>410</v>
      </c>
      <c r="E80" s="18">
        <v>9000</v>
      </c>
    </row>
    <row r="81" spans="1:5" x14ac:dyDescent="0.3">
      <c r="B81" s="57">
        <v>44719</v>
      </c>
      <c r="C81" t="s">
        <v>830</v>
      </c>
      <c r="D81" t="s">
        <v>7</v>
      </c>
      <c r="E81" s="18">
        <v>2356</v>
      </c>
    </row>
    <row r="82" spans="1:5" x14ac:dyDescent="0.3">
      <c r="B82" s="57">
        <v>44721</v>
      </c>
      <c r="C82" t="s">
        <v>832</v>
      </c>
      <c r="D82" t="s">
        <v>62</v>
      </c>
      <c r="E82" s="18">
        <v>12690</v>
      </c>
    </row>
    <row r="83" spans="1:5" x14ac:dyDescent="0.3">
      <c r="C83" t="s">
        <v>833</v>
      </c>
      <c r="D83" t="s">
        <v>638</v>
      </c>
      <c r="E83" s="18">
        <v>2112</v>
      </c>
    </row>
    <row r="84" spans="1:5" x14ac:dyDescent="0.3">
      <c r="B84" s="57">
        <v>44722</v>
      </c>
      <c r="C84" t="s">
        <v>834</v>
      </c>
      <c r="D84" t="s">
        <v>492</v>
      </c>
      <c r="E84" s="18">
        <v>2746</v>
      </c>
    </row>
    <row r="85" spans="1:5" x14ac:dyDescent="0.3">
      <c r="B85" s="57">
        <v>44723</v>
      </c>
      <c r="C85" t="s">
        <v>835</v>
      </c>
      <c r="D85" t="s">
        <v>410</v>
      </c>
      <c r="E85" s="18">
        <v>4950</v>
      </c>
    </row>
    <row r="86" spans="1:5" x14ac:dyDescent="0.3">
      <c r="B86" s="57">
        <v>44725</v>
      </c>
      <c r="C86" t="s">
        <v>836</v>
      </c>
      <c r="D86" t="s">
        <v>666</v>
      </c>
      <c r="E86" s="18">
        <v>2158</v>
      </c>
    </row>
    <row r="87" spans="1:5" x14ac:dyDescent="0.3">
      <c r="B87" s="57">
        <v>44726</v>
      </c>
      <c r="C87" t="s">
        <v>837</v>
      </c>
      <c r="D87" t="s">
        <v>58</v>
      </c>
      <c r="E87" s="18">
        <v>3960</v>
      </c>
    </row>
    <row r="88" spans="1:5" x14ac:dyDescent="0.3">
      <c r="C88" t="s">
        <v>838</v>
      </c>
      <c r="D88" t="s">
        <v>7</v>
      </c>
      <c r="E88" s="18">
        <v>3232</v>
      </c>
    </row>
    <row r="89" spans="1:5" x14ac:dyDescent="0.3">
      <c r="B89" s="57">
        <v>44730</v>
      </c>
      <c r="C89" t="s">
        <v>843</v>
      </c>
      <c r="D89" t="s">
        <v>410</v>
      </c>
      <c r="E89" s="18">
        <v>4431.5</v>
      </c>
    </row>
    <row r="90" spans="1:5" x14ac:dyDescent="0.3">
      <c r="B90" s="57">
        <v>44732</v>
      </c>
      <c r="C90" t="s">
        <v>844</v>
      </c>
      <c r="D90" t="s">
        <v>43</v>
      </c>
      <c r="E90" s="18">
        <v>2068</v>
      </c>
    </row>
    <row r="91" spans="1:5" x14ac:dyDescent="0.3">
      <c r="B91" s="57">
        <v>44736</v>
      </c>
      <c r="C91" t="s">
        <v>845</v>
      </c>
      <c r="D91" t="s">
        <v>492</v>
      </c>
      <c r="E91" s="18">
        <v>3374.5</v>
      </c>
    </row>
    <row r="92" spans="1:5" x14ac:dyDescent="0.3">
      <c r="C92" t="s">
        <v>846</v>
      </c>
      <c r="D92" t="s">
        <v>410</v>
      </c>
      <c r="E92" s="18">
        <v>5889</v>
      </c>
    </row>
    <row r="93" spans="1:5" x14ac:dyDescent="0.3">
      <c r="B93" s="57">
        <v>44740</v>
      </c>
      <c r="C93" t="s">
        <v>847</v>
      </c>
      <c r="D93" t="s">
        <v>401</v>
      </c>
      <c r="E93" s="18">
        <v>6223.6</v>
      </c>
    </row>
    <row r="94" spans="1:5" x14ac:dyDescent="0.3">
      <c r="B94" s="57">
        <v>44741</v>
      </c>
      <c r="C94" t="s">
        <v>848</v>
      </c>
      <c r="D94" t="s">
        <v>62</v>
      </c>
      <c r="E94" s="18">
        <v>18515</v>
      </c>
    </row>
    <row r="95" spans="1:5" x14ac:dyDescent="0.3">
      <c r="A95" s="58" t="s">
        <v>141</v>
      </c>
      <c r="B95" s="58"/>
      <c r="C95" s="58"/>
      <c r="D95" s="58"/>
      <c r="E95" s="102">
        <v>98244.6</v>
      </c>
    </row>
    <row r="96" spans="1:5" x14ac:dyDescent="0.3">
      <c r="A96">
        <v>7</v>
      </c>
      <c r="B96" s="57">
        <v>44743</v>
      </c>
      <c r="C96" t="s">
        <v>857</v>
      </c>
      <c r="D96" t="s">
        <v>58</v>
      </c>
      <c r="E96" s="18">
        <v>1539</v>
      </c>
    </row>
    <row r="97" spans="1:5" x14ac:dyDescent="0.3">
      <c r="B97" s="57">
        <v>44754</v>
      </c>
      <c r="C97" t="s">
        <v>858</v>
      </c>
      <c r="D97" t="s">
        <v>401</v>
      </c>
      <c r="E97" s="18">
        <v>5183.6000000000004</v>
      </c>
    </row>
    <row r="98" spans="1:5" x14ac:dyDescent="0.3">
      <c r="B98" s="57">
        <v>44756</v>
      </c>
      <c r="C98" t="s">
        <v>859</v>
      </c>
      <c r="D98" t="s">
        <v>410</v>
      </c>
      <c r="E98" s="18">
        <v>12855.5</v>
      </c>
    </row>
    <row r="99" spans="1:5" x14ac:dyDescent="0.3">
      <c r="C99" t="s">
        <v>862</v>
      </c>
      <c r="D99" t="s">
        <v>860</v>
      </c>
      <c r="E99" s="18">
        <v>8568.2000000000007</v>
      </c>
    </row>
    <row r="100" spans="1:5" x14ac:dyDescent="0.3">
      <c r="B100" s="57">
        <v>44760</v>
      </c>
      <c r="C100" t="s">
        <v>867</v>
      </c>
      <c r="D100" t="s">
        <v>410</v>
      </c>
      <c r="E100" s="18">
        <v>9153</v>
      </c>
    </row>
    <row r="101" spans="1:5" x14ac:dyDescent="0.3">
      <c r="B101" s="57">
        <v>44762</v>
      </c>
      <c r="C101" t="s">
        <v>868</v>
      </c>
      <c r="D101" t="s">
        <v>410</v>
      </c>
      <c r="E101" s="18">
        <v>925.5</v>
      </c>
    </row>
    <row r="102" spans="1:5" x14ac:dyDescent="0.3">
      <c r="B102" s="57">
        <v>44765</v>
      </c>
      <c r="C102" t="s">
        <v>869</v>
      </c>
      <c r="D102" t="s">
        <v>410</v>
      </c>
      <c r="E102" s="18">
        <v>6625</v>
      </c>
    </row>
    <row r="103" spans="1:5" x14ac:dyDescent="0.3">
      <c r="C103" t="s">
        <v>870</v>
      </c>
      <c r="D103" t="s">
        <v>7</v>
      </c>
      <c r="E103" s="18">
        <v>4092</v>
      </c>
    </row>
    <row r="104" spans="1:5" x14ac:dyDescent="0.3">
      <c r="B104" s="57">
        <v>44768</v>
      </c>
      <c r="C104" t="s">
        <v>871</v>
      </c>
      <c r="D104" t="s">
        <v>62</v>
      </c>
      <c r="E104" s="18">
        <v>13445</v>
      </c>
    </row>
    <row r="105" spans="1:5" x14ac:dyDescent="0.3">
      <c r="B105" s="57">
        <v>44771</v>
      </c>
      <c r="C105" t="s">
        <v>872</v>
      </c>
      <c r="D105" t="s">
        <v>492</v>
      </c>
      <c r="E105" s="18">
        <v>2180</v>
      </c>
    </row>
    <row r="106" spans="1:5" x14ac:dyDescent="0.3">
      <c r="C106" t="s">
        <v>874</v>
      </c>
      <c r="D106" t="s">
        <v>58</v>
      </c>
      <c r="E106" s="18">
        <v>4596.5</v>
      </c>
    </row>
    <row r="107" spans="1:5" x14ac:dyDescent="0.3">
      <c r="A107" s="58" t="s">
        <v>142</v>
      </c>
      <c r="B107" s="58"/>
      <c r="C107" s="58"/>
      <c r="D107" s="58"/>
      <c r="E107" s="102">
        <v>69163.3</v>
      </c>
    </row>
    <row r="108" spans="1:5" x14ac:dyDescent="0.3">
      <c r="A108">
        <v>8</v>
      </c>
      <c r="B108" s="57">
        <v>44777</v>
      </c>
      <c r="C108" t="s">
        <v>892</v>
      </c>
      <c r="D108" t="s">
        <v>860</v>
      </c>
      <c r="E108" s="18">
        <v>12643.199999999999</v>
      </c>
    </row>
    <row r="109" spans="1:5" x14ac:dyDescent="0.3">
      <c r="B109" s="57">
        <v>44779</v>
      </c>
      <c r="C109" t="s">
        <v>896</v>
      </c>
      <c r="D109" t="s">
        <v>410</v>
      </c>
      <c r="E109" s="18">
        <v>5268.6</v>
      </c>
    </row>
    <row r="110" spans="1:5" x14ac:dyDescent="0.3">
      <c r="C110" t="s">
        <v>898</v>
      </c>
      <c r="D110" t="s">
        <v>7</v>
      </c>
      <c r="E110" s="18">
        <v>864</v>
      </c>
    </row>
    <row r="111" spans="1:5" x14ac:dyDescent="0.3">
      <c r="B111" s="57">
        <v>44782</v>
      </c>
      <c r="C111" t="s">
        <v>899</v>
      </c>
      <c r="D111" t="s">
        <v>785</v>
      </c>
      <c r="E111" s="18">
        <v>2068</v>
      </c>
    </row>
    <row r="112" spans="1:5" x14ac:dyDescent="0.3">
      <c r="B112" s="57">
        <v>44785</v>
      </c>
      <c r="C112" t="s">
        <v>900</v>
      </c>
      <c r="D112" t="s">
        <v>410</v>
      </c>
      <c r="E112" s="18">
        <v>4312.5</v>
      </c>
    </row>
    <row r="113" spans="1:5" x14ac:dyDescent="0.3">
      <c r="B113" s="57">
        <v>44788</v>
      </c>
      <c r="C113" t="s">
        <v>901</v>
      </c>
      <c r="D113" t="s">
        <v>1045</v>
      </c>
      <c r="E113" s="18">
        <v>0</v>
      </c>
    </row>
    <row r="114" spans="1:5" x14ac:dyDescent="0.3">
      <c r="C114" t="s">
        <v>903</v>
      </c>
      <c r="D114" t="s">
        <v>23</v>
      </c>
      <c r="E114" s="18">
        <v>16536.7</v>
      </c>
    </row>
    <row r="115" spans="1:5" x14ac:dyDescent="0.3">
      <c r="C115" t="s">
        <v>907</v>
      </c>
      <c r="D115" t="s">
        <v>20</v>
      </c>
      <c r="E115" s="18">
        <v>7521</v>
      </c>
    </row>
    <row r="116" spans="1:5" x14ac:dyDescent="0.3">
      <c r="B116" s="57">
        <v>44789</v>
      </c>
      <c r="C116" t="s">
        <v>908</v>
      </c>
      <c r="D116" t="s">
        <v>492</v>
      </c>
      <c r="E116" s="18">
        <v>3459</v>
      </c>
    </row>
    <row r="117" spans="1:5" x14ac:dyDescent="0.3">
      <c r="B117" s="57">
        <v>44796</v>
      </c>
      <c r="C117" t="s">
        <v>910</v>
      </c>
      <c r="D117" t="s">
        <v>860</v>
      </c>
      <c r="E117" s="18">
        <v>5840</v>
      </c>
    </row>
    <row r="118" spans="1:5" x14ac:dyDescent="0.3">
      <c r="C118" t="s">
        <v>911</v>
      </c>
      <c r="D118" t="s">
        <v>410</v>
      </c>
      <c r="E118" s="18">
        <v>6838.5</v>
      </c>
    </row>
    <row r="119" spans="1:5" x14ac:dyDescent="0.3">
      <c r="C119" t="s">
        <v>912</v>
      </c>
      <c r="D119" t="s">
        <v>58</v>
      </c>
      <c r="E119" s="18">
        <v>762</v>
      </c>
    </row>
    <row r="120" spans="1:5" x14ac:dyDescent="0.3">
      <c r="B120" s="57">
        <v>44798</v>
      </c>
      <c r="C120" t="s">
        <v>913</v>
      </c>
      <c r="D120" t="s">
        <v>62</v>
      </c>
      <c r="E120" s="18">
        <v>15671</v>
      </c>
    </row>
    <row r="121" spans="1:5" x14ac:dyDescent="0.3">
      <c r="C121" t="s">
        <v>915</v>
      </c>
      <c r="D121" t="s">
        <v>860</v>
      </c>
      <c r="E121" s="18">
        <v>6006</v>
      </c>
    </row>
    <row r="122" spans="1:5" x14ac:dyDescent="0.3">
      <c r="C122" t="s">
        <v>916</v>
      </c>
      <c r="D122" t="s">
        <v>401</v>
      </c>
      <c r="E122" s="18">
        <v>5886.8</v>
      </c>
    </row>
    <row r="123" spans="1:5" x14ac:dyDescent="0.3">
      <c r="B123" s="57">
        <v>44799</v>
      </c>
      <c r="C123" t="s">
        <v>916</v>
      </c>
      <c r="D123" t="s">
        <v>401</v>
      </c>
      <c r="E123" s="18">
        <v>250</v>
      </c>
    </row>
    <row r="124" spans="1:5" x14ac:dyDescent="0.3">
      <c r="A124" s="58" t="s">
        <v>143</v>
      </c>
      <c r="B124" s="58"/>
      <c r="C124" s="58"/>
      <c r="D124" s="58"/>
      <c r="E124" s="102">
        <v>93927.3</v>
      </c>
    </row>
    <row r="125" spans="1:5" x14ac:dyDescent="0.3">
      <c r="A125">
        <v>9</v>
      </c>
      <c r="B125" t="s">
        <v>927</v>
      </c>
      <c r="C125" t="s">
        <v>926</v>
      </c>
      <c r="D125" t="s">
        <v>58</v>
      </c>
      <c r="E125" s="18">
        <v>3784</v>
      </c>
    </row>
    <row r="126" spans="1:5" x14ac:dyDescent="0.3">
      <c r="B126" s="57">
        <v>44806</v>
      </c>
      <c r="C126" t="s">
        <v>925</v>
      </c>
      <c r="D126" t="s">
        <v>410</v>
      </c>
      <c r="E126" s="18">
        <v>9343.9</v>
      </c>
    </row>
    <row r="127" spans="1:5" x14ac:dyDescent="0.3">
      <c r="B127" s="57">
        <v>44810</v>
      </c>
      <c r="C127" t="s">
        <v>928</v>
      </c>
      <c r="D127" t="s">
        <v>410</v>
      </c>
      <c r="E127" s="18">
        <v>11453.6</v>
      </c>
    </row>
    <row r="128" spans="1:5" x14ac:dyDescent="0.3">
      <c r="B128" s="57">
        <v>44813</v>
      </c>
      <c r="C128" t="s">
        <v>931</v>
      </c>
      <c r="D128" t="s">
        <v>959</v>
      </c>
      <c r="E128" s="18">
        <v>2452</v>
      </c>
    </row>
    <row r="129" spans="1:5" x14ac:dyDescent="0.3">
      <c r="C129" t="s">
        <v>932</v>
      </c>
      <c r="D129" t="s">
        <v>410</v>
      </c>
      <c r="E129" s="18">
        <v>1914</v>
      </c>
    </row>
    <row r="130" spans="1:5" x14ac:dyDescent="0.3">
      <c r="C130" t="s">
        <v>933</v>
      </c>
      <c r="D130" t="s">
        <v>492</v>
      </c>
      <c r="E130" s="18">
        <v>2251</v>
      </c>
    </row>
    <row r="131" spans="1:5" x14ac:dyDescent="0.3">
      <c r="B131" s="57">
        <v>44817</v>
      </c>
      <c r="C131" t="s">
        <v>934</v>
      </c>
      <c r="D131" t="s">
        <v>410</v>
      </c>
      <c r="E131" s="18">
        <v>13163</v>
      </c>
    </row>
    <row r="132" spans="1:5" x14ac:dyDescent="0.3">
      <c r="C132" t="s">
        <v>935</v>
      </c>
      <c r="D132" t="s">
        <v>410</v>
      </c>
      <c r="E132" s="18">
        <v>11823</v>
      </c>
    </row>
    <row r="133" spans="1:5" x14ac:dyDescent="0.3">
      <c r="B133" s="57">
        <v>44818</v>
      </c>
      <c r="C133" t="s">
        <v>937</v>
      </c>
      <c r="D133" t="s">
        <v>7</v>
      </c>
      <c r="E133" s="18">
        <v>1840</v>
      </c>
    </row>
    <row r="134" spans="1:5" x14ac:dyDescent="0.3">
      <c r="B134" s="57">
        <v>44819</v>
      </c>
      <c r="C134" t="s">
        <v>938</v>
      </c>
      <c r="D134" t="s">
        <v>492</v>
      </c>
      <c r="E134" s="18">
        <v>3655.7</v>
      </c>
    </row>
    <row r="135" spans="1:5" x14ac:dyDescent="0.3">
      <c r="B135" s="57">
        <v>44827</v>
      </c>
      <c r="C135" t="s">
        <v>944</v>
      </c>
      <c r="D135" t="s">
        <v>401</v>
      </c>
      <c r="E135" s="18">
        <v>3546.1</v>
      </c>
    </row>
    <row r="136" spans="1:5" x14ac:dyDescent="0.3">
      <c r="B136" s="57">
        <v>44828</v>
      </c>
      <c r="C136" t="s">
        <v>948</v>
      </c>
      <c r="D136" t="s">
        <v>62</v>
      </c>
      <c r="E136" s="18">
        <v>11757.5</v>
      </c>
    </row>
    <row r="137" spans="1:5" x14ac:dyDescent="0.3">
      <c r="B137" s="57">
        <v>44830</v>
      </c>
      <c r="C137" t="s">
        <v>951</v>
      </c>
      <c r="D137" t="s">
        <v>492</v>
      </c>
      <c r="E137" s="18">
        <v>3595.6</v>
      </c>
    </row>
    <row r="138" spans="1:5" x14ac:dyDescent="0.3">
      <c r="C138" t="s">
        <v>953</v>
      </c>
      <c r="D138" t="s">
        <v>638</v>
      </c>
      <c r="E138" s="18">
        <v>2968.8</v>
      </c>
    </row>
    <row r="139" spans="1:5" x14ac:dyDescent="0.3">
      <c r="C139" t="s">
        <v>954</v>
      </c>
      <c r="D139" t="s">
        <v>638</v>
      </c>
      <c r="E139" s="18">
        <v>840</v>
      </c>
    </row>
    <row r="140" spans="1:5" x14ac:dyDescent="0.3">
      <c r="B140" s="57">
        <v>44832</v>
      </c>
      <c r="C140" t="s">
        <v>956</v>
      </c>
      <c r="D140" t="s">
        <v>860</v>
      </c>
      <c r="E140" s="18">
        <v>11266.8</v>
      </c>
    </row>
    <row r="141" spans="1:5" x14ac:dyDescent="0.3">
      <c r="C141" t="s">
        <v>957</v>
      </c>
      <c r="D141" t="s">
        <v>959</v>
      </c>
      <c r="E141" s="18">
        <v>1995.5</v>
      </c>
    </row>
    <row r="142" spans="1:5" x14ac:dyDescent="0.3">
      <c r="A142" s="58" t="s">
        <v>144</v>
      </c>
      <c r="B142" s="58"/>
      <c r="C142" s="58"/>
      <c r="D142" s="58"/>
      <c r="E142" s="102">
        <v>97650.5</v>
      </c>
    </row>
    <row r="143" spans="1:5" x14ac:dyDescent="0.3">
      <c r="A143">
        <v>10</v>
      </c>
      <c r="B143" t="s">
        <v>995</v>
      </c>
      <c r="C143" t="s">
        <v>994</v>
      </c>
      <c r="D143" t="s">
        <v>492</v>
      </c>
      <c r="E143" s="18">
        <v>2636.5</v>
      </c>
    </row>
    <row r="144" spans="1:5" x14ac:dyDescent="0.3">
      <c r="B144" t="s">
        <v>993</v>
      </c>
      <c r="C144" t="s">
        <v>988</v>
      </c>
      <c r="D144" t="s">
        <v>410</v>
      </c>
      <c r="E144" s="18">
        <v>48172.5</v>
      </c>
    </row>
    <row r="145" spans="2:5" x14ac:dyDescent="0.3">
      <c r="B145" s="57">
        <v>44835</v>
      </c>
      <c r="C145" t="s">
        <v>987</v>
      </c>
      <c r="D145" t="s">
        <v>62</v>
      </c>
      <c r="E145" s="18">
        <v>13065</v>
      </c>
    </row>
    <row r="146" spans="2:5" x14ac:dyDescent="0.3">
      <c r="B146" s="57">
        <v>44836</v>
      </c>
      <c r="C146" t="s">
        <v>996</v>
      </c>
      <c r="D146" t="s">
        <v>20</v>
      </c>
      <c r="E146" s="18">
        <v>2849</v>
      </c>
    </row>
    <row r="147" spans="2:5" x14ac:dyDescent="0.3">
      <c r="C147" t="s">
        <v>997</v>
      </c>
      <c r="D147" t="s">
        <v>20</v>
      </c>
      <c r="E147" s="18">
        <v>4048</v>
      </c>
    </row>
    <row r="148" spans="2:5" x14ac:dyDescent="0.3">
      <c r="B148" s="57">
        <v>44845</v>
      </c>
      <c r="C148" t="s">
        <v>998</v>
      </c>
      <c r="D148" t="s">
        <v>43</v>
      </c>
      <c r="E148" s="18">
        <v>2237</v>
      </c>
    </row>
    <row r="149" spans="2:5" x14ac:dyDescent="0.3">
      <c r="C149" t="s">
        <v>999</v>
      </c>
      <c r="D149" t="s">
        <v>401</v>
      </c>
      <c r="E149" s="18">
        <v>3137.3</v>
      </c>
    </row>
    <row r="150" spans="2:5" x14ac:dyDescent="0.3">
      <c r="B150" s="57">
        <v>44847</v>
      </c>
      <c r="C150" t="s">
        <v>1000</v>
      </c>
      <c r="D150" t="s">
        <v>410</v>
      </c>
      <c r="E150" s="18">
        <v>10166.299999999999</v>
      </c>
    </row>
    <row r="151" spans="2:5" x14ac:dyDescent="0.3">
      <c r="C151" t="s">
        <v>1001</v>
      </c>
      <c r="D151" t="s">
        <v>492</v>
      </c>
      <c r="E151" s="18">
        <v>2570</v>
      </c>
    </row>
    <row r="152" spans="2:5" x14ac:dyDescent="0.3">
      <c r="B152" s="57">
        <v>44849</v>
      </c>
      <c r="C152" t="s">
        <v>1002</v>
      </c>
      <c r="D152" t="s">
        <v>62</v>
      </c>
      <c r="E152" s="18">
        <v>11480</v>
      </c>
    </row>
    <row r="153" spans="2:5" x14ac:dyDescent="0.3">
      <c r="B153" s="57">
        <v>44851</v>
      </c>
      <c r="C153" t="s">
        <v>1005</v>
      </c>
      <c r="D153" t="s">
        <v>785</v>
      </c>
      <c r="E153" s="18">
        <v>3600</v>
      </c>
    </row>
    <row r="154" spans="2:5" x14ac:dyDescent="0.3">
      <c r="C154" t="s">
        <v>1006</v>
      </c>
      <c r="D154" t="s">
        <v>62</v>
      </c>
      <c r="E154" s="18">
        <v>395</v>
      </c>
    </row>
    <row r="155" spans="2:5" x14ac:dyDescent="0.3">
      <c r="B155" s="57">
        <v>44852</v>
      </c>
      <c r="C155" t="s">
        <v>1007</v>
      </c>
      <c r="D155" t="s">
        <v>58</v>
      </c>
      <c r="E155" s="18">
        <v>1960.2</v>
      </c>
    </row>
    <row r="156" spans="2:5" x14ac:dyDescent="0.3">
      <c r="B156" s="57">
        <v>44854</v>
      </c>
      <c r="C156" t="s">
        <v>1009</v>
      </c>
      <c r="D156" t="s">
        <v>23</v>
      </c>
      <c r="E156" s="18">
        <v>15677.2</v>
      </c>
    </row>
    <row r="157" spans="2:5" x14ac:dyDescent="0.3">
      <c r="B157" s="57">
        <v>44855</v>
      </c>
      <c r="C157" t="s">
        <v>1010</v>
      </c>
      <c r="D157" t="s">
        <v>7</v>
      </c>
      <c r="E157" s="18">
        <v>3004</v>
      </c>
    </row>
    <row r="158" spans="2:5" x14ac:dyDescent="0.3">
      <c r="B158" s="57">
        <v>44856</v>
      </c>
      <c r="C158" t="s">
        <v>1011</v>
      </c>
      <c r="D158" t="s">
        <v>410</v>
      </c>
      <c r="E158" s="18">
        <v>7590.5</v>
      </c>
    </row>
    <row r="159" spans="2:5" x14ac:dyDescent="0.3">
      <c r="C159" t="s">
        <v>1012</v>
      </c>
      <c r="D159" t="s">
        <v>492</v>
      </c>
      <c r="E159" s="18">
        <v>2837</v>
      </c>
    </row>
    <row r="160" spans="2:5" x14ac:dyDescent="0.3">
      <c r="B160" s="57">
        <v>44861</v>
      </c>
      <c r="C160" t="s">
        <v>1013</v>
      </c>
      <c r="D160" t="s">
        <v>410</v>
      </c>
      <c r="E160" s="18">
        <v>250</v>
      </c>
    </row>
    <row r="161" spans="1:5" x14ac:dyDescent="0.3">
      <c r="B161" s="57">
        <v>44865</v>
      </c>
      <c r="C161" t="s">
        <v>1015</v>
      </c>
      <c r="D161" t="s">
        <v>410</v>
      </c>
      <c r="E161" s="18">
        <v>47685</v>
      </c>
    </row>
    <row r="162" spans="1:5" x14ac:dyDescent="0.3">
      <c r="C162" t="s">
        <v>1016</v>
      </c>
      <c r="D162" t="s">
        <v>492</v>
      </c>
      <c r="E162" s="18">
        <v>3095</v>
      </c>
    </row>
    <row r="163" spans="1:5" x14ac:dyDescent="0.3">
      <c r="A163" s="58" t="s">
        <v>145</v>
      </c>
      <c r="B163" s="58"/>
      <c r="C163" s="58"/>
      <c r="D163" s="58"/>
      <c r="E163" s="102">
        <v>186455.5</v>
      </c>
    </row>
    <row r="164" spans="1:5" x14ac:dyDescent="0.3">
      <c r="A164">
        <v>11</v>
      </c>
      <c r="B164" t="s">
        <v>1070</v>
      </c>
      <c r="C164" t="s">
        <v>1068</v>
      </c>
      <c r="D164" t="s">
        <v>401</v>
      </c>
      <c r="E164" s="18">
        <v>105</v>
      </c>
    </row>
    <row r="165" spans="1:5" x14ac:dyDescent="0.3">
      <c r="B165" t="s">
        <v>1071</v>
      </c>
      <c r="C165" t="s">
        <v>1069</v>
      </c>
      <c r="D165" t="s">
        <v>7</v>
      </c>
      <c r="E165" s="18">
        <v>1936</v>
      </c>
    </row>
    <row r="166" spans="1:5" x14ac:dyDescent="0.3">
      <c r="C166" t="s">
        <v>1072</v>
      </c>
      <c r="D166" t="s">
        <v>1052</v>
      </c>
      <c r="E166" s="18">
        <v>780</v>
      </c>
    </row>
    <row r="167" spans="1:5" x14ac:dyDescent="0.3">
      <c r="C167" t="s">
        <v>1076</v>
      </c>
      <c r="D167" t="s">
        <v>410</v>
      </c>
      <c r="E167" s="18">
        <v>17236.599999999999</v>
      </c>
    </row>
    <row r="168" spans="1:5" x14ac:dyDescent="0.3">
      <c r="B168" s="57">
        <v>44866</v>
      </c>
      <c r="C168" t="s">
        <v>1047</v>
      </c>
      <c r="D168" t="s">
        <v>23</v>
      </c>
      <c r="E168" s="18">
        <v>10824</v>
      </c>
    </row>
    <row r="169" spans="1:5" x14ac:dyDescent="0.3">
      <c r="C169" t="s">
        <v>1048</v>
      </c>
      <c r="D169" t="s">
        <v>62</v>
      </c>
      <c r="E169" s="18">
        <v>11260</v>
      </c>
    </row>
    <row r="170" spans="1:5" x14ac:dyDescent="0.3">
      <c r="B170" s="57">
        <v>44868</v>
      </c>
      <c r="C170" t="s">
        <v>1049</v>
      </c>
      <c r="D170" t="s">
        <v>58</v>
      </c>
      <c r="E170" s="18">
        <v>4482.8</v>
      </c>
    </row>
    <row r="171" spans="1:5" x14ac:dyDescent="0.3">
      <c r="B171" s="57">
        <v>44869</v>
      </c>
      <c r="C171" t="s">
        <v>1051</v>
      </c>
      <c r="D171" t="s">
        <v>410</v>
      </c>
      <c r="E171" s="18">
        <v>403.8</v>
      </c>
    </row>
    <row r="172" spans="1:5" x14ac:dyDescent="0.3">
      <c r="B172" s="57">
        <v>44870</v>
      </c>
      <c r="C172" t="s">
        <v>1054</v>
      </c>
      <c r="D172" t="s">
        <v>1052</v>
      </c>
      <c r="E172" s="18">
        <v>892.6</v>
      </c>
    </row>
    <row r="173" spans="1:5" x14ac:dyDescent="0.3">
      <c r="B173" s="57">
        <v>44872</v>
      </c>
      <c r="C173" t="s">
        <v>1056</v>
      </c>
      <c r="D173" t="s">
        <v>638</v>
      </c>
      <c r="E173" s="18">
        <v>1316</v>
      </c>
    </row>
    <row r="174" spans="1:5" x14ac:dyDescent="0.3">
      <c r="B174" s="57">
        <v>44873</v>
      </c>
      <c r="C174" t="s">
        <v>1063</v>
      </c>
      <c r="D174" t="s">
        <v>1058</v>
      </c>
      <c r="E174" s="18">
        <v>4373</v>
      </c>
    </row>
    <row r="175" spans="1:5" x14ac:dyDescent="0.3">
      <c r="B175" s="57">
        <v>44874</v>
      </c>
      <c r="C175" t="s">
        <v>1064</v>
      </c>
      <c r="D175" t="s">
        <v>492</v>
      </c>
      <c r="E175" s="18">
        <v>3094</v>
      </c>
    </row>
    <row r="176" spans="1:5" x14ac:dyDescent="0.3">
      <c r="B176" s="57">
        <v>44876</v>
      </c>
      <c r="C176" t="s">
        <v>1065</v>
      </c>
      <c r="D176" t="s">
        <v>410</v>
      </c>
      <c r="E176" s="18">
        <v>14886.5</v>
      </c>
    </row>
    <row r="177" spans="1:5" x14ac:dyDescent="0.3">
      <c r="B177" s="57">
        <v>44879</v>
      </c>
      <c r="C177" t="s">
        <v>1066</v>
      </c>
      <c r="D177" t="s">
        <v>860</v>
      </c>
      <c r="E177" s="18">
        <v>14564.6</v>
      </c>
    </row>
    <row r="178" spans="1:5" x14ac:dyDescent="0.3">
      <c r="B178" s="57">
        <v>44880</v>
      </c>
      <c r="C178" t="s">
        <v>1067</v>
      </c>
      <c r="D178" t="s">
        <v>401</v>
      </c>
      <c r="E178" s="18">
        <v>5283.2</v>
      </c>
    </row>
    <row r="179" spans="1:5" x14ac:dyDescent="0.3">
      <c r="B179" s="57">
        <v>44894</v>
      </c>
      <c r="C179" t="s">
        <v>1092</v>
      </c>
      <c r="D179" t="s">
        <v>20</v>
      </c>
      <c r="E179" s="18">
        <v>7219</v>
      </c>
    </row>
    <row r="180" spans="1:5" x14ac:dyDescent="0.3">
      <c r="C180" t="s">
        <v>1093</v>
      </c>
      <c r="D180" t="s">
        <v>62</v>
      </c>
      <c r="E180" s="18">
        <v>11410.5</v>
      </c>
    </row>
    <row r="181" spans="1:5" x14ac:dyDescent="0.3">
      <c r="B181" s="57">
        <v>44895</v>
      </c>
      <c r="C181" t="s">
        <v>1097</v>
      </c>
      <c r="D181" t="s">
        <v>1102</v>
      </c>
      <c r="E181" s="18">
        <v>260</v>
      </c>
    </row>
    <row r="182" spans="1:5" x14ac:dyDescent="0.3">
      <c r="C182" t="s">
        <v>1098</v>
      </c>
      <c r="D182" t="s">
        <v>1101</v>
      </c>
      <c r="E182" s="18">
        <v>375</v>
      </c>
    </row>
    <row r="183" spans="1:5" x14ac:dyDescent="0.3">
      <c r="A183" s="58" t="s">
        <v>161</v>
      </c>
      <c r="B183" s="58"/>
      <c r="C183" s="58"/>
      <c r="D183" s="58"/>
      <c r="E183" s="102">
        <v>110702.6</v>
      </c>
    </row>
    <row r="184" spans="1:5" x14ac:dyDescent="0.3">
      <c r="A184">
        <v>12</v>
      </c>
      <c r="B184" s="57">
        <v>44896</v>
      </c>
      <c r="C184" t="s">
        <v>1107</v>
      </c>
      <c r="D184" t="s">
        <v>1052</v>
      </c>
      <c r="E184" s="18">
        <v>60</v>
      </c>
    </row>
    <row r="185" spans="1:5" x14ac:dyDescent="0.3">
      <c r="C185" t="s">
        <v>1109</v>
      </c>
      <c r="D185" t="s">
        <v>638</v>
      </c>
      <c r="E185" s="18">
        <v>855</v>
      </c>
    </row>
    <row r="186" spans="1:5" x14ac:dyDescent="0.3">
      <c r="B186" s="57">
        <v>44897</v>
      </c>
      <c r="C186" t="s">
        <v>1110</v>
      </c>
      <c r="D186" t="s">
        <v>410</v>
      </c>
      <c r="E186" s="18">
        <v>4489</v>
      </c>
    </row>
    <row r="187" spans="1:5" x14ac:dyDescent="0.3">
      <c r="C187" t="s">
        <v>1112</v>
      </c>
      <c r="D187" t="s">
        <v>410</v>
      </c>
      <c r="E187" s="18">
        <v>3915</v>
      </c>
    </row>
    <row r="188" spans="1:5" x14ac:dyDescent="0.3">
      <c r="B188" s="57">
        <v>44898</v>
      </c>
      <c r="C188" t="s">
        <v>1114</v>
      </c>
      <c r="D188" t="s">
        <v>58</v>
      </c>
      <c r="E188" s="18">
        <v>4632.8</v>
      </c>
    </row>
    <row r="189" spans="1:5" x14ac:dyDescent="0.3">
      <c r="C189" t="s">
        <v>1116</v>
      </c>
      <c r="D189" t="s">
        <v>410</v>
      </c>
      <c r="E189" s="18">
        <v>7395.5</v>
      </c>
    </row>
    <row r="190" spans="1:5" x14ac:dyDescent="0.3">
      <c r="B190" s="57">
        <v>44900</v>
      </c>
      <c r="C190" t="s">
        <v>1117</v>
      </c>
      <c r="D190" t="s">
        <v>638</v>
      </c>
      <c r="E190" s="18">
        <v>93</v>
      </c>
    </row>
    <row r="191" spans="1:5" x14ac:dyDescent="0.3">
      <c r="B191" s="57">
        <v>44901</v>
      </c>
      <c r="C191" t="s">
        <v>1120</v>
      </c>
      <c r="D191" t="s">
        <v>492</v>
      </c>
      <c r="E191" s="18">
        <v>3067</v>
      </c>
    </row>
    <row r="192" spans="1:5" x14ac:dyDescent="0.3">
      <c r="B192" s="57">
        <v>44902</v>
      </c>
      <c r="C192" t="s">
        <v>1121</v>
      </c>
      <c r="D192" t="s">
        <v>638</v>
      </c>
      <c r="E192" s="18">
        <v>2024</v>
      </c>
    </row>
    <row r="193" spans="1:5" x14ac:dyDescent="0.3">
      <c r="B193" s="57">
        <v>44904</v>
      </c>
      <c r="C193" t="s">
        <v>1123</v>
      </c>
      <c r="D193" t="s">
        <v>410</v>
      </c>
      <c r="E193" s="18">
        <v>49088.1</v>
      </c>
    </row>
    <row r="194" spans="1:5" x14ac:dyDescent="0.3">
      <c r="B194" s="57">
        <v>44908</v>
      </c>
      <c r="C194" t="s">
        <v>1124</v>
      </c>
      <c r="D194" t="s">
        <v>492</v>
      </c>
      <c r="E194" s="18">
        <v>2842</v>
      </c>
    </row>
    <row r="195" spans="1:5" x14ac:dyDescent="0.3">
      <c r="B195" t="s">
        <v>1125</v>
      </c>
      <c r="C195" t="s">
        <v>1126</v>
      </c>
      <c r="D195" t="s">
        <v>785</v>
      </c>
      <c r="E195" s="18">
        <v>2063</v>
      </c>
    </row>
    <row r="196" spans="1:5" x14ac:dyDescent="0.3">
      <c r="B196" s="57">
        <v>44917</v>
      </c>
      <c r="C196" t="s">
        <v>1128</v>
      </c>
      <c r="D196" t="s">
        <v>410</v>
      </c>
      <c r="E196" s="18">
        <v>47686.5</v>
      </c>
    </row>
    <row r="197" spans="1:5" x14ac:dyDescent="0.3">
      <c r="C197" t="s">
        <v>1131</v>
      </c>
      <c r="D197" t="s">
        <v>638</v>
      </c>
      <c r="E197" s="18">
        <v>50</v>
      </c>
    </row>
    <row r="198" spans="1:5" x14ac:dyDescent="0.3">
      <c r="B198" s="57">
        <v>44915</v>
      </c>
      <c r="C198" t="s">
        <v>1129</v>
      </c>
      <c r="D198" t="s">
        <v>7</v>
      </c>
      <c r="E198" s="18">
        <v>3332</v>
      </c>
    </row>
    <row r="199" spans="1:5" x14ac:dyDescent="0.3">
      <c r="B199" t="s">
        <v>1135</v>
      </c>
      <c r="C199" t="s">
        <v>1134</v>
      </c>
      <c r="D199" t="s">
        <v>401</v>
      </c>
      <c r="E199" s="18">
        <v>6136.1</v>
      </c>
    </row>
    <row r="200" spans="1:5" x14ac:dyDescent="0.3">
      <c r="B200" s="57">
        <v>44919</v>
      </c>
      <c r="C200" t="s">
        <v>1136</v>
      </c>
      <c r="D200" t="s">
        <v>492</v>
      </c>
      <c r="E200" s="18">
        <v>2842</v>
      </c>
    </row>
    <row r="201" spans="1:5" x14ac:dyDescent="0.3">
      <c r="B201" s="57">
        <v>44922</v>
      </c>
      <c r="C201" t="s">
        <v>1138</v>
      </c>
      <c r="D201" t="s">
        <v>62</v>
      </c>
      <c r="E201" s="18">
        <v>14227</v>
      </c>
    </row>
    <row r="202" spans="1:5" x14ac:dyDescent="0.3">
      <c r="B202" s="57">
        <v>44923</v>
      </c>
      <c r="C202" t="s">
        <v>1139</v>
      </c>
      <c r="D202" t="s">
        <v>410</v>
      </c>
      <c r="E202" s="18">
        <v>1008</v>
      </c>
    </row>
    <row r="203" spans="1:5" x14ac:dyDescent="0.3">
      <c r="B203" s="57">
        <v>44925</v>
      </c>
      <c r="C203" t="s">
        <v>1140</v>
      </c>
      <c r="D203" t="s">
        <v>410</v>
      </c>
      <c r="E203" s="18">
        <v>21740.5</v>
      </c>
    </row>
    <row r="204" spans="1:5" x14ac:dyDescent="0.3">
      <c r="A204" s="58" t="s">
        <v>223</v>
      </c>
      <c r="B204" s="58"/>
      <c r="C204" s="58"/>
      <c r="D204" s="58"/>
      <c r="E204" s="102">
        <v>177546.5</v>
      </c>
    </row>
    <row r="205" spans="1:5" x14ac:dyDescent="0.3">
      <c r="A205" t="s">
        <v>131</v>
      </c>
      <c r="E205" s="18">
        <v>1308634.5000000002</v>
      </c>
    </row>
  </sheetData>
  <pageMargins left="0.7" right="0.7" top="0.75" bottom="0.75" header="0.3" footer="0.3"/>
  <pageSetup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tabColor rgb="FFFF0000"/>
  </sheetPr>
  <dimension ref="A1:BK816"/>
  <sheetViews>
    <sheetView topLeftCell="A214" workbookViewId="0">
      <selection activeCell="F233" sqref="F233"/>
    </sheetView>
  </sheetViews>
  <sheetFormatPr defaultRowHeight="14.4" x14ac:dyDescent="0.3"/>
  <cols>
    <col min="1" max="1" width="14.44140625" bestFit="1" customWidth="1"/>
    <col min="2" max="2" width="19" customWidth="1"/>
    <col min="3" max="3" width="31.44140625" bestFit="1" customWidth="1"/>
    <col min="4" max="4" width="19.77734375" bestFit="1" customWidth="1"/>
    <col min="5" max="5" width="15.44140625" bestFit="1" customWidth="1"/>
    <col min="6" max="6" width="17.6640625" bestFit="1" customWidth="1"/>
    <col min="7" max="7" width="16.77734375" bestFit="1" customWidth="1"/>
    <col min="8" max="13" width="1.77734375" customWidth="1"/>
    <col min="14" max="14" width="35.21875" customWidth="1"/>
    <col min="15" max="15" width="16.6640625" bestFit="1" customWidth="1"/>
    <col min="16" max="16" width="12.77734375" bestFit="1" customWidth="1"/>
    <col min="17" max="17" width="9.5546875" bestFit="1" customWidth="1"/>
    <col min="18" max="24" width="8.88671875" bestFit="1" customWidth="1"/>
    <col min="25" max="48" width="9.88671875" bestFit="1" customWidth="1"/>
    <col min="49" max="49" width="11.44140625" bestFit="1" customWidth="1"/>
    <col min="50" max="61" width="9.88671875" bestFit="1" customWidth="1"/>
    <col min="62" max="63" width="11.44140625" bestFit="1" customWidth="1"/>
  </cols>
  <sheetData>
    <row r="1" spans="1:63" x14ac:dyDescent="0.3">
      <c r="A1" s="14" t="s">
        <v>226</v>
      </c>
      <c r="B1" s="92">
        <v>2022</v>
      </c>
    </row>
    <row r="3" spans="1:63" ht="28.8" x14ac:dyDescent="0.3">
      <c r="D3" s="14" t="s">
        <v>206</v>
      </c>
      <c r="N3" s="14" t="s">
        <v>199</v>
      </c>
      <c r="P3" s="14" t="s">
        <v>226</v>
      </c>
      <c r="Q3" s="26" t="s">
        <v>163</v>
      </c>
    </row>
    <row r="4" spans="1:63" x14ac:dyDescent="0.3">
      <c r="A4" s="14" t="s">
        <v>163</v>
      </c>
      <c r="B4" s="14" t="s">
        <v>2</v>
      </c>
      <c r="C4" s="14" t="s">
        <v>1</v>
      </c>
      <c r="D4" t="s">
        <v>209</v>
      </c>
      <c r="E4" t="s">
        <v>208</v>
      </c>
      <c r="F4" t="s">
        <v>200</v>
      </c>
      <c r="P4">
        <v>2019</v>
      </c>
      <c r="Q4" t="s">
        <v>350</v>
      </c>
      <c r="R4">
        <v>2020</v>
      </c>
      <c r="Y4" t="s">
        <v>351</v>
      </c>
      <c r="Z4">
        <v>2021</v>
      </c>
      <c r="AJ4" t="s">
        <v>352</v>
      </c>
      <c r="AK4">
        <v>2022</v>
      </c>
      <c r="AW4" t="s">
        <v>585</v>
      </c>
      <c r="AX4">
        <v>2023</v>
      </c>
      <c r="BJ4" t="s">
        <v>1234</v>
      </c>
      <c r="BK4" t="s">
        <v>131</v>
      </c>
    </row>
    <row r="5" spans="1:63" x14ac:dyDescent="0.3">
      <c r="A5">
        <v>6</v>
      </c>
      <c r="B5" t="s">
        <v>827</v>
      </c>
      <c r="C5" t="s">
        <v>410</v>
      </c>
      <c r="D5" s="18">
        <v>12427</v>
      </c>
      <c r="E5" s="38">
        <v>-12427</v>
      </c>
      <c r="F5" s="18">
        <v>0</v>
      </c>
      <c r="J5" s="18"/>
      <c r="N5" s="14" t="s">
        <v>1</v>
      </c>
      <c r="O5" s="14" t="s">
        <v>2</v>
      </c>
      <c r="P5">
        <v>12</v>
      </c>
      <c r="R5">
        <v>6</v>
      </c>
      <c r="S5">
        <v>7</v>
      </c>
      <c r="T5">
        <v>8</v>
      </c>
      <c r="U5">
        <v>9</v>
      </c>
      <c r="V5">
        <v>10</v>
      </c>
      <c r="W5">
        <v>11</v>
      </c>
      <c r="X5">
        <v>12</v>
      </c>
      <c r="Z5">
        <v>6</v>
      </c>
      <c r="AA5">
        <v>9</v>
      </c>
      <c r="AB5">
        <v>10</v>
      </c>
      <c r="AC5">
        <v>11</v>
      </c>
      <c r="AD5">
        <v>12</v>
      </c>
      <c r="AE5">
        <v>1</v>
      </c>
      <c r="AF5">
        <v>2</v>
      </c>
      <c r="AG5">
        <v>3</v>
      </c>
      <c r="AH5">
        <v>4</v>
      </c>
      <c r="AI5">
        <v>5</v>
      </c>
      <c r="AK5">
        <v>6</v>
      </c>
      <c r="AL5">
        <v>7</v>
      </c>
      <c r="AM5">
        <v>8</v>
      </c>
      <c r="AN5">
        <v>9</v>
      </c>
      <c r="AO5">
        <v>10</v>
      </c>
      <c r="AP5">
        <v>11</v>
      </c>
      <c r="AQ5">
        <v>12</v>
      </c>
      <c r="AR5">
        <v>1</v>
      </c>
      <c r="AS5">
        <v>2</v>
      </c>
      <c r="AT5">
        <v>3</v>
      </c>
      <c r="AU5">
        <v>4</v>
      </c>
      <c r="AV5">
        <v>5</v>
      </c>
      <c r="AX5">
        <v>6</v>
      </c>
      <c r="AY5">
        <v>7</v>
      </c>
      <c r="AZ5">
        <v>8</v>
      </c>
      <c r="BA5">
        <v>9</v>
      </c>
      <c r="BB5">
        <v>10</v>
      </c>
      <c r="BC5">
        <v>11</v>
      </c>
      <c r="BD5">
        <v>12</v>
      </c>
      <c r="BE5">
        <v>1</v>
      </c>
      <c r="BF5">
        <v>2</v>
      </c>
      <c r="BG5">
        <v>3</v>
      </c>
      <c r="BH5">
        <v>4</v>
      </c>
      <c r="BI5">
        <v>5</v>
      </c>
    </row>
    <row r="6" spans="1:63" x14ac:dyDescent="0.3">
      <c r="B6" t="s">
        <v>828</v>
      </c>
      <c r="C6" t="s">
        <v>638</v>
      </c>
      <c r="D6" s="18">
        <v>2112</v>
      </c>
      <c r="E6" s="38">
        <v>-2112</v>
      </c>
      <c r="F6" s="18">
        <v>0</v>
      </c>
      <c r="J6" s="18"/>
      <c r="N6" t="s">
        <v>35</v>
      </c>
      <c r="O6" t="s">
        <v>33</v>
      </c>
      <c r="P6" s="18"/>
      <c r="Q6" s="18"/>
      <c r="R6" s="18"/>
      <c r="S6" s="18"/>
      <c r="T6" s="18">
        <v>1586</v>
      </c>
      <c r="U6" s="18"/>
      <c r="V6" s="18"/>
      <c r="W6" s="18"/>
      <c r="X6" s="18"/>
      <c r="Y6" s="18">
        <v>1586</v>
      </c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  <c r="BD6" s="18"/>
      <c r="BE6" s="18"/>
      <c r="BF6" s="18"/>
      <c r="BG6" s="18"/>
      <c r="BH6" s="18"/>
      <c r="BI6" s="18"/>
      <c r="BJ6" s="18"/>
      <c r="BK6" s="18">
        <v>1586</v>
      </c>
    </row>
    <row r="7" spans="1:63" x14ac:dyDescent="0.3">
      <c r="B7" t="s">
        <v>829</v>
      </c>
      <c r="C7" t="s">
        <v>410</v>
      </c>
      <c r="D7" s="18">
        <v>9000</v>
      </c>
      <c r="E7" s="38">
        <v>-9000</v>
      </c>
      <c r="F7" s="18">
        <v>0</v>
      </c>
      <c r="J7" s="18"/>
      <c r="O7" t="s">
        <v>106</v>
      </c>
      <c r="P7" s="18"/>
      <c r="Q7" s="18"/>
      <c r="R7" s="18"/>
      <c r="S7" s="18"/>
      <c r="T7" s="18"/>
      <c r="U7" s="18"/>
      <c r="V7" s="18">
        <v>1496</v>
      </c>
      <c r="W7" s="18"/>
      <c r="X7" s="18"/>
      <c r="Y7" s="18">
        <v>1496</v>
      </c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8"/>
      <c r="BG7" s="18"/>
      <c r="BH7" s="18"/>
      <c r="BI7" s="18"/>
      <c r="BJ7" s="18"/>
      <c r="BK7" s="18">
        <v>1496</v>
      </c>
    </row>
    <row r="8" spans="1:63" x14ac:dyDescent="0.3">
      <c r="B8" t="s">
        <v>830</v>
      </c>
      <c r="C8" t="s">
        <v>7</v>
      </c>
      <c r="D8" s="18">
        <v>2356</v>
      </c>
      <c r="E8" s="38">
        <v>-2356</v>
      </c>
      <c r="F8" s="18">
        <v>0</v>
      </c>
      <c r="J8" s="18"/>
      <c r="O8" t="s">
        <v>123</v>
      </c>
      <c r="P8" s="18"/>
      <c r="Q8" s="18"/>
      <c r="R8" s="18"/>
      <c r="S8" s="18"/>
      <c r="T8" s="18"/>
      <c r="U8" s="18"/>
      <c r="V8" s="18">
        <v>90</v>
      </c>
      <c r="W8" s="18"/>
      <c r="X8" s="18"/>
      <c r="Y8" s="18">
        <v>90</v>
      </c>
      <c r="Z8" s="18"/>
      <c r="AA8" s="18"/>
      <c r="AB8" s="18"/>
      <c r="AC8" s="18"/>
      <c r="AD8" s="18"/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/>
      <c r="AQ8" s="18"/>
      <c r="AR8" s="18"/>
      <c r="AS8" s="18"/>
      <c r="AT8" s="18"/>
      <c r="AU8" s="18"/>
      <c r="AV8" s="18"/>
      <c r="AW8" s="18"/>
      <c r="AX8" s="18"/>
      <c r="AY8" s="18"/>
      <c r="AZ8" s="18"/>
      <c r="BA8" s="18"/>
      <c r="BB8" s="18"/>
      <c r="BC8" s="18"/>
      <c r="BD8" s="18"/>
      <c r="BE8" s="18"/>
      <c r="BF8" s="18"/>
      <c r="BG8" s="18"/>
      <c r="BH8" s="18"/>
      <c r="BI8" s="18"/>
      <c r="BJ8" s="18"/>
      <c r="BK8" s="18">
        <v>90</v>
      </c>
    </row>
    <row r="9" spans="1:63" x14ac:dyDescent="0.3">
      <c r="B9" t="s">
        <v>832</v>
      </c>
      <c r="C9" t="s">
        <v>62</v>
      </c>
      <c r="D9" s="18">
        <v>12690</v>
      </c>
      <c r="E9" s="38">
        <v>-12690</v>
      </c>
      <c r="F9" s="18">
        <v>0</v>
      </c>
      <c r="J9" s="18"/>
      <c r="O9" t="s">
        <v>126</v>
      </c>
      <c r="P9" s="18"/>
      <c r="Q9" s="18"/>
      <c r="R9" s="18"/>
      <c r="S9" s="18"/>
      <c r="T9" s="18"/>
      <c r="U9" s="18"/>
      <c r="V9" s="18">
        <v>1496</v>
      </c>
      <c r="W9" s="18"/>
      <c r="X9" s="18"/>
      <c r="Y9" s="18">
        <v>1496</v>
      </c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18"/>
      <c r="AO9" s="18"/>
      <c r="AP9" s="18"/>
      <c r="AQ9" s="18"/>
      <c r="AR9" s="18"/>
      <c r="AS9" s="18"/>
      <c r="AT9" s="18"/>
      <c r="AU9" s="18"/>
      <c r="AV9" s="18"/>
      <c r="AW9" s="18"/>
      <c r="AX9" s="18"/>
      <c r="AY9" s="18"/>
      <c r="AZ9" s="18"/>
      <c r="BA9" s="18"/>
      <c r="BB9" s="18"/>
      <c r="BC9" s="18"/>
      <c r="BD9" s="18"/>
      <c r="BE9" s="18"/>
      <c r="BF9" s="18"/>
      <c r="BG9" s="18"/>
      <c r="BH9" s="18"/>
      <c r="BI9" s="18"/>
      <c r="BJ9" s="18"/>
      <c r="BK9" s="18">
        <v>1496</v>
      </c>
    </row>
    <row r="10" spans="1:63" x14ac:dyDescent="0.3">
      <c r="B10" t="s">
        <v>833</v>
      </c>
      <c r="C10" t="s">
        <v>638</v>
      </c>
      <c r="D10" s="18">
        <v>2112</v>
      </c>
      <c r="E10" s="38">
        <v>-2112</v>
      </c>
      <c r="F10" s="18">
        <v>0</v>
      </c>
      <c r="J10" s="18"/>
      <c r="O10" t="s">
        <v>149</v>
      </c>
      <c r="P10" s="18"/>
      <c r="Q10" s="18"/>
      <c r="R10" s="18"/>
      <c r="S10" s="18"/>
      <c r="T10" s="18"/>
      <c r="U10" s="18"/>
      <c r="V10" s="18">
        <v>1496</v>
      </c>
      <c r="W10" s="18"/>
      <c r="X10" s="18"/>
      <c r="Y10" s="18">
        <v>1496</v>
      </c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18"/>
      <c r="AN10" s="18"/>
      <c r="AO10" s="18"/>
      <c r="AP10" s="18"/>
      <c r="AQ10" s="18"/>
      <c r="AR10" s="18"/>
      <c r="AS10" s="18"/>
      <c r="AT10" s="18"/>
      <c r="AU10" s="18"/>
      <c r="AV10" s="18"/>
      <c r="AW10" s="18"/>
      <c r="AX10" s="18"/>
      <c r="AY10" s="18"/>
      <c r="AZ10" s="18"/>
      <c r="BA10" s="18"/>
      <c r="BB10" s="18"/>
      <c r="BC10" s="18"/>
      <c r="BD10" s="18"/>
      <c r="BE10" s="18"/>
      <c r="BF10" s="18"/>
      <c r="BG10" s="18"/>
      <c r="BH10" s="18"/>
      <c r="BI10" s="18"/>
      <c r="BJ10" s="18"/>
      <c r="BK10" s="18">
        <v>1496</v>
      </c>
    </row>
    <row r="11" spans="1:63" x14ac:dyDescent="0.3">
      <c r="B11" t="s">
        <v>834</v>
      </c>
      <c r="C11" t="s">
        <v>492</v>
      </c>
      <c r="D11" s="18">
        <v>2746</v>
      </c>
      <c r="E11" s="38">
        <v>-2746</v>
      </c>
      <c r="F11" s="18">
        <v>0</v>
      </c>
      <c r="J11" s="18"/>
      <c r="O11" t="s">
        <v>155</v>
      </c>
      <c r="P11" s="18"/>
      <c r="Q11" s="18"/>
      <c r="R11" s="18"/>
      <c r="S11" s="18"/>
      <c r="T11" s="18"/>
      <c r="U11" s="18"/>
      <c r="V11" s="18"/>
      <c r="W11" s="18">
        <v>1630</v>
      </c>
      <c r="X11" s="18"/>
      <c r="Y11" s="18">
        <v>1630</v>
      </c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18"/>
      <c r="AN11" s="18"/>
      <c r="AO11" s="18"/>
      <c r="AP11" s="18"/>
      <c r="AQ11" s="18"/>
      <c r="AR11" s="18"/>
      <c r="AS11" s="18"/>
      <c r="AT11" s="18"/>
      <c r="AU11" s="18"/>
      <c r="AV11" s="18"/>
      <c r="AW11" s="18"/>
      <c r="AX11" s="18"/>
      <c r="AY11" s="18"/>
      <c r="AZ11" s="18"/>
      <c r="BA11" s="18"/>
      <c r="BB11" s="18"/>
      <c r="BC11" s="18"/>
      <c r="BD11" s="18"/>
      <c r="BE11" s="18"/>
      <c r="BF11" s="18"/>
      <c r="BG11" s="18"/>
      <c r="BH11" s="18"/>
      <c r="BI11" s="18"/>
      <c r="BJ11" s="18"/>
      <c r="BK11" s="18">
        <v>1630</v>
      </c>
    </row>
    <row r="12" spans="1:63" x14ac:dyDescent="0.3">
      <c r="B12" t="s">
        <v>835</v>
      </c>
      <c r="C12" t="s">
        <v>410</v>
      </c>
      <c r="D12" s="18">
        <v>4950</v>
      </c>
      <c r="E12" s="38">
        <v>-4950</v>
      </c>
      <c r="F12" s="18">
        <v>0</v>
      </c>
      <c r="J12" s="18"/>
      <c r="O12" t="s">
        <v>173</v>
      </c>
      <c r="P12" s="18"/>
      <c r="Q12" s="18"/>
      <c r="R12" s="18"/>
      <c r="S12" s="18"/>
      <c r="T12" s="18"/>
      <c r="U12" s="18"/>
      <c r="V12" s="18"/>
      <c r="W12" s="18">
        <v>1540</v>
      </c>
      <c r="X12" s="18"/>
      <c r="Y12" s="18">
        <v>1540</v>
      </c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  <c r="BB12" s="18"/>
      <c r="BC12" s="18"/>
      <c r="BD12" s="18"/>
      <c r="BE12" s="18"/>
      <c r="BF12" s="18"/>
      <c r="BG12" s="18"/>
      <c r="BH12" s="18"/>
      <c r="BI12" s="18"/>
      <c r="BJ12" s="18"/>
      <c r="BK12" s="18">
        <v>1540</v>
      </c>
    </row>
    <row r="13" spans="1:63" x14ac:dyDescent="0.3">
      <c r="B13" t="s">
        <v>836</v>
      </c>
      <c r="C13" t="s">
        <v>666</v>
      </c>
      <c r="D13" s="18">
        <v>2158</v>
      </c>
      <c r="E13" s="38">
        <v>-2158</v>
      </c>
      <c r="F13" s="18">
        <v>0</v>
      </c>
      <c r="J13" s="18"/>
      <c r="O13" t="s">
        <v>261</v>
      </c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>
        <v>1750</v>
      </c>
      <c r="AG13" s="18"/>
      <c r="AH13" s="18"/>
      <c r="AI13" s="18"/>
      <c r="AJ13" s="18">
        <v>1750</v>
      </c>
      <c r="AK13" s="18"/>
      <c r="AL13" s="18"/>
      <c r="AM13" s="18"/>
      <c r="AN13" s="18"/>
      <c r="AO13" s="18"/>
      <c r="AP13" s="18"/>
      <c r="AQ13" s="18"/>
      <c r="AR13" s="18"/>
      <c r="AS13" s="18"/>
      <c r="AT13" s="18"/>
      <c r="AU13" s="18"/>
      <c r="AV13" s="18"/>
      <c r="AW13" s="18"/>
      <c r="AX13" s="18"/>
      <c r="AY13" s="18"/>
      <c r="AZ13" s="18"/>
      <c r="BA13" s="18"/>
      <c r="BB13" s="18"/>
      <c r="BC13" s="18"/>
      <c r="BD13" s="18"/>
      <c r="BE13" s="18"/>
      <c r="BF13" s="18"/>
      <c r="BG13" s="18"/>
      <c r="BH13" s="18"/>
      <c r="BI13" s="18"/>
      <c r="BJ13" s="18"/>
      <c r="BK13" s="18">
        <v>1750</v>
      </c>
    </row>
    <row r="14" spans="1:63" x14ac:dyDescent="0.3">
      <c r="B14" t="s">
        <v>837</v>
      </c>
      <c r="C14" t="s">
        <v>58</v>
      </c>
      <c r="D14" s="18">
        <v>3960</v>
      </c>
      <c r="E14" s="38">
        <v>-3960</v>
      </c>
      <c r="F14" s="18">
        <v>0</v>
      </c>
      <c r="J14" s="18"/>
      <c r="O14" t="s">
        <v>267</v>
      </c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>
        <v>225</v>
      </c>
      <c r="AG14" s="18"/>
      <c r="AH14" s="18"/>
      <c r="AI14" s="18"/>
      <c r="AJ14" s="18">
        <v>225</v>
      </c>
      <c r="AK14" s="18"/>
      <c r="AL14" s="18"/>
      <c r="AM14" s="18"/>
      <c r="AN14" s="18"/>
      <c r="AO14" s="18"/>
      <c r="AP14" s="18"/>
      <c r="AQ14" s="18"/>
      <c r="AR14" s="18"/>
      <c r="AS14" s="18"/>
      <c r="AT14" s="18"/>
      <c r="AU14" s="18"/>
      <c r="AV14" s="18"/>
      <c r="AW14" s="18"/>
      <c r="AX14" s="18"/>
      <c r="AY14" s="18"/>
      <c r="AZ14" s="18"/>
      <c r="BA14" s="18"/>
      <c r="BB14" s="18"/>
      <c r="BC14" s="18"/>
      <c r="BD14" s="18"/>
      <c r="BE14" s="18"/>
      <c r="BF14" s="18"/>
      <c r="BG14" s="18"/>
      <c r="BH14" s="18"/>
      <c r="BI14" s="18"/>
      <c r="BJ14" s="18"/>
      <c r="BK14" s="18">
        <v>225</v>
      </c>
    </row>
    <row r="15" spans="1:63" x14ac:dyDescent="0.3">
      <c r="B15" t="s">
        <v>838</v>
      </c>
      <c r="C15" t="s">
        <v>7</v>
      </c>
      <c r="D15" s="18">
        <v>3232</v>
      </c>
      <c r="E15" s="38">
        <v>-3232</v>
      </c>
      <c r="F15" s="18">
        <v>0</v>
      </c>
      <c r="J15" s="18"/>
      <c r="O15" t="s">
        <v>338</v>
      </c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>
        <v>1876</v>
      </c>
      <c r="AJ15" s="18">
        <v>1876</v>
      </c>
      <c r="AK15" s="18"/>
      <c r="AL15" s="18"/>
      <c r="AM15" s="18"/>
      <c r="AN15" s="18"/>
      <c r="AO15" s="18"/>
      <c r="AP15" s="18"/>
      <c r="AQ15" s="18"/>
      <c r="AR15" s="18"/>
      <c r="AS15" s="18"/>
      <c r="AT15" s="18"/>
      <c r="AU15" s="18"/>
      <c r="AV15" s="18"/>
      <c r="AW15" s="18"/>
      <c r="AX15" s="18"/>
      <c r="AY15" s="18"/>
      <c r="AZ15" s="18"/>
      <c r="BA15" s="18"/>
      <c r="BB15" s="18"/>
      <c r="BC15" s="18"/>
      <c r="BD15" s="18"/>
      <c r="BE15" s="18"/>
      <c r="BF15" s="18"/>
      <c r="BG15" s="18"/>
      <c r="BH15" s="18"/>
      <c r="BI15" s="18"/>
      <c r="BJ15" s="18"/>
      <c r="BK15" s="18">
        <v>1876</v>
      </c>
    </row>
    <row r="16" spans="1:63" x14ac:dyDescent="0.3">
      <c r="B16" t="s">
        <v>843</v>
      </c>
      <c r="C16" t="s">
        <v>410</v>
      </c>
      <c r="D16" s="18">
        <v>4431.5</v>
      </c>
      <c r="E16" s="38">
        <v>-4431.5</v>
      </c>
      <c r="F16" s="18">
        <v>0</v>
      </c>
      <c r="J16" s="18"/>
      <c r="O16" t="s">
        <v>341</v>
      </c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>
        <v>1826</v>
      </c>
      <c r="AJ16" s="18">
        <v>1826</v>
      </c>
      <c r="AK16" s="18"/>
      <c r="AL16" s="18"/>
      <c r="AM16" s="18"/>
      <c r="AN16" s="18"/>
      <c r="AO16" s="18"/>
      <c r="AP16" s="18"/>
      <c r="AQ16" s="18"/>
      <c r="AR16" s="18"/>
      <c r="AS16" s="18"/>
      <c r="AT16" s="18"/>
      <c r="AU16" s="18"/>
      <c r="AV16" s="18"/>
      <c r="AW16" s="18"/>
      <c r="AX16" s="18"/>
      <c r="AY16" s="18"/>
      <c r="AZ16" s="18"/>
      <c r="BA16" s="18"/>
      <c r="BB16" s="18"/>
      <c r="BC16" s="18"/>
      <c r="BD16" s="18"/>
      <c r="BE16" s="18"/>
      <c r="BF16" s="18"/>
      <c r="BG16" s="18"/>
      <c r="BH16" s="18"/>
      <c r="BI16" s="18"/>
      <c r="BJ16" s="18"/>
      <c r="BK16" s="18">
        <v>1826</v>
      </c>
    </row>
    <row r="17" spans="1:63" x14ac:dyDescent="0.3">
      <c r="B17" t="s">
        <v>844</v>
      </c>
      <c r="C17" t="s">
        <v>43</v>
      </c>
      <c r="D17" s="18">
        <v>2068</v>
      </c>
      <c r="E17" s="38">
        <v>-2068</v>
      </c>
      <c r="F17" s="18">
        <v>0</v>
      </c>
      <c r="J17" s="18"/>
      <c r="O17" t="s">
        <v>343</v>
      </c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>
        <v>100</v>
      </c>
      <c r="AJ17" s="18">
        <v>100</v>
      </c>
      <c r="AK17" s="18"/>
      <c r="AL17" s="18"/>
      <c r="AM17" s="18"/>
      <c r="AN17" s="18"/>
      <c r="AO17" s="18"/>
      <c r="AP17" s="18"/>
      <c r="AQ17" s="18"/>
      <c r="AR17" s="18"/>
      <c r="AS17" s="18"/>
      <c r="AT17" s="18"/>
      <c r="AU17" s="18"/>
      <c r="AV17" s="18"/>
      <c r="AW17" s="18"/>
      <c r="AX17" s="18"/>
      <c r="AY17" s="18"/>
      <c r="AZ17" s="18"/>
      <c r="BA17" s="18"/>
      <c r="BB17" s="18"/>
      <c r="BC17" s="18"/>
      <c r="BD17" s="18"/>
      <c r="BE17" s="18"/>
      <c r="BF17" s="18"/>
      <c r="BG17" s="18"/>
      <c r="BH17" s="18"/>
      <c r="BI17" s="18"/>
      <c r="BJ17" s="18"/>
      <c r="BK17" s="18">
        <v>100</v>
      </c>
    </row>
    <row r="18" spans="1:63" x14ac:dyDescent="0.3">
      <c r="B18" t="s">
        <v>845</v>
      </c>
      <c r="C18" t="s">
        <v>492</v>
      </c>
      <c r="D18" s="18">
        <v>3374.5</v>
      </c>
      <c r="E18" s="38">
        <v>-3374.5</v>
      </c>
      <c r="F18" s="18">
        <v>0</v>
      </c>
      <c r="J18" s="18"/>
      <c r="O18" t="s">
        <v>368</v>
      </c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>
        <v>1826</v>
      </c>
      <c r="AB18" s="18"/>
      <c r="AC18" s="18"/>
      <c r="AD18" s="18"/>
      <c r="AE18" s="18"/>
      <c r="AF18" s="18"/>
      <c r="AG18" s="18"/>
      <c r="AH18" s="18"/>
      <c r="AI18" s="18"/>
      <c r="AJ18" s="18">
        <v>1826</v>
      </c>
      <c r="AK18" s="18"/>
      <c r="AL18" s="18"/>
      <c r="AM18" s="18"/>
      <c r="AN18" s="18"/>
      <c r="AO18" s="18"/>
      <c r="AP18" s="18"/>
      <c r="AQ18" s="18"/>
      <c r="AR18" s="18"/>
      <c r="AS18" s="18"/>
      <c r="AT18" s="18"/>
      <c r="AU18" s="18"/>
      <c r="AV18" s="18"/>
      <c r="AW18" s="18"/>
      <c r="AX18" s="18"/>
      <c r="AY18" s="18"/>
      <c r="AZ18" s="18"/>
      <c r="BA18" s="18"/>
      <c r="BB18" s="18"/>
      <c r="BC18" s="18"/>
      <c r="BD18" s="18"/>
      <c r="BE18" s="18"/>
      <c r="BF18" s="18"/>
      <c r="BG18" s="18"/>
      <c r="BH18" s="18"/>
      <c r="BI18" s="18"/>
      <c r="BJ18" s="18"/>
      <c r="BK18" s="18">
        <v>1826</v>
      </c>
    </row>
    <row r="19" spans="1:63" x14ac:dyDescent="0.3">
      <c r="B19" t="s">
        <v>846</v>
      </c>
      <c r="C19" t="s">
        <v>410</v>
      </c>
      <c r="D19" s="18">
        <v>5889</v>
      </c>
      <c r="E19" s="38">
        <v>-5889</v>
      </c>
      <c r="F19" s="18">
        <v>0</v>
      </c>
      <c r="J19" s="18"/>
      <c r="O19" t="s">
        <v>369</v>
      </c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>
        <v>1926</v>
      </c>
      <c r="AB19" s="18"/>
      <c r="AC19" s="18"/>
      <c r="AD19" s="18"/>
      <c r="AE19" s="18"/>
      <c r="AF19" s="18"/>
      <c r="AG19" s="18"/>
      <c r="AH19" s="18"/>
      <c r="AI19" s="18"/>
      <c r="AJ19" s="18">
        <v>1926</v>
      </c>
      <c r="AK19" s="18"/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  <c r="BH19" s="18"/>
      <c r="BI19" s="18"/>
      <c r="BJ19" s="18"/>
      <c r="BK19" s="18">
        <v>1926</v>
      </c>
    </row>
    <row r="20" spans="1:63" x14ac:dyDescent="0.3">
      <c r="B20" t="s">
        <v>847</v>
      </c>
      <c r="C20" t="s">
        <v>401</v>
      </c>
      <c r="D20" s="18">
        <v>6223.6</v>
      </c>
      <c r="E20" s="38">
        <v>-6223.6</v>
      </c>
      <c r="F20" s="18">
        <v>0</v>
      </c>
      <c r="J20" s="18"/>
      <c r="O20" t="s">
        <v>380</v>
      </c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>
        <v>1826</v>
      </c>
      <c r="AB20" s="18"/>
      <c r="AC20" s="18"/>
      <c r="AD20" s="18"/>
      <c r="AE20" s="18"/>
      <c r="AF20" s="18"/>
      <c r="AG20" s="18"/>
      <c r="AH20" s="18"/>
      <c r="AI20" s="18"/>
      <c r="AJ20" s="18">
        <v>1826</v>
      </c>
      <c r="AK20" s="18"/>
      <c r="AL20" s="18"/>
      <c r="AM20" s="18"/>
      <c r="AN20" s="18"/>
      <c r="AO20" s="18"/>
      <c r="AP20" s="18"/>
      <c r="AQ20" s="18"/>
      <c r="AR20" s="18"/>
      <c r="AS20" s="18"/>
      <c r="AT20" s="18"/>
      <c r="AU20" s="18"/>
      <c r="AV20" s="18"/>
      <c r="AW20" s="18"/>
      <c r="AX20" s="18"/>
      <c r="AY20" s="18"/>
      <c r="AZ20" s="18"/>
      <c r="BA20" s="18"/>
      <c r="BB20" s="18"/>
      <c r="BC20" s="18"/>
      <c r="BD20" s="18"/>
      <c r="BE20" s="18"/>
      <c r="BF20" s="18"/>
      <c r="BG20" s="18"/>
      <c r="BH20" s="18"/>
      <c r="BI20" s="18"/>
      <c r="BJ20" s="18"/>
      <c r="BK20" s="18">
        <v>1826</v>
      </c>
    </row>
    <row r="21" spans="1:63" x14ac:dyDescent="0.3">
      <c r="B21" t="s">
        <v>848</v>
      </c>
      <c r="C21" t="s">
        <v>62</v>
      </c>
      <c r="D21" s="18">
        <v>18515</v>
      </c>
      <c r="E21" s="38">
        <v>-18515</v>
      </c>
      <c r="F21" s="18">
        <v>0</v>
      </c>
      <c r="J21" s="18"/>
      <c r="O21" t="s">
        <v>424</v>
      </c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>
        <v>1926</v>
      </c>
      <c r="AC21" s="18"/>
      <c r="AD21" s="18"/>
      <c r="AE21" s="18"/>
      <c r="AF21" s="18"/>
      <c r="AG21" s="18"/>
      <c r="AH21" s="18"/>
      <c r="AI21" s="18"/>
      <c r="AJ21" s="18">
        <v>1926</v>
      </c>
      <c r="AK21" s="18"/>
      <c r="AL21" s="18"/>
      <c r="AM21" s="18"/>
      <c r="AN21" s="18"/>
      <c r="AO21" s="18"/>
      <c r="AP21" s="18"/>
      <c r="AQ21" s="18"/>
      <c r="AR21" s="18"/>
      <c r="AS21" s="18"/>
      <c r="AT21" s="18"/>
      <c r="AU21" s="18"/>
      <c r="AV21" s="18"/>
      <c r="AW21" s="18"/>
      <c r="AX21" s="18"/>
      <c r="AY21" s="18"/>
      <c r="AZ21" s="18"/>
      <c r="BA21" s="18"/>
      <c r="BB21" s="18"/>
      <c r="BC21" s="18"/>
      <c r="BD21" s="18"/>
      <c r="BE21" s="18"/>
      <c r="BF21" s="18"/>
      <c r="BG21" s="18"/>
      <c r="BH21" s="18"/>
      <c r="BI21" s="18"/>
      <c r="BJ21" s="18"/>
      <c r="BK21" s="18">
        <v>1926</v>
      </c>
    </row>
    <row r="22" spans="1:63" x14ac:dyDescent="0.3">
      <c r="A22" s="17" t="s">
        <v>141</v>
      </c>
      <c r="B22" s="17"/>
      <c r="C22" s="17"/>
      <c r="D22" s="19">
        <v>98244.6</v>
      </c>
      <c r="E22" s="39">
        <v>-98244.6</v>
      </c>
      <c r="F22" s="19">
        <v>0</v>
      </c>
      <c r="J22" s="18"/>
      <c r="O22" t="s">
        <v>456</v>
      </c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>
        <v>380.4</v>
      </c>
      <c r="AD22" s="18"/>
      <c r="AE22" s="18"/>
      <c r="AF22" s="18"/>
      <c r="AG22" s="18"/>
      <c r="AH22" s="18"/>
      <c r="AI22" s="18"/>
      <c r="AJ22" s="18">
        <v>380.4</v>
      </c>
      <c r="AK22" s="18"/>
      <c r="AL22" s="18"/>
      <c r="AM22" s="18"/>
      <c r="AN22" s="18"/>
      <c r="AO22" s="18"/>
      <c r="AP22" s="18"/>
      <c r="AQ22" s="18"/>
      <c r="AR22" s="18"/>
      <c r="AS22" s="18"/>
      <c r="AT22" s="18"/>
      <c r="AU22" s="18"/>
      <c r="AV22" s="18"/>
      <c r="AW22" s="18"/>
      <c r="AX22" s="18"/>
      <c r="AY22" s="18"/>
      <c r="AZ22" s="18"/>
      <c r="BA22" s="18"/>
      <c r="BB22" s="18"/>
      <c r="BC22" s="18"/>
      <c r="BD22" s="18"/>
      <c r="BE22" s="18"/>
      <c r="BF22" s="18"/>
      <c r="BG22" s="18"/>
      <c r="BH22" s="18"/>
      <c r="BI22" s="18"/>
      <c r="BJ22" s="18"/>
      <c r="BK22" s="18">
        <v>380.4</v>
      </c>
    </row>
    <row r="23" spans="1:63" x14ac:dyDescent="0.3">
      <c r="A23">
        <v>7</v>
      </c>
      <c r="B23" t="s">
        <v>857</v>
      </c>
      <c r="C23" t="s">
        <v>58</v>
      </c>
      <c r="D23" s="18">
        <v>1539</v>
      </c>
      <c r="E23" s="38">
        <v>-1539</v>
      </c>
      <c r="F23" s="18">
        <v>0</v>
      </c>
      <c r="J23" s="18"/>
      <c r="N23" s="17" t="s">
        <v>132</v>
      </c>
      <c r="O23" s="17"/>
      <c r="P23" s="19"/>
      <c r="Q23" s="19"/>
      <c r="R23" s="19"/>
      <c r="S23" s="19"/>
      <c r="T23" s="19">
        <v>1586</v>
      </c>
      <c r="U23" s="19"/>
      <c r="V23" s="19">
        <v>4578</v>
      </c>
      <c r="W23" s="19">
        <v>3170</v>
      </c>
      <c r="X23" s="19"/>
      <c r="Y23" s="19">
        <v>9334</v>
      </c>
      <c r="Z23" s="19"/>
      <c r="AA23" s="19">
        <v>5578</v>
      </c>
      <c r="AB23" s="19">
        <v>1926</v>
      </c>
      <c r="AC23" s="19">
        <v>380.4</v>
      </c>
      <c r="AD23" s="19"/>
      <c r="AE23" s="19"/>
      <c r="AF23" s="19">
        <v>1975</v>
      </c>
      <c r="AG23" s="19"/>
      <c r="AH23" s="19"/>
      <c r="AI23" s="19">
        <v>3802</v>
      </c>
      <c r="AJ23" s="19">
        <v>13661.4</v>
      </c>
      <c r="AK23" s="19"/>
      <c r="AL23" s="19"/>
      <c r="AM23" s="19"/>
      <c r="AN23" s="19"/>
      <c r="AO23" s="19"/>
      <c r="AP23" s="19"/>
      <c r="AQ23" s="19"/>
      <c r="AR23" s="19"/>
      <c r="AS23" s="19"/>
      <c r="AT23" s="19"/>
      <c r="AU23" s="19"/>
      <c r="AV23" s="19"/>
      <c r="AW23" s="19"/>
      <c r="AX23" s="19"/>
      <c r="AY23" s="19"/>
      <c r="AZ23" s="19"/>
      <c r="BA23" s="19"/>
      <c r="BB23" s="19"/>
      <c r="BC23" s="19"/>
      <c r="BD23" s="19"/>
      <c r="BE23" s="19"/>
      <c r="BF23" s="19"/>
      <c r="BG23" s="19"/>
      <c r="BH23" s="19"/>
      <c r="BI23" s="19"/>
      <c r="BJ23" s="19"/>
      <c r="BK23" s="19">
        <v>22995.4</v>
      </c>
    </row>
    <row r="24" spans="1:63" x14ac:dyDescent="0.3">
      <c r="B24" t="s">
        <v>858</v>
      </c>
      <c r="C24" t="s">
        <v>401</v>
      </c>
      <c r="D24" s="18">
        <v>5183.6000000000004</v>
      </c>
      <c r="E24" s="38">
        <v>-5183.6000000000004</v>
      </c>
      <c r="F24" s="18">
        <v>0</v>
      </c>
      <c r="J24" s="18"/>
      <c r="N24" t="s">
        <v>47</v>
      </c>
      <c r="O24" t="s">
        <v>49</v>
      </c>
      <c r="P24" s="18"/>
      <c r="Q24" s="18"/>
      <c r="R24" s="18"/>
      <c r="S24" s="18"/>
      <c r="T24" s="18">
        <v>2956</v>
      </c>
      <c r="U24" s="18"/>
      <c r="V24" s="18"/>
      <c r="W24" s="18"/>
      <c r="X24" s="18"/>
      <c r="Y24" s="18">
        <v>2956</v>
      </c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18"/>
      <c r="AN24" s="18"/>
      <c r="AO24" s="18"/>
      <c r="AP24" s="18"/>
      <c r="AQ24" s="18"/>
      <c r="AR24" s="18"/>
      <c r="AS24" s="18"/>
      <c r="AT24" s="18"/>
      <c r="AU24" s="18"/>
      <c r="AV24" s="18"/>
      <c r="AW24" s="18"/>
      <c r="AX24" s="18"/>
      <c r="AY24" s="18"/>
      <c r="AZ24" s="18"/>
      <c r="BA24" s="18"/>
      <c r="BB24" s="18"/>
      <c r="BC24" s="18"/>
      <c r="BD24" s="18"/>
      <c r="BE24" s="18"/>
      <c r="BF24" s="18"/>
      <c r="BG24" s="18"/>
      <c r="BH24" s="18"/>
      <c r="BI24" s="18"/>
      <c r="BJ24" s="18"/>
      <c r="BK24" s="18">
        <v>2956</v>
      </c>
    </row>
    <row r="25" spans="1:63" x14ac:dyDescent="0.3">
      <c r="B25" t="s">
        <v>859</v>
      </c>
      <c r="C25" t="s">
        <v>410</v>
      </c>
      <c r="D25" s="18">
        <v>12855.5</v>
      </c>
      <c r="E25" s="38">
        <v>-12855.5</v>
      </c>
      <c r="F25" s="18">
        <v>0</v>
      </c>
      <c r="J25" s="18"/>
      <c r="O25" t="s">
        <v>117</v>
      </c>
      <c r="P25" s="18"/>
      <c r="Q25" s="18"/>
      <c r="R25" s="18"/>
      <c r="S25" s="18"/>
      <c r="T25" s="18"/>
      <c r="U25" s="18"/>
      <c r="V25" s="18">
        <v>2650</v>
      </c>
      <c r="W25" s="18"/>
      <c r="X25" s="18"/>
      <c r="Y25" s="18">
        <v>2650</v>
      </c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18"/>
      <c r="AN25" s="18"/>
      <c r="AO25" s="18"/>
      <c r="AP25" s="18"/>
      <c r="AQ25" s="18"/>
      <c r="AR25" s="18"/>
      <c r="AS25" s="18"/>
      <c r="AT25" s="18"/>
      <c r="AU25" s="18"/>
      <c r="AV25" s="18"/>
      <c r="AW25" s="18"/>
      <c r="AX25" s="18"/>
      <c r="AY25" s="18"/>
      <c r="AZ25" s="18"/>
      <c r="BA25" s="18"/>
      <c r="BB25" s="18"/>
      <c r="BC25" s="18"/>
      <c r="BD25" s="18"/>
      <c r="BE25" s="18"/>
      <c r="BF25" s="18"/>
      <c r="BG25" s="18"/>
      <c r="BH25" s="18"/>
      <c r="BI25" s="18"/>
      <c r="BJ25" s="18"/>
      <c r="BK25" s="18">
        <v>2650</v>
      </c>
    </row>
    <row r="26" spans="1:63" x14ac:dyDescent="0.3">
      <c r="B26" t="s">
        <v>862</v>
      </c>
      <c r="C26" t="s">
        <v>860</v>
      </c>
      <c r="D26" s="18">
        <v>8568.2000000000007</v>
      </c>
      <c r="E26" s="38">
        <v>-8568.2000000000007</v>
      </c>
      <c r="F26" s="18">
        <v>0</v>
      </c>
      <c r="J26" s="18"/>
      <c r="N26" s="17" t="s">
        <v>133</v>
      </c>
      <c r="O26" s="17"/>
      <c r="P26" s="19"/>
      <c r="Q26" s="19"/>
      <c r="R26" s="19"/>
      <c r="S26" s="19"/>
      <c r="T26" s="19">
        <v>2956</v>
      </c>
      <c r="U26" s="19"/>
      <c r="V26" s="19">
        <v>2650</v>
      </c>
      <c r="W26" s="19"/>
      <c r="X26" s="19"/>
      <c r="Y26" s="19">
        <v>5606</v>
      </c>
      <c r="Z26" s="19"/>
      <c r="AA26" s="19"/>
      <c r="AB26" s="19"/>
      <c r="AC26" s="19"/>
      <c r="AD26" s="19"/>
      <c r="AE26" s="19"/>
      <c r="AF26" s="19"/>
      <c r="AG26" s="19"/>
      <c r="AH26" s="19"/>
      <c r="AI26" s="19"/>
      <c r="AJ26" s="19"/>
      <c r="AK26" s="19"/>
      <c r="AL26" s="19"/>
      <c r="AM26" s="19"/>
      <c r="AN26" s="19"/>
      <c r="AO26" s="19"/>
      <c r="AP26" s="19"/>
      <c r="AQ26" s="19"/>
      <c r="AR26" s="19"/>
      <c r="AS26" s="19"/>
      <c r="AT26" s="19"/>
      <c r="AU26" s="19"/>
      <c r="AV26" s="19"/>
      <c r="AW26" s="19"/>
      <c r="AX26" s="19"/>
      <c r="AY26" s="19"/>
      <c r="AZ26" s="19"/>
      <c r="BA26" s="19"/>
      <c r="BB26" s="19"/>
      <c r="BC26" s="19"/>
      <c r="BD26" s="19"/>
      <c r="BE26" s="19"/>
      <c r="BF26" s="19"/>
      <c r="BG26" s="19"/>
      <c r="BH26" s="19"/>
      <c r="BI26" s="19"/>
      <c r="BJ26" s="19"/>
      <c r="BK26" s="19">
        <v>5606</v>
      </c>
    </row>
    <row r="27" spans="1:63" x14ac:dyDescent="0.3">
      <c r="B27" t="s">
        <v>867</v>
      </c>
      <c r="C27" t="s">
        <v>410</v>
      </c>
      <c r="D27" s="18">
        <v>9153</v>
      </c>
      <c r="E27" s="38">
        <v>-9153</v>
      </c>
      <c r="F27" s="18">
        <v>0</v>
      </c>
      <c r="J27" s="18"/>
      <c r="N27" t="s">
        <v>58</v>
      </c>
      <c r="O27" t="s">
        <v>55</v>
      </c>
      <c r="P27" s="18"/>
      <c r="Q27" s="18"/>
      <c r="R27" s="18"/>
      <c r="S27" s="18"/>
      <c r="T27" s="18">
        <v>2552</v>
      </c>
      <c r="U27" s="18"/>
      <c r="V27" s="18"/>
      <c r="W27" s="18"/>
      <c r="X27" s="18"/>
      <c r="Y27" s="18">
        <v>2552</v>
      </c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  <c r="AO27" s="18"/>
      <c r="AP27" s="18"/>
      <c r="AQ27" s="18"/>
      <c r="AR27" s="18"/>
      <c r="AS27" s="18"/>
      <c r="AT27" s="18"/>
      <c r="AU27" s="18"/>
      <c r="AV27" s="18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  <c r="BH27" s="18"/>
      <c r="BI27" s="18"/>
      <c r="BJ27" s="18"/>
      <c r="BK27" s="18">
        <v>2552</v>
      </c>
    </row>
    <row r="28" spans="1:63" x14ac:dyDescent="0.3">
      <c r="B28" t="s">
        <v>868</v>
      </c>
      <c r="C28" t="s">
        <v>410</v>
      </c>
      <c r="D28" s="18">
        <v>925.5</v>
      </c>
      <c r="E28" s="38">
        <v>-925.5</v>
      </c>
      <c r="F28" s="18">
        <v>0</v>
      </c>
      <c r="J28" s="18"/>
      <c r="O28" t="s">
        <v>156</v>
      </c>
      <c r="P28" s="18"/>
      <c r="Q28" s="18"/>
      <c r="R28" s="18"/>
      <c r="S28" s="18"/>
      <c r="T28" s="18"/>
      <c r="U28" s="18"/>
      <c r="V28" s="18"/>
      <c r="W28" s="18">
        <v>1231.2</v>
      </c>
      <c r="X28" s="18"/>
      <c r="Y28" s="18">
        <v>1231.2</v>
      </c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18"/>
      <c r="AO28" s="18"/>
      <c r="AP28" s="18"/>
      <c r="AQ28" s="18"/>
      <c r="AR28" s="18"/>
      <c r="AS28" s="18"/>
      <c r="AT28" s="18"/>
      <c r="AU28" s="18"/>
      <c r="AV28" s="18"/>
      <c r="AW28" s="18"/>
      <c r="AX28" s="18"/>
      <c r="AY28" s="18"/>
      <c r="AZ28" s="18"/>
      <c r="BA28" s="18"/>
      <c r="BB28" s="18"/>
      <c r="BC28" s="18"/>
      <c r="BD28" s="18"/>
      <c r="BE28" s="18"/>
      <c r="BF28" s="18"/>
      <c r="BG28" s="18"/>
      <c r="BH28" s="18"/>
      <c r="BI28" s="18"/>
      <c r="BJ28" s="18"/>
      <c r="BK28" s="18">
        <v>1231.2</v>
      </c>
    </row>
    <row r="29" spans="1:63" x14ac:dyDescent="0.3">
      <c r="B29" t="s">
        <v>869</v>
      </c>
      <c r="C29" t="s">
        <v>410</v>
      </c>
      <c r="D29" s="18">
        <v>6625</v>
      </c>
      <c r="E29" s="38">
        <v>-6625</v>
      </c>
      <c r="F29" s="18">
        <v>0</v>
      </c>
      <c r="J29" s="18"/>
      <c r="O29" t="s">
        <v>183</v>
      </c>
      <c r="P29" s="18"/>
      <c r="Q29" s="18"/>
      <c r="R29" s="18"/>
      <c r="S29" s="18"/>
      <c r="T29" s="18"/>
      <c r="U29" s="18"/>
      <c r="V29" s="18"/>
      <c r="W29" s="18">
        <v>408</v>
      </c>
      <c r="X29" s="18"/>
      <c r="Y29" s="18">
        <v>408</v>
      </c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V29" s="18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  <c r="BH29" s="18"/>
      <c r="BI29" s="18"/>
      <c r="BJ29" s="18"/>
      <c r="BK29" s="18">
        <v>408</v>
      </c>
    </row>
    <row r="30" spans="1:63" x14ac:dyDescent="0.3">
      <c r="B30" t="s">
        <v>870</v>
      </c>
      <c r="C30" t="s">
        <v>7</v>
      </c>
      <c r="D30" s="18">
        <v>4092</v>
      </c>
      <c r="E30" s="38">
        <v>-4092</v>
      </c>
      <c r="F30" s="18">
        <v>0</v>
      </c>
      <c r="J30" s="18"/>
      <c r="O30" t="s">
        <v>317</v>
      </c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>
        <v>6459.6</v>
      </c>
      <c r="AH30" s="18"/>
      <c r="AI30" s="18"/>
      <c r="AJ30" s="18">
        <v>6459.6</v>
      </c>
      <c r="AK30" s="18"/>
      <c r="AL30" s="18"/>
      <c r="AM30" s="18"/>
      <c r="AN30" s="18"/>
      <c r="AO30" s="18"/>
      <c r="AP30" s="18"/>
      <c r="AQ30" s="18"/>
      <c r="AR30" s="18"/>
      <c r="AS30" s="18"/>
      <c r="AT30" s="18"/>
      <c r="AU30" s="18"/>
      <c r="AV30" s="18"/>
      <c r="AW30" s="18"/>
      <c r="AX30" s="18"/>
      <c r="AY30" s="18"/>
      <c r="AZ30" s="18"/>
      <c r="BA30" s="18"/>
      <c r="BB30" s="18"/>
      <c r="BC30" s="18"/>
      <c r="BD30" s="18"/>
      <c r="BE30" s="18"/>
      <c r="BF30" s="18"/>
      <c r="BG30" s="18"/>
      <c r="BH30" s="18"/>
      <c r="BI30" s="18"/>
      <c r="BJ30" s="18"/>
      <c r="BK30" s="18">
        <v>6459.6</v>
      </c>
    </row>
    <row r="31" spans="1:63" x14ac:dyDescent="0.3">
      <c r="B31" t="s">
        <v>871</v>
      </c>
      <c r="C31" t="s">
        <v>62</v>
      </c>
      <c r="D31" s="18">
        <v>13445</v>
      </c>
      <c r="E31" s="38">
        <v>-13445</v>
      </c>
      <c r="F31" s="18">
        <v>0</v>
      </c>
      <c r="J31" s="18"/>
      <c r="O31" t="s">
        <v>320</v>
      </c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>
        <v>90</v>
      </c>
      <c r="AH31" s="18"/>
      <c r="AI31" s="18"/>
      <c r="AJ31" s="18">
        <v>90</v>
      </c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  <c r="BF31" s="18"/>
      <c r="BG31" s="18"/>
      <c r="BH31" s="18"/>
      <c r="BI31" s="18"/>
      <c r="BJ31" s="18"/>
      <c r="BK31" s="18">
        <v>90</v>
      </c>
    </row>
    <row r="32" spans="1:63" x14ac:dyDescent="0.3">
      <c r="B32" t="s">
        <v>872</v>
      </c>
      <c r="C32" t="s">
        <v>492</v>
      </c>
      <c r="D32" s="18">
        <v>2180</v>
      </c>
      <c r="E32" s="38">
        <v>-2180</v>
      </c>
      <c r="F32" s="18">
        <v>0</v>
      </c>
      <c r="J32" s="18"/>
      <c r="O32" t="s">
        <v>329</v>
      </c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>
        <v>7482</v>
      </c>
      <c r="AI32" s="18"/>
      <c r="AJ32" s="18">
        <v>7482</v>
      </c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8"/>
      <c r="BE32" s="18"/>
      <c r="BF32" s="18"/>
      <c r="BG32" s="18"/>
      <c r="BH32" s="18"/>
      <c r="BI32" s="18"/>
      <c r="BJ32" s="18"/>
      <c r="BK32" s="18">
        <v>7482</v>
      </c>
    </row>
    <row r="33" spans="1:63" x14ac:dyDescent="0.3">
      <c r="B33" t="s">
        <v>874</v>
      </c>
      <c r="C33" t="s">
        <v>58</v>
      </c>
      <c r="D33" s="18">
        <v>4596.5</v>
      </c>
      <c r="E33" s="38">
        <v>-4596.5</v>
      </c>
      <c r="F33" s="18">
        <v>0</v>
      </c>
      <c r="J33" s="18"/>
      <c r="O33" t="s">
        <v>357</v>
      </c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>
        <v>3825</v>
      </c>
      <c r="AA33" s="18"/>
      <c r="AB33" s="18"/>
      <c r="AC33" s="18"/>
      <c r="AD33" s="18"/>
      <c r="AE33" s="18"/>
      <c r="AF33" s="18"/>
      <c r="AG33" s="18"/>
      <c r="AH33" s="18"/>
      <c r="AI33" s="18"/>
      <c r="AJ33" s="18">
        <v>3825</v>
      </c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18"/>
      <c r="BF33" s="18"/>
      <c r="BG33" s="18"/>
      <c r="BH33" s="18"/>
      <c r="BI33" s="18"/>
      <c r="BJ33" s="18"/>
      <c r="BK33" s="18">
        <v>3825</v>
      </c>
    </row>
    <row r="34" spans="1:63" x14ac:dyDescent="0.3">
      <c r="A34" s="17" t="s">
        <v>142</v>
      </c>
      <c r="B34" s="17"/>
      <c r="C34" s="17"/>
      <c r="D34" s="19">
        <v>69163.3</v>
      </c>
      <c r="E34" s="39">
        <v>-69163.3</v>
      </c>
      <c r="F34" s="19">
        <v>0</v>
      </c>
      <c r="J34" s="18"/>
      <c r="O34" t="s">
        <v>358</v>
      </c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>
        <v>690</v>
      </c>
      <c r="AA34" s="18"/>
      <c r="AB34" s="18"/>
      <c r="AC34" s="18"/>
      <c r="AD34" s="18"/>
      <c r="AE34" s="18"/>
      <c r="AF34" s="18"/>
      <c r="AG34" s="18"/>
      <c r="AH34" s="18"/>
      <c r="AI34" s="18"/>
      <c r="AJ34" s="18">
        <v>690</v>
      </c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  <c r="BH34" s="18"/>
      <c r="BI34" s="18"/>
      <c r="BJ34" s="18"/>
      <c r="BK34" s="18">
        <v>690</v>
      </c>
    </row>
    <row r="35" spans="1:63" x14ac:dyDescent="0.3">
      <c r="A35">
        <v>8</v>
      </c>
      <c r="B35" t="s">
        <v>892</v>
      </c>
      <c r="C35" t="s">
        <v>860</v>
      </c>
      <c r="D35" s="18">
        <v>12643.199999999999</v>
      </c>
      <c r="E35" s="38">
        <v>-12643</v>
      </c>
      <c r="F35" s="18">
        <v>0.20000000000004547</v>
      </c>
      <c r="J35" s="18"/>
      <c r="O35" t="s">
        <v>419</v>
      </c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>
        <v>5100</v>
      </c>
      <c r="AC35" s="18"/>
      <c r="AD35" s="18"/>
      <c r="AE35" s="18"/>
      <c r="AF35" s="18"/>
      <c r="AG35" s="18"/>
      <c r="AH35" s="18"/>
      <c r="AI35" s="18"/>
      <c r="AJ35" s="18">
        <v>5100</v>
      </c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  <c r="BH35" s="18"/>
      <c r="BI35" s="18"/>
      <c r="BJ35" s="18"/>
      <c r="BK35" s="18">
        <v>5100</v>
      </c>
    </row>
    <row r="36" spans="1:63" x14ac:dyDescent="0.3">
      <c r="B36" t="s">
        <v>896</v>
      </c>
      <c r="C36" t="s">
        <v>410</v>
      </c>
      <c r="D36" s="18">
        <v>5268.6</v>
      </c>
      <c r="E36" s="38">
        <v>-5268.6</v>
      </c>
      <c r="F36" s="18">
        <v>0</v>
      </c>
      <c r="J36" s="18"/>
      <c r="O36" t="s">
        <v>605</v>
      </c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>
        <v>5940</v>
      </c>
      <c r="AT36" s="18"/>
      <c r="AU36" s="18"/>
      <c r="AV36" s="18"/>
      <c r="AW36" s="18">
        <v>5940</v>
      </c>
      <c r="AX36" s="18"/>
      <c r="AY36" s="18"/>
      <c r="AZ36" s="18"/>
      <c r="BA36" s="18"/>
      <c r="BB36" s="18"/>
      <c r="BC36" s="18"/>
      <c r="BD36" s="18"/>
      <c r="BE36" s="18"/>
      <c r="BF36" s="18"/>
      <c r="BG36" s="18"/>
      <c r="BH36" s="18"/>
      <c r="BI36" s="18"/>
      <c r="BJ36" s="18"/>
      <c r="BK36" s="18">
        <v>5940</v>
      </c>
    </row>
    <row r="37" spans="1:63" x14ac:dyDescent="0.3">
      <c r="B37" t="s">
        <v>898</v>
      </c>
      <c r="C37" t="s">
        <v>7</v>
      </c>
      <c r="D37" s="18">
        <v>864</v>
      </c>
      <c r="E37" s="38">
        <v>-864</v>
      </c>
      <c r="F37" s="18">
        <v>0</v>
      </c>
      <c r="J37" s="18"/>
      <c r="O37" t="s">
        <v>689</v>
      </c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>
        <v>5043</v>
      </c>
      <c r="AV37" s="18"/>
      <c r="AW37" s="18">
        <v>5043</v>
      </c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>
        <v>5043</v>
      </c>
    </row>
    <row r="38" spans="1:63" x14ac:dyDescent="0.3">
      <c r="B38" t="s">
        <v>899</v>
      </c>
      <c r="C38" t="s">
        <v>785</v>
      </c>
      <c r="D38" s="18">
        <v>2068</v>
      </c>
      <c r="E38" s="38">
        <v>-2068</v>
      </c>
      <c r="F38" s="18">
        <v>0</v>
      </c>
      <c r="J38" s="18"/>
      <c r="O38" t="s">
        <v>766</v>
      </c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>
        <v>5100</v>
      </c>
      <c r="AW38" s="18">
        <v>5100</v>
      </c>
      <c r="AX38" s="18"/>
      <c r="AY38" s="18"/>
      <c r="AZ38" s="18"/>
      <c r="BA38" s="18"/>
      <c r="BB38" s="18"/>
      <c r="BC38" s="18"/>
      <c r="BD38" s="18"/>
      <c r="BE38" s="18"/>
      <c r="BF38" s="18"/>
      <c r="BG38" s="18"/>
      <c r="BH38" s="18"/>
      <c r="BI38" s="18"/>
      <c r="BJ38" s="18"/>
      <c r="BK38" s="18">
        <v>5100</v>
      </c>
    </row>
    <row r="39" spans="1:63" x14ac:dyDescent="0.3">
      <c r="B39" t="s">
        <v>900</v>
      </c>
      <c r="C39" t="s">
        <v>410</v>
      </c>
      <c r="D39" s="18">
        <v>4312.5</v>
      </c>
      <c r="E39" s="38">
        <v>-4312.5</v>
      </c>
      <c r="F39" s="18">
        <v>0</v>
      </c>
      <c r="J39" s="18"/>
      <c r="O39" t="s">
        <v>837</v>
      </c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>
        <v>3960</v>
      </c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>
        <v>3960</v>
      </c>
      <c r="AX39" s="18"/>
      <c r="AY39" s="18"/>
      <c r="AZ39" s="18"/>
      <c r="BA39" s="18"/>
      <c r="BB39" s="18"/>
      <c r="BC39" s="18"/>
      <c r="BD39" s="18"/>
      <c r="BE39" s="18"/>
      <c r="BF39" s="18"/>
      <c r="BG39" s="18"/>
      <c r="BH39" s="18"/>
      <c r="BI39" s="18"/>
      <c r="BJ39" s="18"/>
      <c r="BK39" s="18">
        <v>3960</v>
      </c>
    </row>
    <row r="40" spans="1:63" x14ac:dyDescent="0.3">
      <c r="B40" t="s">
        <v>901</v>
      </c>
      <c r="C40" t="s">
        <v>1045</v>
      </c>
      <c r="D40" s="18">
        <v>0</v>
      </c>
      <c r="E40" s="38"/>
      <c r="F40" s="18">
        <v>0</v>
      </c>
      <c r="J40" s="18"/>
      <c r="O40" t="s">
        <v>857</v>
      </c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>
        <v>1539</v>
      </c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>
        <v>1539</v>
      </c>
      <c r="AX40" s="18"/>
      <c r="AY40" s="18"/>
      <c r="AZ40" s="18"/>
      <c r="BA40" s="18"/>
      <c r="BB40" s="18"/>
      <c r="BC40" s="18"/>
      <c r="BD40" s="18"/>
      <c r="BE40" s="18"/>
      <c r="BF40" s="18"/>
      <c r="BG40" s="18"/>
      <c r="BH40" s="18"/>
      <c r="BI40" s="18"/>
      <c r="BJ40" s="18"/>
      <c r="BK40" s="18">
        <v>1539</v>
      </c>
    </row>
    <row r="41" spans="1:63" x14ac:dyDescent="0.3">
      <c r="B41" t="s">
        <v>903</v>
      </c>
      <c r="C41" t="s">
        <v>23</v>
      </c>
      <c r="D41" s="18">
        <v>16536.7</v>
      </c>
      <c r="E41" s="38">
        <v>-16536.7</v>
      </c>
      <c r="F41" s="18">
        <v>0</v>
      </c>
      <c r="J41" s="18"/>
      <c r="O41" t="s">
        <v>874</v>
      </c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>
        <v>4596.5</v>
      </c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>
        <v>4596.5</v>
      </c>
      <c r="AX41" s="18"/>
      <c r="AY41" s="18"/>
      <c r="AZ41" s="18"/>
      <c r="BA41" s="18"/>
      <c r="BB41" s="18"/>
      <c r="BC41" s="18"/>
      <c r="BD41" s="18"/>
      <c r="BE41" s="18"/>
      <c r="BF41" s="18"/>
      <c r="BG41" s="18"/>
      <c r="BH41" s="18"/>
      <c r="BI41" s="18"/>
      <c r="BJ41" s="18"/>
      <c r="BK41" s="18">
        <v>4596.5</v>
      </c>
    </row>
    <row r="42" spans="1:63" x14ac:dyDescent="0.3">
      <c r="B42" t="s">
        <v>907</v>
      </c>
      <c r="C42" t="s">
        <v>20</v>
      </c>
      <c r="D42" s="18">
        <v>7521</v>
      </c>
      <c r="E42" s="38">
        <v>-7521</v>
      </c>
      <c r="F42" s="18">
        <v>0</v>
      </c>
      <c r="J42" s="18"/>
      <c r="O42" t="s">
        <v>912</v>
      </c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>
        <v>762</v>
      </c>
      <c r="AN42" s="18"/>
      <c r="AO42" s="18"/>
      <c r="AP42" s="18"/>
      <c r="AQ42" s="18"/>
      <c r="AR42" s="18"/>
      <c r="AS42" s="18"/>
      <c r="AT42" s="18"/>
      <c r="AU42" s="18"/>
      <c r="AV42" s="18"/>
      <c r="AW42" s="18">
        <v>762</v>
      </c>
      <c r="AX42" s="18"/>
      <c r="AY42" s="18"/>
      <c r="AZ42" s="18"/>
      <c r="BA42" s="18"/>
      <c r="BB42" s="18"/>
      <c r="BC42" s="18"/>
      <c r="BD42" s="18"/>
      <c r="BE42" s="18"/>
      <c r="BF42" s="18"/>
      <c r="BG42" s="18"/>
      <c r="BH42" s="18"/>
      <c r="BI42" s="18"/>
      <c r="BJ42" s="18"/>
      <c r="BK42" s="18">
        <v>762</v>
      </c>
    </row>
    <row r="43" spans="1:63" x14ac:dyDescent="0.3">
      <c r="B43" t="s">
        <v>908</v>
      </c>
      <c r="C43" t="s">
        <v>492</v>
      </c>
      <c r="D43" s="18">
        <v>3459</v>
      </c>
      <c r="E43" s="38">
        <v>-3459</v>
      </c>
      <c r="F43" s="18">
        <v>0</v>
      </c>
      <c r="J43" s="18"/>
      <c r="O43" t="s">
        <v>926</v>
      </c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>
        <v>3784</v>
      </c>
      <c r="AO43" s="18"/>
      <c r="AP43" s="18"/>
      <c r="AQ43" s="18"/>
      <c r="AR43" s="18"/>
      <c r="AS43" s="18"/>
      <c r="AT43" s="18"/>
      <c r="AU43" s="18"/>
      <c r="AV43" s="18"/>
      <c r="AW43" s="18">
        <v>3784</v>
      </c>
      <c r="AX43" s="18"/>
      <c r="AY43" s="18"/>
      <c r="AZ43" s="18"/>
      <c r="BA43" s="18"/>
      <c r="BB43" s="18"/>
      <c r="BC43" s="18"/>
      <c r="BD43" s="18"/>
      <c r="BE43" s="18"/>
      <c r="BF43" s="18"/>
      <c r="BG43" s="18"/>
      <c r="BH43" s="18"/>
      <c r="BI43" s="18"/>
      <c r="BJ43" s="18"/>
      <c r="BK43" s="18">
        <v>3784</v>
      </c>
    </row>
    <row r="44" spans="1:63" x14ac:dyDescent="0.3">
      <c r="B44" t="s">
        <v>910</v>
      </c>
      <c r="C44" t="s">
        <v>860</v>
      </c>
      <c r="D44" s="18">
        <v>5840</v>
      </c>
      <c r="E44" s="38">
        <v>-5840</v>
      </c>
      <c r="F44" s="18">
        <v>0</v>
      </c>
      <c r="J44" s="18"/>
      <c r="O44" t="s">
        <v>1007</v>
      </c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>
        <v>1960.2</v>
      </c>
      <c r="AP44" s="18"/>
      <c r="AQ44" s="18"/>
      <c r="AR44" s="18"/>
      <c r="AS44" s="18"/>
      <c r="AT44" s="18"/>
      <c r="AU44" s="18"/>
      <c r="AV44" s="18"/>
      <c r="AW44" s="18">
        <v>1960.2</v>
      </c>
      <c r="AX44" s="18"/>
      <c r="AY44" s="18"/>
      <c r="AZ44" s="18"/>
      <c r="BA44" s="18"/>
      <c r="BB44" s="18"/>
      <c r="BC44" s="18"/>
      <c r="BD44" s="18"/>
      <c r="BE44" s="18"/>
      <c r="BF44" s="18"/>
      <c r="BG44" s="18"/>
      <c r="BH44" s="18"/>
      <c r="BI44" s="18"/>
      <c r="BJ44" s="18"/>
      <c r="BK44" s="18">
        <v>1960.2</v>
      </c>
    </row>
    <row r="45" spans="1:63" x14ac:dyDescent="0.3">
      <c r="B45" t="s">
        <v>911</v>
      </c>
      <c r="C45" t="s">
        <v>410</v>
      </c>
      <c r="D45" s="18">
        <v>6838.5</v>
      </c>
      <c r="E45" s="38">
        <v>-6838.5</v>
      </c>
      <c r="F45" s="18">
        <v>0</v>
      </c>
      <c r="J45" s="18"/>
      <c r="O45" t="s">
        <v>1049</v>
      </c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>
        <v>4482.8</v>
      </c>
      <c r="AQ45" s="18"/>
      <c r="AR45" s="18"/>
      <c r="AS45" s="18"/>
      <c r="AT45" s="18"/>
      <c r="AU45" s="18"/>
      <c r="AV45" s="18"/>
      <c r="AW45" s="18">
        <v>4482.8</v>
      </c>
      <c r="AX45" s="18"/>
      <c r="AY45" s="18"/>
      <c r="AZ45" s="18"/>
      <c r="BA45" s="18"/>
      <c r="BB45" s="18"/>
      <c r="BC45" s="18"/>
      <c r="BD45" s="18"/>
      <c r="BE45" s="18"/>
      <c r="BF45" s="18"/>
      <c r="BG45" s="18"/>
      <c r="BH45" s="18"/>
      <c r="BI45" s="18"/>
      <c r="BJ45" s="18"/>
      <c r="BK45" s="18">
        <v>4482.8</v>
      </c>
    </row>
    <row r="46" spans="1:63" x14ac:dyDescent="0.3">
      <c r="B46" t="s">
        <v>912</v>
      </c>
      <c r="C46" t="s">
        <v>58</v>
      </c>
      <c r="D46" s="18">
        <v>762</v>
      </c>
      <c r="E46" s="38">
        <v>-762</v>
      </c>
      <c r="F46" s="18">
        <v>0</v>
      </c>
      <c r="J46" s="18"/>
      <c r="O46" t="s">
        <v>1114</v>
      </c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>
        <v>4632.8</v>
      </c>
      <c r="AR46" s="18"/>
      <c r="AS46" s="18"/>
      <c r="AT46" s="18"/>
      <c r="AU46" s="18"/>
      <c r="AV46" s="18"/>
      <c r="AW46" s="18">
        <v>4632.8</v>
      </c>
      <c r="AX46" s="18"/>
      <c r="AY46" s="18"/>
      <c r="AZ46" s="18"/>
      <c r="BA46" s="18"/>
      <c r="BB46" s="18"/>
      <c r="BC46" s="18"/>
      <c r="BD46" s="18"/>
      <c r="BE46" s="18"/>
      <c r="BF46" s="18"/>
      <c r="BG46" s="18"/>
      <c r="BH46" s="18"/>
      <c r="BI46" s="18"/>
      <c r="BJ46" s="18"/>
      <c r="BK46" s="18">
        <v>4632.8</v>
      </c>
    </row>
    <row r="47" spans="1:63" x14ac:dyDescent="0.3">
      <c r="B47" t="s">
        <v>913</v>
      </c>
      <c r="C47" t="s">
        <v>62</v>
      </c>
      <c r="D47" s="18">
        <v>15671</v>
      </c>
      <c r="E47" s="38">
        <v>-15671</v>
      </c>
      <c r="F47" s="18">
        <v>0</v>
      </c>
      <c r="J47" s="18"/>
      <c r="O47" t="s">
        <v>1196</v>
      </c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8"/>
      <c r="AY47" s="18"/>
      <c r="AZ47" s="18"/>
      <c r="BA47" s="18"/>
      <c r="BB47" s="18"/>
      <c r="BC47" s="18"/>
      <c r="BD47" s="18"/>
      <c r="BE47" s="18">
        <v>5616</v>
      </c>
      <c r="BF47" s="18"/>
      <c r="BG47" s="18"/>
      <c r="BH47" s="18"/>
      <c r="BI47" s="18"/>
      <c r="BJ47" s="18">
        <v>5616</v>
      </c>
      <c r="BK47" s="18">
        <v>5616</v>
      </c>
    </row>
    <row r="48" spans="1:63" x14ac:dyDescent="0.3">
      <c r="B48" t="s">
        <v>915</v>
      </c>
      <c r="C48" t="s">
        <v>860</v>
      </c>
      <c r="D48" s="18">
        <v>6006</v>
      </c>
      <c r="E48" s="38">
        <v>-6006</v>
      </c>
      <c r="F48" s="18">
        <v>0</v>
      </c>
      <c r="J48" s="18"/>
      <c r="O48" t="s">
        <v>1339</v>
      </c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  <c r="BA48" s="18"/>
      <c r="BB48" s="18"/>
      <c r="BC48" s="18"/>
      <c r="BD48" s="18"/>
      <c r="BE48" s="18"/>
      <c r="BF48" s="18"/>
      <c r="BG48" s="18">
        <v>4461.8</v>
      </c>
      <c r="BH48" s="18"/>
      <c r="BI48" s="18"/>
      <c r="BJ48" s="18">
        <v>4461.8</v>
      </c>
      <c r="BK48" s="18">
        <v>4461.8</v>
      </c>
    </row>
    <row r="49" spans="1:63" x14ac:dyDescent="0.3">
      <c r="B49" t="s">
        <v>916</v>
      </c>
      <c r="C49" t="s">
        <v>401</v>
      </c>
      <c r="D49" s="18">
        <v>6136.8</v>
      </c>
      <c r="E49" s="38">
        <v>-6136.8</v>
      </c>
      <c r="F49" s="18">
        <v>0</v>
      </c>
      <c r="J49" s="18"/>
      <c r="O49" t="s">
        <v>1411</v>
      </c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18"/>
      <c r="BF49" s="18"/>
      <c r="BG49" s="18"/>
      <c r="BH49" s="18">
        <v>220</v>
      </c>
      <c r="BI49" s="18"/>
      <c r="BJ49" s="18">
        <v>220</v>
      </c>
      <c r="BK49" s="18">
        <v>220</v>
      </c>
    </row>
    <row r="50" spans="1:63" x14ac:dyDescent="0.3">
      <c r="A50" s="17" t="s">
        <v>143</v>
      </c>
      <c r="B50" s="17"/>
      <c r="C50" s="17"/>
      <c r="D50" s="19">
        <v>93927.3</v>
      </c>
      <c r="E50" s="39">
        <v>-93927.1</v>
      </c>
      <c r="F50" s="19">
        <v>0.20000000000004547</v>
      </c>
      <c r="J50" s="18"/>
      <c r="O50" t="s">
        <v>1441</v>
      </c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8"/>
      <c r="BH50" s="18">
        <v>4878.3999999999996</v>
      </c>
      <c r="BI50" s="18"/>
      <c r="BJ50" s="18">
        <v>4878.3999999999996</v>
      </c>
      <c r="BK50" s="18">
        <v>4878.3999999999996</v>
      </c>
    </row>
    <row r="51" spans="1:63" x14ac:dyDescent="0.3">
      <c r="A51">
        <v>9</v>
      </c>
      <c r="B51" t="s">
        <v>925</v>
      </c>
      <c r="C51" t="s">
        <v>410</v>
      </c>
      <c r="D51" s="18">
        <v>9343.9</v>
      </c>
      <c r="E51" s="38">
        <v>-9343.9</v>
      </c>
      <c r="F51" s="18">
        <v>0</v>
      </c>
      <c r="J51" s="18"/>
      <c r="O51" t="s">
        <v>1538</v>
      </c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  <c r="BB51" s="18"/>
      <c r="BC51" s="18"/>
      <c r="BD51" s="18"/>
      <c r="BE51" s="18"/>
      <c r="BF51" s="18"/>
      <c r="BG51" s="18"/>
      <c r="BH51" s="18"/>
      <c r="BI51" s="18">
        <v>220</v>
      </c>
      <c r="BJ51" s="18">
        <v>220</v>
      </c>
      <c r="BK51" s="18">
        <v>220</v>
      </c>
    </row>
    <row r="52" spans="1:63" x14ac:dyDescent="0.3">
      <c r="B52" t="s">
        <v>926</v>
      </c>
      <c r="C52" t="s">
        <v>58</v>
      </c>
      <c r="D52" s="18">
        <v>3784</v>
      </c>
      <c r="E52" s="38">
        <v>-3784</v>
      </c>
      <c r="F52" s="18">
        <v>0</v>
      </c>
      <c r="J52" s="18"/>
      <c r="O52" t="s">
        <v>1561</v>
      </c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18"/>
      <c r="BB52" s="18"/>
      <c r="BC52" s="18"/>
      <c r="BD52" s="18"/>
      <c r="BE52" s="18"/>
      <c r="BF52" s="18"/>
      <c r="BG52" s="18"/>
      <c r="BH52" s="18"/>
      <c r="BI52" s="18">
        <v>4621.2</v>
      </c>
      <c r="BJ52" s="18">
        <v>4621.2</v>
      </c>
      <c r="BK52" s="18">
        <v>4621.2</v>
      </c>
    </row>
    <row r="53" spans="1:63" x14ac:dyDescent="0.3">
      <c r="B53" t="s">
        <v>928</v>
      </c>
      <c r="C53" t="s">
        <v>410</v>
      </c>
      <c r="D53" s="18">
        <v>11453.6</v>
      </c>
      <c r="E53" s="38">
        <v>-11453.6</v>
      </c>
      <c r="F53" s="18">
        <v>0</v>
      </c>
      <c r="J53" s="18"/>
      <c r="O53" t="s">
        <v>1706</v>
      </c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>
        <v>220</v>
      </c>
      <c r="AZ53" s="18"/>
      <c r="BA53" s="18"/>
      <c r="BB53" s="18"/>
      <c r="BC53" s="18"/>
      <c r="BD53" s="18"/>
      <c r="BE53" s="18"/>
      <c r="BF53" s="18"/>
      <c r="BG53" s="18"/>
      <c r="BH53" s="18"/>
      <c r="BI53" s="18"/>
      <c r="BJ53" s="18">
        <v>220</v>
      </c>
      <c r="BK53" s="18">
        <v>220</v>
      </c>
    </row>
    <row r="54" spans="1:63" x14ac:dyDescent="0.3">
      <c r="B54" t="s">
        <v>931</v>
      </c>
      <c r="C54" t="s">
        <v>959</v>
      </c>
      <c r="D54" s="18">
        <v>2452</v>
      </c>
      <c r="E54" s="38">
        <v>-2452</v>
      </c>
      <c r="F54" s="18">
        <v>0</v>
      </c>
      <c r="J54" s="18"/>
      <c r="O54" t="s">
        <v>1793</v>
      </c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>
        <v>3124</v>
      </c>
      <c r="BA54" s="18"/>
      <c r="BB54" s="18"/>
      <c r="BC54" s="18"/>
      <c r="BD54" s="18"/>
      <c r="BE54" s="18"/>
      <c r="BF54" s="18"/>
      <c r="BG54" s="18"/>
      <c r="BH54" s="18"/>
      <c r="BI54" s="18"/>
      <c r="BJ54" s="18">
        <v>3124</v>
      </c>
      <c r="BK54" s="18">
        <v>3124</v>
      </c>
    </row>
    <row r="55" spans="1:63" x14ac:dyDescent="0.3">
      <c r="B55" t="s">
        <v>932</v>
      </c>
      <c r="C55" t="s">
        <v>410</v>
      </c>
      <c r="D55" s="18">
        <v>1914</v>
      </c>
      <c r="E55" s="38">
        <v>-1914</v>
      </c>
      <c r="F55" s="18">
        <v>0</v>
      </c>
      <c r="J55" s="18"/>
      <c r="O55" t="s">
        <v>1810</v>
      </c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>
        <v>220</v>
      </c>
      <c r="BA55" s="18"/>
      <c r="BB55" s="18"/>
      <c r="BC55" s="18"/>
      <c r="BD55" s="18"/>
      <c r="BE55" s="18"/>
      <c r="BF55" s="18"/>
      <c r="BG55" s="18"/>
      <c r="BH55" s="18"/>
      <c r="BI55" s="18"/>
      <c r="BJ55" s="18">
        <v>220</v>
      </c>
      <c r="BK55" s="18">
        <v>220</v>
      </c>
    </row>
    <row r="56" spans="1:63" x14ac:dyDescent="0.3">
      <c r="B56" t="s">
        <v>933</v>
      </c>
      <c r="C56" t="s">
        <v>492</v>
      </c>
      <c r="D56" s="18">
        <v>2251</v>
      </c>
      <c r="E56" s="38">
        <v>-2251</v>
      </c>
      <c r="F56" s="18">
        <v>0</v>
      </c>
      <c r="J56" s="18"/>
      <c r="O56" t="s">
        <v>1891</v>
      </c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/>
      <c r="BA56" s="18">
        <v>540</v>
      </c>
      <c r="BB56" s="18"/>
      <c r="BC56" s="18"/>
      <c r="BD56" s="18"/>
      <c r="BE56" s="18"/>
      <c r="BF56" s="18"/>
      <c r="BG56" s="18"/>
      <c r="BH56" s="18"/>
      <c r="BI56" s="18"/>
      <c r="BJ56" s="18">
        <v>540</v>
      </c>
      <c r="BK56" s="18">
        <v>540</v>
      </c>
    </row>
    <row r="57" spans="1:63" x14ac:dyDescent="0.3">
      <c r="B57" t="s">
        <v>934</v>
      </c>
      <c r="C57" t="s">
        <v>410</v>
      </c>
      <c r="D57" s="18">
        <v>13163</v>
      </c>
      <c r="E57" s="38">
        <v>-13163</v>
      </c>
      <c r="F57" s="18">
        <v>0</v>
      </c>
      <c r="J57" s="18"/>
      <c r="O57" t="s">
        <v>2010</v>
      </c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  <c r="BB57" s="18">
        <v>1628</v>
      </c>
      <c r="BC57" s="18"/>
      <c r="BD57" s="18"/>
      <c r="BE57" s="18"/>
      <c r="BF57" s="18"/>
      <c r="BG57" s="18"/>
      <c r="BH57" s="18"/>
      <c r="BI57" s="18"/>
      <c r="BJ57" s="18">
        <v>1628</v>
      </c>
      <c r="BK57" s="18">
        <v>1628</v>
      </c>
    </row>
    <row r="58" spans="1:63" x14ac:dyDescent="0.3">
      <c r="B58" t="s">
        <v>935</v>
      </c>
      <c r="C58" t="s">
        <v>410</v>
      </c>
      <c r="D58" s="18">
        <v>11823</v>
      </c>
      <c r="E58" s="38">
        <v>-11823</v>
      </c>
      <c r="F58" s="18">
        <v>0</v>
      </c>
      <c r="J58" s="18"/>
      <c r="O58" t="s">
        <v>2018</v>
      </c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  <c r="BB58" s="18">
        <v>4818</v>
      </c>
      <c r="BC58" s="18"/>
      <c r="BD58" s="18"/>
      <c r="BE58" s="18"/>
      <c r="BF58" s="18"/>
      <c r="BG58" s="18"/>
      <c r="BH58" s="18"/>
      <c r="BI58" s="18"/>
      <c r="BJ58" s="18">
        <v>4818</v>
      </c>
      <c r="BK58" s="18">
        <v>4818</v>
      </c>
    </row>
    <row r="59" spans="1:63" x14ac:dyDescent="0.3">
      <c r="B59" t="s">
        <v>937</v>
      </c>
      <c r="C59" t="s">
        <v>7</v>
      </c>
      <c r="D59" s="18">
        <v>1840</v>
      </c>
      <c r="E59" s="38">
        <v>-1840</v>
      </c>
      <c r="F59" s="18">
        <v>0</v>
      </c>
      <c r="J59" s="18"/>
      <c r="O59" t="s">
        <v>2176</v>
      </c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>
        <v>6070.7999999999993</v>
      </c>
      <c r="BE59" s="18"/>
      <c r="BF59" s="18"/>
      <c r="BG59" s="18"/>
      <c r="BH59" s="18"/>
      <c r="BI59" s="18"/>
      <c r="BJ59" s="18">
        <v>6070.7999999999993</v>
      </c>
      <c r="BK59" s="18">
        <v>6070.7999999999993</v>
      </c>
    </row>
    <row r="60" spans="1:63" x14ac:dyDescent="0.3">
      <c r="B60" t="s">
        <v>938</v>
      </c>
      <c r="C60" t="s">
        <v>492</v>
      </c>
      <c r="D60" s="18">
        <v>3655.7</v>
      </c>
      <c r="E60" s="38">
        <v>-3655.7</v>
      </c>
      <c r="F60" s="18">
        <v>0</v>
      </c>
      <c r="J60" s="18"/>
      <c r="N60" s="17" t="s">
        <v>134</v>
      </c>
      <c r="O60" s="17"/>
      <c r="P60" s="19"/>
      <c r="Q60" s="19"/>
      <c r="R60" s="19"/>
      <c r="S60" s="19"/>
      <c r="T60" s="19">
        <v>2552</v>
      </c>
      <c r="U60" s="19"/>
      <c r="V60" s="19"/>
      <c r="W60" s="19">
        <v>1639.2</v>
      </c>
      <c r="X60" s="19"/>
      <c r="Y60" s="19">
        <v>4191.2</v>
      </c>
      <c r="Z60" s="19">
        <v>4515</v>
      </c>
      <c r="AA60" s="19"/>
      <c r="AB60" s="19">
        <v>5100</v>
      </c>
      <c r="AC60" s="19"/>
      <c r="AD60" s="19"/>
      <c r="AE60" s="19"/>
      <c r="AF60" s="19"/>
      <c r="AG60" s="19">
        <v>6549.6</v>
      </c>
      <c r="AH60" s="19">
        <v>7482</v>
      </c>
      <c r="AI60" s="19"/>
      <c r="AJ60" s="19">
        <v>23646.6</v>
      </c>
      <c r="AK60" s="19">
        <v>3960</v>
      </c>
      <c r="AL60" s="19">
        <v>6135.5</v>
      </c>
      <c r="AM60" s="19">
        <v>762</v>
      </c>
      <c r="AN60" s="19">
        <v>3784</v>
      </c>
      <c r="AO60" s="19">
        <v>1960.2</v>
      </c>
      <c r="AP60" s="19">
        <v>4482.8</v>
      </c>
      <c r="AQ60" s="19">
        <v>4632.8</v>
      </c>
      <c r="AR60" s="19"/>
      <c r="AS60" s="19">
        <v>5940</v>
      </c>
      <c r="AT60" s="19"/>
      <c r="AU60" s="19">
        <v>5043</v>
      </c>
      <c r="AV60" s="19">
        <v>5100</v>
      </c>
      <c r="AW60" s="19">
        <v>41800.300000000003</v>
      </c>
      <c r="AX60" s="19"/>
      <c r="AY60" s="19">
        <v>220</v>
      </c>
      <c r="AZ60" s="19">
        <v>3344</v>
      </c>
      <c r="BA60" s="19">
        <v>540</v>
      </c>
      <c r="BB60" s="19">
        <v>6446</v>
      </c>
      <c r="BC60" s="19"/>
      <c r="BD60" s="19">
        <v>6070.7999999999993</v>
      </c>
      <c r="BE60" s="19">
        <v>5616</v>
      </c>
      <c r="BF60" s="19"/>
      <c r="BG60" s="19">
        <v>4461.8</v>
      </c>
      <c r="BH60" s="19">
        <v>5098.3999999999996</v>
      </c>
      <c r="BI60" s="19">
        <v>4841.2</v>
      </c>
      <c r="BJ60" s="19">
        <v>36638.199999999997</v>
      </c>
      <c r="BK60" s="19">
        <v>106276.3</v>
      </c>
    </row>
    <row r="61" spans="1:63" x14ac:dyDescent="0.3">
      <c r="B61" t="s">
        <v>944</v>
      </c>
      <c r="C61" t="s">
        <v>401</v>
      </c>
      <c r="D61" s="18">
        <v>3546.1</v>
      </c>
      <c r="E61" s="38">
        <v>-3546.1</v>
      </c>
      <c r="F61" s="18">
        <v>0</v>
      </c>
      <c r="J61" s="18"/>
      <c r="N61" t="s">
        <v>7</v>
      </c>
      <c r="O61" t="s">
        <v>10</v>
      </c>
      <c r="P61" s="18"/>
      <c r="Q61" s="18"/>
      <c r="R61" s="18">
        <v>480</v>
      </c>
      <c r="S61" s="18"/>
      <c r="T61" s="18"/>
      <c r="U61" s="18"/>
      <c r="V61" s="18"/>
      <c r="W61" s="18"/>
      <c r="X61" s="18"/>
      <c r="Y61" s="18">
        <v>480</v>
      </c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  <c r="BF61" s="18"/>
      <c r="BG61" s="18"/>
      <c r="BH61" s="18"/>
      <c r="BI61" s="18"/>
      <c r="BJ61" s="18"/>
      <c r="BK61" s="18">
        <v>480</v>
      </c>
    </row>
    <row r="62" spans="1:63" x14ac:dyDescent="0.3">
      <c r="B62" t="s">
        <v>948</v>
      </c>
      <c r="C62" t="s">
        <v>62</v>
      </c>
      <c r="D62" s="18">
        <v>11757.5</v>
      </c>
      <c r="E62" s="38">
        <v>-11757.5</v>
      </c>
      <c r="F62" s="18">
        <v>0</v>
      </c>
      <c r="J62" s="18"/>
      <c r="O62" t="s">
        <v>12</v>
      </c>
      <c r="P62" s="18"/>
      <c r="Q62" s="18"/>
      <c r="R62" s="18">
        <v>2435</v>
      </c>
      <c r="S62" s="18"/>
      <c r="T62" s="18"/>
      <c r="U62" s="18"/>
      <c r="V62" s="18"/>
      <c r="W62" s="18"/>
      <c r="X62" s="18"/>
      <c r="Y62" s="18">
        <v>2435</v>
      </c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  <c r="BB62" s="18"/>
      <c r="BC62" s="18"/>
      <c r="BD62" s="18"/>
      <c r="BE62" s="18"/>
      <c r="BF62" s="18"/>
      <c r="BG62" s="18"/>
      <c r="BH62" s="18"/>
      <c r="BI62" s="18"/>
      <c r="BJ62" s="18"/>
      <c r="BK62" s="18">
        <v>2435</v>
      </c>
    </row>
    <row r="63" spans="1:63" x14ac:dyDescent="0.3">
      <c r="B63" t="s">
        <v>951</v>
      </c>
      <c r="C63" t="s">
        <v>492</v>
      </c>
      <c r="D63" s="18">
        <v>3595.6</v>
      </c>
      <c r="E63" s="38">
        <v>-3595.6</v>
      </c>
      <c r="F63" s="18">
        <v>0</v>
      </c>
      <c r="J63" s="18"/>
      <c r="O63" t="s">
        <v>27</v>
      </c>
      <c r="P63" s="18"/>
      <c r="Q63" s="18"/>
      <c r="R63" s="18"/>
      <c r="S63" s="18">
        <v>2098</v>
      </c>
      <c r="T63" s="18"/>
      <c r="U63" s="18"/>
      <c r="V63" s="18"/>
      <c r="W63" s="18"/>
      <c r="X63" s="18"/>
      <c r="Y63" s="18">
        <v>2098</v>
      </c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  <c r="BF63" s="18"/>
      <c r="BG63" s="18"/>
      <c r="BH63" s="18"/>
      <c r="BI63" s="18"/>
      <c r="BJ63" s="18"/>
      <c r="BK63" s="18">
        <v>2098</v>
      </c>
    </row>
    <row r="64" spans="1:63" x14ac:dyDescent="0.3">
      <c r="B64" t="s">
        <v>953</v>
      </c>
      <c r="C64" t="s">
        <v>638</v>
      </c>
      <c r="D64" s="18">
        <v>2968.8</v>
      </c>
      <c r="E64" s="38">
        <v>-2968.8</v>
      </c>
      <c r="F64" s="18">
        <v>0</v>
      </c>
      <c r="J64" s="18"/>
      <c r="O64" t="s">
        <v>37</v>
      </c>
      <c r="P64" s="18"/>
      <c r="Q64" s="18"/>
      <c r="R64" s="18"/>
      <c r="S64" s="18"/>
      <c r="T64" s="18">
        <v>2922</v>
      </c>
      <c r="U64" s="18"/>
      <c r="V64" s="18"/>
      <c r="W64" s="18"/>
      <c r="X64" s="18"/>
      <c r="Y64" s="18">
        <v>2922</v>
      </c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  <c r="BF64" s="18"/>
      <c r="BG64" s="18"/>
      <c r="BH64" s="18"/>
      <c r="BI64" s="18"/>
      <c r="BJ64" s="18"/>
      <c r="BK64" s="18">
        <v>2922</v>
      </c>
    </row>
    <row r="65" spans="1:63" x14ac:dyDescent="0.3">
      <c r="B65" t="s">
        <v>954</v>
      </c>
      <c r="C65" t="s">
        <v>638</v>
      </c>
      <c r="D65" s="18">
        <v>840</v>
      </c>
      <c r="E65" s="38">
        <v>-840</v>
      </c>
      <c r="F65" s="18">
        <v>0</v>
      </c>
      <c r="J65" s="18"/>
      <c r="O65" t="s">
        <v>38</v>
      </c>
      <c r="P65" s="18"/>
      <c r="Q65" s="18"/>
      <c r="R65" s="18"/>
      <c r="S65" s="18"/>
      <c r="T65" s="18">
        <v>960</v>
      </c>
      <c r="U65" s="18"/>
      <c r="V65" s="18"/>
      <c r="W65" s="18"/>
      <c r="X65" s="18"/>
      <c r="Y65" s="18">
        <v>960</v>
      </c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  <c r="BF65" s="18"/>
      <c r="BG65" s="18"/>
      <c r="BH65" s="18"/>
      <c r="BI65" s="18"/>
      <c r="BJ65" s="18"/>
      <c r="BK65" s="18">
        <v>960</v>
      </c>
    </row>
    <row r="66" spans="1:63" x14ac:dyDescent="0.3">
      <c r="B66" t="s">
        <v>956</v>
      </c>
      <c r="C66" t="s">
        <v>860</v>
      </c>
      <c r="D66" s="18">
        <v>11266.8</v>
      </c>
      <c r="E66" s="38">
        <v>-11266.8</v>
      </c>
      <c r="F66" s="18">
        <v>0</v>
      </c>
      <c r="J66" s="18"/>
      <c r="O66" t="s">
        <v>56</v>
      </c>
      <c r="P66" s="18"/>
      <c r="Q66" s="18"/>
      <c r="R66" s="18"/>
      <c r="S66" s="18"/>
      <c r="T66" s="18">
        <v>1496</v>
      </c>
      <c r="U66" s="18"/>
      <c r="V66" s="18"/>
      <c r="W66" s="18"/>
      <c r="X66" s="18"/>
      <c r="Y66" s="18">
        <v>1496</v>
      </c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  <c r="BB66" s="18"/>
      <c r="BC66" s="18"/>
      <c r="BD66" s="18"/>
      <c r="BE66" s="18"/>
      <c r="BF66" s="18"/>
      <c r="BG66" s="18"/>
      <c r="BH66" s="18"/>
      <c r="BI66" s="18"/>
      <c r="BJ66" s="18"/>
      <c r="BK66" s="18">
        <v>1496</v>
      </c>
    </row>
    <row r="67" spans="1:63" x14ac:dyDescent="0.3">
      <c r="B67" t="s">
        <v>957</v>
      </c>
      <c r="C67" t="s">
        <v>959</v>
      </c>
      <c r="D67" s="18">
        <v>1995.5</v>
      </c>
      <c r="E67" s="38">
        <v>-1995.5</v>
      </c>
      <c r="F67" s="18">
        <v>0</v>
      </c>
      <c r="J67" s="18"/>
      <c r="O67" t="s">
        <v>68</v>
      </c>
      <c r="P67" s="18"/>
      <c r="Q67" s="18"/>
      <c r="R67" s="18"/>
      <c r="S67" s="18"/>
      <c r="T67" s="18"/>
      <c r="U67" s="18">
        <v>1250</v>
      </c>
      <c r="V67" s="18"/>
      <c r="W67" s="18"/>
      <c r="X67" s="18"/>
      <c r="Y67" s="18">
        <v>1250</v>
      </c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  <c r="BB67" s="18"/>
      <c r="BC67" s="18"/>
      <c r="BD67" s="18"/>
      <c r="BE67" s="18"/>
      <c r="BF67" s="18"/>
      <c r="BG67" s="18"/>
      <c r="BH67" s="18"/>
      <c r="BI67" s="18"/>
      <c r="BJ67" s="18"/>
      <c r="BK67" s="18">
        <v>1250</v>
      </c>
    </row>
    <row r="68" spans="1:63" x14ac:dyDescent="0.3">
      <c r="A68" s="17" t="s">
        <v>144</v>
      </c>
      <c r="B68" s="17"/>
      <c r="C68" s="17"/>
      <c r="D68" s="19">
        <v>97650.5</v>
      </c>
      <c r="E68" s="39">
        <v>-97650.5</v>
      </c>
      <c r="F68" s="19">
        <v>0</v>
      </c>
      <c r="J68" s="18"/>
      <c r="O68" t="s">
        <v>91</v>
      </c>
      <c r="P68" s="18"/>
      <c r="Q68" s="18"/>
      <c r="R68" s="18"/>
      <c r="S68" s="18"/>
      <c r="T68" s="18"/>
      <c r="U68" s="18">
        <v>2458</v>
      </c>
      <c r="V68" s="18"/>
      <c r="W68" s="18"/>
      <c r="X68" s="18"/>
      <c r="Y68" s="18">
        <v>2458</v>
      </c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>
        <v>2458</v>
      </c>
    </row>
    <row r="69" spans="1:63" x14ac:dyDescent="0.3">
      <c r="A69">
        <v>10</v>
      </c>
      <c r="B69" t="s">
        <v>987</v>
      </c>
      <c r="C69" t="s">
        <v>62</v>
      </c>
      <c r="D69" s="18">
        <v>13065</v>
      </c>
      <c r="E69" s="38">
        <v>-13065</v>
      </c>
      <c r="F69" s="18">
        <v>0</v>
      </c>
      <c r="J69" s="18"/>
      <c r="O69" t="s">
        <v>100</v>
      </c>
      <c r="P69" s="18"/>
      <c r="Q69" s="18"/>
      <c r="R69" s="18"/>
      <c r="S69" s="18"/>
      <c r="T69" s="18"/>
      <c r="U69" s="18">
        <v>1977</v>
      </c>
      <c r="V69" s="18"/>
      <c r="W69" s="18"/>
      <c r="X69" s="18"/>
      <c r="Y69" s="18">
        <v>1977</v>
      </c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18"/>
      <c r="AN69" s="18"/>
      <c r="AO69" s="18"/>
      <c r="AP69" s="18"/>
      <c r="AQ69" s="18"/>
      <c r="AR69" s="18"/>
      <c r="AS69" s="18"/>
      <c r="AT69" s="18"/>
      <c r="AU69" s="18"/>
      <c r="AV69" s="18"/>
      <c r="AW69" s="18"/>
      <c r="AX69" s="18"/>
      <c r="AY69" s="18"/>
      <c r="AZ69" s="18"/>
      <c r="BA69" s="18"/>
      <c r="BB69" s="18"/>
      <c r="BC69" s="18"/>
      <c r="BD69" s="18"/>
      <c r="BE69" s="18"/>
      <c r="BF69" s="18"/>
      <c r="BG69" s="18"/>
      <c r="BH69" s="18"/>
      <c r="BI69" s="18"/>
      <c r="BJ69" s="18"/>
      <c r="BK69" s="18">
        <v>1977</v>
      </c>
    </row>
    <row r="70" spans="1:63" x14ac:dyDescent="0.3">
      <c r="B70" t="s">
        <v>988</v>
      </c>
      <c r="C70" t="s">
        <v>410</v>
      </c>
      <c r="D70" s="18">
        <v>48172.5</v>
      </c>
      <c r="E70" s="38">
        <v>-48172.5</v>
      </c>
      <c r="F70" s="18">
        <v>0</v>
      </c>
      <c r="J70" s="18"/>
      <c r="O70" t="s">
        <v>103</v>
      </c>
      <c r="P70" s="18"/>
      <c r="Q70" s="18"/>
      <c r="R70" s="18"/>
      <c r="S70" s="18"/>
      <c r="T70" s="18"/>
      <c r="U70" s="18">
        <v>1392</v>
      </c>
      <c r="V70" s="18"/>
      <c r="W70" s="18"/>
      <c r="X70" s="18"/>
      <c r="Y70" s="18">
        <v>1392</v>
      </c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>
        <v>1392</v>
      </c>
    </row>
    <row r="71" spans="1:63" x14ac:dyDescent="0.3">
      <c r="B71" t="s">
        <v>994</v>
      </c>
      <c r="C71" t="s">
        <v>492</v>
      </c>
      <c r="D71" s="18">
        <v>2636.5</v>
      </c>
      <c r="E71" s="38">
        <v>-2636.5</v>
      </c>
      <c r="F71" s="18">
        <v>0</v>
      </c>
      <c r="J71" s="18"/>
      <c r="O71" t="s">
        <v>105</v>
      </c>
      <c r="P71" s="18"/>
      <c r="Q71" s="18"/>
      <c r="R71" s="18"/>
      <c r="S71" s="18"/>
      <c r="T71" s="18"/>
      <c r="U71" s="18">
        <v>1496</v>
      </c>
      <c r="V71" s="18"/>
      <c r="W71" s="18"/>
      <c r="X71" s="18"/>
      <c r="Y71" s="18">
        <v>1496</v>
      </c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>
        <v>1496</v>
      </c>
    </row>
    <row r="72" spans="1:63" x14ac:dyDescent="0.3">
      <c r="B72" t="s">
        <v>996</v>
      </c>
      <c r="C72" t="s">
        <v>20</v>
      </c>
      <c r="D72" s="18">
        <v>2849</v>
      </c>
      <c r="E72" s="38">
        <v>-2849</v>
      </c>
      <c r="F72" s="18">
        <v>0</v>
      </c>
      <c r="J72" s="18"/>
      <c r="O72" t="s">
        <v>116</v>
      </c>
      <c r="P72" s="18"/>
      <c r="Q72" s="18"/>
      <c r="R72" s="18"/>
      <c r="S72" s="18"/>
      <c r="T72" s="18"/>
      <c r="U72" s="18"/>
      <c r="V72" s="18">
        <v>2458</v>
      </c>
      <c r="W72" s="18"/>
      <c r="X72" s="18"/>
      <c r="Y72" s="18">
        <v>2458</v>
      </c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>
        <v>2458</v>
      </c>
    </row>
    <row r="73" spans="1:63" x14ac:dyDescent="0.3">
      <c r="B73" t="s">
        <v>997</v>
      </c>
      <c r="C73" t="s">
        <v>20</v>
      </c>
      <c r="D73" s="18">
        <v>4048</v>
      </c>
      <c r="E73" s="38">
        <v>-4048</v>
      </c>
      <c r="F73" s="18">
        <v>0</v>
      </c>
      <c r="J73" s="18"/>
      <c r="O73" t="s">
        <v>122</v>
      </c>
      <c r="P73" s="18"/>
      <c r="Q73" s="18"/>
      <c r="R73" s="18"/>
      <c r="S73" s="18"/>
      <c r="T73" s="18"/>
      <c r="U73" s="18"/>
      <c r="V73" s="18">
        <v>1645</v>
      </c>
      <c r="W73" s="18"/>
      <c r="X73" s="18"/>
      <c r="Y73" s="18">
        <v>1645</v>
      </c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>
        <v>1645</v>
      </c>
    </row>
    <row r="74" spans="1:63" x14ac:dyDescent="0.3">
      <c r="B74" t="s">
        <v>998</v>
      </c>
      <c r="C74" t="s">
        <v>43</v>
      </c>
      <c r="D74" s="18">
        <v>2237</v>
      </c>
      <c r="E74" s="38">
        <v>-2237</v>
      </c>
      <c r="F74" s="18">
        <v>0</v>
      </c>
      <c r="J74" s="18"/>
      <c r="O74" t="s">
        <v>148</v>
      </c>
      <c r="P74" s="18"/>
      <c r="Q74" s="18"/>
      <c r="R74" s="18"/>
      <c r="S74" s="18"/>
      <c r="T74" s="18"/>
      <c r="U74" s="18"/>
      <c r="V74" s="18">
        <v>2458</v>
      </c>
      <c r="W74" s="18"/>
      <c r="X74" s="18"/>
      <c r="Y74" s="18">
        <v>2458</v>
      </c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>
        <v>2458</v>
      </c>
    </row>
    <row r="75" spans="1:63" x14ac:dyDescent="0.3">
      <c r="B75" t="s">
        <v>999</v>
      </c>
      <c r="C75" t="s">
        <v>401</v>
      </c>
      <c r="D75" s="18">
        <v>3137.3</v>
      </c>
      <c r="E75" s="38">
        <v>-3137.3</v>
      </c>
      <c r="F75" s="18">
        <v>0</v>
      </c>
      <c r="O75" t="s">
        <v>154</v>
      </c>
      <c r="P75" s="18"/>
      <c r="Q75" s="18"/>
      <c r="R75" s="18"/>
      <c r="S75" s="18"/>
      <c r="T75" s="18"/>
      <c r="U75" s="18"/>
      <c r="V75" s="18"/>
      <c r="W75" s="18">
        <v>1954</v>
      </c>
      <c r="X75" s="18"/>
      <c r="Y75" s="18">
        <v>1954</v>
      </c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>
        <v>1954</v>
      </c>
    </row>
    <row r="76" spans="1:63" x14ac:dyDescent="0.3">
      <c r="B76" t="s">
        <v>1000</v>
      </c>
      <c r="C76" t="s">
        <v>410</v>
      </c>
      <c r="D76" s="18">
        <v>10166.299999999999</v>
      </c>
      <c r="E76" s="38">
        <v>-10166.299999999999</v>
      </c>
      <c r="F76" s="18">
        <v>0</v>
      </c>
      <c r="O76" t="s">
        <v>166</v>
      </c>
      <c r="P76" s="18"/>
      <c r="Q76" s="18"/>
      <c r="R76" s="18"/>
      <c r="S76" s="18"/>
      <c r="T76" s="18"/>
      <c r="U76" s="18"/>
      <c r="V76" s="18"/>
      <c r="W76" s="18">
        <v>1584</v>
      </c>
      <c r="X76" s="18"/>
      <c r="Y76" s="18">
        <v>1584</v>
      </c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>
        <v>1584</v>
      </c>
    </row>
    <row r="77" spans="1:63" x14ac:dyDescent="0.3">
      <c r="B77" t="s">
        <v>1001</v>
      </c>
      <c r="C77" t="s">
        <v>492</v>
      </c>
      <c r="D77" s="18">
        <v>2570</v>
      </c>
      <c r="E77" s="38">
        <v>-2570</v>
      </c>
      <c r="F77" s="18">
        <v>0</v>
      </c>
      <c r="O77" t="s">
        <v>167</v>
      </c>
      <c r="P77" s="18"/>
      <c r="Q77" s="18"/>
      <c r="R77" s="18"/>
      <c r="S77" s="18"/>
      <c r="T77" s="18"/>
      <c r="U77" s="18"/>
      <c r="V77" s="18"/>
      <c r="W77" s="18">
        <v>520</v>
      </c>
      <c r="X77" s="18"/>
      <c r="Y77" s="18">
        <v>520</v>
      </c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  <c r="BF77" s="18"/>
      <c r="BG77" s="18"/>
      <c r="BH77" s="18"/>
      <c r="BI77" s="18"/>
      <c r="BJ77" s="18"/>
      <c r="BK77" s="18">
        <v>520</v>
      </c>
    </row>
    <row r="78" spans="1:63" x14ac:dyDescent="0.3">
      <c r="B78" t="s">
        <v>1002</v>
      </c>
      <c r="C78" t="s">
        <v>62</v>
      </c>
      <c r="D78" s="18">
        <v>11480</v>
      </c>
      <c r="E78" s="38">
        <v>-11480</v>
      </c>
      <c r="F78" s="18">
        <v>0</v>
      </c>
      <c r="O78" t="s">
        <v>182</v>
      </c>
      <c r="P78" s="18"/>
      <c r="Q78" s="18"/>
      <c r="R78" s="18"/>
      <c r="S78" s="18"/>
      <c r="T78" s="18"/>
      <c r="U78" s="18"/>
      <c r="V78" s="18"/>
      <c r="W78" s="18">
        <v>2424</v>
      </c>
      <c r="X78" s="18"/>
      <c r="Y78" s="18">
        <v>2424</v>
      </c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>
        <v>2424</v>
      </c>
    </row>
    <row r="79" spans="1:63" x14ac:dyDescent="0.3">
      <c r="B79" t="s">
        <v>1005</v>
      </c>
      <c r="C79" t="s">
        <v>785</v>
      </c>
      <c r="D79" s="18">
        <v>3600</v>
      </c>
      <c r="E79" s="38">
        <v>-3600</v>
      </c>
      <c r="F79" s="18">
        <v>0</v>
      </c>
      <c r="O79" t="s">
        <v>211</v>
      </c>
      <c r="P79" s="18"/>
      <c r="Q79" s="18"/>
      <c r="R79" s="18"/>
      <c r="S79" s="18"/>
      <c r="T79" s="18"/>
      <c r="U79" s="18"/>
      <c r="V79" s="18"/>
      <c r="W79" s="18"/>
      <c r="X79" s="18">
        <v>2228</v>
      </c>
      <c r="Y79" s="18">
        <v>2228</v>
      </c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>
        <v>2228</v>
      </c>
    </row>
    <row r="80" spans="1:63" x14ac:dyDescent="0.3">
      <c r="B80" t="s">
        <v>1006</v>
      </c>
      <c r="C80" t="s">
        <v>62</v>
      </c>
      <c r="D80" s="18">
        <v>395</v>
      </c>
      <c r="E80" s="38">
        <v>-395</v>
      </c>
      <c r="F80" s="18">
        <v>0</v>
      </c>
      <c r="O80" t="s">
        <v>253</v>
      </c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>
        <v>2866</v>
      </c>
      <c r="AF80" s="18"/>
      <c r="AG80" s="18"/>
      <c r="AH80" s="18"/>
      <c r="AI80" s="18"/>
      <c r="AJ80" s="18">
        <v>2866</v>
      </c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>
        <v>2866</v>
      </c>
    </row>
    <row r="81" spans="1:63" x14ac:dyDescent="0.3">
      <c r="B81" t="s">
        <v>1007</v>
      </c>
      <c r="C81" t="s">
        <v>58</v>
      </c>
      <c r="D81" s="18">
        <v>1960.2</v>
      </c>
      <c r="E81" s="38">
        <v>-1960.2</v>
      </c>
      <c r="F81" s="18">
        <v>0</v>
      </c>
      <c r="O81" t="s">
        <v>274</v>
      </c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>
        <v>1694</v>
      </c>
      <c r="AG81" s="18"/>
      <c r="AH81" s="18"/>
      <c r="AI81" s="18"/>
      <c r="AJ81" s="18">
        <v>1694</v>
      </c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>
        <v>1694</v>
      </c>
    </row>
    <row r="82" spans="1:63" x14ac:dyDescent="0.3">
      <c r="B82" t="s">
        <v>1009</v>
      </c>
      <c r="C82" t="s">
        <v>23</v>
      </c>
      <c r="D82" s="18">
        <v>15677.2</v>
      </c>
      <c r="E82" s="38">
        <v>-15677.2</v>
      </c>
      <c r="F82" s="18">
        <v>0</v>
      </c>
      <c r="O82" t="s">
        <v>312</v>
      </c>
      <c r="P82" s="18">
        <v>2973</v>
      </c>
      <c r="Q82" s="18">
        <v>2973</v>
      </c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>
        <v>2973</v>
      </c>
    </row>
    <row r="83" spans="1:63" x14ac:dyDescent="0.3">
      <c r="B83" t="s">
        <v>1010</v>
      </c>
      <c r="C83" t="s">
        <v>7</v>
      </c>
      <c r="D83" s="18">
        <v>3004</v>
      </c>
      <c r="E83" s="38">
        <v>-3004</v>
      </c>
      <c r="F83" s="18">
        <v>0</v>
      </c>
      <c r="O83" t="s">
        <v>328</v>
      </c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>
        <v>520</v>
      </c>
      <c r="AI83" s="18"/>
      <c r="AJ83" s="18">
        <v>520</v>
      </c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>
        <v>520</v>
      </c>
    </row>
    <row r="84" spans="1:63" x14ac:dyDescent="0.3">
      <c r="B84" t="s">
        <v>1011</v>
      </c>
      <c r="C84" t="s">
        <v>410</v>
      </c>
      <c r="D84" s="18">
        <v>7590.5</v>
      </c>
      <c r="E84" s="38">
        <v>-7590.5</v>
      </c>
      <c r="F84" s="18">
        <v>0</v>
      </c>
      <c r="O84" t="s">
        <v>339</v>
      </c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>
        <v>2846</v>
      </c>
      <c r="AJ84" s="18">
        <v>2846</v>
      </c>
      <c r="AK84" s="18"/>
      <c r="AL84" s="18"/>
      <c r="AM84" s="18"/>
      <c r="AN84" s="18"/>
      <c r="AO84" s="18"/>
      <c r="AP84" s="18"/>
      <c r="AQ84" s="18"/>
      <c r="AR84" s="18"/>
      <c r="AS84" s="18"/>
      <c r="AT84" s="18"/>
      <c r="AU84" s="18"/>
      <c r="AV84" s="18"/>
      <c r="AW84" s="18"/>
      <c r="AX84" s="18"/>
      <c r="AY84" s="18"/>
      <c r="AZ84" s="18"/>
      <c r="BA84" s="18"/>
      <c r="BB84" s="18"/>
      <c r="BC84" s="18"/>
      <c r="BD84" s="18"/>
      <c r="BE84" s="18"/>
      <c r="BF84" s="18"/>
      <c r="BG84" s="18"/>
      <c r="BH84" s="18"/>
      <c r="BI84" s="18"/>
      <c r="BJ84" s="18"/>
      <c r="BK84" s="18">
        <v>2846</v>
      </c>
    </row>
    <row r="85" spans="1:63" x14ac:dyDescent="0.3">
      <c r="B85" t="s">
        <v>1012</v>
      </c>
      <c r="C85" t="s">
        <v>492</v>
      </c>
      <c r="D85" s="18">
        <v>2837</v>
      </c>
      <c r="E85" s="38">
        <v>-2837</v>
      </c>
      <c r="F85" s="18">
        <v>0</v>
      </c>
      <c r="O85" t="s">
        <v>377</v>
      </c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>
        <v>1870</v>
      </c>
      <c r="AB85" s="18"/>
      <c r="AC85" s="18"/>
      <c r="AD85" s="18"/>
      <c r="AE85" s="18"/>
      <c r="AF85" s="18"/>
      <c r="AG85" s="18"/>
      <c r="AH85" s="18"/>
      <c r="AI85" s="18"/>
      <c r="AJ85" s="18">
        <v>1870</v>
      </c>
      <c r="AK85" s="18"/>
      <c r="AL85" s="18"/>
      <c r="AM85" s="18"/>
      <c r="AN85" s="18"/>
      <c r="AO85" s="18"/>
      <c r="AP85" s="18"/>
      <c r="AQ85" s="18"/>
      <c r="AR85" s="18"/>
      <c r="AS85" s="18"/>
      <c r="AT85" s="18"/>
      <c r="AU85" s="18"/>
      <c r="AV85" s="18"/>
      <c r="AW85" s="18"/>
      <c r="AX85" s="18"/>
      <c r="AY85" s="18"/>
      <c r="AZ85" s="18"/>
      <c r="BA85" s="18"/>
      <c r="BB85" s="18"/>
      <c r="BC85" s="18"/>
      <c r="BD85" s="18"/>
      <c r="BE85" s="18"/>
      <c r="BF85" s="18"/>
      <c r="BG85" s="18"/>
      <c r="BH85" s="18"/>
      <c r="BI85" s="18"/>
      <c r="BJ85" s="18"/>
      <c r="BK85" s="18">
        <v>1870</v>
      </c>
    </row>
    <row r="86" spans="1:63" x14ac:dyDescent="0.3">
      <c r="B86" t="s">
        <v>1013</v>
      </c>
      <c r="C86" t="s">
        <v>410</v>
      </c>
      <c r="D86" s="18">
        <v>250</v>
      </c>
      <c r="E86" s="38">
        <v>-250</v>
      </c>
      <c r="F86" s="18">
        <v>0</v>
      </c>
      <c r="O86" t="s">
        <v>443</v>
      </c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>
        <v>6656</v>
      </c>
      <c r="AC86" s="18"/>
      <c r="AD86" s="18"/>
      <c r="AE86" s="18"/>
      <c r="AF86" s="18"/>
      <c r="AG86" s="18"/>
      <c r="AH86" s="18"/>
      <c r="AI86" s="18"/>
      <c r="AJ86" s="18">
        <v>6656</v>
      </c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  <c r="BF86" s="18"/>
      <c r="BG86" s="18"/>
      <c r="BH86" s="18"/>
      <c r="BI86" s="18"/>
      <c r="BJ86" s="18"/>
      <c r="BK86" s="18">
        <v>6656</v>
      </c>
    </row>
    <row r="87" spans="1:63" x14ac:dyDescent="0.3">
      <c r="B87" t="s">
        <v>1015</v>
      </c>
      <c r="C87" t="s">
        <v>410</v>
      </c>
      <c r="D87" s="18">
        <v>47685</v>
      </c>
      <c r="E87" s="38">
        <v>-47685</v>
      </c>
      <c r="F87" s="18">
        <v>0</v>
      </c>
      <c r="O87" t="s">
        <v>532</v>
      </c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>
        <v>5591</v>
      </c>
      <c r="AE87" s="18"/>
      <c r="AF87" s="18"/>
      <c r="AG87" s="18"/>
      <c r="AH87" s="18"/>
      <c r="AI87" s="18"/>
      <c r="AJ87" s="18">
        <v>5591</v>
      </c>
      <c r="AK87" s="18"/>
      <c r="AL87" s="18"/>
      <c r="AM87" s="18"/>
      <c r="AN87" s="18"/>
      <c r="AO87" s="18"/>
      <c r="AP87" s="18"/>
      <c r="AQ87" s="18"/>
      <c r="AR87" s="18"/>
      <c r="AS87" s="18"/>
      <c r="AT87" s="18"/>
      <c r="AU87" s="18"/>
      <c r="AV87" s="18"/>
      <c r="AW87" s="18"/>
      <c r="AX87" s="18"/>
      <c r="AY87" s="18"/>
      <c r="AZ87" s="18"/>
      <c r="BA87" s="18"/>
      <c r="BB87" s="18"/>
      <c r="BC87" s="18"/>
      <c r="BD87" s="18"/>
      <c r="BE87" s="18"/>
      <c r="BF87" s="18"/>
      <c r="BG87" s="18"/>
      <c r="BH87" s="18"/>
      <c r="BI87" s="18"/>
      <c r="BJ87" s="18"/>
      <c r="BK87" s="18">
        <v>5591</v>
      </c>
    </row>
    <row r="88" spans="1:63" x14ac:dyDescent="0.3">
      <c r="B88" t="s">
        <v>1016</v>
      </c>
      <c r="C88" t="s">
        <v>492</v>
      </c>
      <c r="D88" s="18">
        <v>3095</v>
      </c>
      <c r="E88" s="38">
        <v>-3095</v>
      </c>
      <c r="F88" s="18">
        <v>0</v>
      </c>
      <c r="O88" t="s">
        <v>662</v>
      </c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8"/>
      <c r="AN88" s="18"/>
      <c r="AO88" s="18"/>
      <c r="AP88" s="18"/>
      <c r="AQ88" s="18"/>
      <c r="AR88" s="18"/>
      <c r="AS88" s="18"/>
      <c r="AT88" s="18">
        <v>3232</v>
      </c>
      <c r="AU88" s="18"/>
      <c r="AV88" s="18"/>
      <c r="AW88" s="18">
        <v>3232</v>
      </c>
      <c r="AX88" s="18"/>
      <c r="AY88" s="18"/>
      <c r="AZ88" s="18"/>
      <c r="BA88" s="18"/>
      <c r="BB88" s="18"/>
      <c r="BC88" s="18"/>
      <c r="BD88" s="18"/>
      <c r="BE88" s="18"/>
      <c r="BF88" s="18"/>
      <c r="BG88" s="18"/>
      <c r="BH88" s="18"/>
      <c r="BI88" s="18"/>
      <c r="BJ88" s="18"/>
      <c r="BK88" s="18">
        <v>3232</v>
      </c>
    </row>
    <row r="89" spans="1:63" x14ac:dyDescent="0.3">
      <c r="A89" s="17" t="s">
        <v>145</v>
      </c>
      <c r="B89" s="17"/>
      <c r="C89" s="17"/>
      <c r="D89" s="19">
        <v>186455.5</v>
      </c>
      <c r="E89" s="39">
        <v>-186455.5</v>
      </c>
      <c r="F89" s="19">
        <v>0</v>
      </c>
      <c r="O89" t="s">
        <v>716</v>
      </c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18"/>
      <c r="AH89" s="18"/>
      <c r="AI89" s="18"/>
      <c r="AJ89" s="18"/>
      <c r="AK89" s="18"/>
      <c r="AL89" s="18"/>
      <c r="AM89" s="18"/>
      <c r="AN89" s="18"/>
      <c r="AO89" s="18"/>
      <c r="AP89" s="18"/>
      <c r="AQ89" s="18"/>
      <c r="AR89" s="18"/>
      <c r="AS89" s="18"/>
      <c r="AT89" s="18"/>
      <c r="AU89" s="18">
        <v>2488</v>
      </c>
      <c r="AV89" s="18"/>
      <c r="AW89" s="18">
        <v>2488</v>
      </c>
      <c r="AX89" s="18"/>
      <c r="AY89" s="18"/>
      <c r="AZ89" s="18"/>
      <c r="BA89" s="18"/>
      <c r="BB89" s="18"/>
      <c r="BC89" s="18"/>
      <c r="BD89" s="18"/>
      <c r="BE89" s="18"/>
      <c r="BF89" s="18"/>
      <c r="BG89" s="18"/>
      <c r="BH89" s="18"/>
      <c r="BI89" s="18"/>
      <c r="BJ89" s="18"/>
      <c r="BK89" s="18">
        <v>2488</v>
      </c>
    </row>
    <row r="90" spans="1:63" x14ac:dyDescent="0.3">
      <c r="A90">
        <v>11</v>
      </c>
      <c r="B90" t="s">
        <v>1047</v>
      </c>
      <c r="C90" t="s">
        <v>23</v>
      </c>
      <c r="D90" s="18">
        <v>10824</v>
      </c>
      <c r="E90" s="38">
        <v>-10824</v>
      </c>
      <c r="F90" s="18">
        <v>0</v>
      </c>
      <c r="O90" t="s">
        <v>830</v>
      </c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/>
      <c r="AG90" s="18"/>
      <c r="AH90" s="18"/>
      <c r="AI90" s="18"/>
      <c r="AJ90" s="18"/>
      <c r="AK90" s="18">
        <v>2356</v>
      </c>
      <c r="AL90" s="18"/>
      <c r="AM90" s="18"/>
      <c r="AN90" s="18"/>
      <c r="AO90" s="18"/>
      <c r="AP90" s="18"/>
      <c r="AQ90" s="18"/>
      <c r="AR90" s="18"/>
      <c r="AS90" s="18"/>
      <c r="AT90" s="18"/>
      <c r="AU90" s="18"/>
      <c r="AV90" s="18"/>
      <c r="AW90" s="18">
        <v>2356</v>
      </c>
      <c r="AX90" s="18"/>
      <c r="AY90" s="18"/>
      <c r="AZ90" s="18"/>
      <c r="BA90" s="18"/>
      <c r="BB90" s="18"/>
      <c r="BC90" s="18"/>
      <c r="BD90" s="18"/>
      <c r="BE90" s="18"/>
      <c r="BF90" s="18"/>
      <c r="BG90" s="18"/>
      <c r="BH90" s="18"/>
      <c r="BI90" s="18"/>
      <c r="BJ90" s="18"/>
      <c r="BK90" s="18">
        <v>2356</v>
      </c>
    </row>
    <row r="91" spans="1:63" x14ac:dyDescent="0.3">
      <c r="B91" t="s">
        <v>1048</v>
      </c>
      <c r="C91" t="s">
        <v>62</v>
      </c>
      <c r="D91" s="18">
        <v>11260</v>
      </c>
      <c r="E91" s="38">
        <v>-11260</v>
      </c>
      <c r="F91" s="18">
        <v>0</v>
      </c>
      <c r="O91" t="s">
        <v>838</v>
      </c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>
        <v>3232</v>
      </c>
      <c r="AL91" s="18"/>
      <c r="AM91" s="18"/>
      <c r="AN91" s="18"/>
      <c r="AO91" s="18"/>
      <c r="AP91" s="18"/>
      <c r="AQ91" s="18"/>
      <c r="AR91" s="18"/>
      <c r="AS91" s="18"/>
      <c r="AT91" s="18"/>
      <c r="AU91" s="18"/>
      <c r="AV91" s="18"/>
      <c r="AW91" s="18">
        <v>3232</v>
      </c>
      <c r="AX91" s="18"/>
      <c r="AY91" s="18"/>
      <c r="AZ91" s="18"/>
      <c r="BA91" s="18"/>
      <c r="BB91" s="18"/>
      <c r="BC91" s="18"/>
      <c r="BD91" s="18"/>
      <c r="BE91" s="18"/>
      <c r="BF91" s="18"/>
      <c r="BG91" s="18"/>
      <c r="BH91" s="18"/>
      <c r="BI91" s="18"/>
      <c r="BJ91" s="18"/>
      <c r="BK91" s="18">
        <v>3232</v>
      </c>
    </row>
    <row r="92" spans="1:63" x14ac:dyDescent="0.3">
      <c r="B92" t="s">
        <v>1049</v>
      </c>
      <c r="C92" t="s">
        <v>58</v>
      </c>
      <c r="D92" s="18">
        <v>4482.8</v>
      </c>
      <c r="E92" s="38">
        <v>-4482.8</v>
      </c>
      <c r="F92" s="18">
        <v>0</v>
      </c>
      <c r="O92" t="s">
        <v>870</v>
      </c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  <c r="AI92" s="18"/>
      <c r="AJ92" s="18"/>
      <c r="AK92" s="18"/>
      <c r="AL92" s="18">
        <v>4092</v>
      </c>
      <c r="AM92" s="18"/>
      <c r="AN92" s="18"/>
      <c r="AO92" s="18"/>
      <c r="AP92" s="18"/>
      <c r="AQ92" s="18"/>
      <c r="AR92" s="18"/>
      <c r="AS92" s="18"/>
      <c r="AT92" s="18"/>
      <c r="AU92" s="18"/>
      <c r="AV92" s="18"/>
      <c r="AW92" s="18">
        <v>4092</v>
      </c>
      <c r="AX92" s="18"/>
      <c r="AY92" s="18"/>
      <c r="AZ92" s="18"/>
      <c r="BA92" s="18"/>
      <c r="BB92" s="18"/>
      <c r="BC92" s="18"/>
      <c r="BD92" s="18"/>
      <c r="BE92" s="18"/>
      <c r="BF92" s="18"/>
      <c r="BG92" s="18"/>
      <c r="BH92" s="18"/>
      <c r="BI92" s="18"/>
      <c r="BJ92" s="18"/>
      <c r="BK92" s="18">
        <v>4092</v>
      </c>
    </row>
    <row r="93" spans="1:63" x14ac:dyDescent="0.3">
      <c r="B93" t="s">
        <v>1051</v>
      </c>
      <c r="C93" t="s">
        <v>410</v>
      </c>
      <c r="D93" s="18">
        <v>403.8</v>
      </c>
      <c r="E93" s="38">
        <v>-403.8</v>
      </c>
      <c r="F93" s="18">
        <v>0</v>
      </c>
      <c r="O93" t="s">
        <v>898</v>
      </c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/>
      <c r="AJ93" s="18"/>
      <c r="AK93" s="18"/>
      <c r="AL93" s="18"/>
      <c r="AM93" s="18">
        <v>864</v>
      </c>
      <c r="AN93" s="18"/>
      <c r="AO93" s="18"/>
      <c r="AP93" s="18"/>
      <c r="AQ93" s="18"/>
      <c r="AR93" s="18"/>
      <c r="AS93" s="18"/>
      <c r="AT93" s="18"/>
      <c r="AU93" s="18"/>
      <c r="AV93" s="18"/>
      <c r="AW93" s="18">
        <v>864</v>
      </c>
      <c r="AX93" s="18"/>
      <c r="AY93" s="18"/>
      <c r="AZ93" s="18"/>
      <c r="BA93" s="18"/>
      <c r="BB93" s="18"/>
      <c r="BC93" s="18"/>
      <c r="BD93" s="18"/>
      <c r="BE93" s="18"/>
      <c r="BF93" s="18"/>
      <c r="BG93" s="18"/>
      <c r="BH93" s="18"/>
      <c r="BI93" s="18"/>
      <c r="BJ93" s="18"/>
      <c r="BK93" s="18">
        <v>864</v>
      </c>
    </row>
    <row r="94" spans="1:63" x14ac:dyDescent="0.3">
      <c r="B94" t="s">
        <v>1054</v>
      </c>
      <c r="C94" t="s">
        <v>1052</v>
      </c>
      <c r="D94" s="18">
        <v>892.6</v>
      </c>
      <c r="E94" s="38">
        <v>-892.6</v>
      </c>
      <c r="F94" s="18">
        <v>0</v>
      </c>
      <c r="O94" t="s">
        <v>937</v>
      </c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  <c r="AE94" s="18"/>
      <c r="AF94" s="18"/>
      <c r="AG94" s="18"/>
      <c r="AH94" s="18"/>
      <c r="AI94" s="18"/>
      <c r="AJ94" s="18"/>
      <c r="AK94" s="18"/>
      <c r="AL94" s="18"/>
      <c r="AM94" s="18"/>
      <c r="AN94" s="18">
        <v>1840</v>
      </c>
      <c r="AO94" s="18"/>
      <c r="AP94" s="18"/>
      <c r="AQ94" s="18"/>
      <c r="AR94" s="18"/>
      <c r="AS94" s="18"/>
      <c r="AT94" s="18"/>
      <c r="AU94" s="18"/>
      <c r="AV94" s="18"/>
      <c r="AW94" s="18">
        <v>1840</v>
      </c>
      <c r="AX94" s="18"/>
      <c r="AY94" s="18"/>
      <c r="AZ94" s="18"/>
      <c r="BA94" s="18"/>
      <c r="BB94" s="18"/>
      <c r="BC94" s="18"/>
      <c r="BD94" s="18"/>
      <c r="BE94" s="18"/>
      <c r="BF94" s="18"/>
      <c r="BG94" s="18"/>
      <c r="BH94" s="18"/>
      <c r="BI94" s="18"/>
      <c r="BJ94" s="18"/>
      <c r="BK94" s="18">
        <v>1840</v>
      </c>
    </row>
    <row r="95" spans="1:63" x14ac:dyDescent="0.3">
      <c r="B95" t="s">
        <v>1056</v>
      </c>
      <c r="C95" t="s">
        <v>638</v>
      </c>
      <c r="D95" s="18">
        <v>1316</v>
      </c>
      <c r="E95" s="38">
        <v>-1316</v>
      </c>
      <c r="F95" s="18">
        <v>0</v>
      </c>
      <c r="O95" t="s">
        <v>1010</v>
      </c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8"/>
      <c r="AN95" s="18"/>
      <c r="AO95" s="18">
        <v>3004</v>
      </c>
      <c r="AP95" s="18"/>
      <c r="AQ95" s="18"/>
      <c r="AR95" s="18"/>
      <c r="AS95" s="18"/>
      <c r="AT95" s="18"/>
      <c r="AU95" s="18"/>
      <c r="AV95" s="18"/>
      <c r="AW95" s="18">
        <v>3004</v>
      </c>
      <c r="AX95" s="18"/>
      <c r="AY95" s="18"/>
      <c r="AZ95" s="18"/>
      <c r="BA95" s="18"/>
      <c r="BB95" s="18"/>
      <c r="BC95" s="18"/>
      <c r="BD95" s="18"/>
      <c r="BE95" s="18"/>
      <c r="BF95" s="18"/>
      <c r="BG95" s="18"/>
      <c r="BH95" s="18"/>
      <c r="BI95" s="18"/>
      <c r="BJ95" s="18"/>
      <c r="BK95" s="18">
        <v>3004</v>
      </c>
    </row>
    <row r="96" spans="1:63" x14ac:dyDescent="0.3">
      <c r="B96" t="s">
        <v>1063</v>
      </c>
      <c r="C96" t="s">
        <v>1058</v>
      </c>
      <c r="D96" s="18">
        <v>4373</v>
      </c>
      <c r="E96" s="38">
        <v>-4373</v>
      </c>
      <c r="F96" s="18">
        <v>0</v>
      </c>
      <c r="O96" t="s">
        <v>1069</v>
      </c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>
        <v>1936</v>
      </c>
      <c r="AQ96" s="18"/>
      <c r="AR96" s="18"/>
      <c r="AS96" s="18"/>
      <c r="AT96" s="18"/>
      <c r="AU96" s="18"/>
      <c r="AV96" s="18"/>
      <c r="AW96" s="18">
        <v>1936</v>
      </c>
      <c r="AX96" s="18"/>
      <c r="AY96" s="18"/>
      <c r="AZ96" s="18"/>
      <c r="BA96" s="18"/>
      <c r="BB96" s="18"/>
      <c r="BC96" s="18"/>
      <c r="BD96" s="18"/>
      <c r="BE96" s="18"/>
      <c r="BF96" s="18"/>
      <c r="BG96" s="18"/>
      <c r="BH96" s="18"/>
      <c r="BI96" s="18"/>
      <c r="BJ96" s="18"/>
      <c r="BK96" s="18">
        <v>1936</v>
      </c>
    </row>
    <row r="97" spans="1:63" x14ac:dyDescent="0.3">
      <c r="B97" t="s">
        <v>1064</v>
      </c>
      <c r="C97" t="s">
        <v>492</v>
      </c>
      <c r="D97" s="18">
        <v>3094</v>
      </c>
      <c r="E97" s="38">
        <v>-3094</v>
      </c>
      <c r="F97" s="18">
        <v>0</v>
      </c>
      <c r="O97" t="s">
        <v>1129</v>
      </c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8"/>
      <c r="AP97" s="18"/>
      <c r="AQ97" s="18">
        <v>3332</v>
      </c>
      <c r="AR97" s="18"/>
      <c r="AS97" s="18"/>
      <c r="AT97" s="18"/>
      <c r="AU97" s="18"/>
      <c r="AV97" s="18"/>
      <c r="AW97" s="18">
        <v>3332</v>
      </c>
      <c r="AX97" s="18"/>
      <c r="AY97" s="18"/>
      <c r="AZ97" s="18"/>
      <c r="BA97" s="18"/>
      <c r="BB97" s="18"/>
      <c r="BC97" s="18"/>
      <c r="BD97" s="18"/>
      <c r="BE97" s="18"/>
      <c r="BF97" s="18"/>
      <c r="BG97" s="18"/>
      <c r="BH97" s="18"/>
      <c r="BI97" s="18"/>
      <c r="BJ97" s="18"/>
      <c r="BK97" s="18">
        <v>3332</v>
      </c>
    </row>
    <row r="98" spans="1:63" x14ac:dyDescent="0.3">
      <c r="B98" t="s">
        <v>1065</v>
      </c>
      <c r="C98" t="s">
        <v>410</v>
      </c>
      <c r="D98" s="18">
        <v>14886.5</v>
      </c>
      <c r="E98" s="38">
        <v>-14886.5</v>
      </c>
      <c r="F98" s="18">
        <v>0</v>
      </c>
      <c r="O98" t="s">
        <v>1177</v>
      </c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8"/>
      <c r="AN98" s="18"/>
      <c r="AO98" s="18"/>
      <c r="AP98" s="18"/>
      <c r="AQ98" s="18"/>
      <c r="AR98" s="18"/>
      <c r="AS98" s="18"/>
      <c r="AT98" s="18"/>
      <c r="AU98" s="18"/>
      <c r="AV98" s="18"/>
      <c r="AW98" s="18"/>
      <c r="AX98" s="18"/>
      <c r="AY98" s="18"/>
      <c r="AZ98" s="18"/>
      <c r="BA98" s="18"/>
      <c r="BB98" s="18"/>
      <c r="BC98" s="18"/>
      <c r="BD98" s="18"/>
      <c r="BE98" s="18">
        <v>1804</v>
      </c>
      <c r="BF98" s="18"/>
      <c r="BG98" s="18"/>
      <c r="BH98" s="18"/>
      <c r="BI98" s="18"/>
      <c r="BJ98" s="18">
        <v>1804</v>
      </c>
      <c r="BK98" s="18">
        <v>1804</v>
      </c>
    </row>
    <row r="99" spans="1:63" x14ac:dyDescent="0.3">
      <c r="B99" t="s">
        <v>1066</v>
      </c>
      <c r="C99" t="s">
        <v>860</v>
      </c>
      <c r="D99" s="18">
        <v>14564.6</v>
      </c>
      <c r="E99" s="38">
        <v>-14564.6</v>
      </c>
      <c r="F99" s="18">
        <v>0</v>
      </c>
      <c r="O99" t="s">
        <v>1303</v>
      </c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/>
      <c r="AL99" s="18"/>
      <c r="AM99" s="18"/>
      <c r="AN99" s="18"/>
      <c r="AO99" s="18"/>
      <c r="AP99" s="18"/>
      <c r="AQ99" s="18"/>
      <c r="AR99" s="18"/>
      <c r="AS99" s="18"/>
      <c r="AT99" s="18"/>
      <c r="AU99" s="18"/>
      <c r="AV99" s="18"/>
      <c r="AW99" s="18"/>
      <c r="AX99" s="18"/>
      <c r="AY99" s="18"/>
      <c r="AZ99" s="18"/>
      <c r="BA99" s="18"/>
      <c r="BB99" s="18"/>
      <c r="BC99" s="18"/>
      <c r="BD99" s="18"/>
      <c r="BE99" s="18"/>
      <c r="BF99" s="18"/>
      <c r="BG99" s="18">
        <v>2716</v>
      </c>
      <c r="BH99" s="18"/>
      <c r="BI99" s="18"/>
      <c r="BJ99" s="18">
        <v>2716</v>
      </c>
      <c r="BK99" s="18">
        <v>2716</v>
      </c>
    </row>
    <row r="100" spans="1:63" x14ac:dyDescent="0.3">
      <c r="B100" t="s">
        <v>1067</v>
      </c>
      <c r="C100" t="s">
        <v>401</v>
      </c>
      <c r="D100" s="18">
        <v>5283.2</v>
      </c>
      <c r="E100" s="38">
        <v>-5283.2</v>
      </c>
      <c r="F100" s="18">
        <v>0</v>
      </c>
      <c r="O100" t="s">
        <v>1458</v>
      </c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  <c r="AK100" s="18"/>
      <c r="AL100" s="18"/>
      <c r="AM100" s="18"/>
      <c r="AN100" s="18"/>
      <c r="AO100" s="18"/>
      <c r="AP100" s="18"/>
      <c r="AQ100" s="18"/>
      <c r="AR100" s="18"/>
      <c r="AS100" s="18"/>
      <c r="AT100" s="18"/>
      <c r="AU100" s="18"/>
      <c r="AV100" s="18"/>
      <c r="AW100" s="18"/>
      <c r="AX100" s="18"/>
      <c r="AY100" s="18"/>
      <c r="AZ100" s="18"/>
      <c r="BA100" s="18"/>
      <c r="BB100" s="18"/>
      <c r="BC100" s="18"/>
      <c r="BD100" s="18"/>
      <c r="BE100" s="18"/>
      <c r="BF100" s="18"/>
      <c r="BG100" s="18"/>
      <c r="BH100" s="18">
        <v>2716</v>
      </c>
      <c r="BI100" s="18"/>
      <c r="BJ100" s="18">
        <v>2716</v>
      </c>
      <c r="BK100" s="18">
        <v>2716</v>
      </c>
    </row>
    <row r="101" spans="1:63" x14ac:dyDescent="0.3">
      <c r="B101" t="s">
        <v>1068</v>
      </c>
      <c r="C101" t="s">
        <v>401</v>
      </c>
      <c r="D101" s="18">
        <v>105</v>
      </c>
      <c r="E101" s="38">
        <v>-105</v>
      </c>
      <c r="F101" s="18">
        <v>0</v>
      </c>
      <c r="O101" t="s">
        <v>1566</v>
      </c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/>
      <c r="AM101" s="18"/>
      <c r="AN101" s="18"/>
      <c r="AO101" s="18"/>
      <c r="AP101" s="18"/>
      <c r="AQ101" s="18"/>
      <c r="AR101" s="18"/>
      <c r="AS101" s="18"/>
      <c r="AT101" s="18"/>
      <c r="AU101" s="18"/>
      <c r="AV101" s="18"/>
      <c r="AW101" s="18"/>
      <c r="AX101" s="18"/>
      <c r="AY101" s="18"/>
      <c r="AZ101" s="18"/>
      <c r="BA101" s="18"/>
      <c r="BB101" s="18"/>
      <c r="BC101" s="18"/>
      <c r="BD101" s="18"/>
      <c r="BE101" s="18"/>
      <c r="BF101" s="18"/>
      <c r="BG101" s="18"/>
      <c r="BH101" s="18"/>
      <c r="BI101" s="18">
        <v>4568</v>
      </c>
      <c r="BJ101" s="18">
        <v>4568</v>
      </c>
      <c r="BK101" s="18">
        <v>4568</v>
      </c>
    </row>
    <row r="102" spans="1:63" x14ac:dyDescent="0.3">
      <c r="B102" t="s">
        <v>1069</v>
      </c>
      <c r="C102" t="s">
        <v>7</v>
      </c>
      <c r="D102" s="18">
        <v>1936</v>
      </c>
      <c r="E102" s="38">
        <v>-1936</v>
      </c>
      <c r="F102" s="18">
        <v>0</v>
      </c>
      <c r="N102" s="17" t="s">
        <v>135</v>
      </c>
      <c r="O102" s="17"/>
      <c r="P102" s="19">
        <v>2973</v>
      </c>
      <c r="Q102" s="19">
        <v>2973</v>
      </c>
      <c r="R102" s="19">
        <v>2915</v>
      </c>
      <c r="S102" s="19">
        <v>2098</v>
      </c>
      <c r="T102" s="19">
        <v>5378</v>
      </c>
      <c r="U102" s="19">
        <v>8573</v>
      </c>
      <c r="V102" s="19">
        <v>6561</v>
      </c>
      <c r="W102" s="19">
        <v>6482</v>
      </c>
      <c r="X102" s="19">
        <v>2228</v>
      </c>
      <c r="Y102" s="19">
        <v>34235</v>
      </c>
      <c r="Z102" s="19"/>
      <c r="AA102" s="19">
        <v>1870</v>
      </c>
      <c r="AB102" s="19">
        <v>6656</v>
      </c>
      <c r="AC102" s="19"/>
      <c r="AD102" s="19">
        <v>5591</v>
      </c>
      <c r="AE102" s="19">
        <v>2866</v>
      </c>
      <c r="AF102" s="19">
        <v>1694</v>
      </c>
      <c r="AG102" s="19"/>
      <c r="AH102" s="19">
        <v>520</v>
      </c>
      <c r="AI102" s="19">
        <v>2846</v>
      </c>
      <c r="AJ102" s="19">
        <v>22043</v>
      </c>
      <c r="AK102" s="19">
        <v>5588</v>
      </c>
      <c r="AL102" s="19">
        <v>4092</v>
      </c>
      <c r="AM102" s="19">
        <v>864</v>
      </c>
      <c r="AN102" s="19">
        <v>1840</v>
      </c>
      <c r="AO102" s="19">
        <v>3004</v>
      </c>
      <c r="AP102" s="19">
        <v>1936</v>
      </c>
      <c r="AQ102" s="19">
        <v>3332</v>
      </c>
      <c r="AR102" s="19"/>
      <c r="AS102" s="19"/>
      <c r="AT102" s="19">
        <v>3232</v>
      </c>
      <c r="AU102" s="19">
        <v>2488</v>
      </c>
      <c r="AV102" s="19"/>
      <c r="AW102" s="19">
        <v>26376</v>
      </c>
      <c r="AX102" s="19"/>
      <c r="AY102" s="19"/>
      <c r="AZ102" s="19"/>
      <c r="BA102" s="19"/>
      <c r="BB102" s="19"/>
      <c r="BC102" s="19"/>
      <c r="BD102" s="19"/>
      <c r="BE102" s="19">
        <v>1804</v>
      </c>
      <c r="BF102" s="19"/>
      <c r="BG102" s="19">
        <v>2716</v>
      </c>
      <c r="BH102" s="19">
        <v>2716</v>
      </c>
      <c r="BI102" s="19">
        <v>4568</v>
      </c>
      <c r="BJ102" s="19">
        <v>11804</v>
      </c>
      <c r="BK102" s="19">
        <v>97431</v>
      </c>
    </row>
    <row r="103" spans="1:63" x14ac:dyDescent="0.3">
      <c r="B103" t="s">
        <v>1072</v>
      </c>
      <c r="C103" t="s">
        <v>1052</v>
      </c>
      <c r="D103" s="18">
        <v>780</v>
      </c>
      <c r="E103" s="38">
        <v>-780</v>
      </c>
      <c r="F103" s="18">
        <v>0</v>
      </c>
      <c r="N103" t="s">
        <v>20</v>
      </c>
      <c r="O103" t="s">
        <v>18</v>
      </c>
      <c r="P103" s="18"/>
      <c r="Q103" s="18"/>
      <c r="R103" s="18">
        <v>1827.5</v>
      </c>
      <c r="S103" s="18"/>
      <c r="T103" s="18"/>
      <c r="U103" s="18"/>
      <c r="V103" s="18"/>
      <c r="W103" s="18"/>
      <c r="X103" s="18"/>
      <c r="Y103" s="18">
        <v>1827.5</v>
      </c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  <c r="AJ103" s="18"/>
      <c r="AK103" s="18"/>
      <c r="AL103" s="18"/>
      <c r="AM103" s="18"/>
      <c r="AN103" s="18"/>
      <c r="AO103" s="18"/>
      <c r="AP103" s="18"/>
      <c r="AQ103" s="18"/>
      <c r="AR103" s="18"/>
      <c r="AS103" s="18"/>
      <c r="AT103" s="18"/>
      <c r="AU103" s="18"/>
      <c r="AV103" s="18"/>
      <c r="AW103" s="18"/>
      <c r="AX103" s="18"/>
      <c r="AY103" s="18"/>
      <c r="AZ103" s="18"/>
      <c r="BA103" s="18"/>
      <c r="BB103" s="18"/>
      <c r="BC103" s="18"/>
      <c r="BD103" s="18"/>
      <c r="BE103" s="18"/>
      <c r="BF103" s="18"/>
      <c r="BG103" s="18"/>
      <c r="BH103" s="18"/>
      <c r="BI103" s="18"/>
      <c r="BJ103" s="18"/>
      <c r="BK103" s="18">
        <v>1827.5</v>
      </c>
    </row>
    <row r="104" spans="1:63" x14ac:dyDescent="0.3">
      <c r="B104" t="s">
        <v>1076</v>
      </c>
      <c r="C104" t="s">
        <v>410</v>
      </c>
      <c r="D104" s="18">
        <v>17236.599999999999</v>
      </c>
      <c r="E104" s="38">
        <v>-17236.599999999999</v>
      </c>
      <c r="F104" s="18">
        <v>0</v>
      </c>
      <c r="O104" t="s">
        <v>26</v>
      </c>
      <c r="P104" s="18"/>
      <c r="Q104" s="18"/>
      <c r="R104" s="18"/>
      <c r="S104" s="18">
        <v>1200</v>
      </c>
      <c r="T104" s="18"/>
      <c r="U104" s="18"/>
      <c r="V104" s="18"/>
      <c r="W104" s="18"/>
      <c r="X104" s="18"/>
      <c r="Y104" s="18">
        <v>1200</v>
      </c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/>
      <c r="AP104" s="18"/>
      <c r="AQ104" s="18"/>
      <c r="AR104" s="18"/>
      <c r="AS104" s="18"/>
      <c r="AT104" s="18"/>
      <c r="AU104" s="18"/>
      <c r="AV104" s="18"/>
      <c r="AW104" s="18"/>
      <c r="AX104" s="18"/>
      <c r="AY104" s="18"/>
      <c r="AZ104" s="18"/>
      <c r="BA104" s="18"/>
      <c r="BB104" s="18"/>
      <c r="BC104" s="18"/>
      <c r="BD104" s="18"/>
      <c r="BE104" s="18"/>
      <c r="BF104" s="18"/>
      <c r="BG104" s="18"/>
      <c r="BH104" s="18"/>
      <c r="BI104" s="18"/>
      <c r="BJ104" s="18"/>
      <c r="BK104" s="18">
        <v>1200</v>
      </c>
    </row>
    <row r="105" spans="1:63" x14ac:dyDescent="0.3">
      <c r="B105" t="s">
        <v>1092</v>
      </c>
      <c r="C105" t="s">
        <v>20</v>
      </c>
      <c r="D105" s="18">
        <v>7219</v>
      </c>
      <c r="E105" s="38">
        <v>-7219</v>
      </c>
      <c r="F105" s="18">
        <v>0</v>
      </c>
      <c r="O105" t="s">
        <v>36</v>
      </c>
      <c r="P105" s="18"/>
      <c r="Q105" s="18"/>
      <c r="R105" s="18"/>
      <c r="S105" s="18"/>
      <c r="T105" s="18">
        <v>3406</v>
      </c>
      <c r="U105" s="18"/>
      <c r="V105" s="18"/>
      <c r="W105" s="18"/>
      <c r="X105" s="18"/>
      <c r="Y105" s="18">
        <v>3406</v>
      </c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/>
      <c r="AQ105" s="18"/>
      <c r="AR105" s="18"/>
      <c r="AS105" s="18"/>
      <c r="AT105" s="18"/>
      <c r="AU105" s="18"/>
      <c r="AV105" s="18"/>
      <c r="AW105" s="18"/>
      <c r="AX105" s="18"/>
      <c r="AY105" s="18"/>
      <c r="AZ105" s="18"/>
      <c r="BA105" s="18"/>
      <c r="BB105" s="18"/>
      <c r="BC105" s="18"/>
      <c r="BD105" s="18"/>
      <c r="BE105" s="18"/>
      <c r="BF105" s="18"/>
      <c r="BG105" s="18"/>
      <c r="BH105" s="18"/>
      <c r="BI105" s="18"/>
      <c r="BJ105" s="18"/>
      <c r="BK105" s="18">
        <v>3406</v>
      </c>
    </row>
    <row r="106" spans="1:63" x14ac:dyDescent="0.3">
      <c r="B106" t="s">
        <v>1093</v>
      </c>
      <c r="C106" t="s">
        <v>62</v>
      </c>
      <c r="D106" s="18">
        <v>11410.5</v>
      </c>
      <c r="E106" s="38">
        <v>-11410.5</v>
      </c>
      <c r="F106" s="18">
        <v>0</v>
      </c>
      <c r="O106" t="s">
        <v>40</v>
      </c>
      <c r="P106" s="18"/>
      <c r="Q106" s="18"/>
      <c r="R106" s="18"/>
      <c r="S106" s="18"/>
      <c r="T106" s="18">
        <v>367.2</v>
      </c>
      <c r="U106" s="18"/>
      <c r="V106" s="18"/>
      <c r="W106" s="18"/>
      <c r="X106" s="18"/>
      <c r="Y106" s="18">
        <v>367.2</v>
      </c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18"/>
      <c r="AN106" s="18"/>
      <c r="AO106" s="18"/>
      <c r="AP106" s="18"/>
      <c r="AQ106" s="18"/>
      <c r="AR106" s="18"/>
      <c r="AS106" s="18"/>
      <c r="AT106" s="18"/>
      <c r="AU106" s="18"/>
      <c r="AV106" s="18"/>
      <c r="AW106" s="18"/>
      <c r="AX106" s="18"/>
      <c r="AY106" s="18"/>
      <c r="AZ106" s="18"/>
      <c r="BA106" s="18"/>
      <c r="BB106" s="18"/>
      <c r="BC106" s="18"/>
      <c r="BD106" s="18"/>
      <c r="BE106" s="18"/>
      <c r="BF106" s="18"/>
      <c r="BG106" s="18"/>
      <c r="BH106" s="18"/>
      <c r="BI106" s="18"/>
      <c r="BJ106" s="18"/>
      <c r="BK106" s="18">
        <v>367.2</v>
      </c>
    </row>
    <row r="107" spans="1:63" x14ac:dyDescent="0.3">
      <c r="B107" t="s">
        <v>1097</v>
      </c>
      <c r="C107" t="s">
        <v>1102</v>
      </c>
      <c r="D107" s="18">
        <v>260</v>
      </c>
      <c r="E107" s="38">
        <v>-260</v>
      </c>
      <c r="F107" s="18">
        <v>0</v>
      </c>
      <c r="O107" t="s">
        <v>53</v>
      </c>
      <c r="P107" s="18"/>
      <c r="Q107" s="18"/>
      <c r="R107" s="18"/>
      <c r="S107" s="18"/>
      <c r="T107" s="18">
        <v>1903</v>
      </c>
      <c r="U107" s="18"/>
      <c r="V107" s="18"/>
      <c r="W107" s="18"/>
      <c r="X107" s="18"/>
      <c r="Y107" s="18">
        <v>1903</v>
      </c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  <c r="AY107" s="18"/>
      <c r="AZ107" s="18"/>
      <c r="BA107" s="18"/>
      <c r="BB107" s="18"/>
      <c r="BC107" s="18"/>
      <c r="BD107" s="18"/>
      <c r="BE107" s="18"/>
      <c r="BF107" s="18"/>
      <c r="BG107" s="18"/>
      <c r="BH107" s="18"/>
      <c r="BI107" s="18"/>
      <c r="BJ107" s="18"/>
      <c r="BK107" s="18">
        <v>1903</v>
      </c>
    </row>
    <row r="108" spans="1:63" x14ac:dyDescent="0.3">
      <c r="B108" t="s">
        <v>1098</v>
      </c>
      <c r="C108" t="s">
        <v>1101</v>
      </c>
      <c r="D108" s="18">
        <v>375</v>
      </c>
      <c r="E108" s="38">
        <v>-375</v>
      </c>
      <c r="F108" s="18">
        <v>0</v>
      </c>
      <c r="O108" t="s">
        <v>109</v>
      </c>
      <c r="P108" s="18"/>
      <c r="Q108" s="18"/>
      <c r="R108" s="18"/>
      <c r="S108" s="18"/>
      <c r="T108" s="18"/>
      <c r="U108" s="18"/>
      <c r="V108" s="18">
        <v>5713</v>
      </c>
      <c r="W108" s="18"/>
      <c r="X108" s="18"/>
      <c r="Y108" s="18">
        <v>5713</v>
      </c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  <c r="AU108" s="18"/>
      <c r="AV108" s="18"/>
      <c r="AW108" s="18"/>
      <c r="AX108" s="18"/>
      <c r="AY108" s="18"/>
      <c r="AZ108" s="18"/>
      <c r="BA108" s="18"/>
      <c r="BB108" s="18"/>
      <c r="BC108" s="18"/>
      <c r="BD108" s="18"/>
      <c r="BE108" s="18"/>
      <c r="BF108" s="18"/>
      <c r="BG108" s="18"/>
      <c r="BH108" s="18"/>
      <c r="BI108" s="18"/>
      <c r="BJ108" s="18"/>
      <c r="BK108" s="18">
        <v>5713</v>
      </c>
    </row>
    <row r="109" spans="1:63" x14ac:dyDescent="0.3">
      <c r="A109" s="17" t="s">
        <v>161</v>
      </c>
      <c r="B109" s="17"/>
      <c r="C109" s="17"/>
      <c r="D109" s="19">
        <v>110702.6</v>
      </c>
      <c r="E109" s="39">
        <v>-110702.6</v>
      </c>
      <c r="F109" s="19">
        <v>0</v>
      </c>
      <c r="O109" t="s">
        <v>118</v>
      </c>
      <c r="P109" s="18"/>
      <c r="Q109" s="18"/>
      <c r="R109" s="18"/>
      <c r="S109" s="18"/>
      <c r="T109" s="18"/>
      <c r="U109" s="18"/>
      <c r="V109" s="18">
        <v>180</v>
      </c>
      <c r="W109" s="18"/>
      <c r="X109" s="18"/>
      <c r="Y109" s="18">
        <v>180</v>
      </c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  <c r="AU109" s="18"/>
      <c r="AV109" s="18"/>
      <c r="AW109" s="18"/>
      <c r="AX109" s="18"/>
      <c r="AY109" s="18"/>
      <c r="AZ109" s="18"/>
      <c r="BA109" s="18"/>
      <c r="BB109" s="18"/>
      <c r="BC109" s="18"/>
      <c r="BD109" s="18"/>
      <c r="BE109" s="18"/>
      <c r="BF109" s="18"/>
      <c r="BG109" s="18"/>
      <c r="BH109" s="18"/>
      <c r="BI109" s="18"/>
      <c r="BJ109" s="18"/>
      <c r="BK109" s="18">
        <v>180</v>
      </c>
    </row>
    <row r="110" spans="1:63" x14ac:dyDescent="0.3">
      <c r="A110">
        <v>12</v>
      </c>
      <c r="B110" t="s">
        <v>1107</v>
      </c>
      <c r="C110" t="s">
        <v>1052</v>
      </c>
      <c r="D110" s="18">
        <v>60</v>
      </c>
      <c r="E110" s="38">
        <v>-60</v>
      </c>
      <c r="F110" s="18">
        <v>0</v>
      </c>
      <c r="O110" t="s">
        <v>120</v>
      </c>
      <c r="P110" s="18"/>
      <c r="Q110" s="18"/>
      <c r="R110" s="18"/>
      <c r="S110" s="18"/>
      <c r="T110" s="18"/>
      <c r="U110" s="18"/>
      <c r="V110" s="18">
        <v>204</v>
      </c>
      <c r="W110" s="18"/>
      <c r="X110" s="18"/>
      <c r="Y110" s="18">
        <v>204</v>
      </c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  <c r="AU110" s="18"/>
      <c r="AV110" s="18"/>
      <c r="AW110" s="18"/>
      <c r="AX110" s="18"/>
      <c r="AY110" s="18"/>
      <c r="AZ110" s="18"/>
      <c r="BA110" s="18"/>
      <c r="BB110" s="18"/>
      <c r="BC110" s="18"/>
      <c r="BD110" s="18"/>
      <c r="BE110" s="18"/>
      <c r="BF110" s="18"/>
      <c r="BG110" s="18"/>
      <c r="BH110" s="18"/>
      <c r="BI110" s="18"/>
      <c r="BJ110" s="18"/>
      <c r="BK110" s="18">
        <v>204</v>
      </c>
    </row>
    <row r="111" spans="1:63" x14ac:dyDescent="0.3">
      <c r="B111" t="s">
        <v>1109</v>
      </c>
      <c r="C111" t="s">
        <v>638</v>
      </c>
      <c r="D111" s="18">
        <v>855</v>
      </c>
      <c r="E111" s="38">
        <v>-855</v>
      </c>
      <c r="F111" s="18">
        <v>0</v>
      </c>
      <c r="O111" t="s">
        <v>130</v>
      </c>
      <c r="P111" s="18"/>
      <c r="Q111" s="18"/>
      <c r="R111" s="18"/>
      <c r="S111" s="18"/>
      <c r="T111" s="18"/>
      <c r="U111" s="18"/>
      <c r="V111" s="18">
        <v>5109</v>
      </c>
      <c r="W111" s="18"/>
      <c r="X111" s="18"/>
      <c r="Y111" s="18">
        <v>5109</v>
      </c>
      <c r="Z111" s="18"/>
      <c r="AA111" s="18"/>
      <c r="AB111" s="18"/>
      <c r="AC111" s="18"/>
      <c r="AD111" s="18"/>
      <c r="AE111" s="18"/>
      <c r="AF111" s="18"/>
      <c r="AG111" s="18"/>
      <c r="AH111" s="18"/>
      <c r="AI111" s="18"/>
      <c r="AJ111" s="18"/>
      <c r="AK111" s="18"/>
      <c r="AL111" s="18"/>
      <c r="AM111" s="18"/>
      <c r="AN111" s="18"/>
      <c r="AO111" s="18"/>
      <c r="AP111" s="18"/>
      <c r="AQ111" s="18"/>
      <c r="AR111" s="18"/>
      <c r="AS111" s="18"/>
      <c r="AT111" s="18"/>
      <c r="AU111" s="18"/>
      <c r="AV111" s="18"/>
      <c r="AW111" s="18"/>
      <c r="AX111" s="18"/>
      <c r="AY111" s="18"/>
      <c r="AZ111" s="18"/>
      <c r="BA111" s="18"/>
      <c r="BB111" s="18"/>
      <c r="BC111" s="18"/>
      <c r="BD111" s="18"/>
      <c r="BE111" s="18"/>
      <c r="BF111" s="18"/>
      <c r="BG111" s="18"/>
      <c r="BH111" s="18"/>
      <c r="BI111" s="18"/>
      <c r="BJ111" s="18"/>
      <c r="BK111" s="18">
        <v>5109</v>
      </c>
    </row>
    <row r="112" spans="1:63" x14ac:dyDescent="0.3">
      <c r="B112" t="s">
        <v>1110</v>
      </c>
      <c r="C112" t="s">
        <v>410</v>
      </c>
      <c r="D112" s="18">
        <v>4489</v>
      </c>
      <c r="E112" s="38">
        <v>-4489</v>
      </c>
      <c r="F112" s="18">
        <v>0</v>
      </c>
      <c r="O112" t="s">
        <v>180</v>
      </c>
      <c r="P112" s="18"/>
      <c r="Q112" s="18"/>
      <c r="R112" s="18"/>
      <c r="S112" s="18"/>
      <c r="T112" s="18"/>
      <c r="U112" s="18"/>
      <c r="V112" s="18"/>
      <c r="W112" s="18">
        <v>2008</v>
      </c>
      <c r="X112" s="18"/>
      <c r="Y112" s="18">
        <v>2008</v>
      </c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  <c r="AU112" s="18"/>
      <c r="AV112" s="18"/>
      <c r="AW112" s="18"/>
      <c r="AX112" s="18"/>
      <c r="AY112" s="18"/>
      <c r="AZ112" s="18"/>
      <c r="BA112" s="18"/>
      <c r="BB112" s="18"/>
      <c r="BC112" s="18"/>
      <c r="BD112" s="18"/>
      <c r="BE112" s="18"/>
      <c r="BF112" s="18"/>
      <c r="BG112" s="18"/>
      <c r="BH112" s="18"/>
      <c r="BI112" s="18"/>
      <c r="BJ112" s="18"/>
      <c r="BK112" s="18">
        <v>2008</v>
      </c>
    </row>
    <row r="113" spans="2:63" x14ac:dyDescent="0.3">
      <c r="B113" t="s">
        <v>1112</v>
      </c>
      <c r="C113" t="s">
        <v>410</v>
      </c>
      <c r="D113" s="18">
        <v>3915</v>
      </c>
      <c r="E113" s="38">
        <v>-3915</v>
      </c>
      <c r="F113" s="18">
        <v>0</v>
      </c>
      <c r="O113" t="s">
        <v>217</v>
      </c>
      <c r="P113" s="18"/>
      <c r="Q113" s="18"/>
      <c r="R113" s="18"/>
      <c r="S113" s="18"/>
      <c r="T113" s="18"/>
      <c r="U113" s="18"/>
      <c r="V113" s="18"/>
      <c r="W113" s="18"/>
      <c r="X113" s="18">
        <v>6108</v>
      </c>
      <c r="Y113" s="18">
        <v>6108</v>
      </c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  <c r="AU113" s="18"/>
      <c r="AV113" s="18"/>
      <c r="AW113" s="18"/>
      <c r="AX113" s="18"/>
      <c r="AY113" s="18"/>
      <c r="AZ113" s="18"/>
      <c r="BA113" s="18"/>
      <c r="BB113" s="18"/>
      <c r="BC113" s="18"/>
      <c r="BD113" s="18"/>
      <c r="BE113" s="18"/>
      <c r="BF113" s="18"/>
      <c r="BG113" s="18"/>
      <c r="BH113" s="18"/>
      <c r="BI113" s="18"/>
      <c r="BJ113" s="18"/>
      <c r="BK113" s="18">
        <v>6108</v>
      </c>
    </row>
    <row r="114" spans="2:63" x14ac:dyDescent="0.3">
      <c r="B114" t="s">
        <v>1114</v>
      </c>
      <c r="C114" t="s">
        <v>58</v>
      </c>
      <c r="D114" s="18">
        <v>4632.8</v>
      </c>
      <c r="E114" s="38">
        <v>-4632.8</v>
      </c>
      <c r="F114" s="18">
        <v>0</v>
      </c>
      <c r="O114" t="s">
        <v>245</v>
      </c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>
        <v>340</v>
      </c>
      <c r="AF114" s="18"/>
      <c r="AG114" s="18"/>
      <c r="AH114" s="18"/>
      <c r="AI114" s="18"/>
      <c r="AJ114" s="18">
        <v>340</v>
      </c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  <c r="AU114" s="18"/>
      <c r="AV114" s="18"/>
      <c r="AW114" s="18"/>
      <c r="AX114" s="18"/>
      <c r="AY114" s="18"/>
      <c r="AZ114" s="18"/>
      <c r="BA114" s="18"/>
      <c r="BB114" s="18"/>
      <c r="BC114" s="18"/>
      <c r="BD114" s="18"/>
      <c r="BE114" s="18"/>
      <c r="BF114" s="18"/>
      <c r="BG114" s="18"/>
      <c r="BH114" s="18"/>
      <c r="BI114" s="18"/>
      <c r="BJ114" s="18"/>
      <c r="BK114" s="18">
        <v>340</v>
      </c>
    </row>
    <row r="115" spans="2:63" x14ac:dyDescent="0.3">
      <c r="B115" t="s">
        <v>1116</v>
      </c>
      <c r="C115" t="s">
        <v>410</v>
      </c>
      <c r="D115" s="18">
        <v>7395.5</v>
      </c>
      <c r="E115" s="38">
        <v>-7395.5</v>
      </c>
      <c r="F115" s="18">
        <v>0</v>
      </c>
      <c r="O115" t="s">
        <v>251</v>
      </c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>
        <v>5887</v>
      </c>
      <c r="AF115" s="18"/>
      <c r="AG115" s="18"/>
      <c r="AH115" s="18"/>
      <c r="AI115" s="18"/>
      <c r="AJ115" s="18">
        <v>5887</v>
      </c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  <c r="AU115" s="18"/>
      <c r="AV115" s="18"/>
      <c r="AW115" s="18"/>
      <c r="AX115" s="18"/>
      <c r="AY115" s="18"/>
      <c r="AZ115" s="18"/>
      <c r="BA115" s="18"/>
      <c r="BB115" s="18"/>
      <c r="BC115" s="18"/>
      <c r="BD115" s="18"/>
      <c r="BE115" s="18"/>
      <c r="BF115" s="18"/>
      <c r="BG115" s="18"/>
      <c r="BH115" s="18"/>
      <c r="BI115" s="18"/>
      <c r="BJ115" s="18"/>
      <c r="BK115" s="18">
        <v>5887</v>
      </c>
    </row>
    <row r="116" spans="2:63" x14ac:dyDescent="0.3">
      <c r="B116" t="s">
        <v>1117</v>
      </c>
      <c r="C116" t="s">
        <v>638</v>
      </c>
      <c r="D116" s="18">
        <v>93</v>
      </c>
      <c r="E116" s="38">
        <v>-93</v>
      </c>
      <c r="F116" s="18">
        <v>0</v>
      </c>
      <c r="O116" t="s">
        <v>324</v>
      </c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  <c r="AH116" s="18">
        <v>6621</v>
      </c>
      <c r="AI116" s="18"/>
      <c r="AJ116" s="18">
        <v>6621</v>
      </c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A116" s="18"/>
      <c r="BB116" s="18"/>
      <c r="BC116" s="18"/>
      <c r="BD116" s="18"/>
      <c r="BE116" s="18"/>
      <c r="BF116" s="18"/>
      <c r="BG116" s="18"/>
      <c r="BH116" s="18"/>
      <c r="BI116" s="18"/>
      <c r="BJ116" s="18"/>
      <c r="BK116" s="18">
        <v>6621</v>
      </c>
    </row>
    <row r="117" spans="2:63" x14ac:dyDescent="0.3">
      <c r="B117" t="s">
        <v>1120</v>
      </c>
      <c r="C117" t="s">
        <v>492</v>
      </c>
      <c r="D117" s="18">
        <v>3067</v>
      </c>
      <c r="E117" s="38">
        <v>-3067</v>
      </c>
      <c r="F117" s="18">
        <v>0</v>
      </c>
      <c r="O117" t="s">
        <v>325</v>
      </c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  <c r="AG117" s="18"/>
      <c r="AH117" s="18">
        <v>90</v>
      </c>
      <c r="AI117" s="18"/>
      <c r="AJ117" s="18">
        <v>90</v>
      </c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  <c r="AU117" s="18"/>
      <c r="AV117" s="18"/>
      <c r="AW117" s="18"/>
      <c r="AX117" s="18"/>
      <c r="AY117" s="18"/>
      <c r="AZ117" s="18"/>
      <c r="BA117" s="18"/>
      <c r="BB117" s="18"/>
      <c r="BC117" s="18"/>
      <c r="BD117" s="18"/>
      <c r="BE117" s="18"/>
      <c r="BF117" s="18"/>
      <c r="BG117" s="18"/>
      <c r="BH117" s="18"/>
      <c r="BI117" s="18"/>
      <c r="BJ117" s="18"/>
      <c r="BK117" s="18">
        <v>90</v>
      </c>
    </row>
    <row r="118" spans="2:63" x14ac:dyDescent="0.3">
      <c r="B118" t="s">
        <v>1121</v>
      </c>
      <c r="C118" t="s">
        <v>638</v>
      </c>
      <c r="D118" s="18">
        <v>2024</v>
      </c>
      <c r="E118" s="38">
        <v>-2024</v>
      </c>
      <c r="F118" s="18">
        <v>0</v>
      </c>
      <c r="O118" t="s">
        <v>342</v>
      </c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>
        <v>6450</v>
      </c>
      <c r="AJ118" s="18">
        <v>6450</v>
      </c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  <c r="BF118" s="18"/>
      <c r="BG118" s="18"/>
      <c r="BH118" s="18"/>
      <c r="BI118" s="18"/>
      <c r="BJ118" s="18"/>
      <c r="BK118" s="18">
        <v>6450</v>
      </c>
    </row>
    <row r="119" spans="2:63" x14ac:dyDescent="0.3">
      <c r="B119" t="s">
        <v>1123</v>
      </c>
      <c r="C119" t="s">
        <v>410</v>
      </c>
      <c r="D119" s="18">
        <v>49088.1</v>
      </c>
      <c r="E119" s="38">
        <v>-49088.1</v>
      </c>
      <c r="F119" s="18">
        <v>0</v>
      </c>
      <c r="O119" t="s">
        <v>372</v>
      </c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>
        <v>6914</v>
      </c>
      <c r="AB119" s="18"/>
      <c r="AC119" s="18"/>
      <c r="AD119" s="18"/>
      <c r="AE119" s="18"/>
      <c r="AF119" s="18"/>
      <c r="AG119" s="18"/>
      <c r="AH119" s="18"/>
      <c r="AI119" s="18"/>
      <c r="AJ119" s="18">
        <v>6914</v>
      </c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  <c r="BF119" s="18"/>
      <c r="BG119" s="18"/>
      <c r="BH119" s="18"/>
      <c r="BI119" s="18"/>
      <c r="BJ119" s="18"/>
      <c r="BK119" s="18">
        <v>6914</v>
      </c>
    </row>
    <row r="120" spans="2:63" x14ac:dyDescent="0.3">
      <c r="B120" t="s">
        <v>1124</v>
      </c>
      <c r="C120" t="s">
        <v>492</v>
      </c>
      <c r="D120" s="18">
        <v>2842</v>
      </c>
      <c r="E120" s="38">
        <v>-2842</v>
      </c>
      <c r="F120" s="18">
        <v>0</v>
      </c>
      <c r="O120" t="s">
        <v>404</v>
      </c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>
        <v>2330</v>
      </c>
      <c r="AC120" s="18"/>
      <c r="AD120" s="18"/>
      <c r="AE120" s="18"/>
      <c r="AF120" s="18"/>
      <c r="AG120" s="18"/>
      <c r="AH120" s="18"/>
      <c r="AI120" s="18"/>
      <c r="AJ120" s="18">
        <v>2330</v>
      </c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  <c r="AU120" s="18"/>
      <c r="AV120" s="18"/>
      <c r="AW120" s="18"/>
      <c r="AX120" s="18"/>
      <c r="AY120" s="18"/>
      <c r="AZ120" s="18"/>
      <c r="BA120" s="18"/>
      <c r="BB120" s="18"/>
      <c r="BC120" s="18"/>
      <c r="BD120" s="18"/>
      <c r="BE120" s="18"/>
      <c r="BF120" s="18"/>
      <c r="BG120" s="18"/>
      <c r="BH120" s="18"/>
      <c r="BI120" s="18"/>
      <c r="BJ120" s="18"/>
      <c r="BK120" s="18">
        <v>2330</v>
      </c>
    </row>
    <row r="121" spans="2:63" x14ac:dyDescent="0.3">
      <c r="B121" t="s">
        <v>1126</v>
      </c>
      <c r="C121" t="s">
        <v>785</v>
      </c>
      <c r="D121" s="18">
        <v>2063</v>
      </c>
      <c r="E121" s="38">
        <v>-2063</v>
      </c>
      <c r="F121" s="18">
        <v>0</v>
      </c>
      <c r="O121" t="s">
        <v>406</v>
      </c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>
        <v>1300</v>
      </c>
      <c r="AC121" s="18"/>
      <c r="AD121" s="18"/>
      <c r="AE121" s="18"/>
      <c r="AF121" s="18"/>
      <c r="AG121" s="18"/>
      <c r="AH121" s="18"/>
      <c r="AI121" s="18"/>
      <c r="AJ121" s="18">
        <v>1300</v>
      </c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  <c r="AU121" s="18"/>
      <c r="AV121" s="18"/>
      <c r="AW121" s="18"/>
      <c r="AX121" s="18"/>
      <c r="AY121" s="18"/>
      <c r="AZ121" s="18"/>
      <c r="BA121" s="18"/>
      <c r="BB121" s="18"/>
      <c r="BC121" s="18"/>
      <c r="BD121" s="18"/>
      <c r="BE121" s="18"/>
      <c r="BF121" s="18"/>
      <c r="BG121" s="18"/>
      <c r="BH121" s="18"/>
      <c r="BI121" s="18"/>
      <c r="BJ121" s="18"/>
      <c r="BK121" s="18">
        <v>1300</v>
      </c>
    </row>
    <row r="122" spans="2:63" x14ac:dyDescent="0.3">
      <c r="B122" t="s">
        <v>1128</v>
      </c>
      <c r="C122" t="s">
        <v>410</v>
      </c>
      <c r="D122" s="18">
        <v>47686.5</v>
      </c>
      <c r="E122" s="38">
        <v>-47686.5</v>
      </c>
      <c r="F122" s="18">
        <v>0</v>
      </c>
      <c r="O122" t="s">
        <v>459</v>
      </c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>
        <v>2184</v>
      </c>
      <c r="AD122" s="18"/>
      <c r="AE122" s="18"/>
      <c r="AF122" s="18"/>
      <c r="AG122" s="18"/>
      <c r="AH122" s="18"/>
      <c r="AI122" s="18"/>
      <c r="AJ122" s="18">
        <v>2184</v>
      </c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  <c r="AU122" s="18"/>
      <c r="AV122" s="18"/>
      <c r="AW122" s="18"/>
      <c r="AX122" s="18"/>
      <c r="AY122" s="18"/>
      <c r="AZ122" s="18"/>
      <c r="BA122" s="18"/>
      <c r="BB122" s="18"/>
      <c r="BC122" s="18"/>
      <c r="BD122" s="18"/>
      <c r="BE122" s="18"/>
      <c r="BF122" s="18"/>
      <c r="BG122" s="18"/>
      <c r="BH122" s="18"/>
      <c r="BI122" s="18"/>
      <c r="BJ122" s="18"/>
      <c r="BK122" s="18">
        <v>2184</v>
      </c>
    </row>
    <row r="123" spans="2:63" x14ac:dyDescent="0.3">
      <c r="B123" t="s">
        <v>1129</v>
      </c>
      <c r="C123" t="s">
        <v>7</v>
      </c>
      <c r="D123" s="18">
        <v>3332</v>
      </c>
      <c r="E123" s="38">
        <v>-3332</v>
      </c>
      <c r="F123" s="18">
        <v>0</v>
      </c>
      <c r="O123" t="s">
        <v>481</v>
      </c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>
        <v>2366.5</v>
      </c>
      <c r="AD123" s="18"/>
      <c r="AE123" s="18"/>
      <c r="AF123" s="18"/>
      <c r="AG123" s="18"/>
      <c r="AH123" s="18"/>
      <c r="AI123" s="18"/>
      <c r="AJ123" s="18">
        <v>2366.5</v>
      </c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  <c r="AU123" s="18"/>
      <c r="AV123" s="18"/>
      <c r="AW123" s="18"/>
      <c r="AX123" s="18"/>
      <c r="AY123" s="18"/>
      <c r="AZ123" s="18"/>
      <c r="BA123" s="18"/>
      <c r="BB123" s="18"/>
      <c r="BC123" s="18"/>
      <c r="BD123" s="18"/>
      <c r="BE123" s="18"/>
      <c r="BF123" s="18"/>
      <c r="BG123" s="18"/>
      <c r="BH123" s="18"/>
      <c r="BI123" s="18"/>
      <c r="BJ123" s="18"/>
      <c r="BK123" s="18">
        <v>2366.5</v>
      </c>
    </row>
    <row r="124" spans="2:63" x14ac:dyDescent="0.3">
      <c r="B124" t="s">
        <v>1131</v>
      </c>
      <c r="C124" t="s">
        <v>638</v>
      </c>
      <c r="D124" s="18">
        <v>50</v>
      </c>
      <c r="E124" s="38">
        <v>-50</v>
      </c>
      <c r="F124" s="18">
        <v>0</v>
      </c>
      <c r="O124" t="s">
        <v>551</v>
      </c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  <c r="AG124" s="18"/>
      <c r="AH124" s="18"/>
      <c r="AI124" s="18"/>
      <c r="AJ124" s="18"/>
      <c r="AK124" s="18"/>
      <c r="AL124" s="18"/>
      <c r="AM124" s="18"/>
      <c r="AN124" s="18"/>
      <c r="AO124" s="18"/>
      <c r="AP124" s="18"/>
      <c r="AQ124" s="18"/>
      <c r="AR124" s="18">
        <v>7335</v>
      </c>
      <c r="AS124" s="18"/>
      <c r="AT124" s="18"/>
      <c r="AU124" s="18"/>
      <c r="AV124" s="18"/>
      <c r="AW124" s="18">
        <v>7335</v>
      </c>
      <c r="AX124" s="18"/>
      <c r="AY124" s="18"/>
      <c r="AZ124" s="18"/>
      <c r="BA124" s="18"/>
      <c r="BB124" s="18"/>
      <c r="BC124" s="18"/>
      <c r="BD124" s="18"/>
      <c r="BE124" s="18"/>
      <c r="BF124" s="18"/>
      <c r="BG124" s="18"/>
      <c r="BH124" s="18"/>
      <c r="BI124" s="18"/>
      <c r="BJ124" s="18"/>
      <c r="BK124" s="18">
        <v>7335</v>
      </c>
    </row>
    <row r="125" spans="2:63" x14ac:dyDescent="0.3">
      <c r="B125" t="s">
        <v>1134</v>
      </c>
      <c r="C125" t="s">
        <v>401</v>
      </c>
      <c r="D125" s="18">
        <v>6136.1</v>
      </c>
      <c r="E125" s="38">
        <v>-6136.1</v>
      </c>
      <c r="F125" s="18">
        <v>0</v>
      </c>
      <c r="O125" t="s">
        <v>606</v>
      </c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/>
      <c r="AI125" s="18"/>
      <c r="AJ125" s="18"/>
      <c r="AK125" s="18"/>
      <c r="AL125" s="18"/>
      <c r="AM125" s="18"/>
      <c r="AN125" s="18"/>
      <c r="AO125" s="18"/>
      <c r="AP125" s="18"/>
      <c r="AQ125" s="18"/>
      <c r="AR125" s="18"/>
      <c r="AS125" s="18">
        <v>7271</v>
      </c>
      <c r="AT125" s="18"/>
      <c r="AU125" s="18"/>
      <c r="AV125" s="18"/>
      <c r="AW125" s="18">
        <v>7271</v>
      </c>
      <c r="AX125" s="18"/>
      <c r="AY125" s="18"/>
      <c r="AZ125" s="18"/>
      <c r="BA125" s="18"/>
      <c r="BB125" s="18"/>
      <c r="BC125" s="18"/>
      <c r="BD125" s="18"/>
      <c r="BE125" s="18"/>
      <c r="BF125" s="18"/>
      <c r="BG125" s="18"/>
      <c r="BH125" s="18"/>
      <c r="BI125" s="18"/>
      <c r="BJ125" s="18"/>
      <c r="BK125" s="18">
        <v>7271</v>
      </c>
    </row>
    <row r="126" spans="2:63" x14ac:dyDescent="0.3">
      <c r="B126" t="s">
        <v>1136</v>
      </c>
      <c r="C126" t="s">
        <v>492</v>
      </c>
      <c r="D126" s="18">
        <v>2842</v>
      </c>
      <c r="E126" s="38">
        <v>-2842</v>
      </c>
      <c r="F126" s="18">
        <v>0</v>
      </c>
      <c r="O126" t="s">
        <v>612</v>
      </c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/>
      <c r="AI126" s="18"/>
      <c r="AJ126" s="18"/>
      <c r="AK126" s="18"/>
      <c r="AL126" s="18"/>
      <c r="AM126" s="18"/>
      <c r="AN126" s="18"/>
      <c r="AO126" s="18"/>
      <c r="AP126" s="18"/>
      <c r="AQ126" s="18"/>
      <c r="AR126" s="18"/>
      <c r="AS126" s="18">
        <v>315</v>
      </c>
      <c r="AT126" s="18"/>
      <c r="AU126" s="18"/>
      <c r="AV126" s="18"/>
      <c r="AW126" s="18">
        <v>315</v>
      </c>
      <c r="AX126" s="18"/>
      <c r="AY126" s="18"/>
      <c r="AZ126" s="18"/>
      <c r="BA126" s="18"/>
      <c r="BB126" s="18"/>
      <c r="BC126" s="18"/>
      <c r="BD126" s="18"/>
      <c r="BE126" s="18"/>
      <c r="BF126" s="18"/>
      <c r="BG126" s="18"/>
      <c r="BH126" s="18"/>
      <c r="BI126" s="18"/>
      <c r="BJ126" s="18"/>
      <c r="BK126" s="18">
        <v>315</v>
      </c>
    </row>
    <row r="127" spans="2:63" x14ac:dyDescent="0.3">
      <c r="B127" t="s">
        <v>1138</v>
      </c>
      <c r="C127" t="s">
        <v>62</v>
      </c>
      <c r="D127" s="18">
        <v>14227</v>
      </c>
      <c r="E127" s="38">
        <v>-14227</v>
      </c>
      <c r="F127" s="18">
        <v>0</v>
      </c>
      <c r="O127" t="s">
        <v>688</v>
      </c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/>
      <c r="AJ127" s="18"/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  <c r="AU127" s="18">
        <v>7316</v>
      </c>
      <c r="AV127" s="18"/>
      <c r="AW127" s="18">
        <v>7316</v>
      </c>
      <c r="AX127" s="18"/>
      <c r="AY127" s="18"/>
      <c r="AZ127" s="18"/>
      <c r="BA127" s="18"/>
      <c r="BB127" s="18"/>
      <c r="BC127" s="18"/>
      <c r="BD127" s="18"/>
      <c r="BE127" s="18"/>
      <c r="BF127" s="18"/>
      <c r="BG127" s="18"/>
      <c r="BH127" s="18"/>
      <c r="BI127" s="18"/>
      <c r="BJ127" s="18"/>
      <c r="BK127" s="18">
        <v>7316</v>
      </c>
    </row>
    <row r="128" spans="2:63" x14ac:dyDescent="0.3">
      <c r="B128" t="s">
        <v>1139</v>
      </c>
      <c r="C128" t="s">
        <v>410</v>
      </c>
      <c r="D128" s="18">
        <v>1008</v>
      </c>
      <c r="E128" s="38">
        <v>-1008</v>
      </c>
      <c r="F128" s="18">
        <v>0</v>
      </c>
      <c r="O128" t="s">
        <v>780</v>
      </c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  <c r="AJ128" s="18"/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  <c r="AV128" s="18">
        <v>7336</v>
      </c>
      <c r="AW128" s="18">
        <v>7336</v>
      </c>
      <c r="AX128" s="18"/>
      <c r="AY128" s="18"/>
      <c r="AZ128" s="18"/>
      <c r="BA128" s="18"/>
      <c r="BB128" s="18"/>
      <c r="BC128" s="18"/>
      <c r="BD128" s="18"/>
      <c r="BE128" s="18"/>
      <c r="BF128" s="18"/>
      <c r="BG128" s="18"/>
      <c r="BH128" s="18"/>
      <c r="BI128" s="18"/>
      <c r="BJ128" s="18"/>
      <c r="BK128" s="18">
        <v>7336</v>
      </c>
    </row>
    <row r="129" spans="1:63" x14ac:dyDescent="0.3">
      <c r="B129" t="s">
        <v>1140</v>
      </c>
      <c r="C129" t="s">
        <v>410</v>
      </c>
      <c r="D129" s="18">
        <v>21740.5</v>
      </c>
      <c r="E129" s="38">
        <v>-21740.5</v>
      </c>
      <c r="F129" s="18">
        <v>0</v>
      </c>
      <c r="O129" t="s">
        <v>907</v>
      </c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>
        <v>7521</v>
      </c>
      <c r="AN129" s="18"/>
      <c r="AO129" s="18"/>
      <c r="AP129" s="18"/>
      <c r="AQ129" s="18"/>
      <c r="AR129" s="18"/>
      <c r="AS129" s="18"/>
      <c r="AT129" s="18"/>
      <c r="AU129" s="18"/>
      <c r="AV129" s="18"/>
      <c r="AW129" s="18">
        <v>7521</v>
      </c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  <c r="BH129" s="18"/>
      <c r="BI129" s="18"/>
      <c r="BJ129" s="18"/>
      <c r="BK129" s="18">
        <v>7521</v>
      </c>
    </row>
    <row r="130" spans="1:63" x14ac:dyDescent="0.3">
      <c r="A130" s="17" t="s">
        <v>223</v>
      </c>
      <c r="B130" s="17"/>
      <c r="C130" s="17"/>
      <c r="D130" s="19">
        <v>177546.5</v>
      </c>
      <c r="E130" s="39">
        <v>-177546.5</v>
      </c>
      <c r="F130" s="19">
        <v>0</v>
      </c>
      <c r="O130" t="s">
        <v>996</v>
      </c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>
        <v>2849</v>
      </c>
      <c r="AP130" s="18"/>
      <c r="AQ130" s="18"/>
      <c r="AR130" s="18"/>
      <c r="AS130" s="18"/>
      <c r="AT130" s="18"/>
      <c r="AU130" s="18"/>
      <c r="AV130" s="18"/>
      <c r="AW130" s="18">
        <v>2849</v>
      </c>
      <c r="AX130" s="18"/>
      <c r="AY130" s="18"/>
      <c r="AZ130" s="18"/>
      <c r="BA130" s="18"/>
      <c r="BB130" s="18"/>
      <c r="BC130" s="18"/>
      <c r="BD130" s="18"/>
      <c r="BE130" s="18"/>
      <c r="BF130" s="18"/>
      <c r="BG130" s="18"/>
      <c r="BH130" s="18"/>
      <c r="BI130" s="18"/>
      <c r="BJ130" s="18"/>
      <c r="BK130" s="18">
        <v>2849</v>
      </c>
    </row>
    <row r="131" spans="1:63" x14ac:dyDescent="0.3">
      <c r="A131">
        <v>1</v>
      </c>
      <c r="B131" t="s">
        <v>547</v>
      </c>
      <c r="C131" t="s">
        <v>410</v>
      </c>
      <c r="D131" s="18">
        <v>8273</v>
      </c>
      <c r="E131" s="38">
        <v>-8273</v>
      </c>
      <c r="F131" s="18">
        <v>0</v>
      </c>
      <c r="O131" t="s">
        <v>997</v>
      </c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>
        <v>4048</v>
      </c>
      <c r="AP131" s="18"/>
      <c r="AQ131" s="18"/>
      <c r="AR131" s="18"/>
      <c r="AS131" s="18"/>
      <c r="AT131" s="18"/>
      <c r="AU131" s="18"/>
      <c r="AV131" s="18"/>
      <c r="AW131" s="18">
        <v>4048</v>
      </c>
      <c r="AX131" s="18"/>
      <c r="AY131" s="18"/>
      <c r="AZ131" s="18"/>
      <c r="BA131" s="18"/>
      <c r="BB131" s="18"/>
      <c r="BC131" s="18"/>
      <c r="BD131" s="18"/>
      <c r="BE131" s="18"/>
      <c r="BF131" s="18"/>
      <c r="BG131" s="18"/>
      <c r="BH131" s="18"/>
      <c r="BI131" s="18"/>
      <c r="BJ131" s="18"/>
      <c r="BK131" s="18">
        <v>4048</v>
      </c>
    </row>
    <row r="132" spans="1:63" x14ac:dyDescent="0.3">
      <c r="B132" t="s">
        <v>548</v>
      </c>
      <c r="C132" t="s">
        <v>401</v>
      </c>
      <c r="D132" s="18">
        <v>1080</v>
      </c>
      <c r="E132" s="38">
        <v>-1080</v>
      </c>
      <c r="F132" s="18">
        <v>0</v>
      </c>
      <c r="O132" t="s">
        <v>1092</v>
      </c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>
        <v>7219</v>
      </c>
      <c r="AQ132" s="18"/>
      <c r="AR132" s="18"/>
      <c r="AS132" s="18"/>
      <c r="AT132" s="18"/>
      <c r="AU132" s="18"/>
      <c r="AV132" s="18"/>
      <c r="AW132" s="18">
        <v>7219</v>
      </c>
      <c r="AX132" s="18"/>
      <c r="AY132" s="18"/>
      <c r="AZ132" s="18"/>
      <c r="BA132" s="18"/>
      <c r="BB132" s="18"/>
      <c r="BC132" s="18"/>
      <c r="BD132" s="18"/>
      <c r="BE132" s="18"/>
      <c r="BF132" s="18"/>
      <c r="BG132" s="18"/>
      <c r="BH132" s="18"/>
      <c r="BI132" s="18"/>
      <c r="BJ132" s="18"/>
      <c r="BK132" s="18">
        <v>7219</v>
      </c>
    </row>
    <row r="133" spans="1:63" x14ac:dyDescent="0.3">
      <c r="B133" t="s">
        <v>549</v>
      </c>
      <c r="C133" t="s">
        <v>410</v>
      </c>
      <c r="D133" s="18">
        <v>1233</v>
      </c>
      <c r="E133" s="38">
        <v>-1233</v>
      </c>
      <c r="F133" s="18">
        <v>0</v>
      </c>
      <c r="O133" t="s">
        <v>1548</v>
      </c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8"/>
      <c r="AP133" s="18"/>
      <c r="AQ133" s="18"/>
      <c r="AR133" s="18"/>
      <c r="AS133" s="18"/>
      <c r="AT133" s="18"/>
      <c r="AU133" s="18"/>
      <c r="AV133" s="18"/>
      <c r="AW133" s="18"/>
      <c r="AX133" s="18"/>
      <c r="AY133" s="18"/>
      <c r="AZ133" s="18"/>
      <c r="BA133" s="18"/>
      <c r="BB133" s="18"/>
      <c r="BC133" s="18"/>
      <c r="BD133" s="18"/>
      <c r="BE133" s="18"/>
      <c r="BF133" s="18"/>
      <c r="BG133" s="18"/>
      <c r="BH133" s="18"/>
      <c r="BI133" s="18">
        <v>4292</v>
      </c>
      <c r="BJ133" s="18">
        <v>4292</v>
      </c>
      <c r="BK133" s="18">
        <v>4292</v>
      </c>
    </row>
    <row r="134" spans="1:63" x14ac:dyDescent="0.3">
      <c r="B134" t="s">
        <v>550</v>
      </c>
      <c r="C134" t="s">
        <v>410</v>
      </c>
      <c r="D134" s="18">
        <v>7377</v>
      </c>
      <c r="E134" s="38">
        <v>-7377</v>
      </c>
      <c r="F134" s="18">
        <v>0</v>
      </c>
      <c r="O134" t="s">
        <v>1738</v>
      </c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/>
      <c r="AT134" s="18"/>
      <c r="AU134" s="18"/>
      <c r="AV134" s="18"/>
      <c r="AW134" s="18"/>
      <c r="AX134" s="18"/>
      <c r="AY134" s="18">
        <v>3960</v>
      </c>
      <c r="AZ134" s="18"/>
      <c r="BA134" s="18"/>
      <c r="BB134" s="18"/>
      <c r="BC134" s="18"/>
      <c r="BD134" s="18"/>
      <c r="BE134" s="18"/>
      <c r="BF134" s="18"/>
      <c r="BG134" s="18"/>
      <c r="BH134" s="18"/>
      <c r="BI134" s="18"/>
      <c r="BJ134" s="18">
        <v>3960</v>
      </c>
      <c r="BK134" s="18">
        <v>3960</v>
      </c>
    </row>
    <row r="135" spans="1:63" x14ac:dyDescent="0.3">
      <c r="B135" t="s">
        <v>551</v>
      </c>
      <c r="C135" t="s">
        <v>20</v>
      </c>
      <c r="D135" s="18">
        <v>7335</v>
      </c>
      <c r="E135" s="38">
        <v>-7335</v>
      </c>
      <c r="F135" s="18">
        <v>0</v>
      </c>
      <c r="O135" t="s">
        <v>1820</v>
      </c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/>
      <c r="AT135" s="18"/>
      <c r="AU135" s="18"/>
      <c r="AV135" s="18"/>
      <c r="AW135" s="18"/>
      <c r="AX135" s="18"/>
      <c r="AY135" s="18"/>
      <c r="AZ135" s="18">
        <v>630</v>
      </c>
      <c r="BA135" s="18"/>
      <c r="BB135" s="18"/>
      <c r="BC135" s="18"/>
      <c r="BD135" s="18"/>
      <c r="BE135" s="18"/>
      <c r="BF135" s="18"/>
      <c r="BG135" s="18"/>
      <c r="BH135" s="18"/>
      <c r="BI135" s="18"/>
      <c r="BJ135" s="18">
        <v>630</v>
      </c>
      <c r="BK135" s="18">
        <v>630</v>
      </c>
    </row>
    <row r="136" spans="1:63" x14ac:dyDescent="0.3">
      <c r="B136" t="s">
        <v>553</v>
      </c>
      <c r="C136" t="s">
        <v>62</v>
      </c>
      <c r="D136" s="18">
        <v>15346</v>
      </c>
      <c r="E136" s="38">
        <v>-15346</v>
      </c>
      <c r="F136" s="18">
        <v>0</v>
      </c>
      <c r="O136" t="s">
        <v>1899</v>
      </c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  <c r="AU136" s="18"/>
      <c r="AV136" s="18"/>
      <c r="AW136" s="18"/>
      <c r="AX136" s="18"/>
      <c r="AY136" s="18"/>
      <c r="AZ136" s="18"/>
      <c r="BA136" s="18">
        <v>2090</v>
      </c>
      <c r="BB136" s="18"/>
      <c r="BC136" s="18"/>
      <c r="BD136" s="18"/>
      <c r="BE136" s="18"/>
      <c r="BF136" s="18"/>
      <c r="BG136" s="18"/>
      <c r="BH136" s="18"/>
      <c r="BI136" s="18"/>
      <c r="BJ136" s="18">
        <v>2090</v>
      </c>
      <c r="BK136" s="18">
        <v>2090</v>
      </c>
    </row>
    <row r="137" spans="1:63" x14ac:dyDescent="0.3">
      <c r="B137" t="s">
        <v>558</v>
      </c>
      <c r="C137" t="s">
        <v>401</v>
      </c>
      <c r="D137" s="18">
        <v>5183.6000000000004</v>
      </c>
      <c r="E137" s="38">
        <v>-5183.6000000000004</v>
      </c>
      <c r="F137" s="18">
        <v>0</v>
      </c>
      <c r="N137" s="17" t="s">
        <v>136</v>
      </c>
      <c r="O137" s="17"/>
      <c r="P137" s="19"/>
      <c r="Q137" s="19"/>
      <c r="R137" s="19">
        <v>1827.5</v>
      </c>
      <c r="S137" s="19">
        <v>1200</v>
      </c>
      <c r="T137" s="19">
        <v>5676.2</v>
      </c>
      <c r="U137" s="19"/>
      <c r="V137" s="19">
        <v>11206</v>
      </c>
      <c r="W137" s="19">
        <v>2008</v>
      </c>
      <c r="X137" s="19">
        <v>6108</v>
      </c>
      <c r="Y137" s="19">
        <v>28025.7</v>
      </c>
      <c r="Z137" s="19"/>
      <c r="AA137" s="19">
        <v>6914</v>
      </c>
      <c r="AB137" s="19">
        <v>3630</v>
      </c>
      <c r="AC137" s="19">
        <v>4550.5</v>
      </c>
      <c r="AD137" s="19"/>
      <c r="AE137" s="19">
        <v>6227</v>
      </c>
      <c r="AF137" s="19"/>
      <c r="AG137" s="19"/>
      <c r="AH137" s="19">
        <v>6711</v>
      </c>
      <c r="AI137" s="19">
        <v>6450</v>
      </c>
      <c r="AJ137" s="19">
        <v>34482.5</v>
      </c>
      <c r="AK137" s="19"/>
      <c r="AL137" s="19"/>
      <c r="AM137" s="19">
        <v>7521</v>
      </c>
      <c r="AN137" s="19"/>
      <c r="AO137" s="19">
        <v>6897</v>
      </c>
      <c r="AP137" s="19">
        <v>7219</v>
      </c>
      <c r="AQ137" s="19"/>
      <c r="AR137" s="19">
        <v>7335</v>
      </c>
      <c r="AS137" s="19">
        <v>7586</v>
      </c>
      <c r="AT137" s="19"/>
      <c r="AU137" s="19">
        <v>7316</v>
      </c>
      <c r="AV137" s="19">
        <v>7336</v>
      </c>
      <c r="AW137" s="19">
        <v>51210</v>
      </c>
      <c r="AX137" s="19"/>
      <c r="AY137" s="19">
        <v>3960</v>
      </c>
      <c r="AZ137" s="19">
        <v>630</v>
      </c>
      <c r="BA137" s="19">
        <v>2090</v>
      </c>
      <c r="BB137" s="19"/>
      <c r="BC137" s="19"/>
      <c r="BD137" s="19"/>
      <c r="BE137" s="19"/>
      <c r="BF137" s="19"/>
      <c r="BG137" s="19"/>
      <c r="BH137" s="19"/>
      <c r="BI137" s="19">
        <v>4292</v>
      </c>
      <c r="BJ137" s="19">
        <v>10972</v>
      </c>
      <c r="BK137" s="19">
        <v>124690.2</v>
      </c>
    </row>
    <row r="138" spans="1:63" x14ac:dyDescent="0.3">
      <c r="B138" t="s">
        <v>559</v>
      </c>
      <c r="C138" t="s">
        <v>410</v>
      </c>
      <c r="D138" s="18">
        <v>28549</v>
      </c>
      <c r="E138" s="38">
        <v>-28549</v>
      </c>
      <c r="F138" s="18">
        <v>0</v>
      </c>
      <c r="N138" t="s">
        <v>43</v>
      </c>
      <c r="O138" t="s">
        <v>41</v>
      </c>
      <c r="P138" s="18"/>
      <c r="Q138" s="18"/>
      <c r="R138" s="18"/>
      <c r="S138" s="18"/>
      <c r="T138" s="18">
        <v>1706</v>
      </c>
      <c r="U138" s="18"/>
      <c r="V138" s="18"/>
      <c r="W138" s="18"/>
      <c r="X138" s="18"/>
      <c r="Y138" s="18">
        <v>1706</v>
      </c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/>
      <c r="AN138" s="18"/>
      <c r="AO138" s="18"/>
      <c r="AP138" s="18"/>
      <c r="AQ138" s="18"/>
      <c r="AR138" s="18"/>
      <c r="AS138" s="18"/>
      <c r="AT138" s="18"/>
      <c r="AU138" s="18"/>
      <c r="AV138" s="18"/>
      <c r="AW138" s="18"/>
      <c r="AX138" s="18"/>
      <c r="AY138" s="18"/>
      <c r="AZ138" s="18"/>
      <c r="BA138" s="18"/>
      <c r="BB138" s="18"/>
      <c r="BC138" s="18"/>
      <c r="BD138" s="18"/>
      <c r="BE138" s="18"/>
      <c r="BF138" s="18"/>
      <c r="BG138" s="18"/>
      <c r="BH138" s="18"/>
      <c r="BI138" s="18"/>
      <c r="BJ138" s="18"/>
      <c r="BK138" s="18">
        <v>1706</v>
      </c>
    </row>
    <row r="139" spans="1:63" x14ac:dyDescent="0.3">
      <c r="B139" t="s">
        <v>560</v>
      </c>
      <c r="C139" t="s">
        <v>23</v>
      </c>
      <c r="D139" s="18">
        <v>6803</v>
      </c>
      <c r="E139" s="38">
        <v>-6803</v>
      </c>
      <c r="F139" s="18">
        <v>0</v>
      </c>
      <c r="O139" t="s">
        <v>152</v>
      </c>
      <c r="P139" s="18"/>
      <c r="Q139" s="18"/>
      <c r="R139" s="18"/>
      <c r="S139" s="18"/>
      <c r="T139" s="18"/>
      <c r="U139" s="18"/>
      <c r="V139" s="18"/>
      <c r="W139" s="18">
        <v>2302</v>
      </c>
      <c r="X139" s="18"/>
      <c r="Y139" s="18">
        <v>2302</v>
      </c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8"/>
      <c r="AN139" s="18"/>
      <c r="AO139" s="18"/>
      <c r="AP139" s="18"/>
      <c r="AQ139" s="18"/>
      <c r="AR139" s="18"/>
      <c r="AS139" s="18"/>
      <c r="AT139" s="18"/>
      <c r="AU139" s="18"/>
      <c r="AV139" s="18"/>
      <c r="AW139" s="18"/>
      <c r="AX139" s="18"/>
      <c r="AY139" s="18"/>
      <c r="AZ139" s="18"/>
      <c r="BA139" s="18"/>
      <c r="BB139" s="18"/>
      <c r="BC139" s="18"/>
      <c r="BD139" s="18"/>
      <c r="BE139" s="18"/>
      <c r="BF139" s="18"/>
      <c r="BG139" s="18"/>
      <c r="BH139" s="18"/>
      <c r="BI139" s="18"/>
      <c r="BJ139" s="18"/>
      <c r="BK139" s="18">
        <v>2302</v>
      </c>
    </row>
    <row r="140" spans="1:63" x14ac:dyDescent="0.3">
      <c r="B140" t="s">
        <v>562</v>
      </c>
      <c r="C140" t="s">
        <v>23</v>
      </c>
      <c r="D140" s="18">
        <v>1202.5</v>
      </c>
      <c r="E140" s="38">
        <v>-1202.5</v>
      </c>
      <c r="F140" s="18">
        <v>0</v>
      </c>
      <c r="O140" t="s">
        <v>398</v>
      </c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>
        <v>240</v>
      </c>
      <c r="AC140" s="18"/>
      <c r="AD140" s="18"/>
      <c r="AE140" s="18"/>
      <c r="AF140" s="18"/>
      <c r="AG140" s="18"/>
      <c r="AH140" s="18"/>
      <c r="AI140" s="18"/>
      <c r="AJ140" s="18">
        <v>240</v>
      </c>
      <c r="AK140" s="18"/>
      <c r="AL140" s="18"/>
      <c r="AM140" s="18"/>
      <c r="AN140" s="18"/>
      <c r="AO140" s="18"/>
      <c r="AP140" s="18"/>
      <c r="AQ140" s="18"/>
      <c r="AR140" s="18"/>
      <c r="AS140" s="18"/>
      <c r="AT140" s="18"/>
      <c r="AU140" s="18"/>
      <c r="AV140" s="18"/>
      <c r="AW140" s="18"/>
      <c r="AX140" s="18"/>
      <c r="AY140" s="18"/>
      <c r="AZ140" s="18"/>
      <c r="BA140" s="18"/>
      <c r="BB140" s="18"/>
      <c r="BC140" s="18"/>
      <c r="BD140" s="18"/>
      <c r="BE140" s="18"/>
      <c r="BF140" s="18"/>
      <c r="BG140" s="18"/>
      <c r="BH140" s="18"/>
      <c r="BI140" s="18"/>
      <c r="BJ140" s="18"/>
      <c r="BK140" s="18">
        <v>240</v>
      </c>
    </row>
    <row r="141" spans="1:63" x14ac:dyDescent="0.3">
      <c r="B141" t="s">
        <v>563</v>
      </c>
      <c r="C141" t="s">
        <v>23</v>
      </c>
      <c r="D141" s="18">
        <v>8486</v>
      </c>
      <c r="E141" s="38">
        <v>-8486</v>
      </c>
      <c r="F141" s="18">
        <v>0</v>
      </c>
      <c r="O141" t="s">
        <v>569</v>
      </c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  <c r="AP141" s="18"/>
      <c r="AQ141" s="18"/>
      <c r="AR141" s="18">
        <v>2309</v>
      </c>
      <c r="AS141" s="18"/>
      <c r="AT141" s="18"/>
      <c r="AU141" s="18"/>
      <c r="AV141" s="18"/>
      <c r="AW141" s="18">
        <v>2309</v>
      </c>
      <c r="AX141" s="18"/>
      <c r="AY141" s="18"/>
      <c r="AZ141" s="18"/>
      <c r="BA141" s="18"/>
      <c r="BB141" s="18"/>
      <c r="BC141" s="18"/>
      <c r="BD141" s="18"/>
      <c r="BE141" s="18"/>
      <c r="BF141" s="18"/>
      <c r="BG141" s="18"/>
      <c r="BH141" s="18"/>
      <c r="BI141" s="18"/>
      <c r="BJ141" s="18"/>
      <c r="BK141" s="18">
        <v>2309</v>
      </c>
    </row>
    <row r="142" spans="1:63" x14ac:dyDescent="0.3">
      <c r="B142" t="s">
        <v>565</v>
      </c>
      <c r="C142" t="s">
        <v>410</v>
      </c>
      <c r="D142" s="18">
        <v>11502</v>
      </c>
      <c r="E142" s="38">
        <v>-11502</v>
      </c>
      <c r="F142" s="18">
        <v>0</v>
      </c>
      <c r="O142" t="s">
        <v>608</v>
      </c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>
        <v>175</v>
      </c>
      <c r="AT142" s="18"/>
      <c r="AU142" s="18"/>
      <c r="AV142" s="18"/>
      <c r="AW142" s="18">
        <v>175</v>
      </c>
      <c r="AX142" s="18"/>
      <c r="AY142" s="18"/>
      <c r="AZ142" s="18"/>
      <c r="BA142" s="18"/>
      <c r="BB142" s="18"/>
      <c r="BC142" s="18"/>
      <c r="BD142" s="18"/>
      <c r="BE142" s="18"/>
      <c r="BF142" s="18"/>
      <c r="BG142" s="18"/>
      <c r="BH142" s="18"/>
      <c r="BI142" s="18"/>
      <c r="BJ142" s="18"/>
      <c r="BK142" s="18">
        <v>175</v>
      </c>
    </row>
    <row r="143" spans="1:63" x14ac:dyDescent="0.3">
      <c r="B143" t="s">
        <v>566</v>
      </c>
      <c r="C143" t="s">
        <v>401</v>
      </c>
      <c r="D143" s="18">
        <v>2696.8</v>
      </c>
      <c r="E143" s="38">
        <v>-2696.8</v>
      </c>
      <c r="F143" s="18">
        <v>0</v>
      </c>
      <c r="O143" t="s">
        <v>646</v>
      </c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>
        <v>2068</v>
      </c>
      <c r="AU143" s="18"/>
      <c r="AV143" s="18"/>
      <c r="AW143" s="18">
        <v>2068</v>
      </c>
      <c r="AX143" s="18"/>
      <c r="AY143" s="18"/>
      <c r="AZ143" s="18"/>
      <c r="BA143" s="18"/>
      <c r="BB143" s="18"/>
      <c r="BC143" s="18"/>
      <c r="BD143" s="18"/>
      <c r="BE143" s="18"/>
      <c r="BF143" s="18"/>
      <c r="BG143" s="18"/>
      <c r="BH143" s="18"/>
      <c r="BI143" s="18"/>
      <c r="BJ143" s="18"/>
      <c r="BK143" s="18">
        <v>2068</v>
      </c>
    </row>
    <row r="144" spans="1:63" x14ac:dyDescent="0.3">
      <c r="B144" t="s">
        <v>568</v>
      </c>
      <c r="C144" t="s">
        <v>62</v>
      </c>
      <c r="D144" s="18">
        <v>13474</v>
      </c>
      <c r="E144" s="38">
        <v>-13474</v>
      </c>
      <c r="F144" s="18">
        <v>0</v>
      </c>
      <c r="O144" t="s">
        <v>653</v>
      </c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>
        <v>337.5</v>
      </c>
      <c r="AU144" s="18"/>
      <c r="AV144" s="18"/>
      <c r="AW144" s="18">
        <v>337.5</v>
      </c>
      <c r="AX144" s="18"/>
      <c r="AY144" s="18"/>
      <c r="AZ144" s="18"/>
      <c r="BA144" s="18"/>
      <c r="BB144" s="18"/>
      <c r="BC144" s="18"/>
      <c r="BD144" s="18"/>
      <c r="BE144" s="18"/>
      <c r="BF144" s="18"/>
      <c r="BG144" s="18"/>
      <c r="BH144" s="18"/>
      <c r="BI144" s="18"/>
      <c r="BJ144" s="18"/>
      <c r="BK144" s="18">
        <v>337.5</v>
      </c>
    </row>
    <row r="145" spans="1:63" x14ac:dyDescent="0.3">
      <c r="B145" t="s">
        <v>569</v>
      </c>
      <c r="C145" t="s">
        <v>43</v>
      </c>
      <c r="D145" s="18">
        <v>2309</v>
      </c>
      <c r="E145" s="38">
        <v>-2309</v>
      </c>
      <c r="F145" s="18">
        <v>0</v>
      </c>
      <c r="O145" t="s">
        <v>767</v>
      </c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  <c r="AU145" s="18"/>
      <c r="AV145" s="18">
        <v>2534</v>
      </c>
      <c r="AW145" s="18">
        <v>2534</v>
      </c>
      <c r="AX145" s="18"/>
      <c r="AY145" s="18"/>
      <c r="AZ145" s="18"/>
      <c r="BA145" s="18"/>
      <c r="BB145" s="18"/>
      <c r="BC145" s="18"/>
      <c r="BD145" s="18"/>
      <c r="BE145" s="18"/>
      <c r="BF145" s="18"/>
      <c r="BG145" s="18"/>
      <c r="BH145" s="18"/>
      <c r="BI145" s="18"/>
      <c r="BJ145" s="18"/>
      <c r="BK145" s="18">
        <v>2534</v>
      </c>
    </row>
    <row r="146" spans="1:63" x14ac:dyDescent="0.3">
      <c r="B146" t="s">
        <v>570</v>
      </c>
      <c r="C146" t="s">
        <v>23</v>
      </c>
      <c r="D146" s="18">
        <v>15108</v>
      </c>
      <c r="E146" s="38">
        <v>-15108</v>
      </c>
      <c r="F146" s="18">
        <v>0</v>
      </c>
      <c r="O146" t="s">
        <v>777</v>
      </c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  <c r="AU146" s="18"/>
      <c r="AV146" s="18">
        <v>100</v>
      </c>
      <c r="AW146" s="18">
        <v>100</v>
      </c>
      <c r="AX146" s="18"/>
      <c r="AY146" s="18"/>
      <c r="AZ146" s="18"/>
      <c r="BA146" s="18"/>
      <c r="BB146" s="18"/>
      <c r="BC146" s="18"/>
      <c r="BD146" s="18"/>
      <c r="BE146" s="18"/>
      <c r="BF146" s="18"/>
      <c r="BG146" s="18"/>
      <c r="BH146" s="18"/>
      <c r="BI146" s="18"/>
      <c r="BJ146" s="18"/>
      <c r="BK146" s="18">
        <v>100</v>
      </c>
    </row>
    <row r="147" spans="1:63" x14ac:dyDescent="0.3">
      <c r="A147" s="17" t="s">
        <v>255</v>
      </c>
      <c r="B147" s="17"/>
      <c r="C147" s="17"/>
      <c r="D147" s="19">
        <v>135957.90000000002</v>
      </c>
      <c r="E147" s="39">
        <v>-135957.90000000002</v>
      </c>
      <c r="F147" s="19">
        <v>0</v>
      </c>
      <c r="O147" t="s">
        <v>844</v>
      </c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>
        <v>2068</v>
      </c>
      <c r="AL147" s="18"/>
      <c r="AM147" s="18"/>
      <c r="AN147" s="18"/>
      <c r="AO147" s="18"/>
      <c r="AP147" s="18"/>
      <c r="AQ147" s="18"/>
      <c r="AR147" s="18"/>
      <c r="AS147" s="18"/>
      <c r="AT147" s="18"/>
      <c r="AU147" s="18"/>
      <c r="AV147" s="18"/>
      <c r="AW147" s="18">
        <v>2068</v>
      </c>
      <c r="AX147" s="18"/>
      <c r="AY147" s="18"/>
      <c r="AZ147" s="18"/>
      <c r="BA147" s="18"/>
      <c r="BB147" s="18"/>
      <c r="BC147" s="18"/>
      <c r="BD147" s="18"/>
      <c r="BE147" s="18"/>
      <c r="BF147" s="18"/>
      <c r="BG147" s="18"/>
      <c r="BH147" s="18"/>
      <c r="BI147" s="18"/>
      <c r="BJ147" s="18"/>
      <c r="BK147" s="18">
        <v>2068</v>
      </c>
    </row>
    <row r="148" spans="1:63" x14ac:dyDescent="0.3">
      <c r="A148">
        <v>2</v>
      </c>
      <c r="B148" t="s">
        <v>602</v>
      </c>
      <c r="C148" t="s">
        <v>401</v>
      </c>
      <c r="D148" s="18">
        <v>6532.4</v>
      </c>
      <c r="E148" s="38">
        <v>-6532.4</v>
      </c>
      <c r="F148" s="18">
        <v>0</v>
      </c>
      <c r="O148" t="s">
        <v>998</v>
      </c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8">
        <v>2237</v>
      </c>
      <c r="AP148" s="18"/>
      <c r="AQ148" s="18"/>
      <c r="AR148" s="18"/>
      <c r="AS148" s="18"/>
      <c r="AT148" s="18"/>
      <c r="AU148" s="18"/>
      <c r="AV148" s="18"/>
      <c r="AW148" s="18">
        <v>2237</v>
      </c>
      <c r="AX148" s="18"/>
      <c r="AY148" s="18"/>
      <c r="AZ148" s="18"/>
      <c r="BA148" s="18"/>
      <c r="BB148" s="18"/>
      <c r="BC148" s="18"/>
      <c r="BD148" s="18"/>
      <c r="BE148" s="18"/>
      <c r="BF148" s="18"/>
      <c r="BG148" s="18"/>
      <c r="BH148" s="18"/>
      <c r="BI148" s="18"/>
      <c r="BJ148" s="18"/>
      <c r="BK148" s="18">
        <v>2237</v>
      </c>
    </row>
    <row r="149" spans="1:63" x14ac:dyDescent="0.3">
      <c r="B149" t="s">
        <v>603</v>
      </c>
      <c r="C149" t="s">
        <v>23</v>
      </c>
      <c r="D149" s="18">
        <v>1480</v>
      </c>
      <c r="E149" s="38">
        <v>-1480</v>
      </c>
      <c r="F149" s="18">
        <v>0</v>
      </c>
      <c r="O149" t="s">
        <v>1416</v>
      </c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  <c r="AV149" s="18"/>
      <c r="AW149" s="18"/>
      <c r="AX149" s="18"/>
      <c r="AY149" s="18"/>
      <c r="AZ149" s="18"/>
      <c r="BA149" s="18"/>
      <c r="BB149" s="18"/>
      <c r="BC149" s="18"/>
      <c r="BD149" s="18"/>
      <c r="BE149" s="18"/>
      <c r="BF149" s="18"/>
      <c r="BG149" s="18"/>
      <c r="BH149" s="18">
        <v>2104</v>
      </c>
      <c r="BI149" s="18"/>
      <c r="BJ149" s="18">
        <v>2104</v>
      </c>
      <c r="BK149" s="18">
        <v>2104</v>
      </c>
    </row>
    <row r="150" spans="1:63" x14ac:dyDescent="0.3">
      <c r="B150" t="s">
        <v>604</v>
      </c>
      <c r="C150" t="s">
        <v>62</v>
      </c>
      <c r="D150" s="18">
        <v>14395</v>
      </c>
      <c r="E150" s="38">
        <v>-14395</v>
      </c>
      <c r="F150" s="18">
        <v>0</v>
      </c>
      <c r="O150" t="s">
        <v>1798</v>
      </c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  <c r="AU150" s="18"/>
      <c r="AV150" s="18"/>
      <c r="AW150" s="18"/>
      <c r="AX150" s="18"/>
      <c r="AY150" s="18"/>
      <c r="AZ150" s="18">
        <v>2381</v>
      </c>
      <c r="BA150" s="18"/>
      <c r="BB150" s="18"/>
      <c r="BC150" s="18"/>
      <c r="BD150" s="18"/>
      <c r="BE150" s="18"/>
      <c r="BF150" s="18"/>
      <c r="BG150" s="18"/>
      <c r="BH150" s="18"/>
      <c r="BI150" s="18"/>
      <c r="BJ150" s="18">
        <v>2381</v>
      </c>
      <c r="BK150" s="18">
        <v>2381</v>
      </c>
    </row>
    <row r="151" spans="1:63" x14ac:dyDescent="0.3">
      <c r="B151" t="s">
        <v>605</v>
      </c>
      <c r="C151" t="s">
        <v>58</v>
      </c>
      <c r="D151" s="18">
        <v>5940</v>
      </c>
      <c r="E151" s="38">
        <v>-5940</v>
      </c>
      <c r="F151" s="18">
        <v>0</v>
      </c>
      <c r="O151" t="s">
        <v>1823</v>
      </c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  <c r="AG151" s="18"/>
      <c r="AH151" s="18"/>
      <c r="AI151" s="18"/>
      <c r="AJ151" s="18"/>
      <c r="AK151" s="18"/>
      <c r="AL151" s="18"/>
      <c r="AM151" s="18"/>
      <c r="AN151" s="18"/>
      <c r="AO151" s="18"/>
      <c r="AP151" s="18"/>
      <c r="AQ151" s="18"/>
      <c r="AR151" s="18"/>
      <c r="AS151" s="18"/>
      <c r="AT151" s="18"/>
      <c r="AU151" s="18"/>
      <c r="AV151" s="18"/>
      <c r="AW151" s="18"/>
      <c r="AX151" s="18"/>
      <c r="AY151" s="18"/>
      <c r="AZ151" s="18">
        <v>2440</v>
      </c>
      <c r="BA151" s="18"/>
      <c r="BB151" s="18"/>
      <c r="BC151" s="18"/>
      <c r="BD151" s="18"/>
      <c r="BE151" s="18"/>
      <c r="BF151" s="18"/>
      <c r="BG151" s="18"/>
      <c r="BH151" s="18"/>
      <c r="BI151" s="18"/>
      <c r="BJ151" s="18">
        <v>2440</v>
      </c>
      <c r="BK151" s="18">
        <v>2440</v>
      </c>
    </row>
    <row r="152" spans="1:63" x14ac:dyDescent="0.3">
      <c r="B152" t="s">
        <v>606</v>
      </c>
      <c r="C152" t="s">
        <v>20</v>
      </c>
      <c r="D152" s="18">
        <v>7271</v>
      </c>
      <c r="E152" s="38">
        <v>-7271</v>
      </c>
      <c r="F152" s="18">
        <v>0</v>
      </c>
      <c r="O152" t="s">
        <v>2002</v>
      </c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  <c r="AV152" s="18"/>
      <c r="AW152" s="18"/>
      <c r="AX152" s="18"/>
      <c r="AY152" s="18"/>
      <c r="AZ152" s="18"/>
      <c r="BA152" s="18"/>
      <c r="BB152" s="18">
        <v>5067.2</v>
      </c>
      <c r="BC152" s="18"/>
      <c r="BD152" s="18"/>
      <c r="BE152" s="18"/>
      <c r="BF152" s="18"/>
      <c r="BG152" s="18"/>
      <c r="BH152" s="18"/>
      <c r="BI152" s="18"/>
      <c r="BJ152" s="18">
        <v>5067.2</v>
      </c>
      <c r="BK152" s="18">
        <v>5067.2</v>
      </c>
    </row>
    <row r="153" spans="1:63" x14ac:dyDescent="0.3">
      <c r="B153" t="s">
        <v>607</v>
      </c>
      <c r="C153" t="s">
        <v>492</v>
      </c>
      <c r="D153" s="18">
        <v>5822</v>
      </c>
      <c r="E153" s="38">
        <v>-5822</v>
      </c>
      <c r="F153" s="18">
        <v>0</v>
      </c>
      <c r="O153" t="s">
        <v>2122</v>
      </c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  <c r="AU153" s="18"/>
      <c r="AV153" s="18"/>
      <c r="AW153" s="18"/>
      <c r="AX153" s="18"/>
      <c r="AY153" s="18"/>
      <c r="AZ153" s="18"/>
      <c r="BA153" s="18"/>
      <c r="BB153" s="18"/>
      <c r="BC153" s="18">
        <v>2413</v>
      </c>
      <c r="BD153" s="18"/>
      <c r="BE153" s="18"/>
      <c r="BF153" s="18"/>
      <c r="BG153" s="18"/>
      <c r="BH153" s="18"/>
      <c r="BI153" s="18"/>
      <c r="BJ153" s="18">
        <v>2413</v>
      </c>
      <c r="BK153" s="18">
        <v>2413</v>
      </c>
    </row>
    <row r="154" spans="1:63" x14ac:dyDescent="0.3">
      <c r="B154" t="s">
        <v>608</v>
      </c>
      <c r="C154" t="s">
        <v>43</v>
      </c>
      <c r="D154" s="18">
        <v>175</v>
      </c>
      <c r="E154" s="38">
        <v>-175</v>
      </c>
      <c r="F154" s="18">
        <v>0</v>
      </c>
      <c r="N154" s="17" t="s">
        <v>137</v>
      </c>
      <c r="O154" s="17"/>
      <c r="P154" s="19"/>
      <c r="Q154" s="19"/>
      <c r="R154" s="19"/>
      <c r="S154" s="19"/>
      <c r="T154" s="19">
        <v>1706</v>
      </c>
      <c r="U154" s="19"/>
      <c r="V154" s="19"/>
      <c r="W154" s="19">
        <v>2302</v>
      </c>
      <c r="X154" s="19"/>
      <c r="Y154" s="19">
        <v>4008</v>
      </c>
      <c r="Z154" s="19"/>
      <c r="AA154" s="19"/>
      <c r="AB154" s="19">
        <v>240</v>
      </c>
      <c r="AC154" s="19"/>
      <c r="AD154" s="19"/>
      <c r="AE154" s="19"/>
      <c r="AF154" s="19"/>
      <c r="AG154" s="19"/>
      <c r="AH154" s="19"/>
      <c r="AI154" s="19"/>
      <c r="AJ154" s="19">
        <v>240</v>
      </c>
      <c r="AK154" s="19">
        <v>2068</v>
      </c>
      <c r="AL154" s="19"/>
      <c r="AM154" s="19"/>
      <c r="AN154" s="19"/>
      <c r="AO154" s="19">
        <v>2237</v>
      </c>
      <c r="AP154" s="19"/>
      <c r="AQ154" s="19"/>
      <c r="AR154" s="19">
        <v>2309</v>
      </c>
      <c r="AS154" s="19">
        <v>175</v>
      </c>
      <c r="AT154" s="19">
        <v>2405.5</v>
      </c>
      <c r="AU154" s="19"/>
      <c r="AV154" s="19">
        <v>2634</v>
      </c>
      <c r="AW154" s="19">
        <v>11828.5</v>
      </c>
      <c r="AX154" s="19"/>
      <c r="AY154" s="19"/>
      <c r="AZ154" s="19">
        <v>4821</v>
      </c>
      <c r="BA154" s="19"/>
      <c r="BB154" s="19">
        <v>5067.2</v>
      </c>
      <c r="BC154" s="19">
        <v>2413</v>
      </c>
      <c r="BD154" s="19"/>
      <c r="BE154" s="19"/>
      <c r="BF154" s="19"/>
      <c r="BG154" s="19"/>
      <c r="BH154" s="19">
        <v>2104</v>
      </c>
      <c r="BI154" s="19"/>
      <c r="BJ154" s="19">
        <v>14405.2</v>
      </c>
      <c r="BK154" s="19">
        <v>30481.7</v>
      </c>
    </row>
    <row r="155" spans="1:63" x14ac:dyDescent="0.3">
      <c r="B155" t="s">
        <v>609</v>
      </c>
      <c r="C155" t="s">
        <v>401</v>
      </c>
      <c r="D155" s="18">
        <v>5877.3</v>
      </c>
      <c r="E155" s="38">
        <v>-5877.3</v>
      </c>
      <c r="F155" s="18">
        <v>0</v>
      </c>
      <c r="N155" t="s">
        <v>23</v>
      </c>
      <c r="O155" t="s">
        <v>21</v>
      </c>
      <c r="P155" s="18"/>
      <c r="Q155" s="18"/>
      <c r="R155" s="18"/>
      <c r="S155" s="18">
        <v>1836</v>
      </c>
      <c r="T155" s="18"/>
      <c r="U155" s="18"/>
      <c r="V155" s="18"/>
      <c r="W155" s="18"/>
      <c r="X155" s="18"/>
      <c r="Y155" s="18">
        <v>1836</v>
      </c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  <c r="AQ155" s="18"/>
      <c r="AR155" s="18"/>
      <c r="AS155" s="18"/>
      <c r="AT155" s="18"/>
      <c r="AU155" s="18"/>
      <c r="AV155" s="18"/>
      <c r="AW155" s="18"/>
      <c r="AX155" s="18"/>
      <c r="AY155" s="18"/>
      <c r="AZ155" s="18"/>
      <c r="BA155" s="18"/>
      <c r="BB155" s="18"/>
      <c r="BC155" s="18"/>
      <c r="BD155" s="18"/>
      <c r="BE155" s="18"/>
      <c r="BF155" s="18"/>
      <c r="BG155" s="18"/>
      <c r="BH155" s="18"/>
      <c r="BI155" s="18"/>
      <c r="BJ155" s="18"/>
      <c r="BK155" s="18">
        <v>1836</v>
      </c>
    </row>
    <row r="156" spans="1:63" x14ac:dyDescent="0.3">
      <c r="B156" t="s">
        <v>610</v>
      </c>
      <c r="C156" t="s">
        <v>410</v>
      </c>
      <c r="D156" s="18">
        <v>7961</v>
      </c>
      <c r="E156" s="38">
        <v>-7961</v>
      </c>
      <c r="F156" s="18">
        <v>0</v>
      </c>
      <c r="O156" t="s">
        <v>30</v>
      </c>
      <c r="P156" s="18"/>
      <c r="Q156" s="18"/>
      <c r="R156" s="18"/>
      <c r="S156" s="18"/>
      <c r="T156" s="18">
        <v>2508</v>
      </c>
      <c r="U156" s="18"/>
      <c r="V156" s="18"/>
      <c r="W156" s="18"/>
      <c r="X156" s="18"/>
      <c r="Y156" s="18">
        <v>2508</v>
      </c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18"/>
      <c r="AP156" s="18"/>
      <c r="AQ156" s="18"/>
      <c r="AR156" s="18"/>
      <c r="AS156" s="18"/>
      <c r="AT156" s="18"/>
      <c r="AU156" s="18"/>
      <c r="AV156" s="18"/>
      <c r="AW156" s="18"/>
      <c r="AX156" s="18"/>
      <c r="AY156" s="18"/>
      <c r="AZ156" s="18"/>
      <c r="BA156" s="18"/>
      <c r="BB156" s="18"/>
      <c r="BC156" s="18"/>
      <c r="BD156" s="18"/>
      <c r="BE156" s="18"/>
      <c r="BF156" s="18"/>
      <c r="BG156" s="18"/>
      <c r="BH156" s="18"/>
      <c r="BI156" s="18"/>
      <c r="BJ156" s="18"/>
      <c r="BK156" s="18">
        <v>2508</v>
      </c>
    </row>
    <row r="157" spans="1:63" x14ac:dyDescent="0.3">
      <c r="B157" t="s">
        <v>611</v>
      </c>
      <c r="C157" t="s">
        <v>410</v>
      </c>
      <c r="D157" s="18">
        <v>2678</v>
      </c>
      <c r="E157" s="38">
        <v>-2678</v>
      </c>
      <c r="F157" s="18">
        <v>0</v>
      </c>
      <c r="O157" t="s">
        <v>31</v>
      </c>
      <c r="P157" s="18"/>
      <c r="Q157" s="18"/>
      <c r="R157" s="18"/>
      <c r="S157" s="18"/>
      <c r="T157" s="18">
        <v>2508</v>
      </c>
      <c r="U157" s="18"/>
      <c r="V157" s="18"/>
      <c r="W157" s="18"/>
      <c r="X157" s="18"/>
      <c r="Y157" s="18">
        <v>2508</v>
      </c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/>
      <c r="AU157" s="18"/>
      <c r="AV157" s="18"/>
      <c r="AW157" s="18"/>
      <c r="AX157" s="18"/>
      <c r="AY157" s="18"/>
      <c r="AZ157" s="18"/>
      <c r="BA157" s="18"/>
      <c r="BB157" s="18"/>
      <c r="BC157" s="18"/>
      <c r="BD157" s="18"/>
      <c r="BE157" s="18"/>
      <c r="BF157" s="18"/>
      <c r="BG157" s="18"/>
      <c r="BH157" s="18"/>
      <c r="BI157" s="18"/>
      <c r="BJ157" s="18"/>
      <c r="BK157" s="18">
        <v>2508</v>
      </c>
    </row>
    <row r="158" spans="1:63" x14ac:dyDescent="0.3">
      <c r="B158" t="s">
        <v>612</v>
      </c>
      <c r="C158" t="s">
        <v>20</v>
      </c>
      <c r="D158" s="18">
        <v>315</v>
      </c>
      <c r="E158" s="38">
        <v>-315</v>
      </c>
      <c r="F158" s="18">
        <v>0</v>
      </c>
      <c r="O158" t="s">
        <v>32</v>
      </c>
      <c r="P158" s="18"/>
      <c r="Q158" s="18"/>
      <c r="R158" s="18"/>
      <c r="S158" s="18"/>
      <c r="T158" s="18">
        <v>324</v>
      </c>
      <c r="U158" s="18"/>
      <c r="V158" s="18"/>
      <c r="W158" s="18"/>
      <c r="X158" s="18"/>
      <c r="Y158" s="18">
        <v>324</v>
      </c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/>
      <c r="AU158" s="18"/>
      <c r="AV158" s="18"/>
      <c r="AW158" s="18"/>
      <c r="AX158" s="18"/>
      <c r="AY158" s="18"/>
      <c r="AZ158" s="18"/>
      <c r="BA158" s="18"/>
      <c r="BB158" s="18"/>
      <c r="BC158" s="18"/>
      <c r="BD158" s="18"/>
      <c r="BE158" s="18"/>
      <c r="BF158" s="18"/>
      <c r="BG158" s="18"/>
      <c r="BH158" s="18"/>
      <c r="BI158" s="18"/>
      <c r="BJ158" s="18"/>
      <c r="BK158" s="18">
        <v>324</v>
      </c>
    </row>
    <row r="159" spans="1:63" x14ac:dyDescent="0.3">
      <c r="A159" s="17" t="s">
        <v>273</v>
      </c>
      <c r="B159" s="17"/>
      <c r="C159" s="17"/>
      <c r="D159" s="19">
        <v>58446.700000000004</v>
      </c>
      <c r="E159" s="39">
        <v>-58446.700000000004</v>
      </c>
      <c r="F159" s="19">
        <v>0</v>
      </c>
      <c r="O159" t="s">
        <v>99</v>
      </c>
      <c r="P159" s="18"/>
      <c r="Q159" s="18"/>
      <c r="R159" s="18"/>
      <c r="S159" s="18"/>
      <c r="T159" s="18"/>
      <c r="U159" s="18">
        <v>11247.599999999999</v>
      </c>
      <c r="V159" s="18"/>
      <c r="W159" s="18"/>
      <c r="X159" s="18"/>
      <c r="Y159" s="18">
        <v>11247.599999999999</v>
      </c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  <c r="AU159" s="18"/>
      <c r="AV159" s="18"/>
      <c r="AW159" s="18"/>
      <c r="AX159" s="18"/>
      <c r="AY159" s="18"/>
      <c r="AZ159" s="18"/>
      <c r="BA159" s="18"/>
      <c r="BB159" s="18"/>
      <c r="BC159" s="18"/>
      <c r="BD159" s="18"/>
      <c r="BE159" s="18"/>
      <c r="BF159" s="18"/>
      <c r="BG159" s="18"/>
      <c r="BH159" s="18"/>
      <c r="BI159" s="18"/>
      <c r="BJ159" s="18"/>
      <c r="BK159" s="18">
        <v>11247.599999999999</v>
      </c>
    </row>
    <row r="160" spans="1:63" x14ac:dyDescent="0.3">
      <c r="A160">
        <v>3</v>
      </c>
      <c r="B160" t="s">
        <v>634</v>
      </c>
      <c r="C160" t="s">
        <v>492</v>
      </c>
      <c r="D160" s="18">
        <v>6301</v>
      </c>
      <c r="E160" s="38">
        <v>-6301</v>
      </c>
      <c r="F160" s="18">
        <v>0</v>
      </c>
      <c r="O160" t="s">
        <v>101</v>
      </c>
      <c r="P160" s="18"/>
      <c r="Q160" s="18"/>
      <c r="R160" s="18"/>
      <c r="S160" s="18"/>
      <c r="T160" s="18"/>
      <c r="U160" s="18">
        <v>11605.2</v>
      </c>
      <c r="V160" s="18"/>
      <c r="W160" s="18"/>
      <c r="X160" s="18"/>
      <c r="Y160" s="18">
        <v>11605.2</v>
      </c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  <c r="AU160" s="18"/>
      <c r="AV160" s="18"/>
      <c r="AW160" s="18"/>
      <c r="AX160" s="18"/>
      <c r="AY160" s="18"/>
      <c r="AZ160" s="18"/>
      <c r="BA160" s="18"/>
      <c r="BB160" s="18"/>
      <c r="BC160" s="18"/>
      <c r="BD160" s="18"/>
      <c r="BE160" s="18"/>
      <c r="BF160" s="18"/>
      <c r="BG160" s="18"/>
      <c r="BH160" s="18"/>
      <c r="BI160" s="18"/>
      <c r="BJ160" s="18"/>
      <c r="BK160" s="18">
        <v>11605.2</v>
      </c>
    </row>
    <row r="161" spans="2:63" x14ac:dyDescent="0.3">
      <c r="B161" t="s">
        <v>635</v>
      </c>
      <c r="C161" t="s">
        <v>638</v>
      </c>
      <c r="D161" s="18">
        <v>4873</v>
      </c>
      <c r="E161" s="38">
        <v>-4873</v>
      </c>
      <c r="F161" s="18">
        <v>0</v>
      </c>
      <c r="O161" t="s">
        <v>110</v>
      </c>
      <c r="P161" s="18"/>
      <c r="Q161" s="18"/>
      <c r="R161" s="18"/>
      <c r="S161" s="18"/>
      <c r="T161" s="18"/>
      <c r="U161" s="18"/>
      <c r="V161" s="18">
        <v>10618.8</v>
      </c>
      <c r="W161" s="18"/>
      <c r="X161" s="18"/>
      <c r="Y161" s="18">
        <v>10618.8</v>
      </c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  <c r="AK161" s="18"/>
      <c r="AL161" s="18"/>
      <c r="AM161" s="18"/>
      <c r="AN161" s="18"/>
      <c r="AO161" s="18"/>
      <c r="AP161" s="18"/>
      <c r="AQ161" s="18"/>
      <c r="AR161" s="18"/>
      <c r="AS161" s="18"/>
      <c r="AT161" s="18"/>
      <c r="AU161" s="18"/>
      <c r="AV161" s="18"/>
      <c r="AW161" s="18"/>
      <c r="AX161" s="18"/>
      <c r="AY161" s="18"/>
      <c r="AZ161" s="18"/>
      <c r="BA161" s="18"/>
      <c r="BB161" s="18"/>
      <c r="BC161" s="18"/>
      <c r="BD161" s="18"/>
      <c r="BE161" s="18"/>
      <c r="BF161" s="18"/>
      <c r="BG161" s="18"/>
      <c r="BH161" s="18"/>
      <c r="BI161" s="18"/>
      <c r="BJ161" s="18"/>
      <c r="BK161" s="18">
        <v>10618.8</v>
      </c>
    </row>
    <row r="162" spans="2:63" x14ac:dyDescent="0.3">
      <c r="B162" t="s">
        <v>636</v>
      </c>
      <c r="C162" t="s">
        <v>62</v>
      </c>
      <c r="D162" s="18">
        <v>15280</v>
      </c>
      <c r="E162" s="38">
        <v>-15280</v>
      </c>
      <c r="F162" s="18">
        <v>0</v>
      </c>
      <c r="O162" t="s">
        <v>112</v>
      </c>
      <c r="P162" s="18"/>
      <c r="Q162" s="18"/>
      <c r="R162" s="18"/>
      <c r="S162" s="18"/>
      <c r="T162" s="18"/>
      <c r="U162" s="18"/>
      <c r="V162" s="18">
        <v>8778</v>
      </c>
      <c r="W162" s="18"/>
      <c r="X162" s="18"/>
      <c r="Y162" s="18">
        <v>8778</v>
      </c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/>
      <c r="AP162" s="18"/>
      <c r="AQ162" s="18"/>
      <c r="AR162" s="18"/>
      <c r="AS162" s="18"/>
      <c r="AT162" s="18"/>
      <c r="AU162" s="18"/>
      <c r="AV162" s="18"/>
      <c r="AW162" s="18"/>
      <c r="AX162" s="18"/>
      <c r="AY162" s="18"/>
      <c r="AZ162" s="18"/>
      <c r="BA162" s="18"/>
      <c r="BB162" s="18"/>
      <c r="BC162" s="18"/>
      <c r="BD162" s="18"/>
      <c r="BE162" s="18"/>
      <c r="BF162" s="18"/>
      <c r="BG162" s="18"/>
      <c r="BH162" s="18"/>
      <c r="BI162" s="18"/>
      <c r="BJ162" s="18"/>
      <c r="BK162" s="18">
        <v>8778</v>
      </c>
    </row>
    <row r="163" spans="2:63" x14ac:dyDescent="0.3">
      <c r="B163" t="s">
        <v>643</v>
      </c>
      <c r="C163" t="s">
        <v>638</v>
      </c>
      <c r="D163" s="18">
        <v>65</v>
      </c>
      <c r="E163" s="38">
        <v>-65</v>
      </c>
      <c r="F163" s="18">
        <v>0</v>
      </c>
      <c r="O163" t="s">
        <v>212</v>
      </c>
      <c r="P163" s="18"/>
      <c r="Q163" s="18"/>
      <c r="R163" s="18"/>
      <c r="S163" s="18"/>
      <c r="T163" s="18"/>
      <c r="U163" s="18"/>
      <c r="V163" s="18"/>
      <c r="W163" s="18"/>
      <c r="X163" s="18">
        <v>2860</v>
      </c>
      <c r="Y163" s="18">
        <v>2860</v>
      </c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  <c r="AU163" s="18"/>
      <c r="AV163" s="18"/>
      <c r="AW163" s="18"/>
      <c r="AX163" s="18"/>
      <c r="AY163" s="18"/>
      <c r="AZ163" s="18"/>
      <c r="BA163" s="18"/>
      <c r="BB163" s="18"/>
      <c r="BC163" s="18"/>
      <c r="BD163" s="18"/>
      <c r="BE163" s="18"/>
      <c r="BF163" s="18"/>
      <c r="BG163" s="18"/>
      <c r="BH163" s="18"/>
      <c r="BI163" s="18"/>
      <c r="BJ163" s="18"/>
      <c r="BK163" s="18">
        <v>2860</v>
      </c>
    </row>
    <row r="164" spans="2:63" x14ac:dyDescent="0.3">
      <c r="B164" t="s">
        <v>644</v>
      </c>
      <c r="C164" t="s">
        <v>401</v>
      </c>
      <c r="D164" s="18">
        <v>6379.9</v>
      </c>
      <c r="E164" s="38">
        <v>-6379.9</v>
      </c>
      <c r="F164" s="18">
        <v>0</v>
      </c>
      <c r="O164" t="s">
        <v>275</v>
      </c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>
        <v>9111.2000000000007</v>
      </c>
      <c r="AG164" s="18"/>
      <c r="AH164" s="18"/>
      <c r="AI164" s="18"/>
      <c r="AJ164" s="18">
        <v>9111.2000000000007</v>
      </c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  <c r="AU164" s="18"/>
      <c r="AV164" s="18"/>
      <c r="AW164" s="18"/>
      <c r="AX164" s="18"/>
      <c r="AY164" s="18"/>
      <c r="AZ164" s="18"/>
      <c r="BA164" s="18"/>
      <c r="BB164" s="18"/>
      <c r="BC164" s="18"/>
      <c r="BD164" s="18"/>
      <c r="BE164" s="18"/>
      <c r="BF164" s="18"/>
      <c r="BG164" s="18"/>
      <c r="BH164" s="18"/>
      <c r="BI164" s="18"/>
      <c r="BJ164" s="18"/>
      <c r="BK164" s="18">
        <v>9111.2000000000007</v>
      </c>
    </row>
    <row r="165" spans="2:63" x14ac:dyDescent="0.3">
      <c r="B165" t="s">
        <v>645</v>
      </c>
      <c r="C165" t="s">
        <v>638</v>
      </c>
      <c r="D165" s="18">
        <v>390</v>
      </c>
      <c r="E165" s="38">
        <v>-390</v>
      </c>
      <c r="F165" s="18">
        <v>0</v>
      </c>
      <c r="O165" t="s">
        <v>286</v>
      </c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>
        <v>14813.6</v>
      </c>
      <c r="AH165" s="18"/>
      <c r="AI165" s="18"/>
      <c r="AJ165" s="18">
        <v>14813.6</v>
      </c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  <c r="AU165" s="18"/>
      <c r="AV165" s="18"/>
      <c r="AW165" s="18"/>
      <c r="AX165" s="18"/>
      <c r="AY165" s="18"/>
      <c r="AZ165" s="18"/>
      <c r="BA165" s="18"/>
      <c r="BB165" s="18"/>
      <c r="BC165" s="18"/>
      <c r="BD165" s="18"/>
      <c r="BE165" s="18"/>
      <c r="BF165" s="18"/>
      <c r="BG165" s="18"/>
      <c r="BH165" s="18"/>
      <c r="BI165" s="18"/>
      <c r="BJ165" s="18"/>
      <c r="BK165" s="18">
        <v>14813.6</v>
      </c>
    </row>
    <row r="166" spans="2:63" x14ac:dyDescent="0.3">
      <c r="B166" t="s">
        <v>646</v>
      </c>
      <c r="C166" t="s">
        <v>43</v>
      </c>
      <c r="D166" s="18">
        <v>2068</v>
      </c>
      <c r="E166" s="38">
        <v>-2068</v>
      </c>
      <c r="F166" s="18">
        <v>0</v>
      </c>
      <c r="O166" t="s">
        <v>319</v>
      </c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>
        <v>11803.2</v>
      </c>
      <c r="AH166" s="18"/>
      <c r="AI166" s="18"/>
      <c r="AJ166" s="18">
        <v>11803.2</v>
      </c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  <c r="AU166" s="18"/>
      <c r="AV166" s="18"/>
      <c r="AW166" s="18"/>
      <c r="AX166" s="18"/>
      <c r="AY166" s="18"/>
      <c r="AZ166" s="18"/>
      <c r="BA166" s="18"/>
      <c r="BB166" s="18"/>
      <c r="BC166" s="18"/>
      <c r="BD166" s="18"/>
      <c r="BE166" s="18"/>
      <c r="BF166" s="18"/>
      <c r="BG166" s="18"/>
      <c r="BH166" s="18"/>
      <c r="BI166" s="18"/>
      <c r="BJ166" s="18"/>
      <c r="BK166" s="18">
        <v>11803.2</v>
      </c>
    </row>
    <row r="167" spans="2:63" x14ac:dyDescent="0.3">
      <c r="B167" t="s">
        <v>647</v>
      </c>
      <c r="C167" t="s">
        <v>410</v>
      </c>
      <c r="D167" s="18">
        <v>3029</v>
      </c>
      <c r="E167" s="38">
        <v>-3029</v>
      </c>
      <c r="F167" s="18">
        <v>0</v>
      </c>
      <c r="O167" t="s">
        <v>323</v>
      </c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>
        <v>3510</v>
      </c>
      <c r="AH167" s="18"/>
      <c r="AI167" s="18"/>
      <c r="AJ167" s="18">
        <v>3510</v>
      </c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  <c r="AU167" s="18"/>
      <c r="AV167" s="18"/>
      <c r="AW167" s="18"/>
      <c r="AX167" s="18"/>
      <c r="AY167" s="18"/>
      <c r="AZ167" s="18"/>
      <c r="BA167" s="18"/>
      <c r="BB167" s="18"/>
      <c r="BC167" s="18"/>
      <c r="BD167" s="18"/>
      <c r="BE167" s="18"/>
      <c r="BF167" s="18"/>
      <c r="BG167" s="18"/>
      <c r="BH167" s="18"/>
      <c r="BI167" s="18"/>
      <c r="BJ167" s="18"/>
      <c r="BK167" s="18">
        <v>3510</v>
      </c>
    </row>
    <row r="168" spans="2:63" x14ac:dyDescent="0.3">
      <c r="B168" t="s">
        <v>648</v>
      </c>
      <c r="C168" t="s">
        <v>62</v>
      </c>
      <c r="D168" s="18">
        <v>14185</v>
      </c>
      <c r="E168" s="38">
        <v>-14185</v>
      </c>
      <c r="F168" s="18">
        <v>0</v>
      </c>
      <c r="O168" t="s">
        <v>330</v>
      </c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>
        <v>14034.8</v>
      </c>
      <c r="AJ168" s="18">
        <v>14034.8</v>
      </c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  <c r="BC168" s="18"/>
      <c r="BD168" s="18"/>
      <c r="BE168" s="18"/>
      <c r="BF168" s="18"/>
      <c r="BG168" s="18"/>
      <c r="BH168" s="18"/>
      <c r="BI168" s="18"/>
      <c r="BJ168" s="18"/>
      <c r="BK168" s="18">
        <v>14034.8</v>
      </c>
    </row>
    <row r="169" spans="2:63" x14ac:dyDescent="0.3">
      <c r="B169" t="s">
        <v>649</v>
      </c>
      <c r="C169" t="s">
        <v>410</v>
      </c>
      <c r="D169" s="18">
        <v>11425</v>
      </c>
      <c r="E169" s="38">
        <v>-11425</v>
      </c>
      <c r="F169" s="18">
        <v>0</v>
      </c>
      <c r="O169" t="s">
        <v>370</v>
      </c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>
        <v>3830.4</v>
      </c>
      <c r="AB169" s="18"/>
      <c r="AC169" s="18"/>
      <c r="AD169" s="18"/>
      <c r="AE169" s="18"/>
      <c r="AF169" s="18"/>
      <c r="AG169" s="18"/>
      <c r="AH169" s="18"/>
      <c r="AI169" s="18"/>
      <c r="AJ169" s="18">
        <v>3830.4</v>
      </c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  <c r="AU169" s="18"/>
      <c r="AV169" s="18"/>
      <c r="AW169" s="18"/>
      <c r="AX169" s="18"/>
      <c r="AY169" s="18"/>
      <c r="AZ169" s="18"/>
      <c r="BA169" s="18"/>
      <c r="BB169" s="18"/>
      <c r="BC169" s="18"/>
      <c r="BD169" s="18"/>
      <c r="BE169" s="18"/>
      <c r="BF169" s="18"/>
      <c r="BG169" s="18"/>
      <c r="BH169" s="18"/>
      <c r="BI169" s="18"/>
      <c r="BJ169" s="18"/>
      <c r="BK169" s="18">
        <v>3830.4</v>
      </c>
    </row>
    <row r="170" spans="2:63" x14ac:dyDescent="0.3">
      <c r="B170" t="s">
        <v>650</v>
      </c>
      <c r="C170" t="s">
        <v>401</v>
      </c>
      <c r="D170" s="18">
        <v>315</v>
      </c>
      <c r="E170" s="38">
        <v>-315</v>
      </c>
      <c r="F170" s="18">
        <v>0</v>
      </c>
      <c r="O170" t="s">
        <v>378</v>
      </c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>
        <v>12524</v>
      </c>
      <c r="AB170" s="18"/>
      <c r="AC170" s="18"/>
      <c r="AD170" s="18"/>
      <c r="AE170" s="18"/>
      <c r="AF170" s="18"/>
      <c r="AG170" s="18"/>
      <c r="AH170" s="18"/>
      <c r="AI170" s="18"/>
      <c r="AJ170" s="18">
        <v>12524</v>
      </c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  <c r="AU170" s="18"/>
      <c r="AV170" s="18"/>
      <c r="AW170" s="18"/>
      <c r="AX170" s="18"/>
      <c r="AY170" s="18"/>
      <c r="AZ170" s="18"/>
      <c r="BA170" s="18"/>
      <c r="BB170" s="18"/>
      <c r="BC170" s="18"/>
      <c r="BD170" s="18"/>
      <c r="BE170" s="18"/>
      <c r="BF170" s="18"/>
      <c r="BG170" s="18"/>
      <c r="BH170" s="18"/>
      <c r="BI170" s="18"/>
      <c r="BJ170" s="18"/>
      <c r="BK170" s="18">
        <v>12524</v>
      </c>
    </row>
    <row r="171" spans="2:63" x14ac:dyDescent="0.3">
      <c r="B171" t="s">
        <v>651</v>
      </c>
      <c r="C171" t="s">
        <v>410</v>
      </c>
      <c r="D171" s="18">
        <v>9888</v>
      </c>
      <c r="E171" s="38">
        <v>-9888</v>
      </c>
      <c r="F171" s="18">
        <v>0</v>
      </c>
      <c r="O171" t="s">
        <v>381</v>
      </c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>
        <v>240</v>
      </c>
      <c r="AB171" s="18"/>
      <c r="AC171" s="18"/>
      <c r="AD171" s="18"/>
      <c r="AE171" s="18"/>
      <c r="AF171" s="18"/>
      <c r="AG171" s="18"/>
      <c r="AH171" s="18"/>
      <c r="AI171" s="18"/>
      <c r="AJ171" s="18">
        <v>240</v>
      </c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/>
      <c r="BA171" s="18"/>
      <c r="BB171" s="18"/>
      <c r="BC171" s="18"/>
      <c r="BD171" s="18"/>
      <c r="BE171" s="18"/>
      <c r="BF171" s="18"/>
      <c r="BG171" s="18"/>
      <c r="BH171" s="18"/>
      <c r="BI171" s="18"/>
      <c r="BJ171" s="18"/>
      <c r="BK171" s="18">
        <v>240</v>
      </c>
    </row>
    <row r="172" spans="2:63" x14ac:dyDescent="0.3">
      <c r="B172" t="s">
        <v>652</v>
      </c>
      <c r="C172" t="s">
        <v>492</v>
      </c>
      <c r="D172" s="18">
        <v>8127.5</v>
      </c>
      <c r="E172" s="38">
        <v>-8127.5</v>
      </c>
      <c r="F172" s="18">
        <v>0</v>
      </c>
      <c r="O172" t="s">
        <v>509</v>
      </c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>
        <v>12484</v>
      </c>
      <c r="AE172" s="18"/>
      <c r="AF172" s="18"/>
      <c r="AG172" s="18"/>
      <c r="AH172" s="18"/>
      <c r="AI172" s="18"/>
      <c r="AJ172" s="18">
        <v>12484</v>
      </c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  <c r="AU172" s="18"/>
      <c r="AV172" s="18"/>
      <c r="AW172" s="18"/>
      <c r="AX172" s="18"/>
      <c r="AY172" s="18"/>
      <c r="AZ172" s="18"/>
      <c r="BA172" s="18"/>
      <c r="BB172" s="18"/>
      <c r="BC172" s="18"/>
      <c r="BD172" s="18"/>
      <c r="BE172" s="18"/>
      <c r="BF172" s="18"/>
      <c r="BG172" s="18"/>
      <c r="BH172" s="18"/>
      <c r="BI172" s="18"/>
      <c r="BJ172" s="18"/>
      <c r="BK172" s="18">
        <v>12484</v>
      </c>
    </row>
    <row r="173" spans="2:63" x14ac:dyDescent="0.3">
      <c r="B173" t="s">
        <v>653</v>
      </c>
      <c r="C173" t="s">
        <v>43</v>
      </c>
      <c r="D173" s="18">
        <v>337.5</v>
      </c>
      <c r="E173" s="38">
        <v>-337.5</v>
      </c>
      <c r="F173" s="18">
        <v>0</v>
      </c>
      <c r="O173" t="s">
        <v>511</v>
      </c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>
        <v>390</v>
      </c>
      <c r="AE173" s="18"/>
      <c r="AF173" s="18"/>
      <c r="AG173" s="18"/>
      <c r="AH173" s="18"/>
      <c r="AI173" s="18"/>
      <c r="AJ173" s="18">
        <v>390</v>
      </c>
      <c r="AK173" s="18"/>
      <c r="AL173" s="18"/>
      <c r="AM173" s="18"/>
      <c r="AN173" s="18"/>
      <c r="AO173" s="18"/>
      <c r="AP173" s="18"/>
      <c r="AQ173" s="18"/>
      <c r="AR173" s="18"/>
      <c r="AS173" s="18"/>
      <c r="AT173" s="18"/>
      <c r="AU173" s="18"/>
      <c r="AV173" s="18"/>
      <c r="AW173" s="18"/>
      <c r="AX173" s="18"/>
      <c r="AY173" s="18"/>
      <c r="AZ173" s="18"/>
      <c r="BA173" s="18"/>
      <c r="BB173" s="18"/>
      <c r="BC173" s="18"/>
      <c r="BD173" s="18"/>
      <c r="BE173" s="18"/>
      <c r="BF173" s="18"/>
      <c r="BG173" s="18"/>
      <c r="BH173" s="18"/>
      <c r="BI173" s="18"/>
      <c r="BJ173" s="18"/>
      <c r="BK173" s="18">
        <v>390</v>
      </c>
    </row>
    <row r="174" spans="2:63" x14ac:dyDescent="0.3">
      <c r="B174" t="s">
        <v>654</v>
      </c>
      <c r="C174" t="s">
        <v>410</v>
      </c>
      <c r="D174" s="18">
        <v>8819</v>
      </c>
      <c r="E174" s="38">
        <v>-8819</v>
      </c>
      <c r="F174" s="18">
        <v>0</v>
      </c>
      <c r="O174" t="s">
        <v>513</v>
      </c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  <c r="AD174" s="18">
        <v>3021.8</v>
      </c>
      <c r="AE174" s="18"/>
      <c r="AF174" s="18"/>
      <c r="AG174" s="18"/>
      <c r="AH174" s="18"/>
      <c r="AI174" s="18"/>
      <c r="AJ174" s="18">
        <v>3021.8</v>
      </c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  <c r="AU174" s="18"/>
      <c r="AV174" s="18"/>
      <c r="AW174" s="18"/>
      <c r="AX174" s="18"/>
      <c r="AY174" s="18"/>
      <c r="AZ174" s="18"/>
      <c r="BA174" s="18"/>
      <c r="BB174" s="18"/>
      <c r="BC174" s="18"/>
      <c r="BD174" s="18"/>
      <c r="BE174" s="18"/>
      <c r="BF174" s="18"/>
      <c r="BG174" s="18"/>
      <c r="BH174" s="18"/>
      <c r="BI174" s="18"/>
      <c r="BJ174" s="18"/>
      <c r="BK174" s="18">
        <v>3021.8</v>
      </c>
    </row>
    <row r="175" spans="2:63" x14ac:dyDescent="0.3">
      <c r="B175" t="s">
        <v>661</v>
      </c>
      <c r="C175" t="s">
        <v>410</v>
      </c>
      <c r="D175" s="18">
        <v>14422</v>
      </c>
      <c r="E175" s="38">
        <v>-14422</v>
      </c>
      <c r="F175" s="18">
        <v>0</v>
      </c>
      <c r="O175" t="s">
        <v>560</v>
      </c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>
        <v>6803</v>
      </c>
      <c r="AS175" s="18"/>
      <c r="AT175" s="18"/>
      <c r="AU175" s="18"/>
      <c r="AV175" s="18"/>
      <c r="AW175" s="18">
        <v>6803</v>
      </c>
      <c r="AX175" s="18"/>
      <c r="AY175" s="18"/>
      <c r="AZ175" s="18"/>
      <c r="BA175" s="18"/>
      <c r="BB175" s="18"/>
      <c r="BC175" s="18"/>
      <c r="BD175" s="18"/>
      <c r="BE175" s="18"/>
      <c r="BF175" s="18"/>
      <c r="BG175" s="18"/>
      <c r="BH175" s="18"/>
      <c r="BI175" s="18"/>
      <c r="BJ175" s="18"/>
      <c r="BK175" s="18">
        <v>6803</v>
      </c>
    </row>
    <row r="176" spans="2:63" x14ac:dyDescent="0.3">
      <c r="B176" t="s">
        <v>662</v>
      </c>
      <c r="C176" t="s">
        <v>7</v>
      </c>
      <c r="D176" s="18">
        <v>3232</v>
      </c>
      <c r="E176" s="38">
        <v>-3232</v>
      </c>
      <c r="F176" s="18">
        <v>0</v>
      </c>
      <c r="O176" t="s">
        <v>562</v>
      </c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18"/>
      <c r="AP176" s="18"/>
      <c r="AQ176" s="18"/>
      <c r="AR176" s="18">
        <v>1202.5</v>
      </c>
      <c r="AS176" s="18"/>
      <c r="AT176" s="18"/>
      <c r="AU176" s="18"/>
      <c r="AV176" s="18"/>
      <c r="AW176" s="18">
        <v>1202.5</v>
      </c>
      <c r="AX176" s="18"/>
      <c r="AY176" s="18"/>
      <c r="AZ176" s="18"/>
      <c r="BA176" s="18"/>
      <c r="BB176" s="18"/>
      <c r="BC176" s="18"/>
      <c r="BD176" s="18"/>
      <c r="BE176" s="18"/>
      <c r="BF176" s="18"/>
      <c r="BG176" s="18"/>
      <c r="BH176" s="18"/>
      <c r="BI176" s="18"/>
      <c r="BJ176" s="18"/>
      <c r="BK176" s="18">
        <v>1202.5</v>
      </c>
    </row>
    <row r="177" spans="1:63" x14ac:dyDescent="0.3">
      <c r="B177" t="s">
        <v>663</v>
      </c>
      <c r="C177" t="s">
        <v>410</v>
      </c>
      <c r="D177" s="18">
        <v>7593</v>
      </c>
      <c r="E177" s="38">
        <v>-7593</v>
      </c>
      <c r="F177" s="18">
        <v>0</v>
      </c>
      <c r="O177" t="s">
        <v>563</v>
      </c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  <c r="AK177" s="18"/>
      <c r="AL177" s="18"/>
      <c r="AM177" s="18"/>
      <c r="AN177" s="18"/>
      <c r="AO177" s="18"/>
      <c r="AP177" s="18"/>
      <c r="AQ177" s="18"/>
      <c r="AR177" s="18">
        <v>8486</v>
      </c>
      <c r="AS177" s="18"/>
      <c r="AT177" s="18"/>
      <c r="AU177" s="18"/>
      <c r="AV177" s="18"/>
      <c r="AW177" s="18">
        <v>8486</v>
      </c>
      <c r="AX177" s="18"/>
      <c r="AY177" s="18"/>
      <c r="AZ177" s="18"/>
      <c r="BA177" s="18"/>
      <c r="BB177" s="18"/>
      <c r="BC177" s="18"/>
      <c r="BD177" s="18"/>
      <c r="BE177" s="18"/>
      <c r="BF177" s="18"/>
      <c r="BG177" s="18"/>
      <c r="BH177" s="18"/>
      <c r="BI177" s="18"/>
      <c r="BJ177" s="18"/>
      <c r="BK177" s="18">
        <v>8486</v>
      </c>
    </row>
    <row r="178" spans="1:63" x14ac:dyDescent="0.3">
      <c r="B178" t="s">
        <v>664</v>
      </c>
      <c r="C178" t="s">
        <v>666</v>
      </c>
      <c r="D178" s="18">
        <v>3555</v>
      </c>
      <c r="E178" s="38">
        <v>-3555</v>
      </c>
      <c r="F178" s="18">
        <v>0</v>
      </c>
      <c r="O178" t="s">
        <v>570</v>
      </c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  <c r="AK178" s="18"/>
      <c r="AL178" s="18"/>
      <c r="AM178" s="18"/>
      <c r="AN178" s="18"/>
      <c r="AO178" s="18"/>
      <c r="AP178" s="18"/>
      <c r="AQ178" s="18"/>
      <c r="AR178" s="18">
        <v>15108</v>
      </c>
      <c r="AS178" s="18"/>
      <c r="AT178" s="18"/>
      <c r="AU178" s="18"/>
      <c r="AV178" s="18"/>
      <c r="AW178" s="18">
        <v>15108</v>
      </c>
      <c r="AX178" s="18"/>
      <c r="AY178" s="18"/>
      <c r="AZ178" s="18"/>
      <c r="BA178" s="18"/>
      <c r="BB178" s="18"/>
      <c r="BC178" s="18"/>
      <c r="BD178" s="18"/>
      <c r="BE178" s="18"/>
      <c r="BF178" s="18"/>
      <c r="BG178" s="18"/>
      <c r="BH178" s="18"/>
      <c r="BI178" s="18"/>
      <c r="BJ178" s="18"/>
      <c r="BK178" s="18">
        <v>15108</v>
      </c>
    </row>
    <row r="179" spans="1:63" x14ac:dyDescent="0.3">
      <c r="A179" s="17" t="s">
        <v>288</v>
      </c>
      <c r="B179" s="17"/>
      <c r="C179" s="17"/>
      <c r="D179" s="19">
        <v>120284.9</v>
      </c>
      <c r="E179" s="39">
        <v>-120284.9</v>
      </c>
      <c r="F179" s="19">
        <v>0</v>
      </c>
      <c r="O179" t="s">
        <v>603</v>
      </c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  <c r="AK179" s="18"/>
      <c r="AL179" s="18"/>
      <c r="AM179" s="18"/>
      <c r="AN179" s="18"/>
      <c r="AO179" s="18"/>
      <c r="AP179" s="18"/>
      <c r="AQ179" s="18"/>
      <c r="AR179" s="18"/>
      <c r="AS179" s="18">
        <v>1480</v>
      </c>
      <c r="AT179" s="18"/>
      <c r="AU179" s="18"/>
      <c r="AV179" s="18"/>
      <c r="AW179" s="18">
        <v>1480</v>
      </c>
      <c r="AX179" s="18"/>
      <c r="AY179" s="18"/>
      <c r="AZ179" s="18"/>
      <c r="BA179" s="18"/>
      <c r="BB179" s="18"/>
      <c r="BC179" s="18"/>
      <c r="BD179" s="18"/>
      <c r="BE179" s="18"/>
      <c r="BF179" s="18"/>
      <c r="BG179" s="18"/>
      <c r="BH179" s="18"/>
      <c r="BI179" s="18"/>
      <c r="BJ179" s="18"/>
      <c r="BK179" s="18">
        <v>1480</v>
      </c>
    </row>
    <row r="180" spans="1:63" x14ac:dyDescent="0.3">
      <c r="A180">
        <v>4</v>
      </c>
      <c r="B180" t="s">
        <v>681</v>
      </c>
      <c r="C180" t="s">
        <v>492</v>
      </c>
      <c r="D180" s="18">
        <v>6083.5</v>
      </c>
      <c r="E180" s="38">
        <v>-6083.5</v>
      </c>
      <c r="F180" s="18">
        <v>0</v>
      </c>
      <c r="O180" t="s">
        <v>701</v>
      </c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  <c r="AU180" s="18">
        <v>15222</v>
      </c>
      <c r="AV180" s="18"/>
      <c r="AW180" s="18">
        <v>15222</v>
      </c>
      <c r="AX180" s="18"/>
      <c r="AY180" s="18"/>
      <c r="AZ180" s="18"/>
      <c r="BA180" s="18"/>
      <c r="BB180" s="18"/>
      <c r="BC180" s="18"/>
      <c r="BD180" s="18"/>
      <c r="BE180" s="18"/>
      <c r="BF180" s="18"/>
      <c r="BG180" s="18"/>
      <c r="BH180" s="18"/>
      <c r="BI180" s="18"/>
      <c r="BJ180" s="18"/>
      <c r="BK180" s="18">
        <v>15222</v>
      </c>
    </row>
    <row r="181" spans="1:63" x14ac:dyDescent="0.3">
      <c r="B181" t="s">
        <v>684</v>
      </c>
      <c r="C181" t="s">
        <v>410</v>
      </c>
      <c r="D181" s="18">
        <v>9157.5</v>
      </c>
      <c r="E181" s="38">
        <v>-9157.5</v>
      </c>
      <c r="F181" s="18">
        <v>0</v>
      </c>
      <c r="O181" t="s">
        <v>796</v>
      </c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  <c r="AU181" s="18"/>
      <c r="AV181" s="18">
        <v>10120</v>
      </c>
      <c r="AW181" s="18">
        <v>10120</v>
      </c>
      <c r="AX181" s="18"/>
      <c r="AY181" s="18"/>
      <c r="AZ181" s="18"/>
      <c r="BA181" s="18"/>
      <c r="BB181" s="18"/>
      <c r="BC181" s="18"/>
      <c r="BD181" s="18"/>
      <c r="BE181" s="18"/>
      <c r="BF181" s="18"/>
      <c r="BG181" s="18"/>
      <c r="BH181" s="18"/>
      <c r="BI181" s="18"/>
      <c r="BJ181" s="18"/>
      <c r="BK181" s="18">
        <v>10120</v>
      </c>
    </row>
    <row r="182" spans="1:63" x14ac:dyDescent="0.3">
      <c r="B182" t="s">
        <v>685</v>
      </c>
      <c r="C182" t="s">
        <v>638</v>
      </c>
      <c r="D182" s="18">
        <v>3480</v>
      </c>
      <c r="E182" s="38">
        <v>-3480</v>
      </c>
      <c r="F182" s="18">
        <v>0</v>
      </c>
      <c r="O182" t="s">
        <v>903</v>
      </c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8">
        <v>16536.699999999997</v>
      </c>
      <c r="AN182" s="18"/>
      <c r="AO182" s="18"/>
      <c r="AP182" s="18"/>
      <c r="AQ182" s="18"/>
      <c r="AR182" s="18"/>
      <c r="AS182" s="18"/>
      <c r="AT182" s="18"/>
      <c r="AU182" s="18"/>
      <c r="AV182" s="18"/>
      <c r="AW182" s="18">
        <v>16536.699999999997</v>
      </c>
      <c r="AX182" s="18"/>
      <c r="AY182" s="18"/>
      <c r="AZ182" s="18"/>
      <c r="BA182" s="18"/>
      <c r="BB182" s="18"/>
      <c r="BC182" s="18"/>
      <c r="BD182" s="18"/>
      <c r="BE182" s="18"/>
      <c r="BF182" s="18"/>
      <c r="BG182" s="18"/>
      <c r="BH182" s="18"/>
      <c r="BI182" s="18"/>
      <c r="BJ182" s="18"/>
      <c r="BK182" s="18">
        <v>16536.699999999997</v>
      </c>
    </row>
    <row r="183" spans="1:63" x14ac:dyDescent="0.3">
      <c r="B183" t="s">
        <v>686</v>
      </c>
      <c r="C183" t="s">
        <v>410</v>
      </c>
      <c r="D183" s="18">
        <v>10497.5</v>
      </c>
      <c r="E183" s="38">
        <v>-10497.5</v>
      </c>
      <c r="F183" s="18">
        <v>0</v>
      </c>
      <c r="O183" t="s">
        <v>1009</v>
      </c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/>
      <c r="AG183" s="18"/>
      <c r="AH183" s="18"/>
      <c r="AI183" s="18"/>
      <c r="AJ183" s="18"/>
      <c r="AK183" s="18"/>
      <c r="AL183" s="18"/>
      <c r="AM183" s="18"/>
      <c r="AN183" s="18"/>
      <c r="AO183" s="18">
        <v>15677.2</v>
      </c>
      <c r="AP183" s="18"/>
      <c r="AQ183" s="18"/>
      <c r="AR183" s="18"/>
      <c r="AS183" s="18"/>
      <c r="AT183" s="18"/>
      <c r="AU183" s="18"/>
      <c r="AV183" s="18"/>
      <c r="AW183" s="18">
        <v>15677.2</v>
      </c>
      <c r="AX183" s="18"/>
      <c r="AY183" s="18"/>
      <c r="AZ183" s="18"/>
      <c r="BA183" s="18"/>
      <c r="BB183" s="18"/>
      <c r="BC183" s="18"/>
      <c r="BD183" s="18"/>
      <c r="BE183" s="18"/>
      <c r="BF183" s="18"/>
      <c r="BG183" s="18"/>
      <c r="BH183" s="18"/>
      <c r="BI183" s="18"/>
      <c r="BJ183" s="18"/>
      <c r="BK183" s="18">
        <v>15677.2</v>
      </c>
    </row>
    <row r="184" spans="1:63" x14ac:dyDescent="0.3">
      <c r="B184" t="s">
        <v>687</v>
      </c>
      <c r="C184" t="s">
        <v>401</v>
      </c>
      <c r="D184" s="18">
        <v>6361.1</v>
      </c>
      <c r="E184" s="38">
        <v>-6361.1</v>
      </c>
      <c r="F184" s="18">
        <v>0</v>
      </c>
      <c r="O184" t="s">
        <v>1047</v>
      </c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/>
      <c r="AH184" s="18"/>
      <c r="AI184" s="18"/>
      <c r="AJ184" s="18"/>
      <c r="AK184" s="18"/>
      <c r="AL184" s="18"/>
      <c r="AM184" s="18"/>
      <c r="AN184" s="18"/>
      <c r="AO184" s="18"/>
      <c r="AP184" s="18">
        <v>10824</v>
      </c>
      <c r="AQ184" s="18"/>
      <c r="AR184" s="18"/>
      <c r="AS184" s="18"/>
      <c r="AT184" s="18"/>
      <c r="AU184" s="18"/>
      <c r="AV184" s="18"/>
      <c r="AW184" s="18">
        <v>10824</v>
      </c>
      <c r="AX184" s="18"/>
      <c r="AY184" s="18"/>
      <c r="AZ184" s="18"/>
      <c r="BA184" s="18"/>
      <c r="BB184" s="18"/>
      <c r="BC184" s="18"/>
      <c r="BD184" s="18"/>
      <c r="BE184" s="18"/>
      <c r="BF184" s="18"/>
      <c r="BG184" s="18"/>
      <c r="BH184" s="18"/>
      <c r="BI184" s="18"/>
      <c r="BJ184" s="18"/>
      <c r="BK184" s="18">
        <v>10824</v>
      </c>
    </row>
    <row r="185" spans="1:63" x14ac:dyDescent="0.3">
      <c r="B185" t="s">
        <v>688</v>
      </c>
      <c r="C185" t="s">
        <v>20</v>
      </c>
      <c r="D185" s="18">
        <v>7316</v>
      </c>
      <c r="E185" s="38">
        <v>-7316</v>
      </c>
      <c r="F185" s="18">
        <v>0</v>
      </c>
      <c r="O185" t="s">
        <v>1274</v>
      </c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/>
      <c r="AH185" s="18"/>
      <c r="AI185" s="18"/>
      <c r="AJ185" s="18"/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  <c r="BC185" s="18"/>
      <c r="BD185" s="18"/>
      <c r="BE185" s="18"/>
      <c r="BF185" s="18">
        <v>1620</v>
      </c>
      <c r="BG185" s="18"/>
      <c r="BH185" s="18"/>
      <c r="BI185" s="18"/>
      <c r="BJ185" s="18">
        <v>1620</v>
      </c>
      <c r="BK185" s="18">
        <v>1620</v>
      </c>
    </row>
    <row r="186" spans="1:63" x14ac:dyDescent="0.3">
      <c r="B186" t="s">
        <v>689</v>
      </c>
      <c r="C186" t="s">
        <v>58</v>
      </c>
      <c r="D186" s="18">
        <v>5043</v>
      </c>
      <c r="E186" s="38">
        <v>-5043</v>
      </c>
      <c r="F186" s="18">
        <v>0</v>
      </c>
      <c r="N186" s="17" t="s">
        <v>138</v>
      </c>
      <c r="O186" s="17"/>
      <c r="P186" s="19"/>
      <c r="Q186" s="19"/>
      <c r="R186" s="19"/>
      <c r="S186" s="19">
        <v>1836</v>
      </c>
      <c r="T186" s="19">
        <v>5340</v>
      </c>
      <c r="U186" s="19">
        <v>22852.799999999999</v>
      </c>
      <c r="V186" s="19">
        <v>19396.8</v>
      </c>
      <c r="W186" s="19"/>
      <c r="X186" s="19">
        <v>2860</v>
      </c>
      <c r="Y186" s="19">
        <v>52285.599999999999</v>
      </c>
      <c r="Z186" s="19"/>
      <c r="AA186" s="19">
        <v>16594.400000000001</v>
      </c>
      <c r="AB186" s="19"/>
      <c r="AC186" s="19"/>
      <c r="AD186" s="19">
        <v>15895.8</v>
      </c>
      <c r="AE186" s="19"/>
      <c r="AF186" s="19">
        <v>9111.2000000000007</v>
      </c>
      <c r="AG186" s="19">
        <v>30126.800000000003</v>
      </c>
      <c r="AH186" s="19"/>
      <c r="AI186" s="19">
        <v>14034.8</v>
      </c>
      <c r="AJ186" s="19">
        <v>85763.000000000015</v>
      </c>
      <c r="AK186" s="19"/>
      <c r="AL186" s="19"/>
      <c r="AM186" s="19">
        <v>16536.699999999997</v>
      </c>
      <c r="AN186" s="19"/>
      <c r="AO186" s="19">
        <v>15677.2</v>
      </c>
      <c r="AP186" s="19">
        <v>10824</v>
      </c>
      <c r="AQ186" s="19"/>
      <c r="AR186" s="19">
        <v>31599.5</v>
      </c>
      <c r="AS186" s="19">
        <v>1480</v>
      </c>
      <c r="AT186" s="19"/>
      <c r="AU186" s="19">
        <v>15222</v>
      </c>
      <c r="AV186" s="19">
        <v>10120</v>
      </c>
      <c r="AW186" s="19">
        <v>101459.4</v>
      </c>
      <c r="AX186" s="19"/>
      <c r="AY186" s="19"/>
      <c r="AZ186" s="19"/>
      <c r="BA186" s="19"/>
      <c r="BB186" s="19"/>
      <c r="BC186" s="19"/>
      <c r="BD186" s="19"/>
      <c r="BE186" s="19"/>
      <c r="BF186" s="19">
        <v>1620</v>
      </c>
      <c r="BG186" s="19"/>
      <c r="BH186" s="19"/>
      <c r="BI186" s="19"/>
      <c r="BJ186" s="19">
        <v>1620</v>
      </c>
      <c r="BK186" s="19">
        <v>241128</v>
      </c>
    </row>
    <row r="187" spans="1:63" x14ac:dyDescent="0.3">
      <c r="B187" t="s">
        <v>690</v>
      </c>
      <c r="C187" t="s">
        <v>410</v>
      </c>
      <c r="D187" s="18">
        <v>8569.5</v>
      </c>
      <c r="E187" s="38">
        <v>-8569.5</v>
      </c>
      <c r="F187" s="18">
        <v>0</v>
      </c>
      <c r="N187" t="s">
        <v>14</v>
      </c>
      <c r="O187" t="s">
        <v>11</v>
      </c>
      <c r="P187" s="18"/>
      <c r="Q187" s="18"/>
      <c r="R187" s="18">
        <v>2067</v>
      </c>
      <c r="S187" s="18"/>
      <c r="T187" s="18"/>
      <c r="U187" s="18"/>
      <c r="V187" s="18"/>
      <c r="W187" s="18"/>
      <c r="X187" s="18"/>
      <c r="Y187" s="18">
        <v>2067</v>
      </c>
      <c r="Z187" s="18"/>
      <c r="AA187" s="18"/>
      <c r="AB187" s="18"/>
      <c r="AC187" s="18"/>
      <c r="AD187" s="18"/>
      <c r="AE187" s="18"/>
      <c r="AF187" s="18"/>
      <c r="AG187" s="18"/>
      <c r="AH187" s="18"/>
      <c r="AI187" s="18"/>
      <c r="AJ187" s="18"/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  <c r="AU187" s="18"/>
      <c r="AV187" s="18"/>
      <c r="AW187" s="18"/>
      <c r="AX187" s="18"/>
      <c r="AY187" s="18"/>
      <c r="AZ187" s="18"/>
      <c r="BA187" s="18"/>
      <c r="BB187" s="18"/>
      <c r="BC187" s="18"/>
      <c r="BD187" s="18"/>
      <c r="BE187" s="18"/>
      <c r="BF187" s="18"/>
      <c r="BG187" s="18"/>
      <c r="BH187" s="18"/>
      <c r="BI187" s="18"/>
      <c r="BJ187" s="18"/>
      <c r="BK187" s="18">
        <v>2067</v>
      </c>
    </row>
    <row r="188" spans="1:63" x14ac:dyDescent="0.3">
      <c r="B188" t="s">
        <v>691</v>
      </c>
      <c r="C188" t="s">
        <v>774</v>
      </c>
      <c r="D188" s="18">
        <v>3881.5</v>
      </c>
      <c r="E188" s="38">
        <v>-3881.5</v>
      </c>
      <c r="F188" s="18">
        <v>0</v>
      </c>
      <c r="O188" t="s">
        <v>371</v>
      </c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>
        <v>3432</v>
      </c>
      <c r="AB188" s="18"/>
      <c r="AC188" s="18"/>
      <c r="AD188" s="18"/>
      <c r="AE188" s="18"/>
      <c r="AF188" s="18"/>
      <c r="AG188" s="18"/>
      <c r="AH188" s="18"/>
      <c r="AI188" s="18"/>
      <c r="AJ188" s="18">
        <v>3432</v>
      </c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  <c r="AU188" s="18"/>
      <c r="AV188" s="18"/>
      <c r="AW188" s="18"/>
      <c r="AX188" s="18"/>
      <c r="AY188" s="18"/>
      <c r="AZ188" s="18"/>
      <c r="BA188" s="18"/>
      <c r="BB188" s="18"/>
      <c r="BC188" s="18"/>
      <c r="BD188" s="18"/>
      <c r="BE188" s="18"/>
      <c r="BF188" s="18"/>
      <c r="BG188" s="18"/>
      <c r="BH188" s="18"/>
      <c r="BI188" s="18"/>
      <c r="BJ188" s="18"/>
      <c r="BK188" s="18">
        <v>3432</v>
      </c>
    </row>
    <row r="189" spans="1:63" x14ac:dyDescent="0.3">
      <c r="B189" t="s">
        <v>692</v>
      </c>
      <c r="C189" t="s">
        <v>638</v>
      </c>
      <c r="D189" s="18">
        <v>590</v>
      </c>
      <c r="E189" s="38">
        <v>-590</v>
      </c>
      <c r="F189" s="18">
        <v>0</v>
      </c>
      <c r="N189" s="17" t="s">
        <v>139</v>
      </c>
      <c r="O189" s="17"/>
      <c r="P189" s="19"/>
      <c r="Q189" s="19"/>
      <c r="R189" s="19">
        <v>2067</v>
      </c>
      <c r="S189" s="19"/>
      <c r="T189" s="19"/>
      <c r="U189" s="19"/>
      <c r="V189" s="19"/>
      <c r="W189" s="19"/>
      <c r="X189" s="19"/>
      <c r="Y189" s="19">
        <v>2067</v>
      </c>
      <c r="Z189" s="19"/>
      <c r="AA189" s="19">
        <v>3432</v>
      </c>
      <c r="AB189" s="19"/>
      <c r="AC189" s="19"/>
      <c r="AD189" s="19"/>
      <c r="AE189" s="19"/>
      <c r="AF189" s="19"/>
      <c r="AG189" s="19"/>
      <c r="AH189" s="19"/>
      <c r="AI189" s="19"/>
      <c r="AJ189" s="19">
        <v>3432</v>
      </c>
      <c r="AK189" s="19"/>
      <c r="AL189" s="19"/>
      <c r="AM189" s="19"/>
      <c r="AN189" s="19"/>
      <c r="AO189" s="19"/>
      <c r="AP189" s="19"/>
      <c r="AQ189" s="19"/>
      <c r="AR189" s="19"/>
      <c r="AS189" s="19"/>
      <c r="AT189" s="19"/>
      <c r="AU189" s="19"/>
      <c r="AV189" s="19"/>
      <c r="AW189" s="19"/>
      <c r="AX189" s="19"/>
      <c r="AY189" s="19"/>
      <c r="AZ189" s="19"/>
      <c r="BA189" s="19"/>
      <c r="BB189" s="19"/>
      <c r="BC189" s="19"/>
      <c r="BD189" s="19"/>
      <c r="BE189" s="19"/>
      <c r="BF189" s="19"/>
      <c r="BG189" s="19"/>
      <c r="BH189" s="19"/>
      <c r="BI189" s="19"/>
      <c r="BJ189" s="19"/>
      <c r="BK189" s="19">
        <v>5499</v>
      </c>
    </row>
    <row r="190" spans="1:63" x14ac:dyDescent="0.3">
      <c r="B190" t="s">
        <v>693</v>
      </c>
      <c r="C190" t="s">
        <v>774</v>
      </c>
      <c r="D190" s="18">
        <v>588</v>
      </c>
      <c r="E190" s="38">
        <v>-588</v>
      </c>
      <c r="F190" s="18">
        <v>0</v>
      </c>
      <c r="N190" t="s">
        <v>52</v>
      </c>
      <c r="O190" t="s">
        <v>50</v>
      </c>
      <c r="P190" s="18"/>
      <c r="Q190" s="18"/>
      <c r="R190" s="18"/>
      <c r="S190" s="18"/>
      <c r="T190" s="18">
        <v>1452</v>
      </c>
      <c r="U190" s="18"/>
      <c r="V190" s="18"/>
      <c r="W190" s="18"/>
      <c r="X190" s="18"/>
      <c r="Y190" s="18">
        <v>1452</v>
      </c>
      <c r="Z190" s="18"/>
      <c r="AA190" s="18"/>
      <c r="AB190" s="18"/>
      <c r="AC190" s="18"/>
      <c r="AD190" s="18"/>
      <c r="AE190" s="18"/>
      <c r="AF190" s="18"/>
      <c r="AG190" s="18"/>
      <c r="AH190" s="18"/>
      <c r="AI190" s="18"/>
      <c r="AJ190" s="18"/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  <c r="AU190" s="18"/>
      <c r="AV190" s="18"/>
      <c r="AW190" s="18"/>
      <c r="AX190" s="18"/>
      <c r="AY190" s="18"/>
      <c r="AZ190" s="18"/>
      <c r="BA190" s="18"/>
      <c r="BB190" s="18"/>
      <c r="BC190" s="18"/>
      <c r="BD190" s="18"/>
      <c r="BE190" s="18"/>
      <c r="BF190" s="18"/>
      <c r="BG190" s="18"/>
      <c r="BH190" s="18"/>
      <c r="BI190" s="18"/>
      <c r="BJ190" s="18"/>
      <c r="BK190" s="18">
        <v>1452</v>
      </c>
    </row>
    <row r="191" spans="1:63" x14ac:dyDescent="0.3">
      <c r="B191" t="s">
        <v>694</v>
      </c>
      <c r="C191" t="s">
        <v>410</v>
      </c>
      <c r="D191" s="18">
        <v>10975.5</v>
      </c>
      <c r="E191" s="38">
        <v>-10975.5</v>
      </c>
      <c r="F191" s="18">
        <v>0</v>
      </c>
      <c r="O191" t="s">
        <v>66</v>
      </c>
      <c r="P191" s="18"/>
      <c r="Q191" s="18"/>
      <c r="R191" s="18"/>
      <c r="S191" s="18"/>
      <c r="T191" s="18"/>
      <c r="U191" s="18">
        <v>3968</v>
      </c>
      <c r="V191" s="18"/>
      <c r="W191" s="18"/>
      <c r="X191" s="18"/>
      <c r="Y191" s="18">
        <v>3968</v>
      </c>
      <c r="Z191" s="18"/>
      <c r="AA191" s="18"/>
      <c r="AB191" s="18"/>
      <c r="AC191" s="18"/>
      <c r="AD191" s="18"/>
      <c r="AE191" s="18"/>
      <c r="AF191" s="18"/>
      <c r="AG191" s="18"/>
      <c r="AH191" s="18"/>
      <c r="AI191" s="18"/>
      <c r="AJ191" s="18"/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/>
      <c r="BA191" s="18"/>
      <c r="BB191" s="18"/>
      <c r="BC191" s="18"/>
      <c r="BD191" s="18"/>
      <c r="BE191" s="18"/>
      <c r="BF191" s="18"/>
      <c r="BG191" s="18"/>
      <c r="BH191" s="18"/>
      <c r="BI191" s="18"/>
      <c r="BJ191" s="18"/>
      <c r="BK191" s="18">
        <v>3968</v>
      </c>
    </row>
    <row r="192" spans="1:63" x14ac:dyDescent="0.3">
      <c r="B192" t="s">
        <v>695</v>
      </c>
      <c r="C192" t="s">
        <v>492</v>
      </c>
      <c r="D192" s="18">
        <v>5746</v>
      </c>
      <c r="E192" s="38">
        <v>-5746</v>
      </c>
      <c r="F192" s="18">
        <v>0</v>
      </c>
      <c r="O192" t="s">
        <v>171</v>
      </c>
      <c r="P192" s="18"/>
      <c r="Q192" s="18"/>
      <c r="R192" s="18"/>
      <c r="S192" s="18"/>
      <c r="T192" s="18"/>
      <c r="U192" s="18"/>
      <c r="V192" s="18"/>
      <c r="W192" s="18">
        <v>2612</v>
      </c>
      <c r="X192" s="18"/>
      <c r="Y192" s="18">
        <v>2612</v>
      </c>
      <c r="Z192" s="18"/>
      <c r="AA192" s="18"/>
      <c r="AB192" s="18"/>
      <c r="AC192" s="18"/>
      <c r="AD192" s="18"/>
      <c r="AE192" s="18"/>
      <c r="AF192" s="18"/>
      <c r="AG192" s="18"/>
      <c r="AH192" s="18"/>
      <c r="AI192" s="18"/>
      <c r="AJ192" s="18"/>
      <c r="AK192" s="18"/>
      <c r="AL192" s="18"/>
      <c r="AM192" s="18"/>
      <c r="AN192" s="18"/>
      <c r="AO192" s="18"/>
      <c r="AP192" s="18"/>
      <c r="AQ192" s="18"/>
      <c r="AR192" s="18"/>
      <c r="AS192" s="18"/>
      <c r="AT192" s="18"/>
      <c r="AU192" s="18"/>
      <c r="AV192" s="18"/>
      <c r="AW192" s="18"/>
      <c r="AX192" s="18"/>
      <c r="AY192" s="18"/>
      <c r="AZ192" s="18"/>
      <c r="BA192" s="18"/>
      <c r="BB192" s="18"/>
      <c r="BC192" s="18"/>
      <c r="BD192" s="18"/>
      <c r="BE192" s="18"/>
      <c r="BF192" s="18"/>
      <c r="BG192" s="18"/>
      <c r="BH192" s="18"/>
      <c r="BI192" s="18"/>
      <c r="BJ192" s="18"/>
      <c r="BK192" s="18">
        <v>2612</v>
      </c>
    </row>
    <row r="193" spans="2:63" x14ac:dyDescent="0.3">
      <c r="B193" t="s">
        <v>696</v>
      </c>
      <c r="C193" t="s">
        <v>774</v>
      </c>
      <c r="D193" s="18">
        <v>2175</v>
      </c>
      <c r="E193" s="38">
        <v>-2175</v>
      </c>
      <c r="F193" s="18">
        <v>0</v>
      </c>
      <c r="O193" t="s">
        <v>184</v>
      </c>
      <c r="P193" s="18"/>
      <c r="Q193" s="18"/>
      <c r="R193" s="18"/>
      <c r="S193" s="18"/>
      <c r="T193" s="18"/>
      <c r="U193" s="18"/>
      <c r="V193" s="18"/>
      <c r="W193" s="18">
        <v>1050</v>
      </c>
      <c r="X193" s="18"/>
      <c r="Y193" s="18">
        <v>1050</v>
      </c>
      <c r="Z193" s="18"/>
      <c r="AA193" s="18"/>
      <c r="AB193" s="18"/>
      <c r="AC193" s="18"/>
      <c r="AD193" s="18"/>
      <c r="AE193" s="18"/>
      <c r="AF193" s="18"/>
      <c r="AG193" s="18"/>
      <c r="AH193" s="18"/>
      <c r="AI193" s="18"/>
      <c r="AJ193" s="18"/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  <c r="AU193" s="18"/>
      <c r="AV193" s="18"/>
      <c r="AW193" s="18"/>
      <c r="AX193" s="18"/>
      <c r="AY193" s="18"/>
      <c r="AZ193" s="18"/>
      <c r="BA193" s="18"/>
      <c r="BB193" s="18"/>
      <c r="BC193" s="18"/>
      <c r="BD193" s="18"/>
      <c r="BE193" s="18"/>
      <c r="BF193" s="18"/>
      <c r="BG193" s="18"/>
      <c r="BH193" s="18"/>
      <c r="BI193" s="18"/>
      <c r="BJ193" s="18"/>
      <c r="BK193" s="18">
        <v>1050</v>
      </c>
    </row>
    <row r="194" spans="2:63" x14ac:dyDescent="0.3">
      <c r="B194" t="s">
        <v>697</v>
      </c>
      <c r="C194" t="s">
        <v>410</v>
      </c>
      <c r="D194" s="18">
        <v>10103.5</v>
      </c>
      <c r="E194" s="38">
        <v>-10103.5</v>
      </c>
      <c r="F194" s="18">
        <v>0</v>
      </c>
      <c r="O194" t="s">
        <v>276</v>
      </c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>
        <v>1200</v>
      </c>
      <c r="AG194" s="18"/>
      <c r="AH194" s="18"/>
      <c r="AI194" s="18"/>
      <c r="AJ194" s="18">
        <v>1200</v>
      </c>
      <c r="AK194" s="18"/>
      <c r="AL194" s="18"/>
      <c r="AM194" s="18"/>
      <c r="AN194" s="18"/>
      <c r="AO194" s="18"/>
      <c r="AP194" s="18"/>
      <c r="AQ194" s="18"/>
      <c r="AR194" s="18"/>
      <c r="AS194" s="18"/>
      <c r="AT194" s="18"/>
      <c r="AU194" s="18"/>
      <c r="AV194" s="18"/>
      <c r="AW194" s="18"/>
      <c r="AX194" s="18"/>
      <c r="AY194" s="18"/>
      <c r="AZ194" s="18"/>
      <c r="BA194" s="18"/>
      <c r="BB194" s="18"/>
      <c r="BC194" s="18"/>
      <c r="BD194" s="18"/>
      <c r="BE194" s="18"/>
      <c r="BF194" s="18"/>
      <c r="BG194" s="18"/>
      <c r="BH194" s="18"/>
      <c r="BI194" s="18"/>
      <c r="BJ194" s="18"/>
      <c r="BK194" s="18">
        <v>1200</v>
      </c>
    </row>
    <row r="195" spans="2:63" x14ac:dyDescent="0.3">
      <c r="B195" t="s">
        <v>698</v>
      </c>
      <c r="C195" t="s">
        <v>666</v>
      </c>
      <c r="D195" s="18">
        <v>14088.5</v>
      </c>
      <c r="E195" s="38">
        <v>-14088.5</v>
      </c>
      <c r="F195" s="18">
        <v>0</v>
      </c>
      <c r="O195" t="s">
        <v>442</v>
      </c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>
        <v>3362</v>
      </c>
      <c r="AC195" s="18"/>
      <c r="AD195" s="18"/>
      <c r="AE195" s="18"/>
      <c r="AF195" s="18"/>
      <c r="AG195" s="18"/>
      <c r="AH195" s="18"/>
      <c r="AI195" s="18"/>
      <c r="AJ195" s="18">
        <v>3362</v>
      </c>
      <c r="AK195" s="18"/>
      <c r="AL195" s="18"/>
      <c r="AM195" s="18"/>
      <c r="AN195" s="18"/>
      <c r="AO195" s="18"/>
      <c r="AP195" s="18"/>
      <c r="AQ195" s="18"/>
      <c r="AR195" s="18"/>
      <c r="AS195" s="18"/>
      <c r="AT195" s="18"/>
      <c r="AU195" s="18"/>
      <c r="AV195" s="18"/>
      <c r="AW195" s="18"/>
      <c r="AX195" s="18"/>
      <c r="AY195" s="18"/>
      <c r="AZ195" s="18"/>
      <c r="BA195" s="18"/>
      <c r="BB195" s="18"/>
      <c r="BC195" s="18"/>
      <c r="BD195" s="18"/>
      <c r="BE195" s="18"/>
      <c r="BF195" s="18"/>
      <c r="BG195" s="18"/>
      <c r="BH195" s="18"/>
      <c r="BI195" s="18"/>
      <c r="BJ195" s="18"/>
      <c r="BK195" s="18">
        <v>3362</v>
      </c>
    </row>
    <row r="196" spans="2:63" x14ac:dyDescent="0.3">
      <c r="B196" t="s">
        <v>699</v>
      </c>
      <c r="C196" t="s">
        <v>410</v>
      </c>
      <c r="D196" s="18">
        <v>3076</v>
      </c>
      <c r="E196" s="38">
        <v>-3076</v>
      </c>
      <c r="F196" s="18">
        <v>0</v>
      </c>
      <c r="O196" t="s">
        <v>445</v>
      </c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>
        <v>510</v>
      </c>
      <c r="AC196" s="18"/>
      <c r="AD196" s="18"/>
      <c r="AE196" s="18"/>
      <c r="AF196" s="18"/>
      <c r="AG196" s="18"/>
      <c r="AH196" s="18"/>
      <c r="AI196" s="18"/>
      <c r="AJ196" s="18">
        <v>510</v>
      </c>
      <c r="AK196" s="18"/>
      <c r="AL196" s="18"/>
      <c r="AM196" s="18"/>
      <c r="AN196" s="18"/>
      <c r="AO196" s="18"/>
      <c r="AP196" s="18"/>
      <c r="AQ196" s="18"/>
      <c r="AR196" s="18"/>
      <c r="AS196" s="18"/>
      <c r="AT196" s="18"/>
      <c r="AU196" s="18"/>
      <c r="AV196" s="18"/>
      <c r="AW196" s="18"/>
      <c r="AX196" s="18"/>
      <c r="AY196" s="18"/>
      <c r="AZ196" s="18"/>
      <c r="BA196" s="18"/>
      <c r="BB196" s="18"/>
      <c r="BC196" s="18"/>
      <c r="BD196" s="18"/>
      <c r="BE196" s="18"/>
      <c r="BF196" s="18"/>
      <c r="BG196" s="18"/>
      <c r="BH196" s="18"/>
      <c r="BI196" s="18"/>
      <c r="BJ196" s="18"/>
      <c r="BK196" s="18">
        <v>510</v>
      </c>
    </row>
    <row r="197" spans="2:63" x14ac:dyDescent="0.3">
      <c r="B197" t="s">
        <v>700</v>
      </c>
      <c r="C197" t="s">
        <v>710</v>
      </c>
      <c r="D197" s="18">
        <v>1170</v>
      </c>
      <c r="E197" s="38">
        <v>-1170</v>
      </c>
      <c r="F197" s="18">
        <v>0</v>
      </c>
      <c r="O197" t="s">
        <v>485</v>
      </c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>
        <v>3496</v>
      </c>
      <c r="AD197" s="18"/>
      <c r="AE197" s="18"/>
      <c r="AF197" s="18"/>
      <c r="AG197" s="18"/>
      <c r="AH197" s="18"/>
      <c r="AI197" s="18"/>
      <c r="AJ197" s="18">
        <v>3496</v>
      </c>
      <c r="AK197" s="18"/>
      <c r="AL197" s="18"/>
      <c r="AM197" s="18"/>
      <c r="AN197" s="18"/>
      <c r="AO197" s="18"/>
      <c r="AP197" s="18"/>
      <c r="AQ197" s="18"/>
      <c r="AR197" s="18"/>
      <c r="AS197" s="18"/>
      <c r="AT197" s="18"/>
      <c r="AU197" s="18"/>
      <c r="AV197" s="18"/>
      <c r="AW197" s="18"/>
      <c r="AX197" s="18"/>
      <c r="AY197" s="18"/>
      <c r="AZ197" s="18"/>
      <c r="BA197" s="18"/>
      <c r="BB197" s="18"/>
      <c r="BC197" s="18"/>
      <c r="BD197" s="18"/>
      <c r="BE197" s="18"/>
      <c r="BF197" s="18"/>
      <c r="BG197" s="18"/>
      <c r="BH197" s="18"/>
      <c r="BI197" s="18"/>
      <c r="BJ197" s="18"/>
      <c r="BK197" s="18">
        <v>3496</v>
      </c>
    </row>
    <row r="198" spans="2:63" x14ac:dyDescent="0.3">
      <c r="B198" t="s">
        <v>701</v>
      </c>
      <c r="C198" t="s">
        <v>23</v>
      </c>
      <c r="D198" s="18">
        <v>15222</v>
      </c>
      <c r="E198" s="38">
        <v>-15222</v>
      </c>
      <c r="F198" s="18">
        <v>0</v>
      </c>
      <c r="N198" s="17" t="s">
        <v>140</v>
      </c>
      <c r="O198" s="17"/>
      <c r="P198" s="19"/>
      <c r="Q198" s="19"/>
      <c r="R198" s="19"/>
      <c r="S198" s="19"/>
      <c r="T198" s="19">
        <v>1452</v>
      </c>
      <c r="U198" s="19">
        <v>3968</v>
      </c>
      <c r="V198" s="19"/>
      <c r="W198" s="19">
        <v>3662</v>
      </c>
      <c r="X198" s="19"/>
      <c r="Y198" s="19">
        <v>9082</v>
      </c>
      <c r="Z198" s="19"/>
      <c r="AA198" s="19"/>
      <c r="AB198" s="19">
        <v>3872</v>
      </c>
      <c r="AC198" s="19">
        <v>3496</v>
      </c>
      <c r="AD198" s="19"/>
      <c r="AE198" s="19"/>
      <c r="AF198" s="19">
        <v>1200</v>
      </c>
      <c r="AG198" s="19"/>
      <c r="AH198" s="19"/>
      <c r="AI198" s="19"/>
      <c r="AJ198" s="19">
        <v>8568</v>
      </c>
      <c r="AK198" s="19"/>
      <c r="AL198" s="19"/>
      <c r="AM198" s="19"/>
      <c r="AN198" s="19"/>
      <c r="AO198" s="19"/>
      <c r="AP198" s="19"/>
      <c r="AQ198" s="19"/>
      <c r="AR198" s="19"/>
      <c r="AS198" s="19"/>
      <c r="AT198" s="19"/>
      <c r="AU198" s="19"/>
      <c r="AV198" s="19"/>
      <c r="AW198" s="19"/>
      <c r="AX198" s="19"/>
      <c r="AY198" s="19"/>
      <c r="AZ198" s="19"/>
      <c r="BA198" s="19"/>
      <c r="BB198" s="19"/>
      <c r="BC198" s="19"/>
      <c r="BD198" s="19"/>
      <c r="BE198" s="19"/>
      <c r="BF198" s="19"/>
      <c r="BG198" s="19"/>
      <c r="BH198" s="19"/>
      <c r="BI198" s="19"/>
      <c r="BJ198" s="19"/>
      <c r="BK198" s="19">
        <v>17650</v>
      </c>
    </row>
    <row r="199" spans="2:63" x14ac:dyDescent="0.3">
      <c r="B199" t="s">
        <v>702</v>
      </c>
      <c r="C199" t="s">
        <v>710</v>
      </c>
      <c r="D199" s="18">
        <v>68</v>
      </c>
      <c r="E199" s="38">
        <v>-68</v>
      </c>
      <c r="F199" s="18">
        <v>0</v>
      </c>
      <c r="N199" t="s">
        <v>62</v>
      </c>
      <c r="O199" t="s">
        <v>60</v>
      </c>
      <c r="P199" s="18"/>
      <c r="Q199" s="18"/>
      <c r="R199" s="18"/>
      <c r="S199" s="18"/>
      <c r="T199" s="18">
        <v>6734</v>
      </c>
      <c r="U199" s="18"/>
      <c r="V199" s="18"/>
      <c r="W199" s="18"/>
      <c r="X199" s="18"/>
      <c r="Y199" s="18">
        <v>6734</v>
      </c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  <c r="AJ199" s="18"/>
      <c r="AK199" s="18"/>
      <c r="AL199" s="18"/>
      <c r="AM199" s="18"/>
      <c r="AN199" s="18"/>
      <c r="AO199" s="18"/>
      <c r="AP199" s="18"/>
      <c r="AQ199" s="18"/>
      <c r="AR199" s="18"/>
      <c r="AS199" s="18"/>
      <c r="AT199" s="18"/>
      <c r="AU199" s="18"/>
      <c r="AV199" s="18"/>
      <c r="AW199" s="18"/>
      <c r="AX199" s="18"/>
      <c r="AY199" s="18"/>
      <c r="AZ199" s="18"/>
      <c r="BA199" s="18"/>
      <c r="BB199" s="18"/>
      <c r="BC199" s="18"/>
      <c r="BD199" s="18"/>
      <c r="BE199" s="18"/>
      <c r="BF199" s="18"/>
      <c r="BG199" s="18"/>
      <c r="BH199" s="18"/>
      <c r="BI199" s="18"/>
      <c r="BJ199" s="18"/>
      <c r="BK199" s="18">
        <v>6734</v>
      </c>
    </row>
    <row r="200" spans="2:63" x14ac:dyDescent="0.3">
      <c r="B200" t="s">
        <v>716</v>
      </c>
      <c r="C200" t="s">
        <v>7</v>
      </c>
      <c r="D200" s="18">
        <v>2488</v>
      </c>
      <c r="E200" s="38">
        <v>-2488</v>
      </c>
      <c r="F200" s="18">
        <v>0</v>
      </c>
      <c r="O200" t="s">
        <v>102</v>
      </c>
      <c r="P200" s="18"/>
      <c r="Q200" s="18"/>
      <c r="R200" s="18"/>
      <c r="S200" s="18"/>
      <c r="T200" s="18"/>
      <c r="U200" s="18">
        <v>8123</v>
      </c>
      <c r="V200" s="18"/>
      <c r="W200" s="18"/>
      <c r="X200" s="18"/>
      <c r="Y200" s="18">
        <v>8123</v>
      </c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  <c r="AU200" s="18"/>
      <c r="AV200" s="18"/>
      <c r="AW200" s="18"/>
      <c r="AX200" s="18"/>
      <c r="AY200" s="18"/>
      <c r="AZ200" s="18"/>
      <c r="BA200" s="18"/>
      <c r="BB200" s="18"/>
      <c r="BC200" s="18"/>
      <c r="BD200" s="18"/>
      <c r="BE200" s="18"/>
      <c r="BF200" s="18"/>
      <c r="BG200" s="18"/>
      <c r="BH200" s="18"/>
      <c r="BI200" s="18"/>
      <c r="BJ200" s="18"/>
      <c r="BK200" s="18">
        <v>8123</v>
      </c>
    </row>
    <row r="201" spans="2:63" x14ac:dyDescent="0.3">
      <c r="B201" t="s">
        <v>719</v>
      </c>
      <c r="C201" t="s">
        <v>410</v>
      </c>
      <c r="D201" s="18">
        <v>11151</v>
      </c>
      <c r="E201" s="38">
        <v>-11151</v>
      </c>
      <c r="F201" s="18">
        <v>0</v>
      </c>
      <c r="O201" t="s">
        <v>127</v>
      </c>
      <c r="P201" s="18"/>
      <c r="Q201" s="18"/>
      <c r="R201" s="18"/>
      <c r="S201" s="18"/>
      <c r="T201" s="18"/>
      <c r="U201" s="18"/>
      <c r="V201" s="18">
        <v>8123</v>
      </c>
      <c r="W201" s="18"/>
      <c r="X201" s="18"/>
      <c r="Y201" s="18">
        <v>8123</v>
      </c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  <c r="AJ201" s="18"/>
      <c r="AK201" s="18"/>
      <c r="AL201" s="18"/>
      <c r="AM201" s="18"/>
      <c r="AN201" s="18"/>
      <c r="AO201" s="18"/>
      <c r="AP201" s="18"/>
      <c r="AQ201" s="18"/>
      <c r="AR201" s="18"/>
      <c r="AS201" s="18"/>
      <c r="AT201" s="18"/>
      <c r="AU201" s="18"/>
      <c r="AV201" s="18"/>
      <c r="AW201" s="18"/>
      <c r="AX201" s="18"/>
      <c r="AY201" s="18"/>
      <c r="AZ201" s="18"/>
      <c r="BA201" s="18"/>
      <c r="BB201" s="18"/>
      <c r="BC201" s="18"/>
      <c r="BD201" s="18"/>
      <c r="BE201" s="18"/>
      <c r="BF201" s="18"/>
      <c r="BG201" s="18"/>
      <c r="BH201" s="18"/>
      <c r="BI201" s="18"/>
      <c r="BJ201" s="18"/>
      <c r="BK201" s="18">
        <v>8123</v>
      </c>
    </row>
    <row r="202" spans="2:63" x14ac:dyDescent="0.3">
      <c r="B202" t="s">
        <v>721</v>
      </c>
      <c r="C202" t="s">
        <v>666</v>
      </c>
      <c r="D202" s="18">
        <v>3799</v>
      </c>
      <c r="E202" s="38">
        <v>-3799</v>
      </c>
      <c r="F202" s="18">
        <v>0</v>
      </c>
      <c r="O202" t="s">
        <v>168</v>
      </c>
      <c r="P202" s="18"/>
      <c r="Q202" s="18"/>
      <c r="R202" s="18"/>
      <c r="S202" s="18"/>
      <c r="T202" s="18"/>
      <c r="U202" s="18"/>
      <c r="V202" s="18"/>
      <c r="W202" s="18">
        <v>9296</v>
      </c>
      <c r="X202" s="18"/>
      <c r="Y202" s="18">
        <v>9296</v>
      </c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  <c r="AJ202" s="18"/>
      <c r="AK202" s="18"/>
      <c r="AL202" s="18"/>
      <c r="AM202" s="18"/>
      <c r="AN202" s="18"/>
      <c r="AO202" s="18"/>
      <c r="AP202" s="18"/>
      <c r="AQ202" s="18"/>
      <c r="AR202" s="18"/>
      <c r="AS202" s="18"/>
      <c r="AT202" s="18"/>
      <c r="AU202" s="18"/>
      <c r="AV202" s="18"/>
      <c r="AW202" s="18"/>
      <c r="AX202" s="18"/>
      <c r="AY202" s="18"/>
      <c r="AZ202" s="18"/>
      <c r="BA202" s="18"/>
      <c r="BB202" s="18"/>
      <c r="BC202" s="18"/>
      <c r="BD202" s="18"/>
      <c r="BE202" s="18"/>
      <c r="BF202" s="18"/>
      <c r="BG202" s="18"/>
      <c r="BH202" s="18"/>
      <c r="BI202" s="18"/>
      <c r="BJ202" s="18"/>
      <c r="BK202" s="18">
        <v>9296</v>
      </c>
    </row>
    <row r="203" spans="2:63" x14ac:dyDescent="0.3">
      <c r="B203" t="s">
        <v>724</v>
      </c>
      <c r="C203" t="s">
        <v>62</v>
      </c>
      <c r="D203" s="18">
        <v>11160</v>
      </c>
      <c r="E203" s="38">
        <v>-11160</v>
      </c>
      <c r="F203" s="18">
        <v>0</v>
      </c>
      <c r="O203" t="s">
        <v>185</v>
      </c>
      <c r="P203" s="18"/>
      <c r="Q203" s="18"/>
      <c r="R203" s="18"/>
      <c r="S203" s="18"/>
      <c r="T203" s="18"/>
      <c r="U203" s="18"/>
      <c r="V203" s="18"/>
      <c r="W203" s="18">
        <v>7775</v>
      </c>
      <c r="X203" s="18"/>
      <c r="Y203" s="18">
        <v>7775</v>
      </c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  <c r="AJ203" s="18"/>
      <c r="AK203" s="18"/>
      <c r="AL203" s="18"/>
      <c r="AM203" s="18"/>
      <c r="AN203" s="18"/>
      <c r="AO203" s="18"/>
      <c r="AP203" s="18"/>
      <c r="AQ203" s="18"/>
      <c r="AR203" s="18"/>
      <c r="AS203" s="18"/>
      <c r="AT203" s="18"/>
      <c r="AU203" s="18"/>
      <c r="AV203" s="18"/>
      <c r="AW203" s="18"/>
      <c r="AX203" s="18"/>
      <c r="AY203" s="18"/>
      <c r="AZ203" s="18"/>
      <c r="BA203" s="18"/>
      <c r="BB203" s="18"/>
      <c r="BC203" s="18"/>
      <c r="BD203" s="18"/>
      <c r="BE203" s="18"/>
      <c r="BF203" s="18"/>
      <c r="BG203" s="18"/>
      <c r="BH203" s="18"/>
      <c r="BI203" s="18"/>
      <c r="BJ203" s="18"/>
      <c r="BK203" s="18">
        <v>7775</v>
      </c>
    </row>
    <row r="204" spans="2:63" x14ac:dyDescent="0.3">
      <c r="B204" t="s">
        <v>725</v>
      </c>
      <c r="C204" t="s">
        <v>492</v>
      </c>
      <c r="D204" s="18">
        <v>5458</v>
      </c>
      <c r="E204" s="38">
        <v>-5458</v>
      </c>
      <c r="F204" s="18">
        <v>0</v>
      </c>
      <c r="O204" t="s">
        <v>201</v>
      </c>
      <c r="P204" s="18"/>
      <c r="Q204" s="18"/>
      <c r="R204" s="18"/>
      <c r="S204" s="18"/>
      <c r="T204" s="18"/>
      <c r="U204" s="18"/>
      <c r="V204" s="18"/>
      <c r="W204" s="18">
        <v>275</v>
      </c>
      <c r="X204" s="18"/>
      <c r="Y204" s="18">
        <v>275</v>
      </c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  <c r="AK204" s="18"/>
      <c r="AL204" s="18"/>
      <c r="AM204" s="18"/>
      <c r="AN204" s="18"/>
      <c r="AO204" s="18"/>
      <c r="AP204" s="18"/>
      <c r="AQ204" s="18"/>
      <c r="AR204" s="18"/>
      <c r="AS204" s="18"/>
      <c r="AT204" s="18"/>
      <c r="AU204" s="18"/>
      <c r="AV204" s="18"/>
      <c r="AW204" s="18"/>
      <c r="AX204" s="18"/>
      <c r="AY204" s="18"/>
      <c r="AZ204" s="18"/>
      <c r="BA204" s="18"/>
      <c r="BB204" s="18"/>
      <c r="BC204" s="18"/>
      <c r="BD204" s="18"/>
      <c r="BE204" s="18"/>
      <c r="BF204" s="18"/>
      <c r="BG204" s="18"/>
      <c r="BH204" s="18"/>
      <c r="BI204" s="18"/>
      <c r="BJ204" s="18"/>
      <c r="BK204" s="18">
        <v>275</v>
      </c>
    </row>
    <row r="205" spans="2:63" x14ac:dyDescent="0.3">
      <c r="B205" t="s">
        <v>726</v>
      </c>
      <c r="C205" t="s">
        <v>410</v>
      </c>
      <c r="D205" s="18">
        <v>11858.5</v>
      </c>
      <c r="E205" s="38">
        <v>-11858.5</v>
      </c>
      <c r="F205" s="18">
        <v>0</v>
      </c>
      <c r="O205" t="s">
        <v>218</v>
      </c>
      <c r="P205" s="18"/>
      <c r="Q205" s="18"/>
      <c r="R205" s="18"/>
      <c r="S205" s="18"/>
      <c r="T205" s="18"/>
      <c r="U205" s="18"/>
      <c r="V205" s="18"/>
      <c r="W205" s="18"/>
      <c r="X205" s="18">
        <v>10120</v>
      </c>
      <c r="Y205" s="18">
        <v>10120</v>
      </c>
      <c r="Z205" s="18"/>
      <c r="AA205" s="18"/>
      <c r="AB205" s="18"/>
      <c r="AC205" s="18"/>
      <c r="AD205" s="18"/>
      <c r="AE205" s="18"/>
      <c r="AF205" s="18"/>
      <c r="AG205" s="18"/>
      <c r="AH205" s="18"/>
      <c r="AI205" s="18"/>
      <c r="AJ205" s="18"/>
      <c r="AK205" s="18"/>
      <c r="AL205" s="18"/>
      <c r="AM205" s="18"/>
      <c r="AN205" s="18"/>
      <c r="AO205" s="18"/>
      <c r="AP205" s="18"/>
      <c r="AQ205" s="18"/>
      <c r="AR205" s="18"/>
      <c r="AS205" s="18"/>
      <c r="AT205" s="18"/>
      <c r="AU205" s="18"/>
      <c r="AV205" s="18"/>
      <c r="AW205" s="18"/>
      <c r="AX205" s="18"/>
      <c r="AY205" s="18"/>
      <c r="AZ205" s="18"/>
      <c r="BA205" s="18"/>
      <c r="BB205" s="18"/>
      <c r="BC205" s="18"/>
      <c r="BD205" s="18"/>
      <c r="BE205" s="18"/>
      <c r="BF205" s="18"/>
      <c r="BG205" s="18"/>
      <c r="BH205" s="18"/>
      <c r="BI205" s="18"/>
      <c r="BJ205" s="18"/>
      <c r="BK205" s="18">
        <v>10120</v>
      </c>
    </row>
    <row r="206" spans="2:63" x14ac:dyDescent="0.3">
      <c r="B206" t="s">
        <v>727</v>
      </c>
      <c r="C206" t="s">
        <v>401</v>
      </c>
      <c r="D206" s="18">
        <v>6096.1</v>
      </c>
      <c r="E206" s="38">
        <v>-6096.1</v>
      </c>
      <c r="F206" s="18">
        <v>0</v>
      </c>
      <c r="O206" t="s">
        <v>240</v>
      </c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  <c r="AE206" s="18">
        <v>0</v>
      </c>
      <c r="AF206" s="18"/>
      <c r="AG206" s="18"/>
      <c r="AH206" s="18"/>
      <c r="AI206" s="18"/>
      <c r="AJ206" s="18">
        <v>0</v>
      </c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  <c r="AU206" s="18"/>
      <c r="AV206" s="18"/>
      <c r="AW206" s="18"/>
      <c r="AX206" s="18"/>
      <c r="AY206" s="18"/>
      <c r="AZ206" s="18"/>
      <c r="BA206" s="18"/>
      <c r="BB206" s="18"/>
      <c r="BC206" s="18"/>
      <c r="BD206" s="18"/>
      <c r="BE206" s="18"/>
      <c r="BF206" s="18"/>
      <c r="BG206" s="18"/>
      <c r="BH206" s="18"/>
      <c r="BI206" s="18"/>
      <c r="BJ206" s="18"/>
      <c r="BK206" s="18">
        <v>0</v>
      </c>
    </row>
    <row r="207" spans="2:63" x14ac:dyDescent="0.3">
      <c r="B207" t="s">
        <v>729</v>
      </c>
      <c r="C207" t="s">
        <v>666</v>
      </c>
      <c r="D207" s="18">
        <v>1350</v>
      </c>
      <c r="E207" s="38">
        <v>-1350</v>
      </c>
      <c r="F207" s="18">
        <v>0</v>
      </c>
      <c r="O207" t="s">
        <v>254</v>
      </c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18"/>
      <c r="AE207" s="18">
        <v>10310</v>
      </c>
      <c r="AF207" s="18"/>
      <c r="AG207" s="18"/>
      <c r="AH207" s="18"/>
      <c r="AI207" s="18"/>
      <c r="AJ207" s="18">
        <v>10310</v>
      </c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  <c r="AU207" s="18"/>
      <c r="AV207" s="18"/>
      <c r="AW207" s="18"/>
      <c r="AX207" s="18"/>
      <c r="AY207" s="18"/>
      <c r="AZ207" s="18"/>
      <c r="BA207" s="18"/>
      <c r="BB207" s="18"/>
      <c r="BC207" s="18"/>
      <c r="BD207" s="18"/>
      <c r="BE207" s="18"/>
      <c r="BF207" s="18"/>
      <c r="BG207" s="18"/>
      <c r="BH207" s="18"/>
      <c r="BI207" s="18"/>
      <c r="BJ207" s="18"/>
      <c r="BK207" s="18">
        <v>10310</v>
      </c>
    </row>
    <row r="208" spans="2:63" x14ac:dyDescent="0.3">
      <c r="B208" t="s">
        <v>730</v>
      </c>
      <c r="C208" t="s">
        <v>410</v>
      </c>
      <c r="D208" s="18">
        <v>15244</v>
      </c>
      <c r="E208" s="38">
        <v>-15244</v>
      </c>
      <c r="F208" s="18">
        <v>0</v>
      </c>
      <c r="O208" t="s">
        <v>321</v>
      </c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  <c r="AD208" s="18"/>
      <c r="AE208" s="18"/>
      <c r="AF208" s="18"/>
      <c r="AG208" s="18">
        <v>10075</v>
      </c>
      <c r="AH208" s="18"/>
      <c r="AI208" s="18"/>
      <c r="AJ208" s="18">
        <v>10075</v>
      </c>
      <c r="AK208" s="18"/>
      <c r="AL208" s="18"/>
      <c r="AM208" s="18"/>
      <c r="AN208" s="18"/>
      <c r="AO208" s="18"/>
      <c r="AP208" s="18"/>
      <c r="AQ208" s="18"/>
      <c r="AR208" s="18"/>
      <c r="AS208" s="18"/>
      <c r="AT208" s="18"/>
      <c r="AU208" s="18"/>
      <c r="AV208" s="18"/>
      <c r="AW208" s="18"/>
      <c r="AX208" s="18"/>
      <c r="AY208" s="18"/>
      <c r="AZ208" s="18"/>
      <c r="BA208" s="18"/>
      <c r="BB208" s="18"/>
      <c r="BC208" s="18"/>
      <c r="BD208" s="18"/>
      <c r="BE208" s="18"/>
      <c r="BF208" s="18"/>
      <c r="BG208" s="18"/>
      <c r="BH208" s="18"/>
      <c r="BI208" s="18"/>
      <c r="BJ208" s="18"/>
      <c r="BK208" s="18">
        <v>10075</v>
      </c>
    </row>
    <row r="209" spans="1:63" x14ac:dyDescent="0.3">
      <c r="A209" s="17" t="s">
        <v>309</v>
      </c>
      <c r="B209" s="17"/>
      <c r="C209" s="17"/>
      <c r="D209" s="19">
        <v>192796.7</v>
      </c>
      <c r="E209" s="39">
        <v>-192796.7</v>
      </c>
      <c r="F209" s="19">
        <v>0</v>
      </c>
      <c r="O209" t="s">
        <v>327</v>
      </c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  <c r="AE209" s="18"/>
      <c r="AF209" s="18"/>
      <c r="AG209" s="18"/>
      <c r="AH209" s="18">
        <v>12101.6</v>
      </c>
      <c r="AI209" s="18"/>
      <c r="AJ209" s="18">
        <v>12101.6</v>
      </c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  <c r="AU209" s="18"/>
      <c r="AV209" s="18"/>
      <c r="AW209" s="18"/>
      <c r="AX209" s="18"/>
      <c r="AY209" s="18"/>
      <c r="AZ209" s="18"/>
      <c r="BA209" s="18"/>
      <c r="BB209" s="18"/>
      <c r="BC209" s="18"/>
      <c r="BD209" s="18"/>
      <c r="BE209" s="18"/>
      <c r="BF209" s="18"/>
      <c r="BG209" s="18"/>
      <c r="BH209" s="18"/>
      <c r="BI209" s="18"/>
      <c r="BJ209" s="18"/>
      <c r="BK209" s="18">
        <v>12101.6</v>
      </c>
    </row>
    <row r="210" spans="1:63" x14ac:dyDescent="0.3">
      <c r="A210">
        <v>5</v>
      </c>
      <c r="B210" t="s">
        <v>763</v>
      </c>
      <c r="C210" t="s">
        <v>410</v>
      </c>
      <c r="D210" s="18">
        <v>11530</v>
      </c>
      <c r="E210" s="38">
        <v>-11530</v>
      </c>
      <c r="F210" s="18">
        <v>0</v>
      </c>
      <c r="O210" t="s">
        <v>332</v>
      </c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  <c r="AD210" s="18"/>
      <c r="AE210" s="18"/>
      <c r="AF210" s="18"/>
      <c r="AG210" s="18"/>
      <c r="AH210" s="18">
        <v>11585</v>
      </c>
      <c r="AI210" s="18"/>
      <c r="AJ210" s="18">
        <v>11585</v>
      </c>
      <c r="AK210" s="18"/>
      <c r="AL210" s="18"/>
      <c r="AM210" s="18"/>
      <c r="AN210" s="18"/>
      <c r="AO210" s="18"/>
      <c r="AP210" s="18"/>
      <c r="AQ210" s="18"/>
      <c r="AR210" s="18"/>
      <c r="AS210" s="18"/>
      <c r="AT210" s="18"/>
      <c r="AU210" s="18"/>
      <c r="AV210" s="18"/>
      <c r="AW210" s="18"/>
      <c r="AX210" s="18"/>
      <c r="AY210" s="18"/>
      <c r="AZ210" s="18"/>
      <c r="BA210" s="18"/>
      <c r="BB210" s="18"/>
      <c r="BC210" s="18"/>
      <c r="BD210" s="18"/>
      <c r="BE210" s="18"/>
      <c r="BF210" s="18"/>
      <c r="BG210" s="18"/>
      <c r="BH210" s="18"/>
      <c r="BI210" s="18"/>
      <c r="BJ210" s="18"/>
      <c r="BK210" s="18">
        <v>11585</v>
      </c>
    </row>
    <row r="211" spans="1:63" x14ac:dyDescent="0.3">
      <c r="B211" t="s">
        <v>764</v>
      </c>
      <c r="C211" t="s">
        <v>666</v>
      </c>
      <c r="D211" s="18">
        <v>1350</v>
      </c>
      <c r="E211" s="38">
        <v>-1350</v>
      </c>
      <c r="F211" s="18">
        <v>0</v>
      </c>
      <c r="O211" t="s">
        <v>356</v>
      </c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>
        <v>6952</v>
      </c>
      <c r="AA211" s="18"/>
      <c r="AB211" s="18"/>
      <c r="AC211" s="18"/>
      <c r="AD211" s="18"/>
      <c r="AE211" s="18"/>
      <c r="AF211" s="18"/>
      <c r="AG211" s="18"/>
      <c r="AH211" s="18"/>
      <c r="AI211" s="18"/>
      <c r="AJ211" s="18">
        <v>6952</v>
      </c>
      <c r="AK211" s="18"/>
      <c r="AL211" s="18"/>
      <c r="AM211" s="18"/>
      <c r="AN211" s="18"/>
      <c r="AO211" s="18"/>
      <c r="AP211" s="18"/>
      <c r="AQ211" s="18"/>
      <c r="AR211" s="18"/>
      <c r="AS211" s="18"/>
      <c r="AT211" s="18"/>
      <c r="AU211" s="18"/>
      <c r="AV211" s="18"/>
      <c r="AW211" s="18"/>
      <c r="AX211" s="18"/>
      <c r="AY211" s="18"/>
      <c r="AZ211" s="18"/>
      <c r="BA211" s="18"/>
      <c r="BB211" s="18"/>
      <c r="BC211" s="18"/>
      <c r="BD211" s="18"/>
      <c r="BE211" s="18"/>
      <c r="BF211" s="18"/>
      <c r="BG211" s="18"/>
      <c r="BH211" s="18"/>
      <c r="BI211" s="18"/>
      <c r="BJ211" s="18"/>
      <c r="BK211" s="18">
        <v>6952</v>
      </c>
    </row>
    <row r="212" spans="1:63" x14ac:dyDescent="0.3">
      <c r="B212" t="s">
        <v>765</v>
      </c>
      <c r="C212" t="s">
        <v>410</v>
      </c>
      <c r="D212" s="18">
        <v>16245</v>
      </c>
      <c r="E212" s="38">
        <v>-16245</v>
      </c>
      <c r="F212" s="18">
        <v>0</v>
      </c>
      <c r="O212" t="s">
        <v>359</v>
      </c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>
        <v>930</v>
      </c>
      <c r="AA212" s="18"/>
      <c r="AB212" s="18"/>
      <c r="AC212" s="18"/>
      <c r="AD212" s="18"/>
      <c r="AE212" s="18"/>
      <c r="AF212" s="18"/>
      <c r="AG212" s="18"/>
      <c r="AH212" s="18"/>
      <c r="AI212" s="18"/>
      <c r="AJ212" s="18">
        <v>930</v>
      </c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  <c r="AU212" s="18"/>
      <c r="AV212" s="18"/>
      <c r="AW212" s="18"/>
      <c r="AX212" s="18"/>
      <c r="AY212" s="18"/>
      <c r="AZ212" s="18"/>
      <c r="BA212" s="18"/>
      <c r="BB212" s="18"/>
      <c r="BC212" s="18"/>
      <c r="BD212" s="18"/>
      <c r="BE212" s="18"/>
      <c r="BF212" s="18"/>
      <c r="BG212" s="18"/>
      <c r="BH212" s="18"/>
      <c r="BI212" s="18"/>
      <c r="BJ212" s="18"/>
      <c r="BK212" s="18">
        <v>930</v>
      </c>
    </row>
    <row r="213" spans="1:63" x14ac:dyDescent="0.3">
      <c r="B213" t="s">
        <v>766</v>
      </c>
      <c r="C213" t="s">
        <v>58</v>
      </c>
      <c r="D213" s="18">
        <v>5100</v>
      </c>
      <c r="E213" s="38">
        <v>-5100</v>
      </c>
      <c r="F213" s="18">
        <v>0</v>
      </c>
      <c r="O213" t="s">
        <v>373</v>
      </c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>
        <v>14208</v>
      </c>
      <c r="AB213" s="18"/>
      <c r="AC213" s="18"/>
      <c r="AD213" s="18"/>
      <c r="AE213" s="18"/>
      <c r="AF213" s="18"/>
      <c r="AG213" s="18"/>
      <c r="AH213" s="18"/>
      <c r="AI213" s="18"/>
      <c r="AJ213" s="18">
        <v>14208</v>
      </c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  <c r="AU213" s="18"/>
      <c r="AV213" s="18"/>
      <c r="AW213" s="18"/>
      <c r="AX213" s="18"/>
      <c r="AY213" s="18"/>
      <c r="AZ213" s="18"/>
      <c r="BA213" s="18"/>
      <c r="BB213" s="18"/>
      <c r="BC213" s="18"/>
      <c r="BD213" s="18"/>
      <c r="BE213" s="18"/>
      <c r="BF213" s="18"/>
      <c r="BG213" s="18"/>
      <c r="BH213" s="18"/>
      <c r="BI213" s="18"/>
      <c r="BJ213" s="18"/>
      <c r="BK213" s="18">
        <v>14208</v>
      </c>
    </row>
    <row r="214" spans="1:63" x14ac:dyDescent="0.3">
      <c r="B214" t="s">
        <v>767</v>
      </c>
      <c r="C214" t="s">
        <v>43</v>
      </c>
      <c r="D214" s="18">
        <v>2534</v>
      </c>
      <c r="E214" s="38">
        <v>-2534</v>
      </c>
      <c r="F214" s="18">
        <v>0</v>
      </c>
      <c r="O214" t="s">
        <v>403</v>
      </c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>
        <v>12121</v>
      </c>
      <c r="AC214" s="18"/>
      <c r="AD214" s="18"/>
      <c r="AE214" s="18"/>
      <c r="AF214" s="18"/>
      <c r="AG214" s="18"/>
      <c r="AH214" s="18"/>
      <c r="AI214" s="18"/>
      <c r="AJ214" s="18">
        <v>12121</v>
      </c>
      <c r="AK214" s="18"/>
      <c r="AL214" s="18"/>
      <c r="AM214" s="18"/>
      <c r="AN214" s="18"/>
      <c r="AO214" s="18"/>
      <c r="AP214" s="18"/>
      <c r="AQ214" s="18"/>
      <c r="AR214" s="18"/>
      <c r="AS214" s="18"/>
      <c r="AT214" s="18"/>
      <c r="AU214" s="18"/>
      <c r="AV214" s="18"/>
      <c r="AW214" s="18"/>
      <c r="AX214" s="18"/>
      <c r="AY214" s="18"/>
      <c r="AZ214" s="18"/>
      <c r="BA214" s="18"/>
      <c r="BB214" s="18"/>
      <c r="BC214" s="18"/>
      <c r="BD214" s="18"/>
      <c r="BE214" s="18"/>
      <c r="BF214" s="18"/>
      <c r="BG214" s="18"/>
      <c r="BH214" s="18"/>
      <c r="BI214" s="18"/>
      <c r="BJ214" s="18"/>
      <c r="BK214" s="18">
        <v>12121</v>
      </c>
    </row>
    <row r="215" spans="1:63" x14ac:dyDescent="0.3">
      <c r="B215" t="s">
        <v>770</v>
      </c>
      <c r="C215" t="s">
        <v>638</v>
      </c>
      <c r="D215" s="18">
        <v>4317.8999999999996</v>
      </c>
      <c r="E215" s="38">
        <v>-4317.8999999999996</v>
      </c>
      <c r="F215" s="18">
        <v>0</v>
      </c>
      <c r="O215" t="s">
        <v>447</v>
      </c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>
        <v>13723.8</v>
      </c>
      <c r="AC215" s="18"/>
      <c r="AD215" s="18"/>
      <c r="AE215" s="18"/>
      <c r="AF215" s="18"/>
      <c r="AG215" s="18"/>
      <c r="AH215" s="18"/>
      <c r="AI215" s="18"/>
      <c r="AJ215" s="18">
        <v>13723.8</v>
      </c>
      <c r="AK215" s="18"/>
      <c r="AL215" s="18"/>
      <c r="AM215" s="18"/>
      <c r="AN215" s="18"/>
      <c r="AO215" s="18"/>
      <c r="AP215" s="18"/>
      <c r="AQ215" s="18"/>
      <c r="AR215" s="18"/>
      <c r="AS215" s="18"/>
      <c r="AT215" s="18"/>
      <c r="AU215" s="18"/>
      <c r="AV215" s="18"/>
      <c r="AW215" s="18"/>
      <c r="AX215" s="18"/>
      <c r="AY215" s="18"/>
      <c r="AZ215" s="18"/>
      <c r="BA215" s="18"/>
      <c r="BB215" s="18"/>
      <c r="BC215" s="18"/>
      <c r="BD215" s="18"/>
      <c r="BE215" s="18"/>
      <c r="BF215" s="18"/>
      <c r="BG215" s="18"/>
      <c r="BH215" s="18"/>
      <c r="BI215" s="18"/>
      <c r="BJ215" s="18"/>
      <c r="BK215" s="18">
        <v>13723.8</v>
      </c>
    </row>
    <row r="216" spans="1:63" x14ac:dyDescent="0.3">
      <c r="B216" t="s">
        <v>775</v>
      </c>
      <c r="C216" t="s">
        <v>774</v>
      </c>
      <c r="D216" s="18">
        <v>8524.5</v>
      </c>
      <c r="E216" s="38">
        <v>-8524.5</v>
      </c>
      <c r="F216" s="18">
        <v>0</v>
      </c>
      <c r="O216" t="s">
        <v>450</v>
      </c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>
        <v>10019.200000000001</v>
      </c>
      <c r="AC216" s="18"/>
      <c r="AD216" s="18"/>
      <c r="AE216" s="18"/>
      <c r="AF216" s="18"/>
      <c r="AG216" s="18"/>
      <c r="AH216" s="18"/>
      <c r="AI216" s="18"/>
      <c r="AJ216" s="18">
        <v>10019.200000000001</v>
      </c>
      <c r="AK216" s="18"/>
      <c r="AL216" s="18"/>
      <c r="AM216" s="18"/>
      <c r="AN216" s="18"/>
      <c r="AO216" s="18"/>
      <c r="AP216" s="18"/>
      <c r="AQ216" s="18"/>
      <c r="AR216" s="18"/>
      <c r="AS216" s="18"/>
      <c r="AT216" s="18"/>
      <c r="AU216" s="18"/>
      <c r="AV216" s="18"/>
      <c r="AW216" s="18"/>
      <c r="AX216" s="18"/>
      <c r="AY216" s="18"/>
      <c r="AZ216" s="18"/>
      <c r="BA216" s="18"/>
      <c r="BB216" s="18"/>
      <c r="BC216" s="18"/>
      <c r="BD216" s="18"/>
      <c r="BE216" s="18"/>
      <c r="BF216" s="18"/>
      <c r="BG216" s="18"/>
      <c r="BH216" s="18"/>
      <c r="BI216" s="18"/>
      <c r="BJ216" s="18"/>
      <c r="BK216" s="18">
        <v>10019.200000000001</v>
      </c>
    </row>
    <row r="217" spans="1:63" x14ac:dyDescent="0.3">
      <c r="B217" t="s">
        <v>777</v>
      </c>
      <c r="C217" t="s">
        <v>43</v>
      </c>
      <c r="D217" s="18">
        <v>100</v>
      </c>
      <c r="E217" s="38">
        <v>-100</v>
      </c>
      <c r="F217" s="18">
        <v>0</v>
      </c>
      <c r="O217" t="s">
        <v>461</v>
      </c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>
        <v>2135</v>
      </c>
      <c r="AD217" s="18"/>
      <c r="AE217" s="18"/>
      <c r="AF217" s="18"/>
      <c r="AG217" s="18"/>
      <c r="AH217" s="18"/>
      <c r="AI217" s="18"/>
      <c r="AJ217" s="18">
        <v>2135</v>
      </c>
      <c r="AK217" s="18"/>
      <c r="AL217" s="18"/>
      <c r="AM217" s="18"/>
      <c r="AN217" s="18"/>
      <c r="AO217" s="18"/>
      <c r="AP217" s="18"/>
      <c r="AQ217" s="18"/>
      <c r="AR217" s="18"/>
      <c r="AS217" s="18"/>
      <c r="AT217" s="18"/>
      <c r="AU217" s="18"/>
      <c r="AV217" s="18"/>
      <c r="AW217" s="18"/>
      <c r="AX217" s="18"/>
      <c r="AY217" s="18"/>
      <c r="AZ217" s="18"/>
      <c r="BA217" s="18"/>
      <c r="BB217" s="18"/>
      <c r="BC217" s="18"/>
      <c r="BD217" s="18"/>
      <c r="BE217" s="18"/>
      <c r="BF217" s="18"/>
      <c r="BG217" s="18"/>
      <c r="BH217" s="18"/>
      <c r="BI217" s="18"/>
      <c r="BJ217" s="18"/>
      <c r="BK217" s="18">
        <v>2135</v>
      </c>
    </row>
    <row r="218" spans="1:63" x14ac:dyDescent="0.3">
      <c r="B218" t="s">
        <v>778</v>
      </c>
      <c r="C218" t="s">
        <v>410</v>
      </c>
      <c r="D218" s="18">
        <v>10369.5</v>
      </c>
      <c r="E218" s="38">
        <v>-10369.5</v>
      </c>
      <c r="F218" s="18">
        <v>0</v>
      </c>
      <c r="O218" t="s">
        <v>466</v>
      </c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>
        <v>14253</v>
      </c>
      <c r="AD218" s="18"/>
      <c r="AE218" s="18"/>
      <c r="AF218" s="18"/>
      <c r="AG218" s="18"/>
      <c r="AH218" s="18"/>
      <c r="AI218" s="18"/>
      <c r="AJ218" s="18">
        <v>14253</v>
      </c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  <c r="AU218" s="18"/>
      <c r="AV218" s="18"/>
      <c r="AW218" s="18"/>
      <c r="AX218" s="18"/>
      <c r="AY218" s="18"/>
      <c r="AZ218" s="18"/>
      <c r="BA218" s="18"/>
      <c r="BB218" s="18"/>
      <c r="BC218" s="18"/>
      <c r="BD218" s="18"/>
      <c r="BE218" s="18"/>
      <c r="BF218" s="18"/>
      <c r="BG218" s="18"/>
      <c r="BH218" s="18"/>
      <c r="BI218" s="18"/>
      <c r="BJ218" s="18"/>
      <c r="BK218" s="18">
        <v>14253</v>
      </c>
    </row>
    <row r="219" spans="1:63" x14ac:dyDescent="0.3">
      <c r="B219" t="s">
        <v>780</v>
      </c>
      <c r="C219" t="s">
        <v>20</v>
      </c>
      <c r="D219" s="18">
        <v>7336</v>
      </c>
      <c r="E219" s="38">
        <v>-7336</v>
      </c>
      <c r="F219" s="18">
        <v>0</v>
      </c>
      <c r="O219" t="s">
        <v>508</v>
      </c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18">
        <v>12144</v>
      </c>
      <c r="AE219" s="18"/>
      <c r="AF219" s="18"/>
      <c r="AG219" s="18"/>
      <c r="AH219" s="18"/>
      <c r="AI219" s="18"/>
      <c r="AJ219" s="18">
        <v>12144</v>
      </c>
      <c r="AK219" s="18"/>
      <c r="AL219" s="18"/>
      <c r="AM219" s="18"/>
      <c r="AN219" s="18"/>
      <c r="AO219" s="18"/>
      <c r="AP219" s="18"/>
      <c r="AQ219" s="18"/>
      <c r="AR219" s="18"/>
      <c r="AS219" s="18"/>
      <c r="AT219" s="18"/>
      <c r="AU219" s="18"/>
      <c r="AV219" s="18"/>
      <c r="AW219" s="18"/>
      <c r="AX219" s="18"/>
      <c r="AY219" s="18"/>
      <c r="AZ219" s="18"/>
      <c r="BA219" s="18"/>
      <c r="BB219" s="18"/>
      <c r="BC219" s="18"/>
      <c r="BD219" s="18"/>
      <c r="BE219" s="18"/>
      <c r="BF219" s="18"/>
      <c r="BG219" s="18"/>
      <c r="BH219" s="18"/>
      <c r="BI219" s="18"/>
      <c r="BJ219" s="18"/>
      <c r="BK219" s="18">
        <v>12144</v>
      </c>
    </row>
    <row r="220" spans="1:63" x14ac:dyDescent="0.3">
      <c r="B220" t="s">
        <v>781</v>
      </c>
      <c r="C220" t="s">
        <v>410</v>
      </c>
      <c r="D220" s="18">
        <v>8417</v>
      </c>
      <c r="E220" s="38">
        <v>-8417</v>
      </c>
      <c r="F220" s="18">
        <v>0</v>
      </c>
      <c r="O220" t="s">
        <v>536</v>
      </c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/>
      <c r="AD220" s="18">
        <v>10120</v>
      </c>
      <c r="AE220" s="18"/>
      <c r="AF220" s="18"/>
      <c r="AG220" s="18"/>
      <c r="AH220" s="18"/>
      <c r="AI220" s="18"/>
      <c r="AJ220" s="18">
        <v>10120</v>
      </c>
      <c r="AK220" s="18"/>
      <c r="AL220" s="18"/>
      <c r="AM220" s="18"/>
      <c r="AN220" s="18"/>
      <c r="AO220" s="18"/>
      <c r="AP220" s="18"/>
      <c r="AQ220" s="18"/>
      <c r="AR220" s="18"/>
      <c r="AS220" s="18"/>
      <c r="AT220" s="18"/>
      <c r="AU220" s="18"/>
      <c r="AV220" s="18"/>
      <c r="AW220" s="18"/>
      <c r="AX220" s="18"/>
      <c r="AY220" s="18"/>
      <c r="AZ220" s="18"/>
      <c r="BA220" s="18"/>
      <c r="BB220" s="18"/>
      <c r="BC220" s="18"/>
      <c r="BD220" s="18"/>
      <c r="BE220" s="18"/>
      <c r="BF220" s="18"/>
      <c r="BG220" s="18"/>
      <c r="BH220" s="18"/>
      <c r="BI220" s="18"/>
      <c r="BJ220" s="18"/>
      <c r="BK220" s="18">
        <v>10120</v>
      </c>
    </row>
    <row r="221" spans="1:63" x14ac:dyDescent="0.3">
      <c r="B221" t="s">
        <v>782</v>
      </c>
      <c r="C221" t="s">
        <v>492</v>
      </c>
      <c r="D221" s="18">
        <v>3484</v>
      </c>
      <c r="E221" s="38">
        <v>-3484</v>
      </c>
      <c r="F221" s="18">
        <v>0</v>
      </c>
      <c r="O221" t="s">
        <v>553</v>
      </c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  <c r="AK221" s="18"/>
      <c r="AL221" s="18"/>
      <c r="AM221" s="18"/>
      <c r="AN221" s="18"/>
      <c r="AO221" s="18"/>
      <c r="AP221" s="18"/>
      <c r="AQ221" s="18"/>
      <c r="AR221" s="18">
        <v>15346</v>
      </c>
      <c r="AS221" s="18"/>
      <c r="AT221" s="18"/>
      <c r="AU221" s="18"/>
      <c r="AV221" s="18"/>
      <c r="AW221" s="18">
        <v>15346</v>
      </c>
      <c r="AX221" s="18"/>
      <c r="AY221" s="18"/>
      <c r="AZ221" s="18"/>
      <c r="BA221" s="18"/>
      <c r="BB221" s="18"/>
      <c r="BC221" s="18"/>
      <c r="BD221" s="18"/>
      <c r="BE221" s="18"/>
      <c r="BF221" s="18"/>
      <c r="BG221" s="18"/>
      <c r="BH221" s="18"/>
      <c r="BI221" s="18"/>
      <c r="BJ221" s="18"/>
      <c r="BK221" s="18">
        <v>15346</v>
      </c>
    </row>
    <row r="222" spans="1:63" x14ac:dyDescent="0.3">
      <c r="B222" t="s">
        <v>784</v>
      </c>
      <c r="C222" t="s">
        <v>410</v>
      </c>
      <c r="D222" s="18">
        <v>13110</v>
      </c>
      <c r="E222" s="38">
        <v>-13110</v>
      </c>
      <c r="F222" s="18">
        <v>0</v>
      </c>
      <c r="O222" t="s">
        <v>568</v>
      </c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  <c r="AJ222" s="18"/>
      <c r="AK222" s="18"/>
      <c r="AL222" s="18"/>
      <c r="AM222" s="18"/>
      <c r="AN222" s="18"/>
      <c r="AO222" s="18"/>
      <c r="AP222" s="18"/>
      <c r="AQ222" s="18"/>
      <c r="AR222" s="18">
        <v>13474</v>
      </c>
      <c r="AS222" s="18"/>
      <c r="AT222" s="18"/>
      <c r="AU222" s="18"/>
      <c r="AV222" s="18"/>
      <c r="AW222" s="18">
        <v>13474</v>
      </c>
      <c r="AX222" s="18"/>
      <c r="AY222" s="18"/>
      <c r="AZ222" s="18"/>
      <c r="BA222" s="18"/>
      <c r="BB222" s="18"/>
      <c r="BC222" s="18"/>
      <c r="BD222" s="18"/>
      <c r="BE222" s="18"/>
      <c r="BF222" s="18"/>
      <c r="BG222" s="18"/>
      <c r="BH222" s="18"/>
      <c r="BI222" s="18"/>
      <c r="BJ222" s="18"/>
      <c r="BK222" s="18">
        <v>13474</v>
      </c>
    </row>
    <row r="223" spans="1:63" x14ac:dyDescent="0.3">
      <c r="B223" t="s">
        <v>789</v>
      </c>
      <c r="C223" t="s">
        <v>785</v>
      </c>
      <c r="D223" s="18">
        <v>1239.5999999999999</v>
      </c>
      <c r="E223" s="38">
        <v>-1239.5999999999999</v>
      </c>
      <c r="F223" s="18">
        <v>0</v>
      </c>
      <c r="O223" t="s">
        <v>604</v>
      </c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  <c r="AD223" s="18"/>
      <c r="AE223" s="18"/>
      <c r="AF223" s="18"/>
      <c r="AG223" s="18"/>
      <c r="AH223" s="18"/>
      <c r="AI223" s="18"/>
      <c r="AJ223" s="18"/>
      <c r="AK223" s="18"/>
      <c r="AL223" s="18"/>
      <c r="AM223" s="18"/>
      <c r="AN223" s="18"/>
      <c r="AO223" s="18"/>
      <c r="AP223" s="18"/>
      <c r="AQ223" s="18"/>
      <c r="AR223" s="18"/>
      <c r="AS223" s="18">
        <v>14395</v>
      </c>
      <c r="AT223" s="18"/>
      <c r="AU223" s="18"/>
      <c r="AV223" s="18"/>
      <c r="AW223" s="18">
        <v>14395</v>
      </c>
      <c r="AX223" s="18"/>
      <c r="AY223" s="18"/>
      <c r="AZ223" s="18"/>
      <c r="BA223" s="18"/>
      <c r="BB223" s="18"/>
      <c r="BC223" s="18"/>
      <c r="BD223" s="18"/>
      <c r="BE223" s="18"/>
      <c r="BF223" s="18"/>
      <c r="BG223" s="18"/>
      <c r="BH223" s="18"/>
      <c r="BI223" s="18"/>
      <c r="BJ223" s="18"/>
      <c r="BK223" s="18">
        <v>14395</v>
      </c>
    </row>
    <row r="224" spans="1:63" x14ac:dyDescent="0.3">
      <c r="B224" t="s">
        <v>790</v>
      </c>
      <c r="C224" t="s">
        <v>410</v>
      </c>
      <c r="D224" s="18">
        <v>13110</v>
      </c>
      <c r="E224" s="38">
        <v>-13110</v>
      </c>
      <c r="F224" s="18">
        <v>0</v>
      </c>
      <c r="O224" t="s">
        <v>636</v>
      </c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  <c r="AD224" s="18"/>
      <c r="AE224" s="18"/>
      <c r="AF224" s="18"/>
      <c r="AG224" s="18"/>
      <c r="AH224" s="18"/>
      <c r="AI224" s="18"/>
      <c r="AJ224" s="18"/>
      <c r="AK224" s="18"/>
      <c r="AL224" s="18"/>
      <c r="AM224" s="18"/>
      <c r="AN224" s="18"/>
      <c r="AO224" s="18"/>
      <c r="AP224" s="18"/>
      <c r="AQ224" s="18"/>
      <c r="AR224" s="18"/>
      <c r="AS224" s="18"/>
      <c r="AT224" s="18">
        <v>15280</v>
      </c>
      <c r="AU224" s="18"/>
      <c r="AV224" s="18"/>
      <c r="AW224" s="18">
        <v>15280</v>
      </c>
      <c r="AX224" s="18"/>
      <c r="AY224" s="18"/>
      <c r="AZ224" s="18"/>
      <c r="BA224" s="18"/>
      <c r="BB224" s="18"/>
      <c r="BC224" s="18"/>
      <c r="BD224" s="18"/>
      <c r="BE224" s="18"/>
      <c r="BF224" s="18"/>
      <c r="BG224" s="18"/>
      <c r="BH224" s="18"/>
      <c r="BI224" s="18"/>
      <c r="BJ224" s="18"/>
      <c r="BK224" s="18">
        <v>15280</v>
      </c>
    </row>
    <row r="225" spans="1:63" x14ac:dyDescent="0.3">
      <c r="B225" t="s">
        <v>791</v>
      </c>
      <c r="C225" t="s">
        <v>62</v>
      </c>
      <c r="D225" s="18">
        <v>14715</v>
      </c>
      <c r="E225" s="38">
        <v>-14715</v>
      </c>
      <c r="F225" s="18">
        <v>0</v>
      </c>
      <c r="O225" t="s">
        <v>648</v>
      </c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/>
      <c r="AF225" s="18"/>
      <c r="AG225" s="18"/>
      <c r="AH225" s="18"/>
      <c r="AI225" s="18"/>
      <c r="AJ225" s="18"/>
      <c r="AK225" s="18"/>
      <c r="AL225" s="18"/>
      <c r="AM225" s="18"/>
      <c r="AN225" s="18"/>
      <c r="AO225" s="18"/>
      <c r="AP225" s="18"/>
      <c r="AQ225" s="18"/>
      <c r="AR225" s="18"/>
      <c r="AS225" s="18"/>
      <c r="AT225" s="18">
        <v>14185</v>
      </c>
      <c r="AU225" s="18"/>
      <c r="AV225" s="18"/>
      <c r="AW225" s="18">
        <v>14185</v>
      </c>
      <c r="AX225" s="18"/>
      <c r="AY225" s="18"/>
      <c r="AZ225" s="18"/>
      <c r="BA225" s="18"/>
      <c r="BB225" s="18"/>
      <c r="BC225" s="18"/>
      <c r="BD225" s="18"/>
      <c r="BE225" s="18"/>
      <c r="BF225" s="18"/>
      <c r="BG225" s="18"/>
      <c r="BH225" s="18"/>
      <c r="BI225" s="18"/>
      <c r="BJ225" s="18"/>
      <c r="BK225" s="18">
        <v>14185</v>
      </c>
    </row>
    <row r="226" spans="1:63" x14ac:dyDescent="0.3">
      <c r="B226" t="s">
        <v>794</v>
      </c>
      <c r="C226" t="s">
        <v>410</v>
      </c>
      <c r="D226" s="18">
        <v>6750</v>
      </c>
      <c r="E226" s="38">
        <v>-6750</v>
      </c>
      <c r="F226" s="18">
        <v>0</v>
      </c>
      <c r="O226" t="s">
        <v>724</v>
      </c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/>
      <c r="AF226" s="18"/>
      <c r="AG226" s="18"/>
      <c r="AH226" s="18"/>
      <c r="AI226" s="18"/>
      <c r="AJ226" s="18"/>
      <c r="AK226" s="18"/>
      <c r="AL226" s="18"/>
      <c r="AM226" s="18"/>
      <c r="AN226" s="18"/>
      <c r="AO226" s="18"/>
      <c r="AP226" s="18"/>
      <c r="AQ226" s="18"/>
      <c r="AR226" s="18"/>
      <c r="AS226" s="18"/>
      <c r="AT226" s="18"/>
      <c r="AU226" s="18">
        <v>11160</v>
      </c>
      <c r="AV226" s="18"/>
      <c r="AW226" s="18">
        <v>11160</v>
      </c>
      <c r="AX226" s="18"/>
      <c r="AY226" s="18"/>
      <c r="AZ226" s="18"/>
      <c r="BA226" s="18"/>
      <c r="BB226" s="18"/>
      <c r="BC226" s="18"/>
      <c r="BD226" s="18"/>
      <c r="BE226" s="18"/>
      <c r="BF226" s="18"/>
      <c r="BG226" s="18"/>
      <c r="BH226" s="18"/>
      <c r="BI226" s="18"/>
      <c r="BJ226" s="18"/>
      <c r="BK226" s="18">
        <v>11160</v>
      </c>
    </row>
    <row r="227" spans="1:63" x14ac:dyDescent="0.3">
      <c r="B227" t="s">
        <v>795</v>
      </c>
      <c r="C227" t="s">
        <v>401</v>
      </c>
      <c r="D227" s="18">
        <v>6201.1</v>
      </c>
      <c r="E227" s="38">
        <v>-6201.1</v>
      </c>
      <c r="F227" s="18">
        <v>0</v>
      </c>
      <c r="O227" t="s">
        <v>791</v>
      </c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/>
      <c r="AH227" s="18"/>
      <c r="AI227" s="18"/>
      <c r="AJ227" s="18"/>
      <c r="AK227" s="18"/>
      <c r="AL227" s="18"/>
      <c r="AM227" s="18"/>
      <c r="AN227" s="18"/>
      <c r="AO227" s="18"/>
      <c r="AP227" s="18"/>
      <c r="AQ227" s="18"/>
      <c r="AR227" s="18"/>
      <c r="AS227" s="18"/>
      <c r="AT227" s="18"/>
      <c r="AU227" s="18"/>
      <c r="AV227" s="18">
        <v>14715</v>
      </c>
      <c r="AW227" s="18">
        <v>14715</v>
      </c>
      <c r="AX227" s="18"/>
      <c r="AY227" s="18"/>
      <c r="AZ227" s="18"/>
      <c r="BA227" s="18"/>
      <c r="BB227" s="18"/>
      <c r="BC227" s="18"/>
      <c r="BD227" s="18"/>
      <c r="BE227" s="18"/>
      <c r="BF227" s="18"/>
      <c r="BG227" s="18"/>
      <c r="BH227" s="18"/>
      <c r="BI227" s="18"/>
      <c r="BJ227" s="18"/>
      <c r="BK227" s="18">
        <v>14715</v>
      </c>
    </row>
    <row r="228" spans="1:63" x14ac:dyDescent="0.3">
      <c r="B228" t="s">
        <v>796</v>
      </c>
      <c r="C228" t="s">
        <v>23</v>
      </c>
      <c r="D228" s="18">
        <v>10120</v>
      </c>
      <c r="E228" s="38">
        <v>-10120</v>
      </c>
      <c r="F228" s="18">
        <v>0</v>
      </c>
      <c r="O228" t="s">
        <v>832</v>
      </c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/>
      <c r="AI228" s="18"/>
      <c r="AJ228" s="18"/>
      <c r="AK228" s="18">
        <v>12690</v>
      </c>
      <c r="AL228" s="18"/>
      <c r="AM228" s="18"/>
      <c r="AN228" s="18"/>
      <c r="AO228" s="18"/>
      <c r="AP228" s="18"/>
      <c r="AQ228" s="18"/>
      <c r="AR228" s="18"/>
      <c r="AS228" s="18"/>
      <c r="AT228" s="18"/>
      <c r="AU228" s="18"/>
      <c r="AV228" s="18"/>
      <c r="AW228" s="18">
        <v>12690</v>
      </c>
      <c r="AX228" s="18"/>
      <c r="AY228" s="18"/>
      <c r="AZ228" s="18"/>
      <c r="BA228" s="18"/>
      <c r="BB228" s="18"/>
      <c r="BC228" s="18"/>
      <c r="BD228" s="18"/>
      <c r="BE228" s="18"/>
      <c r="BF228" s="18"/>
      <c r="BG228" s="18"/>
      <c r="BH228" s="18"/>
      <c r="BI228" s="18"/>
      <c r="BJ228" s="18"/>
      <c r="BK228" s="18">
        <v>12690</v>
      </c>
    </row>
    <row r="229" spans="1:63" x14ac:dyDescent="0.3">
      <c r="B229" t="s">
        <v>797</v>
      </c>
      <c r="C229" t="s">
        <v>410</v>
      </c>
      <c r="D229" s="18">
        <v>14068</v>
      </c>
      <c r="E229" s="38">
        <v>-14068</v>
      </c>
      <c r="F229" s="18">
        <v>0</v>
      </c>
      <c r="O229" t="s">
        <v>848</v>
      </c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  <c r="AH229" s="18"/>
      <c r="AI229" s="18"/>
      <c r="AJ229" s="18"/>
      <c r="AK229" s="18">
        <v>18515</v>
      </c>
      <c r="AL229" s="18"/>
      <c r="AM229" s="18"/>
      <c r="AN229" s="18"/>
      <c r="AO229" s="18"/>
      <c r="AP229" s="18"/>
      <c r="AQ229" s="18"/>
      <c r="AR229" s="18"/>
      <c r="AS229" s="18"/>
      <c r="AT229" s="18"/>
      <c r="AU229" s="18"/>
      <c r="AV229" s="18"/>
      <c r="AW229" s="18">
        <v>18515</v>
      </c>
      <c r="AX229" s="18"/>
      <c r="AY229" s="18"/>
      <c r="AZ229" s="18"/>
      <c r="BA229" s="18"/>
      <c r="BB229" s="18"/>
      <c r="BC229" s="18"/>
      <c r="BD229" s="18"/>
      <c r="BE229" s="18"/>
      <c r="BF229" s="18"/>
      <c r="BG229" s="18"/>
      <c r="BH229" s="18"/>
      <c r="BI229" s="18"/>
      <c r="BJ229" s="18"/>
      <c r="BK229" s="18">
        <v>18515</v>
      </c>
    </row>
    <row r="230" spans="1:63" x14ac:dyDescent="0.3">
      <c r="B230" t="s">
        <v>798</v>
      </c>
      <c r="C230" t="s">
        <v>492</v>
      </c>
      <c r="D230" s="18">
        <v>3241</v>
      </c>
      <c r="E230" s="38">
        <v>-3241</v>
      </c>
      <c r="F230" s="18">
        <v>0</v>
      </c>
      <c r="O230" t="s">
        <v>871</v>
      </c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  <c r="AD230" s="18"/>
      <c r="AE230" s="18"/>
      <c r="AF230" s="18"/>
      <c r="AG230" s="18"/>
      <c r="AH230" s="18"/>
      <c r="AI230" s="18"/>
      <c r="AJ230" s="18"/>
      <c r="AK230" s="18"/>
      <c r="AL230" s="18">
        <v>13445</v>
      </c>
      <c r="AM230" s="18"/>
      <c r="AN230" s="18"/>
      <c r="AO230" s="18"/>
      <c r="AP230" s="18"/>
      <c r="AQ230" s="18"/>
      <c r="AR230" s="18"/>
      <c r="AS230" s="18"/>
      <c r="AT230" s="18"/>
      <c r="AU230" s="18"/>
      <c r="AV230" s="18"/>
      <c r="AW230" s="18">
        <v>13445</v>
      </c>
      <c r="AX230" s="18"/>
      <c r="AY230" s="18"/>
      <c r="AZ230" s="18"/>
      <c r="BA230" s="18"/>
      <c r="BB230" s="18"/>
      <c r="BC230" s="18"/>
      <c r="BD230" s="18"/>
      <c r="BE230" s="18"/>
      <c r="BF230" s="18"/>
      <c r="BG230" s="18"/>
      <c r="BH230" s="18"/>
      <c r="BI230" s="18"/>
      <c r="BJ230" s="18"/>
      <c r="BK230" s="18">
        <v>13445</v>
      </c>
    </row>
    <row r="231" spans="1:63" x14ac:dyDescent="0.3">
      <c r="A231" s="17" t="s">
        <v>331</v>
      </c>
      <c r="B231" s="17"/>
      <c r="C231" s="17"/>
      <c r="D231" s="19">
        <v>161862.6</v>
      </c>
      <c r="E231" s="39">
        <v>-161862.6</v>
      </c>
      <c r="F231" s="19">
        <v>0</v>
      </c>
      <c r="O231" t="s">
        <v>913</v>
      </c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  <c r="AE231" s="18"/>
      <c r="AF231" s="18"/>
      <c r="AG231" s="18"/>
      <c r="AH231" s="18"/>
      <c r="AI231" s="18"/>
      <c r="AJ231" s="18"/>
      <c r="AK231" s="18"/>
      <c r="AL231" s="18"/>
      <c r="AM231" s="18">
        <v>15671</v>
      </c>
      <c r="AN231" s="18"/>
      <c r="AO231" s="18"/>
      <c r="AP231" s="18"/>
      <c r="AQ231" s="18"/>
      <c r="AR231" s="18"/>
      <c r="AS231" s="18"/>
      <c r="AT231" s="18"/>
      <c r="AU231" s="18"/>
      <c r="AV231" s="18"/>
      <c r="AW231" s="18">
        <v>15671</v>
      </c>
      <c r="AX231" s="18"/>
      <c r="AY231" s="18"/>
      <c r="AZ231" s="18"/>
      <c r="BA231" s="18"/>
      <c r="BB231" s="18"/>
      <c r="BC231" s="18"/>
      <c r="BD231" s="18"/>
      <c r="BE231" s="18"/>
      <c r="BF231" s="18"/>
      <c r="BG231" s="18"/>
      <c r="BH231" s="18"/>
      <c r="BI231" s="18"/>
      <c r="BJ231" s="18"/>
      <c r="BK231" s="18">
        <v>15671</v>
      </c>
    </row>
    <row r="232" spans="1:63" x14ac:dyDescent="0.3">
      <c r="A232" t="s">
        <v>131</v>
      </c>
      <c r="D232" s="18">
        <v>1503039.1</v>
      </c>
      <c r="E232" s="38">
        <v>-1503038.9000000004</v>
      </c>
      <c r="F232" s="18">
        <v>0.20000000000004547</v>
      </c>
      <c r="O232" t="s">
        <v>948</v>
      </c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  <c r="AD232" s="18"/>
      <c r="AE232" s="18"/>
      <c r="AF232" s="18"/>
      <c r="AG232" s="18"/>
      <c r="AH232" s="18"/>
      <c r="AI232" s="18"/>
      <c r="AJ232" s="18"/>
      <c r="AK232" s="18"/>
      <c r="AL232" s="18"/>
      <c r="AM232" s="18"/>
      <c r="AN232" s="18">
        <v>11757.5</v>
      </c>
      <c r="AO232" s="18"/>
      <c r="AP232" s="18"/>
      <c r="AQ232" s="18"/>
      <c r="AR232" s="18"/>
      <c r="AS232" s="18"/>
      <c r="AT232" s="18"/>
      <c r="AU232" s="18"/>
      <c r="AV232" s="18"/>
      <c r="AW232" s="18">
        <v>11757.5</v>
      </c>
      <c r="AX232" s="18"/>
      <c r="AY232" s="18"/>
      <c r="AZ232" s="18"/>
      <c r="BA232" s="18"/>
      <c r="BB232" s="18"/>
      <c r="BC232" s="18"/>
      <c r="BD232" s="18"/>
      <c r="BE232" s="18"/>
      <c r="BF232" s="18"/>
      <c r="BG232" s="18"/>
      <c r="BH232" s="18"/>
      <c r="BI232" s="18"/>
      <c r="BJ232" s="18"/>
      <c r="BK232" s="18">
        <v>11757.5</v>
      </c>
    </row>
    <row r="233" spans="1:63" x14ac:dyDescent="0.3">
      <c r="O233" t="s">
        <v>987</v>
      </c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  <c r="AD233" s="18"/>
      <c r="AE233" s="18"/>
      <c r="AF233" s="18"/>
      <c r="AG233" s="18"/>
      <c r="AH233" s="18"/>
      <c r="AI233" s="18"/>
      <c r="AJ233" s="18"/>
      <c r="AK233" s="18"/>
      <c r="AL233" s="18"/>
      <c r="AM233" s="18"/>
      <c r="AN233" s="18"/>
      <c r="AO233" s="18">
        <v>13065</v>
      </c>
      <c r="AP233" s="18"/>
      <c r="AQ233" s="18"/>
      <c r="AR233" s="18"/>
      <c r="AS233" s="18"/>
      <c r="AT233" s="18"/>
      <c r="AU233" s="18"/>
      <c r="AV233" s="18"/>
      <c r="AW233" s="18">
        <v>13065</v>
      </c>
      <c r="AX233" s="18"/>
      <c r="AY233" s="18"/>
      <c r="AZ233" s="18"/>
      <c r="BA233" s="18"/>
      <c r="BB233" s="18"/>
      <c r="BC233" s="18"/>
      <c r="BD233" s="18"/>
      <c r="BE233" s="18"/>
      <c r="BF233" s="18"/>
      <c r="BG233" s="18"/>
      <c r="BH233" s="18"/>
      <c r="BI233" s="18"/>
      <c r="BJ233" s="18"/>
      <c r="BK233" s="18">
        <v>13065</v>
      </c>
    </row>
    <row r="234" spans="1:63" x14ac:dyDescent="0.3">
      <c r="O234" t="s">
        <v>1002</v>
      </c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  <c r="AD234" s="18"/>
      <c r="AE234" s="18"/>
      <c r="AF234" s="18"/>
      <c r="AG234" s="18"/>
      <c r="AH234" s="18"/>
      <c r="AI234" s="18"/>
      <c r="AJ234" s="18"/>
      <c r="AK234" s="18"/>
      <c r="AL234" s="18"/>
      <c r="AM234" s="18"/>
      <c r="AN234" s="18"/>
      <c r="AO234" s="18">
        <v>11480</v>
      </c>
      <c r="AP234" s="18"/>
      <c r="AQ234" s="18"/>
      <c r="AR234" s="18"/>
      <c r="AS234" s="18"/>
      <c r="AT234" s="18"/>
      <c r="AU234" s="18"/>
      <c r="AV234" s="18"/>
      <c r="AW234" s="18">
        <v>11480</v>
      </c>
      <c r="AX234" s="18"/>
      <c r="AY234" s="18"/>
      <c r="AZ234" s="18"/>
      <c r="BA234" s="18"/>
      <c r="BB234" s="18"/>
      <c r="BC234" s="18"/>
      <c r="BD234" s="18"/>
      <c r="BE234" s="18"/>
      <c r="BF234" s="18"/>
      <c r="BG234" s="18"/>
      <c r="BH234" s="18"/>
      <c r="BI234" s="18"/>
      <c r="BJ234" s="18"/>
      <c r="BK234" s="18">
        <v>11480</v>
      </c>
    </row>
    <row r="235" spans="1:63" x14ac:dyDescent="0.3">
      <c r="O235" t="s">
        <v>1006</v>
      </c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  <c r="AD235" s="18"/>
      <c r="AE235" s="18"/>
      <c r="AF235" s="18"/>
      <c r="AG235" s="18"/>
      <c r="AH235" s="18"/>
      <c r="AI235" s="18"/>
      <c r="AJ235" s="18"/>
      <c r="AK235" s="18"/>
      <c r="AL235" s="18"/>
      <c r="AM235" s="18"/>
      <c r="AN235" s="18"/>
      <c r="AO235" s="18">
        <v>395</v>
      </c>
      <c r="AP235" s="18"/>
      <c r="AQ235" s="18"/>
      <c r="AR235" s="18"/>
      <c r="AS235" s="18"/>
      <c r="AT235" s="18"/>
      <c r="AU235" s="18"/>
      <c r="AV235" s="18"/>
      <c r="AW235" s="18">
        <v>395</v>
      </c>
      <c r="AX235" s="18"/>
      <c r="AY235" s="18"/>
      <c r="AZ235" s="18"/>
      <c r="BA235" s="18"/>
      <c r="BB235" s="18"/>
      <c r="BC235" s="18"/>
      <c r="BD235" s="18"/>
      <c r="BE235" s="18"/>
      <c r="BF235" s="18"/>
      <c r="BG235" s="18"/>
      <c r="BH235" s="18"/>
      <c r="BI235" s="18"/>
      <c r="BJ235" s="18"/>
      <c r="BK235" s="18">
        <v>395</v>
      </c>
    </row>
    <row r="236" spans="1:63" x14ac:dyDescent="0.3">
      <c r="O236" t="s">
        <v>1048</v>
      </c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E236" s="18"/>
      <c r="AF236" s="18"/>
      <c r="AG236" s="18"/>
      <c r="AH236" s="18"/>
      <c r="AI236" s="18"/>
      <c r="AJ236" s="18"/>
      <c r="AK236" s="18"/>
      <c r="AL236" s="18"/>
      <c r="AM236" s="18"/>
      <c r="AN236" s="18"/>
      <c r="AO236" s="18"/>
      <c r="AP236" s="18">
        <v>11260</v>
      </c>
      <c r="AQ236" s="18"/>
      <c r="AR236" s="18"/>
      <c r="AS236" s="18"/>
      <c r="AT236" s="18"/>
      <c r="AU236" s="18"/>
      <c r="AV236" s="18"/>
      <c r="AW236" s="18">
        <v>11260</v>
      </c>
      <c r="AX236" s="18"/>
      <c r="AY236" s="18"/>
      <c r="AZ236" s="18"/>
      <c r="BA236" s="18"/>
      <c r="BB236" s="18"/>
      <c r="BC236" s="18"/>
      <c r="BD236" s="18"/>
      <c r="BE236" s="18"/>
      <c r="BF236" s="18"/>
      <c r="BG236" s="18"/>
      <c r="BH236" s="18"/>
      <c r="BI236" s="18"/>
      <c r="BJ236" s="18"/>
      <c r="BK236" s="18">
        <v>11260</v>
      </c>
    </row>
    <row r="237" spans="1:63" x14ac:dyDescent="0.3">
      <c r="O237" t="s">
        <v>1093</v>
      </c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18"/>
      <c r="AE237" s="18"/>
      <c r="AF237" s="18"/>
      <c r="AG237" s="18"/>
      <c r="AH237" s="18"/>
      <c r="AI237" s="18"/>
      <c r="AJ237" s="18"/>
      <c r="AK237" s="18"/>
      <c r="AL237" s="18"/>
      <c r="AM237" s="18"/>
      <c r="AN237" s="18"/>
      <c r="AO237" s="18"/>
      <c r="AP237" s="18">
        <v>11410.5</v>
      </c>
      <c r="AQ237" s="18"/>
      <c r="AR237" s="18"/>
      <c r="AS237" s="18"/>
      <c r="AT237" s="18"/>
      <c r="AU237" s="18"/>
      <c r="AV237" s="18"/>
      <c r="AW237" s="18">
        <v>11410.5</v>
      </c>
      <c r="AX237" s="18"/>
      <c r="AY237" s="18"/>
      <c r="AZ237" s="18"/>
      <c r="BA237" s="18"/>
      <c r="BB237" s="18"/>
      <c r="BC237" s="18"/>
      <c r="BD237" s="18"/>
      <c r="BE237" s="18"/>
      <c r="BF237" s="18"/>
      <c r="BG237" s="18"/>
      <c r="BH237" s="18"/>
      <c r="BI237" s="18"/>
      <c r="BJ237" s="18"/>
      <c r="BK237" s="18">
        <v>11410.5</v>
      </c>
    </row>
    <row r="238" spans="1:63" x14ac:dyDescent="0.3">
      <c r="O238" t="s">
        <v>1138</v>
      </c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/>
      <c r="AE238" s="18"/>
      <c r="AF238" s="18"/>
      <c r="AG238" s="18"/>
      <c r="AH238" s="18"/>
      <c r="AI238" s="18"/>
      <c r="AJ238" s="18"/>
      <c r="AK238" s="18"/>
      <c r="AL238" s="18"/>
      <c r="AM238" s="18"/>
      <c r="AN238" s="18"/>
      <c r="AO238" s="18"/>
      <c r="AP238" s="18"/>
      <c r="AQ238" s="18">
        <v>14227</v>
      </c>
      <c r="AR238" s="18"/>
      <c r="AS238" s="18"/>
      <c r="AT238" s="18"/>
      <c r="AU238" s="18"/>
      <c r="AV238" s="18"/>
      <c r="AW238" s="18">
        <v>14227</v>
      </c>
      <c r="AX238" s="18"/>
      <c r="AY238" s="18"/>
      <c r="AZ238" s="18"/>
      <c r="BA238" s="18"/>
      <c r="BB238" s="18"/>
      <c r="BC238" s="18"/>
      <c r="BD238" s="18"/>
      <c r="BE238" s="18"/>
      <c r="BF238" s="18"/>
      <c r="BG238" s="18"/>
      <c r="BH238" s="18"/>
      <c r="BI238" s="18"/>
      <c r="BJ238" s="18"/>
      <c r="BK238" s="18">
        <v>14227</v>
      </c>
    </row>
    <row r="239" spans="1:63" x14ac:dyDescent="0.3">
      <c r="O239" t="s">
        <v>1181</v>
      </c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/>
      <c r="AE239" s="18"/>
      <c r="AF239" s="18"/>
      <c r="AG239" s="18"/>
      <c r="AH239" s="18"/>
      <c r="AI239" s="18"/>
      <c r="AJ239" s="18"/>
      <c r="AK239" s="18"/>
      <c r="AL239" s="18"/>
      <c r="AM239" s="18"/>
      <c r="AN239" s="18"/>
      <c r="AO239" s="18"/>
      <c r="AP239" s="18"/>
      <c r="AQ239" s="18"/>
      <c r="AR239" s="18"/>
      <c r="AS239" s="18"/>
      <c r="AT239" s="18"/>
      <c r="AU239" s="18"/>
      <c r="AV239" s="18"/>
      <c r="AW239" s="18"/>
      <c r="AX239" s="18"/>
      <c r="AY239" s="18"/>
      <c r="AZ239" s="18"/>
      <c r="BA239" s="18"/>
      <c r="BB239" s="18"/>
      <c r="BC239" s="18"/>
      <c r="BD239" s="18"/>
      <c r="BE239" s="18">
        <v>14268</v>
      </c>
      <c r="BF239" s="18"/>
      <c r="BG239" s="18"/>
      <c r="BH239" s="18"/>
      <c r="BI239" s="18"/>
      <c r="BJ239" s="18">
        <v>14268</v>
      </c>
      <c r="BK239" s="18">
        <v>14268</v>
      </c>
    </row>
    <row r="240" spans="1:63" x14ac:dyDescent="0.3">
      <c r="O240" t="s">
        <v>1193</v>
      </c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  <c r="AK240" s="18"/>
      <c r="AL240" s="18"/>
      <c r="AM240" s="18"/>
      <c r="AN240" s="18"/>
      <c r="AO240" s="18"/>
      <c r="AP240" s="18"/>
      <c r="AQ240" s="18"/>
      <c r="AR240" s="18"/>
      <c r="AS240" s="18"/>
      <c r="AT240" s="18"/>
      <c r="AU240" s="18"/>
      <c r="AV240" s="18"/>
      <c r="AW240" s="18"/>
      <c r="AX240" s="18"/>
      <c r="AY240" s="18"/>
      <c r="AZ240" s="18"/>
      <c r="BA240" s="18"/>
      <c r="BB240" s="18"/>
      <c r="BC240" s="18"/>
      <c r="BD240" s="18"/>
      <c r="BE240" s="18">
        <v>17129</v>
      </c>
      <c r="BF240" s="18"/>
      <c r="BG240" s="18"/>
      <c r="BH240" s="18"/>
      <c r="BI240" s="18"/>
      <c r="BJ240" s="18">
        <v>17129</v>
      </c>
      <c r="BK240" s="18">
        <v>17129</v>
      </c>
    </row>
    <row r="241" spans="14:63" x14ac:dyDescent="0.3">
      <c r="O241" t="s">
        <v>1252</v>
      </c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  <c r="AJ241" s="18"/>
      <c r="AK241" s="18"/>
      <c r="AL241" s="18"/>
      <c r="AM241" s="18"/>
      <c r="AN241" s="18"/>
      <c r="AO241" s="18"/>
      <c r="AP241" s="18"/>
      <c r="AQ241" s="18"/>
      <c r="AR241" s="18"/>
      <c r="AS241" s="18"/>
      <c r="AT241" s="18"/>
      <c r="AU241" s="18"/>
      <c r="AV241" s="18"/>
      <c r="AW241" s="18"/>
      <c r="AX241" s="18"/>
      <c r="AY241" s="18"/>
      <c r="AZ241" s="18"/>
      <c r="BA241" s="18"/>
      <c r="BB241" s="18"/>
      <c r="BC241" s="18"/>
      <c r="BD241" s="18"/>
      <c r="BE241" s="18"/>
      <c r="BF241" s="18">
        <v>10765</v>
      </c>
      <c r="BG241" s="18"/>
      <c r="BH241" s="18"/>
      <c r="BI241" s="18"/>
      <c r="BJ241" s="18">
        <v>10765</v>
      </c>
      <c r="BK241" s="18">
        <v>10765</v>
      </c>
    </row>
    <row r="242" spans="14:63" x14ac:dyDescent="0.3">
      <c r="O242" t="s">
        <v>1334</v>
      </c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  <c r="AJ242" s="18"/>
      <c r="AK242" s="18"/>
      <c r="AL242" s="18"/>
      <c r="AM242" s="18"/>
      <c r="AN242" s="18"/>
      <c r="AO242" s="18"/>
      <c r="AP242" s="18"/>
      <c r="AQ242" s="18"/>
      <c r="AR242" s="18"/>
      <c r="AS242" s="18"/>
      <c r="AT242" s="18"/>
      <c r="AU242" s="18"/>
      <c r="AV242" s="18"/>
      <c r="AW242" s="18"/>
      <c r="AX242" s="18"/>
      <c r="AY242" s="18"/>
      <c r="AZ242" s="18"/>
      <c r="BA242" s="18"/>
      <c r="BB242" s="18"/>
      <c r="BC242" s="18"/>
      <c r="BD242" s="18"/>
      <c r="BE242" s="18"/>
      <c r="BF242" s="18"/>
      <c r="BG242" s="18">
        <v>12678</v>
      </c>
      <c r="BH242" s="18"/>
      <c r="BI242" s="18"/>
      <c r="BJ242" s="18">
        <v>12678</v>
      </c>
      <c r="BK242" s="18">
        <v>12678</v>
      </c>
    </row>
    <row r="243" spans="14:63" x14ac:dyDescent="0.3">
      <c r="O243" t="s">
        <v>1405</v>
      </c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  <c r="AK243" s="18"/>
      <c r="AL243" s="18"/>
      <c r="AM243" s="18"/>
      <c r="AN243" s="18"/>
      <c r="AO243" s="18"/>
      <c r="AP243" s="18"/>
      <c r="AQ243" s="18"/>
      <c r="AR243" s="18"/>
      <c r="AS243" s="18"/>
      <c r="AT243" s="18"/>
      <c r="AU243" s="18"/>
      <c r="AV243" s="18"/>
      <c r="AW243" s="18"/>
      <c r="AX243" s="18"/>
      <c r="AY243" s="18"/>
      <c r="AZ243" s="18"/>
      <c r="BA243" s="18"/>
      <c r="BB243" s="18"/>
      <c r="BC243" s="18"/>
      <c r="BD243" s="18"/>
      <c r="BE243" s="18"/>
      <c r="BF243" s="18"/>
      <c r="BG243" s="18"/>
      <c r="BH243" s="18">
        <v>13297.5</v>
      </c>
      <c r="BI243" s="18"/>
      <c r="BJ243" s="18">
        <v>13297.5</v>
      </c>
      <c r="BK243" s="18">
        <v>13297.5</v>
      </c>
    </row>
    <row r="244" spans="14:63" x14ac:dyDescent="0.3">
      <c r="O244" t="s">
        <v>1543</v>
      </c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  <c r="AK244" s="18"/>
      <c r="AL244" s="18"/>
      <c r="AM244" s="18"/>
      <c r="AN244" s="18"/>
      <c r="AO244" s="18"/>
      <c r="AP244" s="18"/>
      <c r="AQ244" s="18"/>
      <c r="AR244" s="18"/>
      <c r="AS244" s="18"/>
      <c r="AT244" s="18"/>
      <c r="AU244" s="18"/>
      <c r="AV244" s="18"/>
      <c r="AW244" s="18"/>
      <c r="AX244" s="18"/>
      <c r="AY244" s="18"/>
      <c r="AZ244" s="18"/>
      <c r="BA244" s="18"/>
      <c r="BB244" s="18"/>
      <c r="BC244" s="18"/>
      <c r="BD244" s="18"/>
      <c r="BE244" s="18"/>
      <c r="BF244" s="18"/>
      <c r="BG244" s="18"/>
      <c r="BH244" s="18"/>
      <c r="BI244" s="18">
        <v>11813</v>
      </c>
      <c r="BJ244" s="18">
        <v>11813</v>
      </c>
      <c r="BK244" s="18">
        <v>11813</v>
      </c>
    </row>
    <row r="245" spans="14:63" x14ac:dyDescent="0.3">
      <c r="O245" t="s">
        <v>1617</v>
      </c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18"/>
      <c r="AM245" s="18"/>
      <c r="AN245" s="18"/>
      <c r="AO245" s="18"/>
      <c r="AP245" s="18"/>
      <c r="AQ245" s="18"/>
      <c r="AR245" s="18"/>
      <c r="AS245" s="18"/>
      <c r="AT245" s="18"/>
      <c r="AU245" s="18"/>
      <c r="AV245" s="18"/>
      <c r="AW245" s="18"/>
      <c r="AX245" s="18">
        <v>13457</v>
      </c>
      <c r="AY245" s="18"/>
      <c r="AZ245" s="18"/>
      <c r="BA245" s="18"/>
      <c r="BB245" s="18"/>
      <c r="BC245" s="18"/>
      <c r="BD245" s="18"/>
      <c r="BE245" s="18"/>
      <c r="BF245" s="18"/>
      <c r="BG245" s="18"/>
      <c r="BH245" s="18"/>
      <c r="BI245" s="18"/>
      <c r="BJ245" s="18">
        <v>13457</v>
      </c>
      <c r="BK245" s="18">
        <v>13457</v>
      </c>
    </row>
    <row r="246" spans="14:63" x14ac:dyDescent="0.3">
      <c r="O246" t="s">
        <v>1717</v>
      </c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  <c r="AJ246" s="18"/>
      <c r="AK246" s="18"/>
      <c r="AL246" s="18"/>
      <c r="AM246" s="18"/>
      <c r="AN246" s="18"/>
      <c r="AO246" s="18"/>
      <c r="AP246" s="18"/>
      <c r="AQ246" s="18"/>
      <c r="AR246" s="18"/>
      <c r="AS246" s="18"/>
      <c r="AT246" s="18"/>
      <c r="AU246" s="18"/>
      <c r="AV246" s="18"/>
      <c r="AW246" s="18"/>
      <c r="AX246" s="18"/>
      <c r="AY246" s="18">
        <v>13666</v>
      </c>
      <c r="AZ246" s="18"/>
      <c r="BA246" s="18"/>
      <c r="BB246" s="18"/>
      <c r="BC246" s="18"/>
      <c r="BD246" s="18"/>
      <c r="BE246" s="18"/>
      <c r="BF246" s="18"/>
      <c r="BG246" s="18"/>
      <c r="BH246" s="18"/>
      <c r="BI246" s="18"/>
      <c r="BJ246" s="18">
        <v>13666</v>
      </c>
      <c r="BK246" s="18">
        <v>13666</v>
      </c>
    </row>
    <row r="247" spans="14:63" x14ac:dyDescent="0.3">
      <c r="O247" t="s">
        <v>1728</v>
      </c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  <c r="AJ247" s="18"/>
      <c r="AK247" s="18"/>
      <c r="AL247" s="18"/>
      <c r="AM247" s="18"/>
      <c r="AN247" s="18"/>
      <c r="AO247" s="18"/>
      <c r="AP247" s="18"/>
      <c r="AQ247" s="18"/>
      <c r="AR247" s="18"/>
      <c r="AS247" s="18"/>
      <c r="AT247" s="18"/>
      <c r="AU247" s="18"/>
      <c r="AV247" s="18"/>
      <c r="AW247" s="18"/>
      <c r="AX247" s="18"/>
      <c r="AY247" s="18">
        <v>11398.5</v>
      </c>
      <c r="AZ247" s="18"/>
      <c r="BA247" s="18"/>
      <c r="BB247" s="18"/>
      <c r="BC247" s="18"/>
      <c r="BD247" s="18"/>
      <c r="BE247" s="18"/>
      <c r="BF247" s="18"/>
      <c r="BG247" s="18"/>
      <c r="BH247" s="18"/>
      <c r="BI247" s="18"/>
      <c r="BJ247" s="18">
        <v>11398.5</v>
      </c>
      <c r="BK247" s="18">
        <v>11398.5</v>
      </c>
    </row>
    <row r="248" spans="14:63" x14ac:dyDescent="0.3">
      <c r="O248" t="s">
        <v>1796</v>
      </c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  <c r="AK248" s="18"/>
      <c r="AL248" s="18"/>
      <c r="AM248" s="18"/>
      <c r="AN248" s="18"/>
      <c r="AO248" s="18"/>
      <c r="AP248" s="18"/>
      <c r="AQ248" s="18"/>
      <c r="AR248" s="18"/>
      <c r="AS248" s="18"/>
      <c r="AT248" s="18"/>
      <c r="AU248" s="18"/>
      <c r="AV248" s="18"/>
      <c r="AW248" s="18"/>
      <c r="AX248" s="18"/>
      <c r="AY248" s="18"/>
      <c r="AZ248" s="18">
        <v>13533.5</v>
      </c>
      <c r="BA248" s="18"/>
      <c r="BB248" s="18"/>
      <c r="BC248" s="18"/>
      <c r="BD248" s="18"/>
      <c r="BE248" s="18"/>
      <c r="BF248" s="18"/>
      <c r="BG248" s="18"/>
      <c r="BH248" s="18"/>
      <c r="BI248" s="18"/>
      <c r="BJ248" s="18">
        <v>13533.5</v>
      </c>
      <c r="BK248" s="18">
        <v>13533.5</v>
      </c>
    </row>
    <row r="249" spans="14:63" x14ac:dyDescent="0.3">
      <c r="O249" t="s">
        <v>1884</v>
      </c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  <c r="AK249" s="18"/>
      <c r="AL249" s="18"/>
      <c r="AM249" s="18"/>
      <c r="AN249" s="18"/>
      <c r="AO249" s="18"/>
      <c r="AP249" s="18"/>
      <c r="AQ249" s="18"/>
      <c r="AR249" s="18"/>
      <c r="AS249" s="18"/>
      <c r="AT249" s="18"/>
      <c r="AU249" s="18"/>
      <c r="AV249" s="18"/>
      <c r="AW249" s="18"/>
      <c r="AX249" s="18"/>
      <c r="AY249" s="18"/>
      <c r="AZ249" s="18"/>
      <c r="BA249" s="18">
        <v>12167</v>
      </c>
      <c r="BB249" s="18"/>
      <c r="BC249" s="18"/>
      <c r="BD249" s="18"/>
      <c r="BE249" s="18"/>
      <c r="BF249" s="18"/>
      <c r="BG249" s="18"/>
      <c r="BH249" s="18"/>
      <c r="BI249" s="18"/>
      <c r="BJ249" s="18">
        <v>12167</v>
      </c>
      <c r="BK249" s="18">
        <v>12167</v>
      </c>
    </row>
    <row r="250" spans="14:63" x14ac:dyDescent="0.3">
      <c r="O250" t="s">
        <v>2000</v>
      </c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  <c r="AK250" s="18"/>
      <c r="AL250" s="18"/>
      <c r="AM250" s="18"/>
      <c r="AN250" s="18"/>
      <c r="AO250" s="18"/>
      <c r="AP250" s="18"/>
      <c r="AQ250" s="18"/>
      <c r="AR250" s="18"/>
      <c r="AS250" s="18"/>
      <c r="AT250" s="18"/>
      <c r="AU250" s="18"/>
      <c r="AV250" s="18"/>
      <c r="AW250" s="18"/>
      <c r="AX250" s="18"/>
      <c r="AY250" s="18"/>
      <c r="AZ250" s="18"/>
      <c r="BA250" s="18"/>
      <c r="BB250" s="18">
        <v>11769</v>
      </c>
      <c r="BC250" s="18"/>
      <c r="BD250" s="18"/>
      <c r="BE250" s="18"/>
      <c r="BF250" s="18"/>
      <c r="BG250" s="18"/>
      <c r="BH250" s="18"/>
      <c r="BI250" s="18"/>
      <c r="BJ250" s="18">
        <v>11769</v>
      </c>
      <c r="BK250" s="18">
        <v>11769</v>
      </c>
    </row>
    <row r="251" spans="14:63" x14ac:dyDescent="0.3">
      <c r="O251" t="s">
        <v>2113</v>
      </c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  <c r="AK251" s="18"/>
      <c r="AL251" s="18"/>
      <c r="AM251" s="18"/>
      <c r="AN251" s="18"/>
      <c r="AO251" s="18"/>
      <c r="AP251" s="18"/>
      <c r="AQ251" s="18"/>
      <c r="AR251" s="18"/>
      <c r="AS251" s="18"/>
      <c r="AT251" s="18"/>
      <c r="AU251" s="18"/>
      <c r="AV251" s="18"/>
      <c r="AW251" s="18"/>
      <c r="AX251" s="18"/>
      <c r="AY251" s="18"/>
      <c r="AZ251" s="18"/>
      <c r="BA251" s="18"/>
      <c r="BB251" s="18"/>
      <c r="BC251" s="18">
        <v>12406</v>
      </c>
      <c r="BD251" s="18"/>
      <c r="BE251" s="18"/>
      <c r="BF251" s="18"/>
      <c r="BG251" s="18"/>
      <c r="BH251" s="18"/>
      <c r="BI251" s="18"/>
      <c r="BJ251" s="18">
        <v>12406</v>
      </c>
      <c r="BK251" s="18">
        <v>12406</v>
      </c>
    </row>
    <row r="252" spans="14:63" x14ac:dyDescent="0.3">
      <c r="O252" t="s">
        <v>2114</v>
      </c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  <c r="AK252" s="18"/>
      <c r="AL252" s="18"/>
      <c r="AM252" s="18"/>
      <c r="AN252" s="18"/>
      <c r="AO252" s="18"/>
      <c r="AP252" s="18"/>
      <c r="AQ252" s="18"/>
      <c r="AR252" s="18"/>
      <c r="AS252" s="18"/>
      <c r="AT252" s="18"/>
      <c r="AU252" s="18"/>
      <c r="AV252" s="18"/>
      <c r="AW252" s="18"/>
      <c r="AX252" s="18"/>
      <c r="AY252" s="18"/>
      <c r="AZ252" s="18"/>
      <c r="BA252" s="18"/>
      <c r="BB252" s="18"/>
      <c r="BC252" s="18">
        <v>1597.5</v>
      </c>
      <c r="BD252" s="18"/>
      <c r="BE252" s="18"/>
      <c r="BF252" s="18"/>
      <c r="BG252" s="18"/>
      <c r="BH252" s="18"/>
      <c r="BI252" s="18"/>
      <c r="BJ252" s="18">
        <v>1597.5</v>
      </c>
      <c r="BK252" s="18">
        <v>1597.5</v>
      </c>
    </row>
    <row r="253" spans="14:63" x14ac:dyDescent="0.3">
      <c r="O253" t="s">
        <v>2162</v>
      </c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  <c r="AJ253" s="18"/>
      <c r="AK253" s="18"/>
      <c r="AL253" s="18"/>
      <c r="AM253" s="18"/>
      <c r="AN253" s="18"/>
      <c r="AO253" s="18"/>
      <c r="AP253" s="18"/>
      <c r="AQ253" s="18"/>
      <c r="AR253" s="18"/>
      <c r="AS253" s="18"/>
      <c r="AT253" s="18"/>
      <c r="AU253" s="18"/>
      <c r="AV253" s="18"/>
      <c r="AW253" s="18"/>
      <c r="AX253" s="18"/>
      <c r="AY253" s="18"/>
      <c r="AZ253" s="18"/>
      <c r="BA253" s="18"/>
      <c r="BB253" s="18"/>
      <c r="BC253" s="18"/>
      <c r="BD253" s="18">
        <v>12996.4</v>
      </c>
      <c r="BE253" s="18"/>
      <c r="BF253" s="18"/>
      <c r="BG253" s="18"/>
      <c r="BH253" s="18"/>
      <c r="BI253" s="18"/>
      <c r="BJ253" s="18">
        <v>12996.4</v>
      </c>
      <c r="BK253" s="18">
        <v>12996.4</v>
      </c>
    </row>
    <row r="254" spans="14:63" x14ac:dyDescent="0.3">
      <c r="O254" t="s">
        <v>2186</v>
      </c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  <c r="AK254" s="18"/>
      <c r="AL254" s="18"/>
      <c r="AM254" s="18"/>
      <c r="AN254" s="18"/>
      <c r="AO254" s="18"/>
      <c r="AP254" s="18"/>
      <c r="AQ254" s="18"/>
      <c r="AR254" s="18"/>
      <c r="AS254" s="18"/>
      <c r="AT254" s="18"/>
      <c r="AU254" s="18"/>
      <c r="AV254" s="18"/>
      <c r="AW254" s="18"/>
      <c r="AX254" s="18"/>
      <c r="AY254" s="18"/>
      <c r="AZ254" s="18"/>
      <c r="BA254" s="18"/>
      <c r="BB254" s="18"/>
      <c r="BC254" s="18"/>
      <c r="BD254" s="18">
        <v>696</v>
      </c>
      <c r="BE254" s="18"/>
      <c r="BF254" s="18"/>
      <c r="BG254" s="18"/>
      <c r="BH254" s="18"/>
      <c r="BI254" s="18"/>
      <c r="BJ254" s="18">
        <v>696</v>
      </c>
      <c r="BK254" s="18">
        <v>696</v>
      </c>
    </row>
    <row r="255" spans="14:63" x14ac:dyDescent="0.3">
      <c r="N255" s="17" t="s">
        <v>205</v>
      </c>
      <c r="O255" s="17"/>
      <c r="P255" s="19"/>
      <c r="Q255" s="19"/>
      <c r="R255" s="19"/>
      <c r="S255" s="19"/>
      <c r="T255" s="19">
        <v>6734</v>
      </c>
      <c r="U255" s="19">
        <v>8123</v>
      </c>
      <c r="V255" s="19">
        <v>8123</v>
      </c>
      <c r="W255" s="19">
        <v>17346</v>
      </c>
      <c r="X255" s="19">
        <v>10120</v>
      </c>
      <c r="Y255" s="19">
        <v>50446</v>
      </c>
      <c r="Z255" s="19">
        <v>7882</v>
      </c>
      <c r="AA255" s="19">
        <v>14208</v>
      </c>
      <c r="AB255" s="19">
        <v>35864</v>
      </c>
      <c r="AC255" s="19">
        <v>16388</v>
      </c>
      <c r="AD255" s="19">
        <v>22264</v>
      </c>
      <c r="AE255" s="19">
        <v>10310</v>
      </c>
      <c r="AF255" s="19"/>
      <c r="AG255" s="19">
        <v>10075</v>
      </c>
      <c r="AH255" s="19">
        <v>23686.6</v>
      </c>
      <c r="AI255" s="19"/>
      <c r="AJ255" s="19">
        <v>140677.6</v>
      </c>
      <c r="AK255" s="19">
        <v>31205</v>
      </c>
      <c r="AL255" s="19">
        <v>13445</v>
      </c>
      <c r="AM255" s="19">
        <v>15671</v>
      </c>
      <c r="AN255" s="19">
        <v>11757.5</v>
      </c>
      <c r="AO255" s="19">
        <v>24940</v>
      </c>
      <c r="AP255" s="19">
        <v>22670.5</v>
      </c>
      <c r="AQ255" s="19">
        <v>14227</v>
      </c>
      <c r="AR255" s="19">
        <v>28820</v>
      </c>
      <c r="AS255" s="19">
        <v>14395</v>
      </c>
      <c r="AT255" s="19">
        <v>29465</v>
      </c>
      <c r="AU255" s="19">
        <v>11160</v>
      </c>
      <c r="AV255" s="19">
        <v>14715</v>
      </c>
      <c r="AW255" s="19">
        <v>232471</v>
      </c>
      <c r="AX255" s="19">
        <v>13457</v>
      </c>
      <c r="AY255" s="19">
        <v>25064.5</v>
      </c>
      <c r="AZ255" s="19">
        <v>13533.5</v>
      </c>
      <c r="BA255" s="19">
        <v>12167</v>
      </c>
      <c r="BB255" s="19">
        <v>11769</v>
      </c>
      <c r="BC255" s="19">
        <v>14003.5</v>
      </c>
      <c r="BD255" s="19">
        <v>13692.4</v>
      </c>
      <c r="BE255" s="19">
        <v>31397</v>
      </c>
      <c r="BF255" s="19">
        <v>10765</v>
      </c>
      <c r="BG255" s="19">
        <v>12678</v>
      </c>
      <c r="BH255" s="19">
        <v>13297.5</v>
      </c>
      <c r="BI255" s="19">
        <v>11813</v>
      </c>
      <c r="BJ255" s="19">
        <v>183637.4</v>
      </c>
      <c r="BK255" s="19">
        <v>607232</v>
      </c>
    </row>
    <row r="256" spans="14:63" x14ac:dyDescent="0.3">
      <c r="N256" t="s">
        <v>174</v>
      </c>
      <c r="O256" t="s">
        <v>176</v>
      </c>
      <c r="P256" s="18"/>
      <c r="Q256" s="18"/>
      <c r="R256" s="18"/>
      <c r="S256" s="18"/>
      <c r="T256" s="18"/>
      <c r="U256" s="18"/>
      <c r="V256" s="18"/>
      <c r="W256" s="18">
        <v>1082.8000000000002</v>
      </c>
      <c r="X256" s="18"/>
      <c r="Y256" s="18">
        <v>1082.8000000000002</v>
      </c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  <c r="AJ256" s="18"/>
      <c r="AK256" s="18"/>
      <c r="AL256" s="18"/>
      <c r="AM256" s="18"/>
      <c r="AN256" s="18"/>
      <c r="AO256" s="18"/>
      <c r="AP256" s="18"/>
      <c r="AQ256" s="18"/>
      <c r="AR256" s="18"/>
      <c r="AS256" s="18"/>
      <c r="AT256" s="18"/>
      <c r="AU256" s="18"/>
      <c r="AV256" s="18"/>
      <c r="AW256" s="18"/>
      <c r="AX256" s="18"/>
      <c r="AY256" s="18"/>
      <c r="AZ256" s="18"/>
      <c r="BA256" s="18"/>
      <c r="BB256" s="18"/>
      <c r="BC256" s="18"/>
      <c r="BD256" s="18"/>
      <c r="BE256" s="18"/>
      <c r="BF256" s="18"/>
      <c r="BG256" s="18"/>
      <c r="BH256" s="18"/>
      <c r="BI256" s="18"/>
      <c r="BJ256" s="18"/>
      <c r="BK256" s="18">
        <v>1082.8000000000002</v>
      </c>
    </row>
    <row r="257" spans="14:63" x14ac:dyDescent="0.3">
      <c r="N257" s="17" t="s">
        <v>186</v>
      </c>
      <c r="O257" s="17"/>
      <c r="P257" s="19"/>
      <c r="Q257" s="19"/>
      <c r="R257" s="19"/>
      <c r="S257" s="19"/>
      <c r="T257" s="19"/>
      <c r="U257" s="19"/>
      <c r="V257" s="19"/>
      <c r="W257" s="19">
        <v>1082.8000000000002</v>
      </c>
      <c r="X257" s="19"/>
      <c r="Y257" s="19">
        <v>1082.8000000000002</v>
      </c>
      <c r="Z257" s="19"/>
      <c r="AA257" s="19"/>
      <c r="AB257" s="19"/>
      <c r="AC257" s="19"/>
      <c r="AD257" s="19"/>
      <c r="AE257" s="19"/>
      <c r="AF257" s="19"/>
      <c r="AG257" s="19"/>
      <c r="AH257" s="19"/>
      <c r="AI257" s="19"/>
      <c r="AJ257" s="19"/>
      <c r="AK257" s="19"/>
      <c r="AL257" s="19"/>
      <c r="AM257" s="19"/>
      <c r="AN257" s="19"/>
      <c r="AO257" s="19"/>
      <c r="AP257" s="19"/>
      <c r="AQ257" s="19"/>
      <c r="AR257" s="19"/>
      <c r="AS257" s="19"/>
      <c r="AT257" s="19"/>
      <c r="AU257" s="19"/>
      <c r="AV257" s="19"/>
      <c r="AW257" s="19"/>
      <c r="AX257" s="19"/>
      <c r="AY257" s="19"/>
      <c r="AZ257" s="19"/>
      <c r="BA257" s="19"/>
      <c r="BB257" s="19"/>
      <c r="BC257" s="19"/>
      <c r="BD257" s="19"/>
      <c r="BE257" s="19"/>
      <c r="BF257" s="19"/>
      <c r="BG257" s="19"/>
      <c r="BH257" s="19"/>
      <c r="BI257" s="19"/>
      <c r="BJ257" s="19"/>
      <c r="BK257" s="19">
        <v>1082.8000000000002</v>
      </c>
    </row>
    <row r="258" spans="14:63" x14ac:dyDescent="0.3">
      <c r="N258" t="s">
        <v>224</v>
      </c>
      <c r="O258" t="s">
        <v>210</v>
      </c>
      <c r="P258" s="18"/>
      <c r="Q258" s="18"/>
      <c r="R258" s="18"/>
      <c r="S258" s="18"/>
      <c r="T258" s="18"/>
      <c r="U258" s="18"/>
      <c r="V258" s="18"/>
      <c r="W258" s="18"/>
      <c r="X258" s="18">
        <v>799.2</v>
      </c>
      <c r="Y258" s="18">
        <v>799.2</v>
      </c>
      <c r="Z258" s="18"/>
      <c r="AA258" s="18"/>
      <c r="AB258" s="18"/>
      <c r="AC258" s="18"/>
      <c r="AD258" s="18"/>
      <c r="AE258" s="18"/>
      <c r="AF258" s="18"/>
      <c r="AG258" s="18"/>
      <c r="AH258" s="18"/>
      <c r="AI258" s="18"/>
      <c r="AJ258" s="18"/>
      <c r="AK258" s="18"/>
      <c r="AL258" s="18"/>
      <c r="AM258" s="18"/>
      <c r="AN258" s="18"/>
      <c r="AO258" s="18"/>
      <c r="AP258" s="18"/>
      <c r="AQ258" s="18"/>
      <c r="AR258" s="18"/>
      <c r="AS258" s="18"/>
      <c r="AT258" s="18"/>
      <c r="AU258" s="18"/>
      <c r="AV258" s="18"/>
      <c r="AW258" s="18"/>
      <c r="AX258" s="18"/>
      <c r="AY258" s="18"/>
      <c r="AZ258" s="18"/>
      <c r="BA258" s="18"/>
      <c r="BB258" s="18"/>
      <c r="BC258" s="18"/>
      <c r="BD258" s="18"/>
      <c r="BE258" s="18"/>
      <c r="BF258" s="18"/>
      <c r="BG258" s="18"/>
      <c r="BH258" s="18"/>
      <c r="BI258" s="18"/>
      <c r="BJ258" s="18"/>
      <c r="BK258" s="18">
        <v>799.2</v>
      </c>
    </row>
    <row r="259" spans="14:63" x14ac:dyDescent="0.3">
      <c r="N259" s="17" t="s">
        <v>225</v>
      </c>
      <c r="O259" s="17"/>
      <c r="P259" s="19"/>
      <c r="Q259" s="19"/>
      <c r="R259" s="19"/>
      <c r="S259" s="19"/>
      <c r="T259" s="19"/>
      <c r="U259" s="19"/>
      <c r="V259" s="19"/>
      <c r="W259" s="19"/>
      <c r="X259" s="19">
        <v>799.2</v>
      </c>
      <c r="Y259" s="19">
        <v>799.2</v>
      </c>
      <c r="Z259" s="19"/>
      <c r="AA259" s="19"/>
      <c r="AB259" s="19"/>
      <c r="AC259" s="19"/>
      <c r="AD259" s="19"/>
      <c r="AE259" s="19"/>
      <c r="AF259" s="19"/>
      <c r="AG259" s="19"/>
      <c r="AH259" s="19"/>
      <c r="AI259" s="19"/>
      <c r="AJ259" s="19"/>
      <c r="AK259" s="19"/>
      <c r="AL259" s="19"/>
      <c r="AM259" s="19"/>
      <c r="AN259" s="19"/>
      <c r="AO259" s="19"/>
      <c r="AP259" s="19"/>
      <c r="AQ259" s="19"/>
      <c r="AR259" s="19"/>
      <c r="AS259" s="19"/>
      <c r="AT259" s="19"/>
      <c r="AU259" s="19"/>
      <c r="AV259" s="19"/>
      <c r="AW259" s="19"/>
      <c r="AX259" s="19"/>
      <c r="AY259" s="19"/>
      <c r="AZ259" s="19"/>
      <c r="BA259" s="19"/>
      <c r="BB259" s="19"/>
      <c r="BC259" s="19"/>
      <c r="BD259" s="19"/>
      <c r="BE259" s="19"/>
      <c r="BF259" s="19"/>
      <c r="BG259" s="19"/>
      <c r="BH259" s="19"/>
      <c r="BI259" s="19"/>
      <c r="BJ259" s="19"/>
      <c r="BK259" s="19">
        <v>799.2</v>
      </c>
    </row>
    <row r="260" spans="14:63" x14ac:dyDescent="0.3">
      <c r="N260" t="s">
        <v>229</v>
      </c>
      <c r="O260" t="s">
        <v>477</v>
      </c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>
        <v>3070</v>
      </c>
      <c r="AD260" s="18"/>
      <c r="AE260" s="18"/>
      <c r="AF260" s="18"/>
      <c r="AG260" s="18"/>
      <c r="AH260" s="18"/>
      <c r="AI260" s="18"/>
      <c r="AJ260" s="18">
        <v>3070</v>
      </c>
      <c r="AK260" s="18"/>
      <c r="AL260" s="18"/>
      <c r="AM260" s="18"/>
      <c r="AN260" s="18"/>
      <c r="AO260" s="18"/>
      <c r="AP260" s="18"/>
      <c r="AQ260" s="18"/>
      <c r="AR260" s="18"/>
      <c r="AS260" s="18"/>
      <c r="AT260" s="18"/>
      <c r="AU260" s="18"/>
      <c r="AV260" s="18"/>
      <c r="AW260" s="18"/>
      <c r="AX260" s="18"/>
      <c r="AY260" s="18"/>
      <c r="AZ260" s="18"/>
      <c r="BA260" s="18"/>
      <c r="BB260" s="18"/>
      <c r="BC260" s="18"/>
      <c r="BD260" s="18"/>
      <c r="BE260" s="18"/>
      <c r="BF260" s="18"/>
      <c r="BG260" s="18"/>
      <c r="BH260" s="18"/>
      <c r="BI260" s="18"/>
      <c r="BJ260" s="18"/>
      <c r="BK260" s="18">
        <v>3070</v>
      </c>
    </row>
    <row r="261" spans="14:63" x14ac:dyDescent="0.3">
      <c r="N261" s="17" t="s">
        <v>256</v>
      </c>
      <c r="O261" s="17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  <c r="AA261" s="19"/>
      <c r="AB261" s="19"/>
      <c r="AC261" s="19">
        <v>3070</v>
      </c>
      <c r="AD261" s="19"/>
      <c r="AE261" s="19"/>
      <c r="AF261" s="19"/>
      <c r="AG261" s="19"/>
      <c r="AH261" s="19"/>
      <c r="AI261" s="19"/>
      <c r="AJ261" s="19">
        <v>3070</v>
      </c>
      <c r="AK261" s="19"/>
      <c r="AL261" s="19"/>
      <c r="AM261" s="19"/>
      <c r="AN261" s="19"/>
      <c r="AO261" s="19"/>
      <c r="AP261" s="19"/>
      <c r="AQ261" s="19"/>
      <c r="AR261" s="19"/>
      <c r="AS261" s="19"/>
      <c r="AT261" s="19"/>
      <c r="AU261" s="19"/>
      <c r="AV261" s="19"/>
      <c r="AW261" s="19"/>
      <c r="AX261" s="19"/>
      <c r="AY261" s="19"/>
      <c r="AZ261" s="19"/>
      <c r="BA261" s="19"/>
      <c r="BB261" s="19"/>
      <c r="BC261" s="19"/>
      <c r="BD261" s="19"/>
      <c r="BE261" s="19"/>
      <c r="BF261" s="19"/>
      <c r="BG261" s="19"/>
      <c r="BH261" s="19"/>
      <c r="BI261" s="19"/>
      <c r="BJ261" s="19"/>
      <c r="BK261" s="19">
        <v>3070</v>
      </c>
    </row>
    <row r="262" spans="14:63" x14ac:dyDescent="0.3">
      <c r="N262" t="s">
        <v>263</v>
      </c>
      <c r="O262" t="s">
        <v>257</v>
      </c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>
        <v>5356</v>
      </c>
      <c r="AG262" s="18"/>
      <c r="AH262" s="18"/>
      <c r="AI262" s="18"/>
      <c r="AJ262" s="18">
        <v>5356</v>
      </c>
      <c r="AK262" s="18"/>
      <c r="AL262" s="18"/>
      <c r="AM262" s="18"/>
      <c r="AN262" s="18"/>
      <c r="AO262" s="18"/>
      <c r="AP262" s="18"/>
      <c r="AQ262" s="18"/>
      <c r="AR262" s="18"/>
      <c r="AS262" s="18"/>
      <c r="AT262" s="18"/>
      <c r="AU262" s="18"/>
      <c r="AV262" s="18"/>
      <c r="AW262" s="18"/>
      <c r="AX262" s="18"/>
      <c r="AY262" s="18"/>
      <c r="AZ262" s="18"/>
      <c r="BA262" s="18"/>
      <c r="BB262" s="18"/>
      <c r="BC262" s="18"/>
      <c r="BD262" s="18"/>
      <c r="BE262" s="18"/>
      <c r="BF262" s="18"/>
      <c r="BG262" s="18"/>
      <c r="BH262" s="18"/>
      <c r="BI262" s="18"/>
      <c r="BJ262" s="18"/>
      <c r="BK262" s="18">
        <v>5356</v>
      </c>
    </row>
    <row r="263" spans="14:63" x14ac:dyDescent="0.3">
      <c r="O263" t="s">
        <v>262</v>
      </c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>
        <v>130</v>
      </c>
      <c r="AG263" s="18"/>
      <c r="AH263" s="18"/>
      <c r="AI263" s="18"/>
      <c r="AJ263" s="18">
        <v>130</v>
      </c>
      <c r="AK263" s="18"/>
      <c r="AL263" s="18"/>
      <c r="AM263" s="18"/>
      <c r="AN263" s="18"/>
      <c r="AO263" s="18"/>
      <c r="AP263" s="18"/>
      <c r="AQ263" s="18"/>
      <c r="AR263" s="18"/>
      <c r="AS263" s="18"/>
      <c r="AT263" s="18"/>
      <c r="AU263" s="18"/>
      <c r="AV263" s="18"/>
      <c r="AW263" s="18"/>
      <c r="AX263" s="18"/>
      <c r="AY263" s="18"/>
      <c r="AZ263" s="18"/>
      <c r="BA263" s="18"/>
      <c r="BB263" s="18"/>
      <c r="BC263" s="18"/>
      <c r="BD263" s="18"/>
      <c r="BE263" s="18"/>
      <c r="BF263" s="18"/>
      <c r="BG263" s="18"/>
      <c r="BH263" s="18"/>
      <c r="BI263" s="18"/>
      <c r="BJ263" s="18"/>
      <c r="BK263" s="18">
        <v>130</v>
      </c>
    </row>
    <row r="264" spans="14:63" x14ac:dyDescent="0.3">
      <c r="O264" t="s">
        <v>322</v>
      </c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  <c r="AG264" s="18">
        <v>240</v>
      </c>
      <c r="AH264" s="18"/>
      <c r="AI264" s="18"/>
      <c r="AJ264" s="18">
        <v>240</v>
      </c>
      <c r="AK264" s="18"/>
      <c r="AL264" s="18"/>
      <c r="AM264" s="18"/>
      <c r="AN264" s="18"/>
      <c r="AO264" s="18"/>
      <c r="AP264" s="18"/>
      <c r="AQ264" s="18"/>
      <c r="AR264" s="18"/>
      <c r="AS264" s="18"/>
      <c r="AT264" s="18"/>
      <c r="AU264" s="18"/>
      <c r="AV264" s="18"/>
      <c r="AW264" s="18"/>
      <c r="AX264" s="18"/>
      <c r="AY264" s="18"/>
      <c r="AZ264" s="18"/>
      <c r="BA264" s="18"/>
      <c r="BB264" s="18"/>
      <c r="BC264" s="18"/>
      <c r="BD264" s="18"/>
      <c r="BE264" s="18"/>
      <c r="BF264" s="18"/>
      <c r="BG264" s="18"/>
      <c r="BH264" s="18"/>
      <c r="BI264" s="18"/>
      <c r="BJ264" s="18"/>
      <c r="BK264" s="18">
        <v>240</v>
      </c>
    </row>
    <row r="265" spans="14:63" x14ac:dyDescent="0.3">
      <c r="O265" t="s">
        <v>420</v>
      </c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>
        <v>2676</v>
      </c>
      <c r="AC265" s="18"/>
      <c r="AD265" s="18"/>
      <c r="AE265" s="18"/>
      <c r="AF265" s="18"/>
      <c r="AG265" s="18"/>
      <c r="AH265" s="18"/>
      <c r="AI265" s="18"/>
      <c r="AJ265" s="18">
        <v>2676</v>
      </c>
      <c r="AK265" s="18"/>
      <c r="AL265" s="18"/>
      <c r="AM265" s="18"/>
      <c r="AN265" s="18"/>
      <c r="AO265" s="18"/>
      <c r="AP265" s="18"/>
      <c r="AQ265" s="18"/>
      <c r="AR265" s="18"/>
      <c r="AS265" s="18"/>
      <c r="AT265" s="18"/>
      <c r="AU265" s="18"/>
      <c r="AV265" s="18"/>
      <c r="AW265" s="18"/>
      <c r="AX265" s="18"/>
      <c r="AY265" s="18"/>
      <c r="AZ265" s="18"/>
      <c r="BA265" s="18"/>
      <c r="BB265" s="18"/>
      <c r="BC265" s="18"/>
      <c r="BD265" s="18"/>
      <c r="BE265" s="18"/>
      <c r="BF265" s="18"/>
      <c r="BG265" s="18"/>
      <c r="BH265" s="18"/>
      <c r="BI265" s="18"/>
      <c r="BJ265" s="18"/>
      <c r="BK265" s="18">
        <v>2676</v>
      </c>
    </row>
    <row r="266" spans="14:63" x14ac:dyDescent="0.3">
      <c r="O266" t="s">
        <v>1178</v>
      </c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  <c r="AH266" s="18"/>
      <c r="AI266" s="18"/>
      <c r="AJ266" s="18"/>
      <c r="AK266" s="18"/>
      <c r="AL266" s="18"/>
      <c r="AM266" s="18"/>
      <c r="AN266" s="18"/>
      <c r="AO266" s="18"/>
      <c r="AP266" s="18"/>
      <c r="AQ266" s="18"/>
      <c r="AR266" s="18"/>
      <c r="AS266" s="18"/>
      <c r="AT266" s="18"/>
      <c r="AU266" s="18"/>
      <c r="AV266" s="18"/>
      <c r="AW266" s="18"/>
      <c r="AX266" s="18"/>
      <c r="AY266" s="18"/>
      <c r="AZ266" s="18"/>
      <c r="BA266" s="18"/>
      <c r="BB266" s="18"/>
      <c r="BC266" s="18"/>
      <c r="BD266" s="18"/>
      <c r="BE266" s="18">
        <v>2132.5</v>
      </c>
      <c r="BF266" s="18"/>
      <c r="BG266" s="18"/>
      <c r="BH266" s="18"/>
      <c r="BI266" s="18"/>
      <c r="BJ266" s="18">
        <v>2132.5</v>
      </c>
      <c r="BK266" s="18">
        <v>2132.5</v>
      </c>
    </row>
    <row r="267" spans="14:63" x14ac:dyDescent="0.3">
      <c r="O267" t="s">
        <v>1330</v>
      </c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8"/>
      <c r="AG267" s="18"/>
      <c r="AH267" s="18"/>
      <c r="AI267" s="18"/>
      <c r="AJ267" s="18"/>
      <c r="AK267" s="18"/>
      <c r="AL267" s="18"/>
      <c r="AM267" s="18"/>
      <c r="AN267" s="18"/>
      <c r="AO267" s="18"/>
      <c r="AP267" s="18"/>
      <c r="AQ267" s="18"/>
      <c r="AR267" s="18"/>
      <c r="AS267" s="18"/>
      <c r="AT267" s="18"/>
      <c r="AU267" s="18"/>
      <c r="AV267" s="18"/>
      <c r="AW267" s="18"/>
      <c r="AX267" s="18"/>
      <c r="AY267" s="18"/>
      <c r="AZ267" s="18"/>
      <c r="BA267" s="18"/>
      <c r="BB267" s="18"/>
      <c r="BC267" s="18"/>
      <c r="BD267" s="18"/>
      <c r="BE267" s="18"/>
      <c r="BF267" s="18"/>
      <c r="BG267" s="18">
        <v>2545</v>
      </c>
      <c r="BH267" s="18"/>
      <c r="BI267" s="18"/>
      <c r="BJ267" s="18">
        <v>2545</v>
      </c>
      <c r="BK267" s="18">
        <v>2545</v>
      </c>
    </row>
    <row r="268" spans="14:63" x14ac:dyDescent="0.3">
      <c r="O268" t="s">
        <v>1342</v>
      </c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18"/>
      <c r="AH268" s="18"/>
      <c r="AI268" s="18"/>
      <c r="AJ268" s="18"/>
      <c r="AK268" s="18"/>
      <c r="AL268" s="18"/>
      <c r="AM268" s="18"/>
      <c r="AN268" s="18"/>
      <c r="AO268" s="18"/>
      <c r="AP268" s="18"/>
      <c r="AQ268" s="18"/>
      <c r="AR268" s="18"/>
      <c r="AS268" s="18"/>
      <c r="AT268" s="18"/>
      <c r="AU268" s="18"/>
      <c r="AV268" s="18"/>
      <c r="AW268" s="18"/>
      <c r="AX268" s="18"/>
      <c r="AY268" s="18"/>
      <c r="AZ268" s="18"/>
      <c r="BA268" s="18"/>
      <c r="BB268" s="18"/>
      <c r="BC268" s="18"/>
      <c r="BD268" s="18"/>
      <c r="BE268" s="18"/>
      <c r="BF268" s="18"/>
      <c r="BG268" s="18">
        <v>7025</v>
      </c>
      <c r="BH268" s="18"/>
      <c r="BI268" s="18"/>
      <c r="BJ268" s="18">
        <v>7025</v>
      </c>
      <c r="BK268" s="18">
        <v>7025</v>
      </c>
    </row>
    <row r="269" spans="14:63" x14ac:dyDescent="0.3">
      <c r="O269" t="s">
        <v>1457</v>
      </c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18"/>
      <c r="AH269" s="18"/>
      <c r="AI269" s="18"/>
      <c r="AJ269" s="18"/>
      <c r="AK269" s="18"/>
      <c r="AL269" s="18"/>
      <c r="AM269" s="18"/>
      <c r="AN269" s="18"/>
      <c r="AO269" s="18"/>
      <c r="AP269" s="18"/>
      <c r="AQ269" s="18"/>
      <c r="AR269" s="18"/>
      <c r="AS269" s="18"/>
      <c r="AT269" s="18"/>
      <c r="AU269" s="18"/>
      <c r="AV269" s="18"/>
      <c r="AW269" s="18"/>
      <c r="AX269" s="18"/>
      <c r="AY269" s="18"/>
      <c r="AZ269" s="18"/>
      <c r="BA269" s="18"/>
      <c r="BB269" s="18"/>
      <c r="BC269" s="18"/>
      <c r="BD269" s="18"/>
      <c r="BE269" s="18"/>
      <c r="BF269" s="18"/>
      <c r="BG269" s="18"/>
      <c r="BH269" s="18">
        <v>6792.5</v>
      </c>
      <c r="BI269" s="18"/>
      <c r="BJ269" s="18">
        <v>6792.5</v>
      </c>
      <c r="BK269" s="18">
        <v>6792.5</v>
      </c>
    </row>
    <row r="270" spans="14:63" x14ac:dyDescent="0.3">
      <c r="O270" t="s">
        <v>1541</v>
      </c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8"/>
      <c r="AH270" s="18"/>
      <c r="AI270" s="18"/>
      <c r="AJ270" s="18"/>
      <c r="AK270" s="18"/>
      <c r="AL270" s="18"/>
      <c r="AM270" s="18"/>
      <c r="AN270" s="18"/>
      <c r="AO270" s="18"/>
      <c r="AP270" s="18"/>
      <c r="AQ270" s="18"/>
      <c r="AR270" s="18"/>
      <c r="AS270" s="18"/>
      <c r="AT270" s="18"/>
      <c r="AU270" s="18"/>
      <c r="AV270" s="18"/>
      <c r="AW270" s="18"/>
      <c r="AX270" s="18"/>
      <c r="AY270" s="18"/>
      <c r="AZ270" s="18"/>
      <c r="BA270" s="18"/>
      <c r="BB270" s="18"/>
      <c r="BC270" s="18"/>
      <c r="BD270" s="18"/>
      <c r="BE270" s="18"/>
      <c r="BF270" s="18"/>
      <c r="BG270" s="18"/>
      <c r="BH270" s="18"/>
      <c r="BI270" s="18">
        <v>9692.5</v>
      </c>
      <c r="BJ270" s="18">
        <v>9692.5</v>
      </c>
      <c r="BK270" s="18">
        <v>9692.5</v>
      </c>
    </row>
    <row r="271" spans="14:63" x14ac:dyDescent="0.3">
      <c r="O271" t="s">
        <v>1558</v>
      </c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G271" s="18"/>
      <c r="AH271" s="18"/>
      <c r="AI271" s="18"/>
      <c r="AJ271" s="18"/>
      <c r="AK271" s="18"/>
      <c r="AL271" s="18"/>
      <c r="AM271" s="18"/>
      <c r="AN271" s="18"/>
      <c r="AO271" s="18"/>
      <c r="AP271" s="18"/>
      <c r="AQ271" s="18"/>
      <c r="AR271" s="18"/>
      <c r="AS271" s="18"/>
      <c r="AT271" s="18"/>
      <c r="AU271" s="18"/>
      <c r="AV271" s="18"/>
      <c r="AW271" s="18"/>
      <c r="AX271" s="18"/>
      <c r="AY271" s="18"/>
      <c r="AZ271" s="18"/>
      <c r="BA271" s="18"/>
      <c r="BB271" s="18"/>
      <c r="BC271" s="18"/>
      <c r="BD271" s="18"/>
      <c r="BE271" s="18"/>
      <c r="BF271" s="18"/>
      <c r="BG271" s="18"/>
      <c r="BH271" s="18"/>
      <c r="BI271" s="18">
        <v>3588</v>
      </c>
      <c r="BJ271" s="18">
        <v>3588</v>
      </c>
      <c r="BK271" s="18">
        <v>3588</v>
      </c>
    </row>
    <row r="272" spans="14:63" x14ac:dyDescent="0.3">
      <c r="O272" t="s">
        <v>1562</v>
      </c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  <c r="AJ272" s="18"/>
      <c r="AK272" s="18"/>
      <c r="AL272" s="18"/>
      <c r="AM272" s="18"/>
      <c r="AN272" s="18"/>
      <c r="AO272" s="18"/>
      <c r="AP272" s="18"/>
      <c r="AQ272" s="18"/>
      <c r="AR272" s="18"/>
      <c r="AS272" s="18"/>
      <c r="AT272" s="18"/>
      <c r="AU272" s="18"/>
      <c r="AV272" s="18"/>
      <c r="AW272" s="18"/>
      <c r="AX272" s="18"/>
      <c r="AY272" s="18"/>
      <c r="AZ272" s="18"/>
      <c r="BA272" s="18"/>
      <c r="BB272" s="18"/>
      <c r="BC272" s="18"/>
      <c r="BD272" s="18"/>
      <c r="BE272" s="18"/>
      <c r="BF272" s="18"/>
      <c r="BG272" s="18"/>
      <c r="BH272" s="18"/>
      <c r="BI272" s="18">
        <v>2912</v>
      </c>
      <c r="BJ272" s="18">
        <v>2912</v>
      </c>
      <c r="BK272" s="18">
        <v>2912</v>
      </c>
    </row>
    <row r="273" spans="15:63" x14ac:dyDescent="0.3">
      <c r="O273" t="s">
        <v>1618</v>
      </c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  <c r="AH273" s="18"/>
      <c r="AI273" s="18"/>
      <c r="AJ273" s="18"/>
      <c r="AK273" s="18"/>
      <c r="AL273" s="18"/>
      <c r="AM273" s="18"/>
      <c r="AN273" s="18"/>
      <c r="AO273" s="18"/>
      <c r="AP273" s="18"/>
      <c r="AQ273" s="18"/>
      <c r="AR273" s="18"/>
      <c r="AS273" s="18"/>
      <c r="AT273" s="18"/>
      <c r="AU273" s="18"/>
      <c r="AV273" s="18"/>
      <c r="AW273" s="18"/>
      <c r="AX273" s="18">
        <v>5392</v>
      </c>
      <c r="AY273" s="18"/>
      <c r="AZ273" s="18"/>
      <c r="BA273" s="18"/>
      <c r="BB273" s="18"/>
      <c r="BC273" s="18"/>
      <c r="BD273" s="18"/>
      <c r="BE273" s="18"/>
      <c r="BF273" s="18"/>
      <c r="BG273" s="18"/>
      <c r="BH273" s="18"/>
      <c r="BI273" s="18"/>
      <c r="BJ273" s="18">
        <v>5392</v>
      </c>
      <c r="BK273" s="18">
        <v>5392</v>
      </c>
    </row>
    <row r="274" spans="15:63" x14ac:dyDescent="0.3">
      <c r="O274" t="s">
        <v>1629</v>
      </c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  <c r="AG274" s="18"/>
      <c r="AH274" s="18"/>
      <c r="AI274" s="18"/>
      <c r="AJ274" s="18"/>
      <c r="AK274" s="18"/>
      <c r="AL274" s="18"/>
      <c r="AM274" s="18"/>
      <c r="AN274" s="18"/>
      <c r="AO274" s="18"/>
      <c r="AP274" s="18"/>
      <c r="AQ274" s="18"/>
      <c r="AR274" s="18"/>
      <c r="AS274" s="18"/>
      <c r="AT274" s="18"/>
      <c r="AU274" s="18"/>
      <c r="AV274" s="18"/>
      <c r="AW274" s="18"/>
      <c r="AX274" s="18">
        <v>4918</v>
      </c>
      <c r="AY274" s="18"/>
      <c r="AZ274" s="18"/>
      <c r="BA274" s="18"/>
      <c r="BB274" s="18"/>
      <c r="BC274" s="18"/>
      <c r="BD274" s="18"/>
      <c r="BE274" s="18"/>
      <c r="BF274" s="18"/>
      <c r="BG274" s="18"/>
      <c r="BH274" s="18"/>
      <c r="BI274" s="18"/>
      <c r="BJ274" s="18">
        <v>4918</v>
      </c>
      <c r="BK274" s="18">
        <v>4918</v>
      </c>
    </row>
    <row r="275" spans="15:63" x14ac:dyDescent="0.3">
      <c r="O275" t="s">
        <v>1651</v>
      </c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  <c r="AH275" s="18"/>
      <c r="AI275" s="18"/>
      <c r="AJ275" s="18"/>
      <c r="AK275" s="18"/>
      <c r="AL275" s="18"/>
      <c r="AM275" s="18"/>
      <c r="AN275" s="18"/>
      <c r="AO275" s="18"/>
      <c r="AP275" s="18"/>
      <c r="AQ275" s="18"/>
      <c r="AR275" s="18"/>
      <c r="AS275" s="18"/>
      <c r="AT275" s="18"/>
      <c r="AU275" s="18"/>
      <c r="AV275" s="18"/>
      <c r="AW275" s="18"/>
      <c r="AX275" s="18">
        <v>1192</v>
      </c>
      <c r="AY275" s="18"/>
      <c r="AZ275" s="18"/>
      <c r="BA275" s="18"/>
      <c r="BB275" s="18"/>
      <c r="BC275" s="18"/>
      <c r="BD275" s="18"/>
      <c r="BE275" s="18"/>
      <c r="BF275" s="18"/>
      <c r="BG275" s="18"/>
      <c r="BH275" s="18"/>
      <c r="BI275" s="18"/>
      <c r="BJ275" s="18">
        <v>1192</v>
      </c>
      <c r="BK275" s="18">
        <v>1192</v>
      </c>
    </row>
    <row r="276" spans="15:63" x14ac:dyDescent="0.3">
      <c r="O276" t="s">
        <v>1715</v>
      </c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  <c r="AF276" s="18"/>
      <c r="AG276" s="18"/>
      <c r="AH276" s="18"/>
      <c r="AI276" s="18"/>
      <c r="AJ276" s="18"/>
      <c r="AK276" s="18"/>
      <c r="AL276" s="18"/>
      <c r="AM276" s="18"/>
      <c r="AN276" s="18"/>
      <c r="AO276" s="18"/>
      <c r="AP276" s="18"/>
      <c r="AQ276" s="18"/>
      <c r="AR276" s="18"/>
      <c r="AS276" s="18"/>
      <c r="AT276" s="18"/>
      <c r="AU276" s="18"/>
      <c r="AV276" s="18"/>
      <c r="AW276" s="18"/>
      <c r="AX276" s="18"/>
      <c r="AY276" s="18">
        <v>7536</v>
      </c>
      <c r="AZ276" s="18"/>
      <c r="BA276" s="18"/>
      <c r="BB276" s="18"/>
      <c r="BC276" s="18"/>
      <c r="BD276" s="18"/>
      <c r="BE276" s="18"/>
      <c r="BF276" s="18"/>
      <c r="BG276" s="18"/>
      <c r="BH276" s="18"/>
      <c r="BI276" s="18"/>
      <c r="BJ276" s="18">
        <v>7536</v>
      </c>
      <c r="BK276" s="18">
        <v>7536</v>
      </c>
    </row>
    <row r="277" spans="15:63" x14ac:dyDescent="0.3">
      <c r="O277" t="s">
        <v>1795</v>
      </c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  <c r="AF277" s="18"/>
      <c r="AG277" s="18"/>
      <c r="AH277" s="18"/>
      <c r="AI277" s="18"/>
      <c r="AJ277" s="18"/>
      <c r="AK277" s="18"/>
      <c r="AL277" s="18"/>
      <c r="AM277" s="18"/>
      <c r="AN277" s="18"/>
      <c r="AO277" s="18"/>
      <c r="AP277" s="18"/>
      <c r="AQ277" s="18"/>
      <c r="AR277" s="18"/>
      <c r="AS277" s="18"/>
      <c r="AT277" s="18"/>
      <c r="AU277" s="18"/>
      <c r="AV277" s="18"/>
      <c r="AW277" s="18"/>
      <c r="AX277" s="18"/>
      <c r="AY277" s="18"/>
      <c r="AZ277" s="18">
        <v>4386.5</v>
      </c>
      <c r="BA277" s="18"/>
      <c r="BB277" s="18"/>
      <c r="BC277" s="18"/>
      <c r="BD277" s="18"/>
      <c r="BE277" s="18"/>
      <c r="BF277" s="18"/>
      <c r="BG277" s="18"/>
      <c r="BH277" s="18"/>
      <c r="BI277" s="18"/>
      <c r="BJ277" s="18">
        <v>4386.5</v>
      </c>
      <c r="BK277" s="18">
        <v>4386.5</v>
      </c>
    </row>
    <row r="278" spans="15:63" x14ac:dyDescent="0.3">
      <c r="O278" t="s">
        <v>1805</v>
      </c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  <c r="AG278" s="18"/>
      <c r="AH278" s="18"/>
      <c r="AI278" s="18"/>
      <c r="AJ278" s="18"/>
      <c r="AK278" s="18"/>
      <c r="AL278" s="18"/>
      <c r="AM278" s="18"/>
      <c r="AN278" s="18"/>
      <c r="AO278" s="18"/>
      <c r="AP278" s="18"/>
      <c r="AQ278" s="18"/>
      <c r="AR278" s="18"/>
      <c r="AS278" s="18"/>
      <c r="AT278" s="18"/>
      <c r="AU278" s="18"/>
      <c r="AV278" s="18"/>
      <c r="AW278" s="18"/>
      <c r="AX278" s="18"/>
      <c r="AY278" s="18"/>
      <c r="AZ278" s="18">
        <v>1088.8</v>
      </c>
      <c r="BA278" s="18"/>
      <c r="BB278" s="18"/>
      <c r="BC278" s="18"/>
      <c r="BD278" s="18"/>
      <c r="BE278" s="18"/>
      <c r="BF278" s="18"/>
      <c r="BG278" s="18"/>
      <c r="BH278" s="18"/>
      <c r="BI278" s="18"/>
      <c r="BJ278" s="18">
        <v>1088.8</v>
      </c>
      <c r="BK278" s="18">
        <v>1088.8</v>
      </c>
    </row>
    <row r="279" spans="15:63" x14ac:dyDescent="0.3">
      <c r="O279" t="s">
        <v>1821</v>
      </c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  <c r="AF279" s="18"/>
      <c r="AG279" s="18"/>
      <c r="AH279" s="18"/>
      <c r="AI279" s="18"/>
      <c r="AJ279" s="18"/>
      <c r="AK279" s="18"/>
      <c r="AL279" s="18"/>
      <c r="AM279" s="18"/>
      <c r="AN279" s="18"/>
      <c r="AO279" s="18"/>
      <c r="AP279" s="18"/>
      <c r="AQ279" s="18"/>
      <c r="AR279" s="18"/>
      <c r="AS279" s="18"/>
      <c r="AT279" s="18"/>
      <c r="AU279" s="18"/>
      <c r="AV279" s="18"/>
      <c r="AW279" s="18"/>
      <c r="AX279" s="18"/>
      <c r="AY279" s="18"/>
      <c r="AZ279" s="18">
        <v>2878.5</v>
      </c>
      <c r="BA279" s="18"/>
      <c r="BB279" s="18"/>
      <c r="BC279" s="18"/>
      <c r="BD279" s="18"/>
      <c r="BE279" s="18"/>
      <c r="BF279" s="18"/>
      <c r="BG279" s="18"/>
      <c r="BH279" s="18"/>
      <c r="BI279" s="18"/>
      <c r="BJ279" s="18">
        <v>2878.5</v>
      </c>
      <c r="BK279" s="18">
        <v>2878.5</v>
      </c>
    </row>
    <row r="280" spans="15:63" x14ac:dyDescent="0.3">
      <c r="O280" t="s">
        <v>1886</v>
      </c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  <c r="AG280" s="18"/>
      <c r="AH280" s="18"/>
      <c r="AI280" s="18"/>
      <c r="AJ280" s="18"/>
      <c r="AK280" s="18"/>
      <c r="AL280" s="18"/>
      <c r="AM280" s="18"/>
      <c r="AN280" s="18"/>
      <c r="AO280" s="18"/>
      <c r="AP280" s="18"/>
      <c r="AQ280" s="18"/>
      <c r="AR280" s="18"/>
      <c r="AS280" s="18"/>
      <c r="AT280" s="18"/>
      <c r="AU280" s="18"/>
      <c r="AV280" s="18"/>
      <c r="AW280" s="18"/>
      <c r="AX280" s="18"/>
      <c r="AY280" s="18"/>
      <c r="AZ280" s="18"/>
      <c r="BA280" s="18">
        <v>6017</v>
      </c>
      <c r="BB280" s="18"/>
      <c r="BC280" s="18"/>
      <c r="BD280" s="18"/>
      <c r="BE280" s="18"/>
      <c r="BF280" s="18"/>
      <c r="BG280" s="18"/>
      <c r="BH280" s="18"/>
      <c r="BI280" s="18"/>
      <c r="BJ280" s="18">
        <v>6017</v>
      </c>
      <c r="BK280" s="18">
        <v>6017</v>
      </c>
    </row>
    <row r="281" spans="15:63" x14ac:dyDescent="0.3">
      <c r="O281" t="s">
        <v>1888</v>
      </c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  <c r="AG281" s="18"/>
      <c r="AH281" s="18"/>
      <c r="AI281" s="18"/>
      <c r="AJ281" s="18"/>
      <c r="AK281" s="18"/>
      <c r="AL281" s="18"/>
      <c r="AM281" s="18"/>
      <c r="AN281" s="18"/>
      <c r="AO281" s="18"/>
      <c r="AP281" s="18"/>
      <c r="AQ281" s="18"/>
      <c r="AR281" s="18"/>
      <c r="AS281" s="18"/>
      <c r="AT281" s="18"/>
      <c r="AU281" s="18"/>
      <c r="AV281" s="18"/>
      <c r="AW281" s="18"/>
      <c r="AX281" s="18"/>
      <c r="AY281" s="18"/>
      <c r="AZ281" s="18"/>
      <c r="BA281" s="18">
        <v>62.5</v>
      </c>
      <c r="BB281" s="18"/>
      <c r="BC281" s="18"/>
      <c r="BD281" s="18"/>
      <c r="BE281" s="18"/>
      <c r="BF281" s="18"/>
      <c r="BG281" s="18"/>
      <c r="BH281" s="18"/>
      <c r="BI281" s="18"/>
      <c r="BJ281" s="18">
        <v>62.5</v>
      </c>
      <c r="BK281" s="18">
        <v>62.5</v>
      </c>
    </row>
    <row r="282" spans="15:63" x14ac:dyDescent="0.3">
      <c r="O282" t="s">
        <v>1900</v>
      </c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  <c r="AG282" s="18"/>
      <c r="AH282" s="18"/>
      <c r="AI282" s="18"/>
      <c r="AJ282" s="18"/>
      <c r="AK282" s="18"/>
      <c r="AL282" s="18"/>
      <c r="AM282" s="18"/>
      <c r="AN282" s="18"/>
      <c r="AO282" s="18"/>
      <c r="AP282" s="18"/>
      <c r="AQ282" s="18"/>
      <c r="AR282" s="18"/>
      <c r="AS282" s="18"/>
      <c r="AT282" s="18"/>
      <c r="AU282" s="18"/>
      <c r="AV282" s="18"/>
      <c r="AW282" s="18"/>
      <c r="AX282" s="18"/>
      <c r="AY282" s="18"/>
      <c r="AZ282" s="18"/>
      <c r="BA282" s="18">
        <v>8087</v>
      </c>
      <c r="BB282" s="18"/>
      <c r="BC282" s="18"/>
      <c r="BD282" s="18"/>
      <c r="BE282" s="18"/>
      <c r="BF282" s="18"/>
      <c r="BG282" s="18"/>
      <c r="BH282" s="18"/>
      <c r="BI282" s="18"/>
      <c r="BJ282" s="18">
        <v>8087</v>
      </c>
      <c r="BK282" s="18">
        <v>8087</v>
      </c>
    </row>
    <row r="283" spans="15:63" x14ac:dyDescent="0.3">
      <c r="O283" t="s">
        <v>1915</v>
      </c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  <c r="AF283" s="18"/>
      <c r="AG283" s="18"/>
      <c r="AH283" s="18"/>
      <c r="AI283" s="18"/>
      <c r="AJ283" s="18"/>
      <c r="AK283" s="18"/>
      <c r="AL283" s="18"/>
      <c r="AM283" s="18"/>
      <c r="AN283" s="18"/>
      <c r="AO283" s="18"/>
      <c r="AP283" s="18"/>
      <c r="AQ283" s="18"/>
      <c r="AR283" s="18"/>
      <c r="AS283" s="18"/>
      <c r="AT283" s="18"/>
      <c r="AU283" s="18"/>
      <c r="AV283" s="18"/>
      <c r="AW283" s="18"/>
      <c r="AX283" s="18"/>
      <c r="AY283" s="18"/>
      <c r="AZ283" s="18"/>
      <c r="BA283" s="18">
        <v>5264</v>
      </c>
      <c r="BB283" s="18"/>
      <c r="BC283" s="18"/>
      <c r="BD283" s="18"/>
      <c r="BE283" s="18"/>
      <c r="BF283" s="18"/>
      <c r="BG283" s="18"/>
      <c r="BH283" s="18"/>
      <c r="BI283" s="18"/>
      <c r="BJ283" s="18">
        <v>5264</v>
      </c>
      <c r="BK283" s="18">
        <v>5264</v>
      </c>
    </row>
    <row r="284" spans="15:63" x14ac:dyDescent="0.3">
      <c r="O284" t="s">
        <v>1990</v>
      </c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  <c r="AG284" s="18"/>
      <c r="AH284" s="18"/>
      <c r="AI284" s="18"/>
      <c r="AJ284" s="18"/>
      <c r="AK284" s="18"/>
      <c r="AL284" s="18"/>
      <c r="AM284" s="18"/>
      <c r="AN284" s="18"/>
      <c r="AO284" s="18"/>
      <c r="AP284" s="18"/>
      <c r="AQ284" s="18"/>
      <c r="AR284" s="18"/>
      <c r="AS284" s="18"/>
      <c r="AT284" s="18"/>
      <c r="AU284" s="18"/>
      <c r="AV284" s="18"/>
      <c r="AW284" s="18"/>
      <c r="AX284" s="18"/>
      <c r="AY284" s="18"/>
      <c r="AZ284" s="18"/>
      <c r="BA284" s="18"/>
      <c r="BB284" s="18">
        <v>5258.5</v>
      </c>
      <c r="BC284" s="18"/>
      <c r="BD284" s="18"/>
      <c r="BE284" s="18"/>
      <c r="BF284" s="18"/>
      <c r="BG284" s="18"/>
      <c r="BH284" s="18"/>
      <c r="BI284" s="18"/>
      <c r="BJ284" s="18">
        <v>5258.5</v>
      </c>
      <c r="BK284" s="18">
        <v>5258.5</v>
      </c>
    </row>
    <row r="285" spans="15:63" x14ac:dyDescent="0.3">
      <c r="O285" t="s">
        <v>2007</v>
      </c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  <c r="AH285" s="18"/>
      <c r="AI285" s="18"/>
      <c r="AJ285" s="18"/>
      <c r="AK285" s="18"/>
      <c r="AL285" s="18"/>
      <c r="AM285" s="18"/>
      <c r="AN285" s="18"/>
      <c r="AO285" s="18"/>
      <c r="AP285" s="18"/>
      <c r="AQ285" s="18"/>
      <c r="AR285" s="18"/>
      <c r="AS285" s="18"/>
      <c r="AT285" s="18"/>
      <c r="AU285" s="18"/>
      <c r="AV285" s="18"/>
      <c r="AW285" s="18"/>
      <c r="AX285" s="18"/>
      <c r="AY285" s="18"/>
      <c r="AZ285" s="18"/>
      <c r="BA285" s="18"/>
      <c r="BB285" s="18">
        <v>2909</v>
      </c>
      <c r="BC285" s="18"/>
      <c r="BD285" s="18"/>
      <c r="BE285" s="18"/>
      <c r="BF285" s="18"/>
      <c r="BG285" s="18"/>
      <c r="BH285" s="18"/>
      <c r="BI285" s="18"/>
      <c r="BJ285" s="18">
        <v>2909</v>
      </c>
      <c r="BK285" s="18">
        <v>2909</v>
      </c>
    </row>
    <row r="286" spans="15:63" x14ac:dyDescent="0.3">
      <c r="O286" t="s">
        <v>2105</v>
      </c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18"/>
      <c r="AH286" s="18"/>
      <c r="AI286" s="18"/>
      <c r="AJ286" s="18"/>
      <c r="AK286" s="18"/>
      <c r="AL286" s="18"/>
      <c r="AM286" s="18"/>
      <c r="AN286" s="18"/>
      <c r="AO286" s="18"/>
      <c r="AP286" s="18"/>
      <c r="AQ286" s="18"/>
      <c r="AR286" s="18"/>
      <c r="AS286" s="18"/>
      <c r="AT286" s="18"/>
      <c r="AU286" s="18"/>
      <c r="AV286" s="18"/>
      <c r="AW286" s="18"/>
      <c r="AX286" s="18"/>
      <c r="AY286" s="18"/>
      <c r="AZ286" s="18"/>
      <c r="BA286" s="18"/>
      <c r="BB286" s="18"/>
      <c r="BC286" s="18">
        <v>5805</v>
      </c>
      <c r="BD286" s="18"/>
      <c r="BE286" s="18"/>
      <c r="BF286" s="18"/>
      <c r="BG286" s="18"/>
      <c r="BH286" s="18"/>
      <c r="BI286" s="18"/>
      <c r="BJ286" s="18">
        <v>5805</v>
      </c>
      <c r="BK286" s="18">
        <v>5805</v>
      </c>
    </row>
    <row r="287" spans="15:63" x14ac:dyDescent="0.3">
      <c r="O287" t="s">
        <v>2111</v>
      </c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18"/>
      <c r="AH287" s="18"/>
      <c r="AI287" s="18"/>
      <c r="AJ287" s="18"/>
      <c r="AK287" s="18"/>
      <c r="AL287" s="18"/>
      <c r="AM287" s="18"/>
      <c r="AN287" s="18"/>
      <c r="AO287" s="18"/>
      <c r="AP287" s="18"/>
      <c r="AQ287" s="18"/>
      <c r="AR287" s="18"/>
      <c r="AS287" s="18"/>
      <c r="AT287" s="18"/>
      <c r="AU287" s="18"/>
      <c r="AV287" s="18"/>
      <c r="AW287" s="18"/>
      <c r="AX287" s="18"/>
      <c r="AY287" s="18"/>
      <c r="AZ287" s="18"/>
      <c r="BA287" s="18"/>
      <c r="BB287" s="18"/>
      <c r="BC287" s="18">
        <v>567.6</v>
      </c>
      <c r="BD287" s="18"/>
      <c r="BE287" s="18"/>
      <c r="BF287" s="18"/>
      <c r="BG287" s="18"/>
      <c r="BH287" s="18"/>
      <c r="BI287" s="18"/>
      <c r="BJ287" s="18">
        <v>567.6</v>
      </c>
      <c r="BK287" s="18">
        <v>567.6</v>
      </c>
    </row>
    <row r="288" spans="15:63" x14ac:dyDescent="0.3">
      <c r="O288" t="s">
        <v>2119</v>
      </c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  <c r="AG288" s="18"/>
      <c r="AH288" s="18"/>
      <c r="AI288" s="18"/>
      <c r="AJ288" s="18"/>
      <c r="AK288" s="18"/>
      <c r="AL288" s="18"/>
      <c r="AM288" s="18"/>
      <c r="AN288" s="18"/>
      <c r="AO288" s="18"/>
      <c r="AP288" s="18"/>
      <c r="AQ288" s="18"/>
      <c r="AR288" s="18"/>
      <c r="AS288" s="18"/>
      <c r="AT288" s="18"/>
      <c r="AU288" s="18"/>
      <c r="AV288" s="18"/>
      <c r="AW288" s="18"/>
      <c r="AX288" s="18"/>
      <c r="AY288" s="18"/>
      <c r="AZ288" s="18"/>
      <c r="BA288" s="18"/>
      <c r="BB288" s="18"/>
      <c r="BC288" s="18">
        <v>5844.4</v>
      </c>
      <c r="BD288" s="18"/>
      <c r="BE288" s="18"/>
      <c r="BF288" s="18"/>
      <c r="BG288" s="18"/>
      <c r="BH288" s="18"/>
      <c r="BI288" s="18"/>
      <c r="BJ288" s="18">
        <v>5844.4</v>
      </c>
      <c r="BK288" s="18">
        <v>5844.4</v>
      </c>
    </row>
    <row r="289" spans="14:63" x14ac:dyDescent="0.3">
      <c r="O289" t="s">
        <v>2166</v>
      </c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  <c r="AH289" s="18"/>
      <c r="AI289" s="18"/>
      <c r="AJ289" s="18"/>
      <c r="AK289" s="18"/>
      <c r="AL289" s="18"/>
      <c r="AM289" s="18"/>
      <c r="AN289" s="18"/>
      <c r="AO289" s="18"/>
      <c r="AP289" s="18"/>
      <c r="AQ289" s="18"/>
      <c r="AR289" s="18"/>
      <c r="AS289" s="18"/>
      <c r="AT289" s="18"/>
      <c r="AU289" s="18"/>
      <c r="AV289" s="18"/>
      <c r="AW289" s="18"/>
      <c r="AX289" s="18"/>
      <c r="AY289" s="18"/>
      <c r="AZ289" s="18"/>
      <c r="BA289" s="18"/>
      <c r="BB289" s="18"/>
      <c r="BC289" s="18"/>
      <c r="BD289" s="18">
        <v>5479.9</v>
      </c>
      <c r="BE289" s="18"/>
      <c r="BF289" s="18"/>
      <c r="BG289" s="18"/>
      <c r="BH289" s="18"/>
      <c r="BI289" s="18"/>
      <c r="BJ289" s="18">
        <v>5479.9</v>
      </c>
      <c r="BK289" s="18">
        <v>5479.9</v>
      </c>
    </row>
    <row r="290" spans="14:63" x14ac:dyDescent="0.3">
      <c r="O290" t="s">
        <v>2181</v>
      </c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  <c r="AH290" s="18"/>
      <c r="AI290" s="18"/>
      <c r="AJ290" s="18"/>
      <c r="AK290" s="18"/>
      <c r="AL290" s="18"/>
      <c r="AM290" s="18"/>
      <c r="AN290" s="18"/>
      <c r="AO290" s="18"/>
      <c r="AP290" s="18"/>
      <c r="AQ290" s="18"/>
      <c r="AR290" s="18"/>
      <c r="AS290" s="18"/>
      <c r="AT290" s="18"/>
      <c r="AU290" s="18"/>
      <c r="AV290" s="18"/>
      <c r="AW290" s="18"/>
      <c r="AX290" s="18"/>
      <c r="AY290" s="18"/>
      <c r="AZ290" s="18"/>
      <c r="BA290" s="18"/>
      <c r="BB290" s="18"/>
      <c r="BC290" s="18"/>
      <c r="BD290" s="18">
        <v>5955.9</v>
      </c>
      <c r="BE290" s="18"/>
      <c r="BF290" s="18"/>
      <c r="BG290" s="18"/>
      <c r="BH290" s="18"/>
      <c r="BI290" s="18"/>
      <c r="BJ290" s="18">
        <v>5955.9</v>
      </c>
      <c r="BK290" s="18">
        <v>5955.9</v>
      </c>
    </row>
    <row r="291" spans="14:63" x14ac:dyDescent="0.3">
      <c r="N291" s="17" t="s">
        <v>264</v>
      </c>
      <c r="O291" s="17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  <c r="AA291" s="19"/>
      <c r="AB291" s="19">
        <v>2676</v>
      </c>
      <c r="AC291" s="19"/>
      <c r="AD291" s="19"/>
      <c r="AE291" s="19"/>
      <c r="AF291" s="19">
        <v>5486</v>
      </c>
      <c r="AG291" s="19">
        <v>240</v>
      </c>
      <c r="AH291" s="19"/>
      <c r="AI291" s="19"/>
      <c r="AJ291" s="19">
        <v>8402</v>
      </c>
      <c r="AK291" s="19"/>
      <c r="AL291" s="19"/>
      <c r="AM291" s="19"/>
      <c r="AN291" s="19"/>
      <c r="AO291" s="19"/>
      <c r="AP291" s="19"/>
      <c r="AQ291" s="19"/>
      <c r="AR291" s="19"/>
      <c r="AS291" s="19"/>
      <c r="AT291" s="19"/>
      <c r="AU291" s="19"/>
      <c r="AV291" s="19"/>
      <c r="AW291" s="19"/>
      <c r="AX291" s="19">
        <v>11502</v>
      </c>
      <c r="AY291" s="19">
        <v>7536</v>
      </c>
      <c r="AZ291" s="19">
        <v>8353.7999999999993</v>
      </c>
      <c r="BA291" s="19">
        <v>19430.5</v>
      </c>
      <c r="BB291" s="19">
        <v>8167.5</v>
      </c>
      <c r="BC291" s="19">
        <v>12217</v>
      </c>
      <c r="BD291" s="19">
        <v>11435.8</v>
      </c>
      <c r="BE291" s="19">
        <v>2132.5</v>
      </c>
      <c r="BF291" s="19"/>
      <c r="BG291" s="19">
        <v>9570</v>
      </c>
      <c r="BH291" s="19">
        <v>6792.5</v>
      </c>
      <c r="BI291" s="19">
        <v>16192.5</v>
      </c>
      <c r="BJ291" s="19">
        <v>113330.09999999999</v>
      </c>
      <c r="BK291" s="19">
        <v>121732.09999999999</v>
      </c>
    </row>
    <row r="292" spans="14:63" x14ac:dyDescent="0.3">
      <c r="N292" t="s">
        <v>281</v>
      </c>
      <c r="O292" t="s">
        <v>279</v>
      </c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  <c r="AC292" s="18"/>
      <c r="AD292" s="18"/>
      <c r="AE292" s="18"/>
      <c r="AF292" s="18">
        <v>2022</v>
      </c>
      <c r="AG292" s="18"/>
      <c r="AH292" s="18"/>
      <c r="AI292" s="18"/>
      <c r="AJ292" s="18">
        <v>2022</v>
      </c>
      <c r="AK292" s="18"/>
      <c r="AL292" s="18"/>
      <c r="AM292" s="18"/>
      <c r="AN292" s="18"/>
      <c r="AO292" s="18"/>
      <c r="AP292" s="18"/>
      <c r="AQ292" s="18"/>
      <c r="AR292" s="18"/>
      <c r="AS292" s="18"/>
      <c r="AT292" s="18"/>
      <c r="AU292" s="18"/>
      <c r="AV292" s="18"/>
      <c r="AW292" s="18"/>
      <c r="AX292" s="18"/>
      <c r="AY292" s="18"/>
      <c r="AZ292" s="18"/>
      <c r="BA292" s="18"/>
      <c r="BB292" s="18"/>
      <c r="BC292" s="18"/>
      <c r="BD292" s="18"/>
      <c r="BE292" s="18"/>
      <c r="BF292" s="18"/>
      <c r="BG292" s="18"/>
      <c r="BH292" s="18"/>
      <c r="BI292" s="18"/>
      <c r="BJ292" s="18"/>
      <c r="BK292" s="18">
        <v>2022</v>
      </c>
    </row>
    <row r="293" spans="14:63" x14ac:dyDescent="0.3">
      <c r="O293" t="s">
        <v>326</v>
      </c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18"/>
      <c r="AD293" s="18"/>
      <c r="AE293" s="18"/>
      <c r="AF293" s="18"/>
      <c r="AG293" s="18"/>
      <c r="AH293" s="18">
        <v>2225</v>
      </c>
      <c r="AI293" s="18"/>
      <c r="AJ293" s="18">
        <v>2225</v>
      </c>
      <c r="AK293" s="18"/>
      <c r="AL293" s="18"/>
      <c r="AM293" s="18"/>
      <c r="AN293" s="18"/>
      <c r="AO293" s="18"/>
      <c r="AP293" s="18"/>
      <c r="AQ293" s="18"/>
      <c r="AR293" s="18"/>
      <c r="AS293" s="18"/>
      <c r="AT293" s="18"/>
      <c r="AU293" s="18"/>
      <c r="AV293" s="18"/>
      <c r="AW293" s="18"/>
      <c r="AX293" s="18"/>
      <c r="AY293" s="18"/>
      <c r="AZ293" s="18"/>
      <c r="BA293" s="18"/>
      <c r="BB293" s="18"/>
      <c r="BC293" s="18"/>
      <c r="BD293" s="18"/>
      <c r="BE293" s="18"/>
      <c r="BF293" s="18"/>
      <c r="BG293" s="18"/>
      <c r="BH293" s="18"/>
      <c r="BI293" s="18"/>
      <c r="BJ293" s="18"/>
      <c r="BK293" s="18">
        <v>2225</v>
      </c>
    </row>
    <row r="294" spans="14:63" x14ac:dyDescent="0.3">
      <c r="N294" s="17" t="s">
        <v>282</v>
      </c>
      <c r="O294" s="17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  <c r="AA294" s="19"/>
      <c r="AB294" s="19"/>
      <c r="AC294" s="19"/>
      <c r="AD294" s="19"/>
      <c r="AE294" s="19"/>
      <c r="AF294" s="19">
        <v>2022</v>
      </c>
      <c r="AG294" s="19"/>
      <c r="AH294" s="19">
        <v>2225</v>
      </c>
      <c r="AI294" s="19"/>
      <c r="AJ294" s="19">
        <v>4247</v>
      </c>
      <c r="AK294" s="19"/>
      <c r="AL294" s="19"/>
      <c r="AM294" s="19"/>
      <c r="AN294" s="19"/>
      <c r="AO294" s="19"/>
      <c r="AP294" s="19"/>
      <c r="AQ294" s="19"/>
      <c r="AR294" s="19"/>
      <c r="AS294" s="19"/>
      <c r="AT294" s="19"/>
      <c r="AU294" s="19"/>
      <c r="AV294" s="19"/>
      <c r="AW294" s="19"/>
      <c r="AX294" s="19"/>
      <c r="AY294" s="19"/>
      <c r="AZ294" s="19"/>
      <c r="BA294" s="19"/>
      <c r="BB294" s="19"/>
      <c r="BC294" s="19"/>
      <c r="BD294" s="19"/>
      <c r="BE294" s="19"/>
      <c r="BF294" s="19"/>
      <c r="BG294" s="19"/>
      <c r="BH294" s="19"/>
      <c r="BI294" s="19"/>
      <c r="BJ294" s="19"/>
      <c r="BK294" s="19">
        <v>4247</v>
      </c>
    </row>
    <row r="295" spans="14:63" x14ac:dyDescent="0.3">
      <c r="N295" t="s">
        <v>290</v>
      </c>
      <c r="O295" t="s">
        <v>316</v>
      </c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18"/>
      <c r="AD295" s="18"/>
      <c r="AE295" s="18"/>
      <c r="AF295" s="18"/>
      <c r="AG295" s="18">
        <v>10807.25</v>
      </c>
      <c r="AH295" s="18"/>
      <c r="AI295" s="18"/>
      <c r="AJ295" s="18">
        <v>10807.25</v>
      </c>
      <c r="AK295" s="18"/>
      <c r="AL295" s="18"/>
      <c r="AM295" s="18"/>
      <c r="AN295" s="18"/>
      <c r="AO295" s="18"/>
      <c r="AP295" s="18"/>
      <c r="AQ295" s="18"/>
      <c r="AR295" s="18"/>
      <c r="AS295" s="18"/>
      <c r="AT295" s="18"/>
      <c r="AU295" s="18"/>
      <c r="AV295" s="18"/>
      <c r="AW295" s="18"/>
      <c r="AX295" s="18"/>
      <c r="AY295" s="18"/>
      <c r="AZ295" s="18"/>
      <c r="BA295" s="18"/>
      <c r="BB295" s="18"/>
      <c r="BC295" s="18"/>
      <c r="BD295" s="18"/>
      <c r="BE295" s="18"/>
      <c r="BF295" s="18"/>
      <c r="BG295" s="18"/>
      <c r="BH295" s="18"/>
      <c r="BI295" s="18"/>
      <c r="BJ295" s="18"/>
      <c r="BK295" s="18">
        <v>10807.25</v>
      </c>
    </row>
    <row r="296" spans="14:63" x14ac:dyDescent="0.3">
      <c r="N296" s="17" t="s">
        <v>292</v>
      </c>
      <c r="O296" s="17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  <c r="AA296" s="19"/>
      <c r="AB296" s="19"/>
      <c r="AC296" s="19"/>
      <c r="AD296" s="19"/>
      <c r="AE296" s="19"/>
      <c r="AF296" s="19"/>
      <c r="AG296" s="19">
        <v>10807.25</v>
      </c>
      <c r="AH296" s="19"/>
      <c r="AI296" s="19"/>
      <c r="AJ296" s="19">
        <v>10807.25</v>
      </c>
      <c r="AK296" s="19"/>
      <c r="AL296" s="19"/>
      <c r="AM296" s="19"/>
      <c r="AN296" s="19"/>
      <c r="AO296" s="19"/>
      <c r="AP296" s="19"/>
      <c r="AQ296" s="19"/>
      <c r="AR296" s="19"/>
      <c r="AS296" s="19"/>
      <c r="AT296" s="19"/>
      <c r="AU296" s="19"/>
      <c r="AV296" s="19"/>
      <c r="AW296" s="19"/>
      <c r="AX296" s="19"/>
      <c r="AY296" s="19"/>
      <c r="AZ296" s="19"/>
      <c r="BA296" s="19"/>
      <c r="BB296" s="19"/>
      <c r="BC296" s="19"/>
      <c r="BD296" s="19"/>
      <c r="BE296" s="19"/>
      <c r="BF296" s="19"/>
      <c r="BG296" s="19"/>
      <c r="BH296" s="19"/>
      <c r="BI296" s="19"/>
      <c r="BJ296" s="19"/>
      <c r="BK296" s="19">
        <v>10807.25</v>
      </c>
    </row>
    <row r="297" spans="14:63" x14ac:dyDescent="0.3">
      <c r="N297" t="s">
        <v>376</v>
      </c>
      <c r="O297" t="s">
        <v>374</v>
      </c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>
        <v>9592</v>
      </c>
      <c r="AB297" s="18"/>
      <c r="AC297" s="18"/>
      <c r="AD297" s="18"/>
      <c r="AE297" s="18"/>
      <c r="AF297" s="18"/>
      <c r="AG297" s="18"/>
      <c r="AH297" s="18"/>
      <c r="AI297" s="18"/>
      <c r="AJ297" s="18">
        <v>9592</v>
      </c>
      <c r="AK297" s="18"/>
      <c r="AL297" s="18"/>
      <c r="AM297" s="18"/>
      <c r="AN297" s="18"/>
      <c r="AO297" s="18"/>
      <c r="AP297" s="18"/>
      <c r="AQ297" s="18"/>
      <c r="AR297" s="18"/>
      <c r="AS297" s="18"/>
      <c r="AT297" s="18"/>
      <c r="AU297" s="18"/>
      <c r="AV297" s="18"/>
      <c r="AW297" s="18"/>
      <c r="AX297" s="18"/>
      <c r="AY297" s="18"/>
      <c r="AZ297" s="18"/>
      <c r="BA297" s="18"/>
      <c r="BB297" s="18"/>
      <c r="BC297" s="18"/>
      <c r="BD297" s="18"/>
      <c r="BE297" s="18"/>
      <c r="BF297" s="18"/>
      <c r="BG297" s="18"/>
      <c r="BH297" s="18"/>
      <c r="BI297" s="18"/>
      <c r="BJ297" s="18"/>
      <c r="BK297" s="18">
        <v>9592</v>
      </c>
    </row>
    <row r="298" spans="14:63" x14ac:dyDescent="0.3">
      <c r="N298" s="17" t="s">
        <v>383</v>
      </c>
      <c r="O298" s="17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>
        <v>9592</v>
      </c>
      <c r="AB298" s="19"/>
      <c r="AC298" s="19"/>
      <c r="AD298" s="19"/>
      <c r="AE298" s="19"/>
      <c r="AF298" s="19"/>
      <c r="AG298" s="19"/>
      <c r="AH298" s="19"/>
      <c r="AI298" s="19"/>
      <c r="AJ298" s="19">
        <v>9592</v>
      </c>
      <c r="AK298" s="19"/>
      <c r="AL298" s="19"/>
      <c r="AM298" s="19"/>
      <c r="AN298" s="19"/>
      <c r="AO298" s="19"/>
      <c r="AP298" s="19"/>
      <c r="AQ298" s="19"/>
      <c r="AR298" s="19"/>
      <c r="AS298" s="19"/>
      <c r="AT298" s="19"/>
      <c r="AU298" s="19"/>
      <c r="AV298" s="19"/>
      <c r="AW298" s="19"/>
      <c r="AX298" s="19"/>
      <c r="AY298" s="19"/>
      <c r="AZ298" s="19"/>
      <c r="BA298" s="19"/>
      <c r="BB298" s="19"/>
      <c r="BC298" s="19"/>
      <c r="BD298" s="19"/>
      <c r="BE298" s="19"/>
      <c r="BF298" s="19"/>
      <c r="BG298" s="19"/>
      <c r="BH298" s="19"/>
      <c r="BI298" s="19"/>
      <c r="BJ298" s="19"/>
      <c r="BK298" s="19">
        <v>9592</v>
      </c>
    </row>
    <row r="299" spans="14:63" x14ac:dyDescent="0.3">
      <c r="N299" t="s">
        <v>401</v>
      </c>
      <c r="O299" t="s">
        <v>399</v>
      </c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>
        <v>5056.2</v>
      </c>
      <c r="AC299" s="18"/>
      <c r="AD299" s="18"/>
      <c r="AE299" s="18"/>
      <c r="AF299" s="18"/>
      <c r="AG299" s="18"/>
      <c r="AH299" s="18"/>
      <c r="AI299" s="18"/>
      <c r="AJ299" s="18">
        <v>5056.2</v>
      </c>
      <c r="AK299" s="18"/>
      <c r="AL299" s="18"/>
      <c r="AM299" s="18"/>
      <c r="AN299" s="18"/>
      <c r="AO299" s="18"/>
      <c r="AP299" s="18"/>
      <c r="AQ299" s="18"/>
      <c r="AR299" s="18"/>
      <c r="AS299" s="18"/>
      <c r="AT299" s="18"/>
      <c r="AU299" s="18"/>
      <c r="AV299" s="18"/>
      <c r="AW299" s="18"/>
      <c r="AX299" s="18"/>
      <c r="AY299" s="18"/>
      <c r="AZ299" s="18"/>
      <c r="BA299" s="18"/>
      <c r="BB299" s="18"/>
      <c r="BC299" s="18"/>
      <c r="BD299" s="18"/>
      <c r="BE299" s="18"/>
      <c r="BF299" s="18"/>
      <c r="BG299" s="18"/>
      <c r="BH299" s="18"/>
      <c r="BI299" s="18"/>
      <c r="BJ299" s="18"/>
      <c r="BK299" s="18">
        <v>5056.2</v>
      </c>
    </row>
    <row r="300" spans="14:63" x14ac:dyDescent="0.3">
      <c r="O300" t="s">
        <v>402</v>
      </c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>
        <v>100</v>
      </c>
      <c r="AC300" s="18"/>
      <c r="AD300" s="18"/>
      <c r="AE300" s="18"/>
      <c r="AF300" s="18"/>
      <c r="AG300" s="18"/>
      <c r="AH300" s="18"/>
      <c r="AI300" s="18"/>
      <c r="AJ300" s="18">
        <v>100</v>
      </c>
      <c r="AK300" s="18"/>
      <c r="AL300" s="18"/>
      <c r="AM300" s="18"/>
      <c r="AN300" s="18"/>
      <c r="AO300" s="18"/>
      <c r="AP300" s="18"/>
      <c r="AQ300" s="18"/>
      <c r="AR300" s="18"/>
      <c r="AS300" s="18"/>
      <c r="AT300" s="18"/>
      <c r="AU300" s="18"/>
      <c r="AV300" s="18"/>
      <c r="AW300" s="18"/>
      <c r="AX300" s="18"/>
      <c r="AY300" s="18"/>
      <c r="AZ300" s="18"/>
      <c r="BA300" s="18"/>
      <c r="BB300" s="18"/>
      <c r="BC300" s="18"/>
      <c r="BD300" s="18"/>
      <c r="BE300" s="18"/>
      <c r="BF300" s="18"/>
      <c r="BG300" s="18"/>
      <c r="BH300" s="18"/>
      <c r="BI300" s="18"/>
      <c r="BJ300" s="18"/>
      <c r="BK300" s="18">
        <v>100</v>
      </c>
    </row>
    <row r="301" spans="14:63" x14ac:dyDescent="0.3">
      <c r="O301" t="s">
        <v>416</v>
      </c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>
        <v>5006.3999999999996</v>
      </c>
      <c r="AC301" s="18"/>
      <c r="AD301" s="18"/>
      <c r="AE301" s="18"/>
      <c r="AF301" s="18"/>
      <c r="AG301" s="18"/>
      <c r="AH301" s="18"/>
      <c r="AI301" s="18"/>
      <c r="AJ301" s="18">
        <v>5006.3999999999996</v>
      </c>
      <c r="AK301" s="18"/>
      <c r="AL301" s="18"/>
      <c r="AM301" s="18"/>
      <c r="AN301" s="18"/>
      <c r="AO301" s="18"/>
      <c r="AP301" s="18"/>
      <c r="AQ301" s="18"/>
      <c r="AR301" s="18"/>
      <c r="AS301" s="18"/>
      <c r="AT301" s="18"/>
      <c r="AU301" s="18"/>
      <c r="AV301" s="18"/>
      <c r="AW301" s="18"/>
      <c r="AX301" s="18"/>
      <c r="AY301" s="18"/>
      <c r="AZ301" s="18"/>
      <c r="BA301" s="18"/>
      <c r="BB301" s="18"/>
      <c r="BC301" s="18"/>
      <c r="BD301" s="18"/>
      <c r="BE301" s="18"/>
      <c r="BF301" s="18"/>
      <c r="BG301" s="18"/>
      <c r="BH301" s="18"/>
      <c r="BI301" s="18"/>
      <c r="BJ301" s="18"/>
      <c r="BK301" s="18">
        <v>5006.3999999999996</v>
      </c>
    </row>
    <row r="302" spans="14:63" x14ac:dyDescent="0.3">
      <c r="O302" t="s">
        <v>417</v>
      </c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>
        <v>400</v>
      </c>
      <c r="AC302" s="18"/>
      <c r="AD302" s="18"/>
      <c r="AE302" s="18"/>
      <c r="AF302" s="18"/>
      <c r="AG302" s="18"/>
      <c r="AH302" s="18"/>
      <c r="AI302" s="18"/>
      <c r="AJ302" s="18">
        <v>400</v>
      </c>
      <c r="AK302" s="18"/>
      <c r="AL302" s="18"/>
      <c r="AM302" s="18"/>
      <c r="AN302" s="18"/>
      <c r="AO302" s="18"/>
      <c r="AP302" s="18"/>
      <c r="AQ302" s="18"/>
      <c r="AR302" s="18"/>
      <c r="AS302" s="18"/>
      <c r="AT302" s="18"/>
      <c r="AU302" s="18"/>
      <c r="AV302" s="18"/>
      <c r="AW302" s="18"/>
      <c r="AX302" s="18"/>
      <c r="AY302" s="18"/>
      <c r="AZ302" s="18"/>
      <c r="BA302" s="18"/>
      <c r="BB302" s="18"/>
      <c r="BC302" s="18"/>
      <c r="BD302" s="18"/>
      <c r="BE302" s="18"/>
      <c r="BF302" s="18"/>
      <c r="BG302" s="18"/>
      <c r="BH302" s="18"/>
      <c r="BI302" s="18"/>
      <c r="BJ302" s="18"/>
      <c r="BK302" s="18">
        <v>400</v>
      </c>
    </row>
    <row r="303" spans="14:63" x14ac:dyDescent="0.3">
      <c r="O303" t="s">
        <v>448</v>
      </c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>
        <v>720</v>
      </c>
      <c r="AC303" s="18"/>
      <c r="AD303" s="18"/>
      <c r="AE303" s="18"/>
      <c r="AF303" s="18"/>
      <c r="AG303" s="18"/>
      <c r="AH303" s="18"/>
      <c r="AI303" s="18"/>
      <c r="AJ303" s="18">
        <v>720</v>
      </c>
      <c r="AK303" s="18"/>
      <c r="AL303" s="18"/>
      <c r="AM303" s="18"/>
      <c r="AN303" s="18"/>
      <c r="AO303" s="18"/>
      <c r="AP303" s="18"/>
      <c r="AQ303" s="18"/>
      <c r="AR303" s="18"/>
      <c r="AS303" s="18"/>
      <c r="AT303" s="18"/>
      <c r="AU303" s="18"/>
      <c r="AV303" s="18"/>
      <c r="AW303" s="18"/>
      <c r="AX303" s="18"/>
      <c r="AY303" s="18"/>
      <c r="AZ303" s="18"/>
      <c r="BA303" s="18"/>
      <c r="BB303" s="18"/>
      <c r="BC303" s="18"/>
      <c r="BD303" s="18"/>
      <c r="BE303" s="18"/>
      <c r="BF303" s="18"/>
      <c r="BG303" s="18"/>
      <c r="BH303" s="18"/>
      <c r="BI303" s="18"/>
      <c r="BJ303" s="18"/>
      <c r="BK303" s="18">
        <v>720</v>
      </c>
    </row>
    <row r="304" spans="14:63" x14ac:dyDescent="0.3">
      <c r="O304" t="s">
        <v>458</v>
      </c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>
        <v>5120</v>
      </c>
      <c r="AD304" s="18"/>
      <c r="AE304" s="18"/>
      <c r="AF304" s="18"/>
      <c r="AG304" s="18"/>
      <c r="AH304" s="18"/>
      <c r="AI304" s="18"/>
      <c r="AJ304" s="18">
        <v>5120</v>
      </c>
      <c r="AK304" s="18"/>
      <c r="AL304" s="18"/>
      <c r="AM304" s="18"/>
      <c r="AN304" s="18"/>
      <c r="AO304" s="18"/>
      <c r="AP304" s="18"/>
      <c r="AQ304" s="18"/>
      <c r="AR304" s="18"/>
      <c r="AS304" s="18"/>
      <c r="AT304" s="18"/>
      <c r="AU304" s="18"/>
      <c r="AV304" s="18"/>
      <c r="AW304" s="18"/>
      <c r="AX304" s="18"/>
      <c r="AY304" s="18"/>
      <c r="AZ304" s="18"/>
      <c r="BA304" s="18"/>
      <c r="BB304" s="18"/>
      <c r="BC304" s="18"/>
      <c r="BD304" s="18"/>
      <c r="BE304" s="18"/>
      <c r="BF304" s="18"/>
      <c r="BG304" s="18"/>
      <c r="BH304" s="18"/>
      <c r="BI304" s="18"/>
      <c r="BJ304" s="18"/>
      <c r="BK304" s="18">
        <v>5120</v>
      </c>
    </row>
    <row r="305" spans="15:63" x14ac:dyDescent="0.3">
      <c r="O305" t="s">
        <v>478</v>
      </c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>
        <v>5366.6</v>
      </c>
      <c r="AD305" s="18"/>
      <c r="AE305" s="18"/>
      <c r="AF305" s="18"/>
      <c r="AG305" s="18"/>
      <c r="AH305" s="18"/>
      <c r="AI305" s="18"/>
      <c r="AJ305" s="18">
        <v>5366.6</v>
      </c>
      <c r="AK305" s="18"/>
      <c r="AL305" s="18"/>
      <c r="AM305" s="18"/>
      <c r="AN305" s="18"/>
      <c r="AO305" s="18"/>
      <c r="AP305" s="18"/>
      <c r="AQ305" s="18"/>
      <c r="AR305" s="18"/>
      <c r="AS305" s="18"/>
      <c r="AT305" s="18"/>
      <c r="AU305" s="18"/>
      <c r="AV305" s="18"/>
      <c r="AW305" s="18"/>
      <c r="AX305" s="18"/>
      <c r="AY305" s="18"/>
      <c r="AZ305" s="18"/>
      <c r="BA305" s="18"/>
      <c r="BB305" s="18"/>
      <c r="BC305" s="18"/>
      <c r="BD305" s="18"/>
      <c r="BE305" s="18"/>
      <c r="BF305" s="18"/>
      <c r="BG305" s="18"/>
      <c r="BH305" s="18"/>
      <c r="BI305" s="18"/>
      <c r="BJ305" s="18"/>
      <c r="BK305" s="18">
        <v>5366.6</v>
      </c>
    </row>
    <row r="306" spans="15:63" x14ac:dyDescent="0.3">
      <c r="O306" t="s">
        <v>482</v>
      </c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>
        <v>2374</v>
      </c>
      <c r="AD306" s="18"/>
      <c r="AE306" s="18"/>
      <c r="AF306" s="18"/>
      <c r="AG306" s="18"/>
      <c r="AH306" s="18"/>
      <c r="AI306" s="18"/>
      <c r="AJ306" s="18">
        <v>2374</v>
      </c>
      <c r="AK306" s="18"/>
      <c r="AL306" s="18"/>
      <c r="AM306" s="18"/>
      <c r="AN306" s="18"/>
      <c r="AO306" s="18"/>
      <c r="AP306" s="18"/>
      <c r="AQ306" s="18"/>
      <c r="AR306" s="18"/>
      <c r="AS306" s="18"/>
      <c r="AT306" s="18"/>
      <c r="AU306" s="18"/>
      <c r="AV306" s="18"/>
      <c r="AW306" s="18"/>
      <c r="AX306" s="18"/>
      <c r="AY306" s="18"/>
      <c r="AZ306" s="18"/>
      <c r="BA306" s="18"/>
      <c r="BB306" s="18"/>
      <c r="BC306" s="18"/>
      <c r="BD306" s="18"/>
      <c r="BE306" s="18"/>
      <c r="BF306" s="18"/>
      <c r="BG306" s="18"/>
      <c r="BH306" s="18"/>
      <c r="BI306" s="18"/>
      <c r="BJ306" s="18"/>
      <c r="BK306" s="18">
        <v>2374</v>
      </c>
    </row>
    <row r="307" spans="15:63" x14ac:dyDescent="0.3">
      <c r="O307" t="s">
        <v>483</v>
      </c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>
        <v>2024</v>
      </c>
      <c r="AD307" s="18"/>
      <c r="AE307" s="18"/>
      <c r="AF307" s="18"/>
      <c r="AG307" s="18"/>
      <c r="AH307" s="18"/>
      <c r="AI307" s="18"/>
      <c r="AJ307" s="18">
        <v>2024</v>
      </c>
      <c r="AK307" s="18"/>
      <c r="AL307" s="18"/>
      <c r="AM307" s="18"/>
      <c r="AN307" s="18"/>
      <c r="AO307" s="18"/>
      <c r="AP307" s="18"/>
      <c r="AQ307" s="18"/>
      <c r="AR307" s="18"/>
      <c r="AS307" s="18"/>
      <c r="AT307" s="18"/>
      <c r="AU307" s="18"/>
      <c r="AV307" s="18"/>
      <c r="AW307" s="18"/>
      <c r="AX307" s="18"/>
      <c r="AY307" s="18"/>
      <c r="AZ307" s="18"/>
      <c r="BA307" s="18"/>
      <c r="BB307" s="18"/>
      <c r="BC307" s="18"/>
      <c r="BD307" s="18"/>
      <c r="BE307" s="18"/>
      <c r="BF307" s="18"/>
      <c r="BG307" s="18"/>
      <c r="BH307" s="18"/>
      <c r="BI307" s="18"/>
      <c r="BJ307" s="18"/>
      <c r="BK307" s="18">
        <v>2024</v>
      </c>
    </row>
    <row r="308" spans="15:63" x14ac:dyDescent="0.3">
      <c r="O308" t="s">
        <v>537</v>
      </c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>
        <v>5014.8</v>
      </c>
      <c r="AE308" s="18"/>
      <c r="AF308" s="18"/>
      <c r="AG308" s="18"/>
      <c r="AH308" s="18"/>
      <c r="AI308" s="18"/>
      <c r="AJ308" s="18">
        <v>5014.8</v>
      </c>
      <c r="AK308" s="18"/>
      <c r="AL308" s="18"/>
      <c r="AM308" s="18"/>
      <c r="AN308" s="18"/>
      <c r="AO308" s="18"/>
      <c r="AP308" s="18"/>
      <c r="AQ308" s="18"/>
      <c r="AR308" s="18"/>
      <c r="AS308" s="18"/>
      <c r="AT308" s="18"/>
      <c r="AU308" s="18"/>
      <c r="AV308" s="18"/>
      <c r="AW308" s="18"/>
      <c r="AX308" s="18"/>
      <c r="AY308" s="18"/>
      <c r="AZ308" s="18"/>
      <c r="BA308" s="18"/>
      <c r="BB308" s="18"/>
      <c r="BC308" s="18"/>
      <c r="BD308" s="18"/>
      <c r="BE308" s="18"/>
      <c r="BF308" s="18"/>
      <c r="BG308" s="18"/>
      <c r="BH308" s="18"/>
      <c r="BI308" s="18"/>
      <c r="BJ308" s="18"/>
      <c r="BK308" s="18">
        <v>5014.8</v>
      </c>
    </row>
    <row r="309" spans="15:63" x14ac:dyDescent="0.3">
      <c r="O309" t="s">
        <v>548</v>
      </c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  <c r="AG309" s="18"/>
      <c r="AH309" s="18"/>
      <c r="AI309" s="18"/>
      <c r="AJ309" s="18"/>
      <c r="AK309" s="18"/>
      <c r="AL309" s="18"/>
      <c r="AM309" s="18"/>
      <c r="AN309" s="18"/>
      <c r="AO309" s="18"/>
      <c r="AP309" s="18"/>
      <c r="AQ309" s="18"/>
      <c r="AR309" s="18">
        <v>1080</v>
      </c>
      <c r="AS309" s="18"/>
      <c r="AT309" s="18"/>
      <c r="AU309" s="18"/>
      <c r="AV309" s="18"/>
      <c r="AW309" s="18">
        <v>1080</v>
      </c>
      <c r="AX309" s="18"/>
      <c r="AY309" s="18"/>
      <c r="AZ309" s="18"/>
      <c r="BA309" s="18"/>
      <c r="BB309" s="18"/>
      <c r="BC309" s="18"/>
      <c r="BD309" s="18"/>
      <c r="BE309" s="18"/>
      <c r="BF309" s="18"/>
      <c r="BG309" s="18"/>
      <c r="BH309" s="18"/>
      <c r="BI309" s="18"/>
      <c r="BJ309" s="18"/>
      <c r="BK309" s="18">
        <v>1080</v>
      </c>
    </row>
    <row r="310" spans="15:63" x14ac:dyDescent="0.3">
      <c r="O310" t="s">
        <v>558</v>
      </c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  <c r="AJ310" s="18"/>
      <c r="AK310" s="18"/>
      <c r="AL310" s="18"/>
      <c r="AM310" s="18"/>
      <c r="AN310" s="18"/>
      <c r="AO310" s="18"/>
      <c r="AP310" s="18"/>
      <c r="AQ310" s="18"/>
      <c r="AR310" s="18">
        <v>5183.6000000000004</v>
      </c>
      <c r="AS310" s="18"/>
      <c r="AT310" s="18"/>
      <c r="AU310" s="18"/>
      <c r="AV310" s="18"/>
      <c r="AW310" s="18">
        <v>5183.6000000000004</v>
      </c>
      <c r="AX310" s="18"/>
      <c r="AY310" s="18"/>
      <c r="AZ310" s="18"/>
      <c r="BA310" s="18"/>
      <c r="BB310" s="18"/>
      <c r="BC310" s="18"/>
      <c r="BD310" s="18"/>
      <c r="BE310" s="18"/>
      <c r="BF310" s="18"/>
      <c r="BG310" s="18"/>
      <c r="BH310" s="18"/>
      <c r="BI310" s="18"/>
      <c r="BJ310" s="18"/>
      <c r="BK310" s="18">
        <v>5183.6000000000004</v>
      </c>
    </row>
    <row r="311" spans="15:63" x14ac:dyDescent="0.3">
      <c r="O311" t="s">
        <v>566</v>
      </c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  <c r="AG311" s="18"/>
      <c r="AH311" s="18"/>
      <c r="AI311" s="18"/>
      <c r="AJ311" s="18"/>
      <c r="AK311" s="18"/>
      <c r="AL311" s="18"/>
      <c r="AM311" s="18"/>
      <c r="AN311" s="18"/>
      <c r="AO311" s="18"/>
      <c r="AP311" s="18"/>
      <c r="AQ311" s="18"/>
      <c r="AR311" s="18">
        <v>2696.8</v>
      </c>
      <c r="AS311" s="18"/>
      <c r="AT311" s="18"/>
      <c r="AU311" s="18"/>
      <c r="AV311" s="18"/>
      <c r="AW311" s="18">
        <v>2696.8</v>
      </c>
      <c r="AX311" s="18"/>
      <c r="AY311" s="18"/>
      <c r="AZ311" s="18"/>
      <c r="BA311" s="18"/>
      <c r="BB311" s="18"/>
      <c r="BC311" s="18"/>
      <c r="BD311" s="18"/>
      <c r="BE311" s="18"/>
      <c r="BF311" s="18"/>
      <c r="BG311" s="18"/>
      <c r="BH311" s="18"/>
      <c r="BI311" s="18"/>
      <c r="BJ311" s="18"/>
      <c r="BK311" s="18">
        <v>2696.8</v>
      </c>
    </row>
    <row r="312" spans="15:63" x14ac:dyDescent="0.3">
      <c r="O312" t="s">
        <v>602</v>
      </c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  <c r="AH312" s="18"/>
      <c r="AI312" s="18"/>
      <c r="AJ312" s="18"/>
      <c r="AK312" s="18"/>
      <c r="AL312" s="18"/>
      <c r="AM312" s="18"/>
      <c r="AN312" s="18"/>
      <c r="AO312" s="18"/>
      <c r="AP312" s="18"/>
      <c r="AQ312" s="18"/>
      <c r="AR312" s="18"/>
      <c r="AS312" s="18">
        <v>6532.4</v>
      </c>
      <c r="AT312" s="18"/>
      <c r="AU312" s="18"/>
      <c r="AV312" s="18"/>
      <c r="AW312" s="18">
        <v>6532.4</v>
      </c>
      <c r="AX312" s="18"/>
      <c r="AY312" s="18"/>
      <c r="AZ312" s="18"/>
      <c r="BA312" s="18"/>
      <c r="BB312" s="18"/>
      <c r="BC312" s="18"/>
      <c r="BD312" s="18"/>
      <c r="BE312" s="18"/>
      <c r="BF312" s="18"/>
      <c r="BG312" s="18"/>
      <c r="BH312" s="18"/>
      <c r="BI312" s="18"/>
      <c r="BJ312" s="18"/>
      <c r="BK312" s="18">
        <v>6532.4</v>
      </c>
    </row>
    <row r="313" spans="15:63" x14ac:dyDescent="0.3">
      <c r="O313" t="s">
        <v>609</v>
      </c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  <c r="AJ313" s="18"/>
      <c r="AK313" s="18"/>
      <c r="AL313" s="18"/>
      <c r="AM313" s="18"/>
      <c r="AN313" s="18"/>
      <c r="AO313" s="18"/>
      <c r="AP313" s="18"/>
      <c r="AQ313" s="18"/>
      <c r="AR313" s="18"/>
      <c r="AS313" s="18">
        <v>5877.3</v>
      </c>
      <c r="AT313" s="18"/>
      <c r="AU313" s="18"/>
      <c r="AV313" s="18"/>
      <c r="AW313" s="18">
        <v>5877.3</v>
      </c>
      <c r="AX313" s="18"/>
      <c r="AY313" s="18"/>
      <c r="AZ313" s="18"/>
      <c r="BA313" s="18"/>
      <c r="BB313" s="18"/>
      <c r="BC313" s="18"/>
      <c r="BD313" s="18"/>
      <c r="BE313" s="18"/>
      <c r="BF313" s="18"/>
      <c r="BG313" s="18"/>
      <c r="BH313" s="18"/>
      <c r="BI313" s="18"/>
      <c r="BJ313" s="18"/>
      <c r="BK313" s="18">
        <v>5877.3</v>
      </c>
    </row>
    <row r="314" spans="15:63" x14ac:dyDescent="0.3">
      <c r="O314" t="s">
        <v>644</v>
      </c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  <c r="AG314" s="18"/>
      <c r="AH314" s="18"/>
      <c r="AI314" s="18"/>
      <c r="AJ314" s="18"/>
      <c r="AK314" s="18"/>
      <c r="AL314" s="18"/>
      <c r="AM314" s="18"/>
      <c r="AN314" s="18"/>
      <c r="AO314" s="18"/>
      <c r="AP314" s="18"/>
      <c r="AQ314" s="18"/>
      <c r="AR314" s="18"/>
      <c r="AS314" s="18"/>
      <c r="AT314" s="18">
        <v>6379.9</v>
      </c>
      <c r="AU314" s="18"/>
      <c r="AV314" s="18"/>
      <c r="AW314" s="18">
        <v>6379.9</v>
      </c>
      <c r="AX314" s="18"/>
      <c r="AY314" s="18"/>
      <c r="AZ314" s="18"/>
      <c r="BA314" s="18"/>
      <c r="BB314" s="18"/>
      <c r="BC314" s="18"/>
      <c r="BD314" s="18"/>
      <c r="BE314" s="18"/>
      <c r="BF314" s="18"/>
      <c r="BG314" s="18"/>
      <c r="BH314" s="18"/>
      <c r="BI314" s="18"/>
      <c r="BJ314" s="18"/>
      <c r="BK314" s="18">
        <v>6379.9</v>
      </c>
    </row>
    <row r="315" spans="15:63" x14ac:dyDescent="0.3">
      <c r="O315" t="s">
        <v>650</v>
      </c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  <c r="AJ315" s="18"/>
      <c r="AK315" s="18"/>
      <c r="AL315" s="18"/>
      <c r="AM315" s="18"/>
      <c r="AN315" s="18"/>
      <c r="AO315" s="18"/>
      <c r="AP315" s="18"/>
      <c r="AQ315" s="18"/>
      <c r="AR315" s="18"/>
      <c r="AS315" s="18"/>
      <c r="AT315" s="18">
        <v>315</v>
      </c>
      <c r="AU315" s="18"/>
      <c r="AV315" s="18"/>
      <c r="AW315" s="18">
        <v>315</v>
      </c>
      <c r="AX315" s="18"/>
      <c r="AY315" s="18"/>
      <c r="AZ315" s="18"/>
      <c r="BA315" s="18"/>
      <c r="BB315" s="18"/>
      <c r="BC315" s="18"/>
      <c r="BD315" s="18"/>
      <c r="BE315" s="18"/>
      <c r="BF315" s="18"/>
      <c r="BG315" s="18"/>
      <c r="BH315" s="18"/>
      <c r="BI315" s="18"/>
      <c r="BJ315" s="18"/>
      <c r="BK315" s="18">
        <v>315</v>
      </c>
    </row>
    <row r="316" spans="15:63" x14ac:dyDescent="0.3">
      <c r="O316" t="s">
        <v>687</v>
      </c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  <c r="AH316" s="18"/>
      <c r="AI316" s="18"/>
      <c r="AJ316" s="18"/>
      <c r="AK316" s="18"/>
      <c r="AL316" s="18"/>
      <c r="AM316" s="18"/>
      <c r="AN316" s="18"/>
      <c r="AO316" s="18"/>
      <c r="AP316" s="18"/>
      <c r="AQ316" s="18"/>
      <c r="AR316" s="18"/>
      <c r="AS316" s="18"/>
      <c r="AT316" s="18"/>
      <c r="AU316" s="18">
        <v>6361.1</v>
      </c>
      <c r="AV316" s="18"/>
      <c r="AW316" s="18">
        <v>6361.1</v>
      </c>
      <c r="AX316" s="18"/>
      <c r="AY316" s="18"/>
      <c r="AZ316" s="18"/>
      <c r="BA316" s="18"/>
      <c r="BB316" s="18"/>
      <c r="BC316" s="18"/>
      <c r="BD316" s="18"/>
      <c r="BE316" s="18"/>
      <c r="BF316" s="18"/>
      <c r="BG316" s="18"/>
      <c r="BH316" s="18"/>
      <c r="BI316" s="18"/>
      <c r="BJ316" s="18"/>
      <c r="BK316" s="18">
        <v>6361.1</v>
      </c>
    </row>
    <row r="317" spans="15:63" x14ac:dyDescent="0.3">
      <c r="O317" t="s">
        <v>727</v>
      </c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  <c r="AH317" s="18"/>
      <c r="AI317" s="18"/>
      <c r="AJ317" s="18"/>
      <c r="AK317" s="18"/>
      <c r="AL317" s="18"/>
      <c r="AM317" s="18"/>
      <c r="AN317" s="18"/>
      <c r="AO317" s="18"/>
      <c r="AP317" s="18"/>
      <c r="AQ317" s="18"/>
      <c r="AR317" s="18"/>
      <c r="AS317" s="18"/>
      <c r="AT317" s="18"/>
      <c r="AU317" s="18">
        <v>6096.1</v>
      </c>
      <c r="AV317" s="18"/>
      <c r="AW317" s="18">
        <v>6096.1</v>
      </c>
      <c r="AX317" s="18"/>
      <c r="AY317" s="18"/>
      <c r="AZ317" s="18"/>
      <c r="BA317" s="18"/>
      <c r="BB317" s="18"/>
      <c r="BC317" s="18"/>
      <c r="BD317" s="18"/>
      <c r="BE317" s="18"/>
      <c r="BF317" s="18"/>
      <c r="BG317" s="18"/>
      <c r="BH317" s="18"/>
      <c r="BI317" s="18"/>
      <c r="BJ317" s="18"/>
      <c r="BK317" s="18">
        <v>6096.1</v>
      </c>
    </row>
    <row r="318" spans="15:63" x14ac:dyDescent="0.3">
      <c r="O318" t="s">
        <v>795</v>
      </c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  <c r="AG318" s="18"/>
      <c r="AH318" s="18"/>
      <c r="AI318" s="18"/>
      <c r="AJ318" s="18"/>
      <c r="AK318" s="18"/>
      <c r="AL318" s="18"/>
      <c r="AM318" s="18"/>
      <c r="AN318" s="18"/>
      <c r="AO318" s="18"/>
      <c r="AP318" s="18"/>
      <c r="AQ318" s="18"/>
      <c r="AR318" s="18"/>
      <c r="AS318" s="18"/>
      <c r="AT318" s="18"/>
      <c r="AU318" s="18"/>
      <c r="AV318" s="18">
        <v>6201.1</v>
      </c>
      <c r="AW318" s="18">
        <v>6201.1</v>
      </c>
      <c r="AX318" s="18"/>
      <c r="AY318" s="18"/>
      <c r="AZ318" s="18"/>
      <c r="BA318" s="18"/>
      <c r="BB318" s="18"/>
      <c r="BC318" s="18"/>
      <c r="BD318" s="18"/>
      <c r="BE318" s="18"/>
      <c r="BF318" s="18"/>
      <c r="BG318" s="18"/>
      <c r="BH318" s="18"/>
      <c r="BI318" s="18"/>
      <c r="BJ318" s="18"/>
      <c r="BK318" s="18">
        <v>6201.1</v>
      </c>
    </row>
    <row r="319" spans="15:63" x14ac:dyDescent="0.3">
      <c r="O319" t="s">
        <v>847</v>
      </c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  <c r="AF319" s="18"/>
      <c r="AG319" s="18"/>
      <c r="AH319" s="18"/>
      <c r="AI319" s="18"/>
      <c r="AJ319" s="18"/>
      <c r="AK319" s="18">
        <v>6223.6</v>
      </c>
      <c r="AL319" s="18"/>
      <c r="AM319" s="18"/>
      <c r="AN319" s="18"/>
      <c r="AO319" s="18"/>
      <c r="AP319" s="18"/>
      <c r="AQ319" s="18"/>
      <c r="AR319" s="18"/>
      <c r="AS319" s="18"/>
      <c r="AT319" s="18"/>
      <c r="AU319" s="18"/>
      <c r="AV319" s="18"/>
      <c r="AW319" s="18">
        <v>6223.6</v>
      </c>
      <c r="AX319" s="18"/>
      <c r="AY319" s="18"/>
      <c r="AZ319" s="18"/>
      <c r="BA319" s="18"/>
      <c r="BB319" s="18"/>
      <c r="BC319" s="18"/>
      <c r="BD319" s="18"/>
      <c r="BE319" s="18"/>
      <c r="BF319" s="18"/>
      <c r="BG319" s="18"/>
      <c r="BH319" s="18"/>
      <c r="BI319" s="18"/>
      <c r="BJ319" s="18"/>
      <c r="BK319" s="18">
        <v>6223.6</v>
      </c>
    </row>
    <row r="320" spans="15:63" x14ac:dyDescent="0.3">
      <c r="O320" t="s">
        <v>858</v>
      </c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  <c r="AG320" s="18"/>
      <c r="AH320" s="18"/>
      <c r="AI320" s="18"/>
      <c r="AJ320" s="18"/>
      <c r="AK320" s="18"/>
      <c r="AL320" s="18">
        <v>5183.6000000000004</v>
      </c>
      <c r="AM320" s="18"/>
      <c r="AN320" s="18"/>
      <c r="AO320" s="18"/>
      <c r="AP320" s="18"/>
      <c r="AQ320" s="18"/>
      <c r="AR320" s="18"/>
      <c r="AS320" s="18"/>
      <c r="AT320" s="18"/>
      <c r="AU320" s="18"/>
      <c r="AV320" s="18"/>
      <c r="AW320" s="18">
        <v>5183.6000000000004</v>
      </c>
      <c r="AX320" s="18"/>
      <c r="AY320" s="18"/>
      <c r="AZ320" s="18"/>
      <c r="BA320" s="18"/>
      <c r="BB320" s="18"/>
      <c r="BC320" s="18"/>
      <c r="BD320" s="18"/>
      <c r="BE320" s="18"/>
      <c r="BF320" s="18"/>
      <c r="BG320" s="18"/>
      <c r="BH320" s="18"/>
      <c r="BI320" s="18"/>
      <c r="BJ320" s="18"/>
      <c r="BK320" s="18">
        <v>5183.6000000000004</v>
      </c>
    </row>
    <row r="321" spans="15:63" x14ac:dyDescent="0.3">
      <c r="O321" t="s">
        <v>916</v>
      </c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  <c r="AG321" s="18"/>
      <c r="AH321" s="18"/>
      <c r="AI321" s="18"/>
      <c r="AJ321" s="18"/>
      <c r="AK321" s="18"/>
      <c r="AL321" s="18"/>
      <c r="AM321" s="18">
        <v>6136.8</v>
      </c>
      <c r="AN321" s="18"/>
      <c r="AO321" s="18"/>
      <c r="AP321" s="18"/>
      <c r="AQ321" s="18"/>
      <c r="AR321" s="18"/>
      <c r="AS321" s="18"/>
      <c r="AT321" s="18"/>
      <c r="AU321" s="18"/>
      <c r="AV321" s="18"/>
      <c r="AW321" s="18">
        <v>6136.8</v>
      </c>
      <c r="AX321" s="18"/>
      <c r="AY321" s="18"/>
      <c r="AZ321" s="18"/>
      <c r="BA321" s="18"/>
      <c r="BB321" s="18"/>
      <c r="BC321" s="18"/>
      <c r="BD321" s="18"/>
      <c r="BE321" s="18"/>
      <c r="BF321" s="18"/>
      <c r="BG321" s="18"/>
      <c r="BH321" s="18"/>
      <c r="BI321" s="18"/>
      <c r="BJ321" s="18"/>
      <c r="BK321" s="18">
        <v>6136.8</v>
      </c>
    </row>
    <row r="322" spans="15:63" x14ac:dyDescent="0.3">
      <c r="O322" t="s">
        <v>944</v>
      </c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  <c r="AG322" s="18"/>
      <c r="AH322" s="18"/>
      <c r="AI322" s="18"/>
      <c r="AJ322" s="18"/>
      <c r="AK322" s="18"/>
      <c r="AL322" s="18"/>
      <c r="AM322" s="18"/>
      <c r="AN322" s="18">
        <v>3546.1</v>
      </c>
      <c r="AO322" s="18"/>
      <c r="AP322" s="18"/>
      <c r="AQ322" s="18"/>
      <c r="AR322" s="18"/>
      <c r="AS322" s="18"/>
      <c r="AT322" s="18"/>
      <c r="AU322" s="18"/>
      <c r="AV322" s="18"/>
      <c r="AW322" s="18">
        <v>3546.1</v>
      </c>
      <c r="AX322" s="18"/>
      <c r="AY322" s="18"/>
      <c r="AZ322" s="18"/>
      <c r="BA322" s="18"/>
      <c r="BB322" s="18"/>
      <c r="BC322" s="18"/>
      <c r="BD322" s="18"/>
      <c r="BE322" s="18"/>
      <c r="BF322" s="18"/>
      <c r="BG322" s="18"/>
      <c r="BH322" s="18"/>
      <c r="BI322" s="18"/>
      <c r="BJ322" s="18"/>
      <c r="BK322" s="18">
        <v>3546.1</v>
      </c>
    </row>
    <row r="323" spans="15:63" x14ac:dyDescent="0.3">
      <c r="O323" t="s">
        <v>999</v>
      </c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  <c r="AJ323" s="18"/>
      <c r="AK323" s="18"/>
      <c r="AL323" s="18"/>
      <c r="AM323" s="18"/>
      <c r="AN323" s="18"/>
      <c r="AO323" s="18">
        <v>3137.3</v>
      </c>
      <c r="AP323" s="18"/>
      <c r="AQ323" s="18"/>
      <c r="AR323" s="18"/>
      <c r="AS323" s="18"/>
      <c r="AT323" s="18"/>
      <c r="AU323" s="18"/>
      <c r="AV323" s="18"/>
      <c r="AW323" s="18">
        <v>3137.3</v>
      </c>
      <c r="AX323" s="18"/>
      <c r="AY323" s="18"/>
      <c r="AZ323" s="18"/>
      <c r="BA323" s="18"/>
      <c r="BB323" s="18"/>
      <c r="BC323" s="18"/>
      <c r="BD323" s="18"/>
      <c r="BE323" s="18"/>
      <c r="BF323" s="18"/>
      <c r="BG323" s="18"/>
      <c r="BH323" s="18"/>
      <c r="BI323" s="18"/>
      <c r="BJ323" s="18"/>
      <c r="BK323" s="18">
        <v>3137.3</v>
      </c>
    </row>
    <row r="324" spans="15:63" x14ac:dyDescent="0.3">
      <c r="O324" t="s">
        <v>1067</v>
      </c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  <c r="AK324" s="18"/>
      <c r="AL324" s="18"/>
      <c r="AM324" s="18"/>
      <c r="AN324" s="18"/>
      <c r="AO324" s="18"/>
      <c r="AP324" s="18">
        <v>5283.2</v>
      </c>
      <c r="AQ324" s="18"/>
      <c r="AR324" s="18"/>
      <c r="AS324" s="18"/>
      <c r="AT324" s="18"/>
      <c r="AU324" s="18"/>
      <c r="AV324" s="18"/>
      <c r="AW324" s="18">
        <v>5283.2</v>
      </c>
      <c r="AX324" s="18"/>
      <c r="AY324" s="18"/>
      <c r="AZ324" s="18"/>
      <c r="BA324" s="18"/>
      <c r="BB324" s="18"/>
      <c r="BC324" s="18"/>
      <c r="BD324" s="18"/>
      <c r="BE324" s="18"/>
      <c r="BF324" s="18"/>
      <c r="BG324" s="18"/>
      <c r="BH324" s="18"/>
      <c r="BI324" s="18"/>
      <c r="BJ324" s="18"/>
      <c r="BK324" s="18">
        <v>5283.2</v>
      </c>
    </row>
    <row r="325" spans="15:63" x14ac:dyDescent="0.3">
      <c r="O325" t="s">
        <v>1068</v>
      </c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  <c r="AJ325" s="18"/>
      <c r="AK325" s="18"/>
      <c r="AL325" s="18"/>
      <c r="AM325" s="18"/>
      <c r="AN325" s="18"/>
      <c r="AO325" s="18"/>
      <c r="AP325" s="18">
        <v>105</v>
      </c>
      <c r="AQ325" s="18"/>
      <c r="AR325" s="18"/>
      <c r="AS325" s="18"/>
      <c r="AT325" s="18"/>
      <c r="AU325" s="18"/>
      <c r="AV325" s="18"/>
      <c r="AW325" s="18">
        <v>105</v>
      </c>
      <c r="AX325" s="18"/>
      <c r="AY325" s="18"/>
      <c r="AZ325" s="18"/>
      <c r="BA325" s="18"/>
      <c r="BB325" s="18"/>
      <c r="BC325" s="18"/>
      <c r="BD325" s="18"/>
      <c r="BE325" s="18"/>
      <c r="BF325" s="18"/>
      <c r="BG325" s="18"/>
      <c r="BH325" s="18"/>
      <c r="BI325" s="18"/>
      <c r="BJ325" s="18"/>
      <c r="BK325" s="18">
        <v>105</v>
      </c>
    </row>
    <row r="326" spans="15:63" x14ac:dyDescent="0.3">
      <c r="O326" t="s">
        <v>1134</v>
      </c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  <c r="AG326" s="18"/>
      <c r="AH326" s="18"/>
      <c r="AI326" s="18"/>
      <c r="AJ326" s="18"/>
      <c r="AK326" s="18"/>
      <c r="AL326" s="18"/>
      <c r="AM326" s="18"/>
      <c r="AN326" s="18"/>
      <c r="AO326" s="18"/>
      <c r="AP326" s="18"/>
      <c r="AQ326" s="18">
        <v>6136.1</v>
      </c>
      <c r="AR326" s="18"/>
      <c r="AS326" s="18"/>
      <c r="AT326" s="18"/>
      <c r="AU326" s="18"/>
      <c r="AV326" s="18"/>
      <c r="AW326" s="18">
        <v>6136.1</v>
      </c>
      <c r="AX326" s="18"/>
      <c r="AY326" s="18"/>
      <c r="AZ326" s="18"/>
      <c r="BA326" s="18"/>
      <c r="BB326" s="18"/>
      <c r="BC326" s="18"/>
      <c r="BD326" s="18"/>
      <c r="BE326" s="18"/>
      <c r="BF326" s="18"/>
      <c r="BG326" s="18"/>
      <c r="BH326" s="18"/>
      <c r="BI326" s="18"/>
      <c r="BJ326" s="18"/>
      <c r="BK326" s="18">
        <v>6136.1</v>
      </c>
    </row>
    <row r="327" spans="15:63" x14ac:dyDescent="0.3">
      <c r="O327" t="s">
        <v>1195</v>
      </c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  <c r="AG327" s="18"/>
      <c r="AH327" s="18"/>
      <c r="AI327" s="18"/>
      <c r="AJ327" s="18"/>
      <c r="AK327" s="18"/>
      <c r="AL327" s="18"/>
      <c r="AM327" s="18"/>
      <c r="AN327" s="18"/>
      <c r="AO327" s="18"/>
      <c r="AP327" s="18"/>
      <c r="AQ327" s="18"/>
      <c r="AR327" s="18"/>
      <c r="AS327" s="18"/>
      <c r="AT327" s="18"/>
      <c r="AU327" s="18"/>
      <c r="AV327" s="18"/>
      <c r="AW327" s="18"/>
      <c r="AX327" s="18"/>
      <c r="AY327" s="18"/>
      <c r="AZ327" s="18"/>
      <c r="BA327" s="18"/>
      <c r="BB327" s="18"/>
      <c r="BC327" s="18"/>
      <c r="BD327" s="18"/>
      <c r="BE327" s="18">
        <v>6152.1</v>
      </c>
      <c r="BF327" s="18"/>
      <c r="BG327" s="18"/>
      <c r="BH327" s="18"/>
      <c r="BI327" s="18"/>
      <c r="BJ327" s="18">
        <v>6152.1</v>
      </c>
      <c r="BK327" s="18">
        <v>6152.1</v>
      </c>
    </row>
    <row r="328" spans="15:63" x14ac:dyDescent="0.3">
      <c r="O328" t="s">
        <v>1257</v>
      </c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  <c r="AG328" s="18"/>
      <c r="AH328" s="18"/>
      <c r="AI328" s="18"/>
      <c r="AJ328" s="18"/>
      <c r="AK328" s="18"/>
      <c r="AL328" s="18"/>
      <c r="AM328" s="18"/>
      <c r="AN328" s="18"/>
      <c r="AO328" s="18"/>
      <c r="AP328" s="18"/>
      <c r="AQ328" s="18"/>
      <c r="AR328" s="18"/>
      <c r="AS328" s="18"/>
      <c r="AT328" s="18"/>
      <c r="AU328" s="18"/>
      <c r="AV328" s="18"/>
      <c r="AW328" s="18"/>
      <c r="AX328" s="18"/>
      <c r="AY328" s="18"/>
      <c r="AZ328" s="18"/>
      <c r="BA328" s="18"/>
      <c r="BB328" s="18"/>
      <c r="BC328" s="18"/>
      <c r="BD328" s="18"/>
      <c r="BE328" s="18"/>
      <c r="BF328" s="18">
        <v>450</v>
      </c>
      <c r="BG328" s="18"/>
      <c r="BH328" s="18"/>
      <c r="BI328" s="18"/>
      <c r="BJ328" s="18">
        <v>450</v>
      </c>
      <c r="BK328" s="18">
        <v>450</v>
      </c>
    </row>
    <row r="329" spans="15:63" x14ac:dyDescent="0.3">
      <c r="O329" t="s">
        <v>1281</v>
      </c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  <c r="AG329" s="18"/>
      <c r="AH329" s="18"/>
      <c r="AI329" s="18"/>
      <c r="AJ329" s="18"/>
      <c r="AK329" s="18"/>
      <c r="AL329" s="18"/>
      <c r="AM329" s="18"/>
      <c r="AN329" s="18"/>
      <c r="AO329" s="18"/>
      <c r="AP329" s="18"/>
      <c r="AQ329" s="18"/>
      <c r="AR329" s="18"/>
      <c r="AS329" s="18"/>
      <c r="AT329" s="18"/>
      <c r="AU329" s="18"/>
      <c r="AV329" s="18"/>
      <c r="AW329" s="18"/>
      <c r="AX329" s="18"/>
      <c r="AY329" s="18"/>
      <c r="AZ329" s="18"/>
      <c r="BA329" s="18"/>
      <c r="BB329" s="18"/>
      <c r="BC329" s="18"/>
      <c r="BD329" s="18"/>
      <c r="BE329" s="18"/>
      <c r="BF329" s="18">
        <v>842.4</v>
      </c>
      <c r="BG329" s="18"/>
      <c r="BH329" s="18"/>
      <c r="BI329" s="18"/>
      <c r="BJ329" s="18">
        <v>842.4</v>
      </c>
      <c r="BK329" s="18">
        <v>842.4</v>
      </c>
    </row>
    <row r="330" spans="15:63" x14ac:dyDescent="0.3">
      <c r="O330" t="s">
        <v>1282</v>
      </c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  <c r="AG330" s="18"/>
      <c r="AH330" s="18"/>
      <c r="AI330" s="18"/>
      <c r="AJ330" s="18"/>
      <c r="AK330" s="18"/>
      <c r="AL330" s="18"/>
      <c r="AM330" s="18"/>
      <c r="AN330" s="18"/>
      <c r="AO330" s="18"/>
      <c r="AP330" s="18"/>
      <c r="AQ330" s="18"/>
      <c r="AR330" s="18"/>
      <c r="AS330" s="18"/>
      <c r="AT330" s="18"/>
      <c r="AU330" s="18"/>
      <c r="AV330" s="18"/>
      <c r="AW330" s="18"/>
      <c r="AX330" s="18"/>
      <c r="AY330" s="18"/>
      <c r="AZ330" s="18"/>
      <c r="BA330" s="18"/>
      <c r="BB330" s="18"/>
      <c r="BC330" s="18"/>
      <c r="BD330" s="18"/>
      <c r="BE330" s="18"/>
      <c r="BF330" s="18">
        <v>312.5</v>
      </c>
      <c r="BG330" s="18"/>
      <c r="BH330" s="18"/>
      <c r="BI330" s="18"/>
      <c r="BJ330" s="18">
        <v>312.5</v>
      </c>
      <c r="BK330" s="18">
        <v>312.5</v>
      </c>
    </row>
    <row r="331" spans="15:63" x14ac:dyDescent="0.3">
      <c r="O331" t="s">
        <v>1320</v>
      </c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  <c r="AF331" s="18"/>
      <c r="AG331" s="18"/>
      <c r="AH331" s="18"/>
      <c r="AI331" s="18"/>
      <c r="AJ331" s="18"/>
      <c r="AK331" s="18"/>
      <c r="AL331" s="18"/>
      <c r="AM331" s="18"/>
      <c r="AN331" s="18"/>
      <c r="AO331" s="18"/>
      <c r="AP331" s="18"/>
      <c r="AQ331" s="18"/>
      <c r="AR331" s="18"/>
      <c r="AS331" s="18"/>
      <c r="AT331" s="18"/>
      <c r="AU331" s="18"/>
      <c r="AV331" s="18"/>
      <c r="AW331" s="18"/>
      <c r="AX331" s="18"/>
      <c r="AY331" s="18"/>
      <c r="AZ331" s="18"/>
      <c r="BA331" s="18"/>
      <c r="BB331" s="18"/>
      <c r="BC331" s="18"/>
      <c r="BD331" s="18"/>
      <c r="BE331" s="18"/>
      <c r="BF331" s="18"/>
      <c r="BG331" s="18">
        <v>4406.3999999999996</v>
      </c>
      <c r="BH331" s="18"/>
      <c r="BI331" s="18"/>
      <c r="BJ331" s="18">
        <v>4406.3999999999996</v>
      </c>
      <c r="BK331" s="18">
        <v>4406.3999999999996</v>
      </c>
    </row>
    <row r="332" spans="15:63" x14ac:dyDescent="0.3">
      <c r="O332" t="s">
        <v>1321</v>
      </c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  <c r="AJ332" s="18"/>
      <c r="AK332" s="18"/>
      <c r="AL332" s="18"/>
      <c r="AM332" s="18"/>
      <c r="AN332" s="18"/>
      <c r="AO332" s="18"/>
      <c r="AP332" s="18"/>
      <c r="AQ332" s="18"/>
      <c r="AR332" s="18"/>
      <c r="AS332" s="18"/>
      <c r="AT332" s="18"/>
      <c r="AU332" s="18"/>
      <c r="AV332" s="18"/>
      <c r="AW332" s="18"/>
      <c r="AX332" s="18"/>
      <c r="AY332" s="18"/>
      <c r="AZ332" s="18"/>
      <c r="BA332" s="18"/>
      <c r="BB332" s="18"/>
      <c r="BC332" s="18"/>
      <c r="BD332" s="18"/>
      <c r="BE332" s="18"/>
      <c r="BF332" s="18"/>
      <c r="BG332" s="18">
        <v>1020.5</v>
      </c>
      <c r="BH332" s="18"/>
      <c r="BI332" s="18"/>
      <c r="BJ332" s="18">
        <v>1020.5</v>
      </c>
      <c r="BK332" s="18">
        <v>1020.5</v>
      </c>
    </row>
    <row r="333" spans="15:63" x14ac:dyDescent="0.3">
      <c r="O333" t="s">
        <v>1338</v>
      </c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  <c r="AG333" s="18"/>
      <c r="AH333" s="18"/>
      <c r="AI333" s="18"/>
      <c r="AJ333" s="18"/>
      <c r="AK333" s="18"/>
      <c r="AL333" s="18"/>
      <c r="AM333" s="18"/>
      <c r="AN333" s="18"/>
      <c r="AO333" s="18"/>
      <c r="AP333" s="18"/>
      <c r="AQ333" s="18"/>
      <c r="AR333" s="18"/>
      <c r="AS333" s="18"/>
      <c r="AT333" s="18"/>
      <c r="AU333" s="18"/>
      <c r="AV333" s="18"/>
      <c r="AW333" s="18"/>
      <c r="AX333" s="18"/>
      <c r="AY333" s="18"/>
      <c r="AZ333" s="18"/>
      <c r="BA333" s="18"/>
      <c r="BB333" s="18"/>
      <c r="BC333" s="18"/>
      <c r="BD333" s="18"/>
      <c r="BE333" s="18"/>
      <c r="BF333" s="18"/>
      <c r="BG333" s="18">
        <v>640</v>
      </c>
      <c r="BH333" s="18"/>
      <c r="BI333" s="18"/>
      <c r="BJ333" s="18">
        <v>640</v>
      </c>
      <c r="BK333" s="18">
        <v>640</v>
      </c>
    </row>
    <row r="334" spans="15:63" x14ac:dyDescent="0.3">
      <c r="O334" t="s">
        <v>1413</v>
      </c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  <c r="AG334" s="18"/>
      <c r="AH334" s="18"/>
      <c r="AI334" s="18"/>
      <c r="AJ334" s="18"/>
      <c r="AK334" s="18"/>
      <c r="AL334" s="18"/>
      <c r="AM334" s="18"/>
      <c r="AN334" s="18"/>
      <c r="AO334" s="18"/>
      <c r="AP334" s="18"/>
      <c r="AQ334" s="18"/>
      <c r="AR334" s="18"/>
      <c r="AS334" s="18"/>
      <c r="AT334" s="18"/>
      <c r="AU334" s="18"/>
      <c r="AV334" s="18"/>
      <c r="AW334" s="18"/>
      <c r="AX334" s="18"/>
      <c r="AY334" s="18"/>
      <c r="AZ334" s="18"/>
      <c r="BA334" s="18"/>
      <c r="BB334" s="18"/>
      <c r="BC334" s="18"/>
      <c r="BD334" s="18"/>
      <c r="BE334" s="18"/>
      <c r="BF334" s="18"/>
      <c r="BG334" s="18"/>
      <c r="BH334" s="18">
        <v>5632.9</v>
      </c>
      <c r="BI334" s="18"/>
      <c r="BJ334" s="18">
        <v>5632.9</v>
      </c>
      <c r="BK334" s="18">
        <v>5632.9</v>
      </c>
    </row>
    <row r="335" spans="15:63" x14ac:dyDescent="0.3">
      <c r="O335" t="s">
        <v>1462</v>
      </c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18"/>
      <c r="AD335" s="18"/>
      <c r="AE335" s="18"/>
      <c r="AF335" s="18"/>
      <c r="AG335" s="18"/>
      <c r="AH335" s="18"/>
      <c r="AI335" s="18"/>
      <c r="AJ335" s="18"/>
      <c r="AK335" s="18"/>
      <c r="AL335" s="18"/>
      <c r="AM335" s="18"/>
      <c r="AN335" s="18"/>
      <c r="AO335" s="18"/>
      <c r="AP335" s="18"/>
      <c r="AQ335" s="18"/>
      <c r="AR335" s="18"/>
      <c r="AS335" s="18"/>
      <c r="AT335" s="18"/>
      <c r="AU335" s="18"/>
      <c r="AV335" s="18"/>
      <c r="AW335" s="18"/>
      <c r="AX335" s="18"/>
      <c r="AY335" s="18"/>
      <c r="AZ335" s="18"/>
      <c r="BA335" s="18"/>
      <c r="BB335" s="18"/>
      <c r="BC335" s="18"/>
      <c r="BD335" s="18"/>
      <c r="BE335" s="18"/>
      <c r="BF335" s="18"/>
      <c r="BG335" s="18"/>
      <c r="BH335" s="18">
        <v>4947.8999999999996</v>
      </c>
      <c r="BI335" s="18"/>
      <c r="BJ335" s="18">
        <v>4947.8999999999996</v>
      </c>
      <c r="BK335" s="18">
        <v>4947.8999999999996</v>
      </c>
    </row>
    <row r="336" spans="15:63" x14ac:dyDescent="0.3">
      <c r="O336" t="s">
        <v>1468</v>
      </c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/>
      <c r="AG336" s="18"/>
      <c r="AH336" s="18"/>
      <c r="AI336" s="18"/>
      <c r="AJ336" s="18"/>
      <c r="AK336" s="18"/>
      <c r="AL336" s="18"/>
      <c r="AM336" s="18"/>
      <c r="AN336" s="18"/>
      <c r="AO336" s="18"/>
      <c r="AP336" s="18"/>
      <c r="AQ336" s="18"/>
      <c r="AR336" s="18"/>
      <c r="AS336" s="18"/>
      <c r="AT336" s="18"/>
      <c r="AU336" s="18"/>
      <c r="AV336" s="18"/>
      <c r="AW336" s="18"/>
      <c r="AX336" s="18"/>
      <c r="AY336" s="18"/>
      <c r="AZ336" s="18"/>
      <c r="BA336" s="18"/>
      <c r="BB336" s="18"/>
      <c r="BC336" s="18"/>
      <c r="BD336" s="18"/>
      <c r="BE336" s="18"/>
      <c r="BF336" s="18"/>
      <c r="BG336" s="18"/>
      <c r="BH336" s="18">
        <v>712.5</v>
      </c>
      <c r="BI336" s="18"/>
      <c r="BJ336" s="18">
        <v>712.5</v>
      </c>
      <c r="BK336" s="18">
        <v>712.5</v>
      </c>
    </row>
    <row r="337" spans="15:63" x14ac:dyDescent="0.3">
      <c r="O337" t="s">
        <v>1542</v>
      </c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  <c r="AG337" s="18"/>
      <c r="AH337" s="18"/>
      <c r="AI337" s="18"/>
      <c r="AJ337" s="18"/>
      <c r="AK337" s="18"/>
      <c r="AL337" s="18"/>
      <c r="AM337" s="18"/>
      <c r="AN337" s="18"/>
      <c r="AO337" s="18"/>
      <c r="AP337" s="18"/>
      <c r="AQ337" s="18"/>
      <c r="AR337" s="18"/>
      <c r="AS337" s="18"/>
      <c r="AT337" s="18"/>
      <c r="AU337" s="18"/>
      <c r="AV337" s="18"/>
      <c r="AW337" s="18"/>
      <c r="AX337" s="18"/>
      <c r="AY337" s="18"/>
      <c r="AZ337" s="18"/>
      <c r="BA337" s="18"/>
      <c r="BB337" s="18"/>
      <c r="BC337" s="18"/>
      <c r="BD337" s="18"/>
      <c r="BE337" s="18"/>
      <c r="BF337" s="18"/>
      <c r="BG337" s="18"/>
      <c r="BH337" s="18"/>
      <c r="BI337" s="18">
        <v>4785.7</v>
      </c>
      <c r="BJ337" s="18">
        <v>4785.7</v>
      </c>
      <c r="BK337" s="18">
        <v>4785.7</v>
      </c>
    </row>
    <row r="338" spans="15:63" x14ac:dyDescent="0.3">
      <c r="O338" t="s">
        <v>1611</v>
      </c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/>
      <c r="AD338" s="18"/>
      <c r="AE338" s="18"/>
      <c r="AF338" s="18"/>
      <c r="AG338" s="18"/>
      <c r="AH338" s="18"/>
      <c r="AI338" s="18"/>
      <c r="AJ338" s="18"/>
      <c r="AK338" s="18"/>
      <c r="AL338" s="18"/>
      <c r="AM338" s="18"/>
      <c r="AN338" s="18"/>
      <c r="AO338" s="18"/>
      <c r="AP338" s="18"/>
      <c r="AQ338" s="18"/>
      <c r="AR338" s="18"/>
      <c r="AS338" s="18"/>
      <c r="AT338" s="18"/>
      <c r="AU338" s="18"/>
      <c r="AV338" s="18"/>
      <c r="AW338" s="18"/>
      <c r="AX338" s="18">
        <v>5874.7</v>
      </c>
      <c r="AY338" s="18"/>
      <c r="AZ338" s="18"/>
      <c r="BA338" s="18"/>
      <c r="BB338" s="18"/>
      <c r="BC338" s="18"/>
      <c r="BD338" s="18"/>
      <c r="BE338" s="18"/>
      <c r="BF338" s="18"/>
      <c r="BG338" s="18"/>
      <c r="BH338" s="18"/>
      <c r="BI338" s="18"/>
      <c r="BJ338" s="18">
        <v>5874.7</v>
      </c>
      <c r="BK338" s="18">
        <v>5874.7</v>
      </c>
    </row>
    <row r="339" spans="15:63" x14ac:dyDescent="0.3">
      <c r="O339" t="s">
        <v>1627</v>
      </c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  <c r="AG339" s="18"/>
      <c r="AH339" s="18"/>
      <c r="AI339" s="18"/>
      <c r="AJ339" s="18"/>
      <c r="AK339" s="18"/>
      <c r="AL339" s="18"/>
      <c r="AM339" s="18"/>
      <c r="AN339" s="18"/>
      <c r="AO339" s="18"/>
      <c r="AP339" s="18"/>
      <c r="AQ339" s="18"/>
      <c r="AR339" s="18"/>
      <c r="AS339" s="18"/>
      <c r="AT339" s="18"/>
      <c r="AU339" s="18"/>
      <c r="AV339" s="18"/>
      <c r="AW339" s="18"/>
      <c r="AX339" s="18">
        <v>410</v>
      </c>
      <c r="AY339" s="18"/>
      <c r="AZ339" s="18"/>
      <c r="BA339" s="18"/>
      <c r="BB339" s="18"/>
      <c r="BC339" s="18"/>
      <c r="BD339" s="18"/>
      <c r="BE339" s="18"/>
      <c r="BF339" s="18"/>
      <c r="BG339" s="18"/>
      <c r="BH339" s="18"/>
      <c r="BI339" s="18"/>
      <c r="BJ339" s="18">
        <v>410</v>
      </c>
      <c r="BK339" s="18">
        <v>410</v>
      </c>
    </row>
    <row r="340" spans="15:63" x14ac:dyDescent="0.3">
      <c r="O340" t="s">
        <v>1652</v>
      </c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/>
      <c r="AD340" s="18"/>
      <c r="AE340" s="18"/>
      <c r="AF340" s="18"/>
      <c r="AG340" s="18"/>
      <c r="AH340" s="18"/>
      <c r="AI340" s="18"/>
      <c r="AJ340" s="18"/>
      <c r="AK340" s="18"/>
      <c r="AL340" s="18"/>
      <c r="AM340" s="18"/>
      <c r="AN340" s="18"/>
      <c r="AO340" s="18"/>
      <c r="AP340" s="18"/>
      <c r="AQ340" s="18"/>
      <c r="AR340" s="18"/>
      <c r="AS340" s="18"/>
      <c r="AT340" s="18"/>
      <c r="AU340" s="18"/>
      <c r="AV340" s="18"/>
      <c r="AW340" s="18"/>
      <c r="AX340" s="18">
        <v>5329.9</v>
      </c>
      <c r="AY340" s="18"/>
      <c r="AZ340" s="18"/>
      <c r="BA340" s="18"/>
      <c r="BB340" s="18"/>
      <c r="BC340" s="18"/>
      <c r="BD340" s="18"/>
      <c r="BE340" s="18"/>
      <c r="BF340" s="18"/>
      <c r="BG340" s="18"/>
      <c r="BH340" s="18"/>
      <c r="BI340" s="18"/>
      <c r="BJ340" s="18">
        <v>5329.9</v>
      </c>
      <c r="BK340" s="18">
        <v>5329.9</v>
      </c>
    </row>
    <row r="341" spans="15:63" x14ac:dyDescent="0.3">
      <c r="O341" t="s">
        <v>1724</v>
      </c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18"/>
      <c r="AD341" s="18"/>
      <c r="AE341" s="18"/>
      <c r="AF341" s="18"/>
      <c r="AG341" s="18"/>
      <c r="AH341" s="18"/>
      <c r="AI341" s="18"/>
      <c r="AJ341" s="18"/>
      <c r="AK341" s="18"/>
      <c r="AL341" s="18"/>
      <c r="AM341" s="18"/>
      <c r="AN341" s="18"/>
      <c r="AO341" s="18"/>
      <c r="AP341" s="18"/>
      <c r="AQ341" s="18"/>
      <c r="AR341" s="18"/>
      <c r="AS341" s="18"/>
      <c r="AT341" s="18"/>
      <c r="AU341" s="18"/>
      <c r="AV341" s="18"/>
      <c r="AW341" s="18"/>
      <c r="AX341" s="18"/>
      <c r="AY341" s="18">
        <v>5238.8999999999996</v>
      </c>
      <c r="AZ341" s="18"/>
      <c r="BA341" s="18"/>
      <c r="BB341" s="18"/>
      <c r="BC341" s="18"/>
      <c r="BD341" s="18"/>
      <c r="BE341" s="18"/>
      <c r="BF341" s="18"/>
      <c r="BG341" s="18"/>
      <c r="BH341" s="18"/>
      <c r="BI341" s="18"/>
      <c r="BJ341" s="18">
        <v>5238.8999999999996</v>
      </c>
      <c r="BK341" s="18">
        <v>5238.8999999999996</v>
      </c>
    </row>
    <row r="342" spans="15:63" x14ac:dyDescent="0.3">
      <c r="O342" t="s">
        <v>1727</v>
      </c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  <c r="AD342" s="18"/>
      <c r="AE342" s="18"/>
      <c r="AF342" s="18"/>
      <c r="AG342" s="18"/>
      <c r="AH342" s="18"/>
      <c r="AI342" s="18"/>
      <c r="AJ342" s="18"/>
      <c r="AK342" s="18"/>
      <c r="AL342" s="18"/>
      <c r="AM342" s="18"/>
      <c r="AN342" s="18"/>
      <c r="AO342" s="18"/>
      <c r="AP342" s="18"/>
      <c r="AQ342" s="18"/>
      <c r="AR342" s="18"/>
      <c r="AS342" s="18"/>
      <c r="AT342" s="18"/>
      <c r="AU342" s="18"/>
      <c r="AV342" s="18"/>
      <c r="AW342" s="18"/>
      <c r="AX342" s="18"/>
      <c r="AY342" s="18">
        <v>420</v>
      </c>
      <c r="AZ342" s="18"/>
      <c r="BA342" s="18"/>
      <c r="BB342" s="18"/>
      <c r="BC342" s="18"/>
      <c r="BD342" s="18"/>
      <c r="BE342" s="18"/>
      <c r="BF342" s="18"/>
      <c r="BG342" s="18"/>
      <c r="BH342" s="18"/>
      <c r="BI342" s="18"/>
      <c r="BJ342" s="18">
        <v>420</v>
      </c>
      <c r="BK342" s="18">
        <v>420</v>
      </c>
    </row>
    <row r="343" spans="15:63" x14ac:dyDescent="0.3">
      <c r="O343" t="s">
        <v>1799</v>
      </c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  <c r="AD343" s="18"/>
      <c r="AE343" s="18"/>
      <c r="AF343" s="18"/>
      <c r="AG343" s="18"/>
      <c r="AH343" s="18"/>
      <c r="AI343" s="18"/>
      <c r="AJ343" s="18"/>
      <c r="AK343" s="18"/>
      <c r="AL343" s="18"/>
      <c r="AM343" s="18"/>
      <c r="AN343" s="18"/>
      <c r="AO343" s="18"/>
      <c r="AP343" s="18"/>
      <c r="AQ343" s="18"/>
      <c r="AR343" s="18"/>
      <c r="AS343" s="18"/>
      <c r="AT343" s="18"/>
      <c r="AU343" s="18"/>
      <c r="AV343" s="18"/>
      <c r="AW343" s="18"/>
      <c r="AX343" s="18"/>
      <c r="AY343" s="18"/>
      <c r="AZ343" s="18">
        <v>3565.5</v>
      </c>
      <c r="BA343" s="18"/>
      <c r="BB343" s="18"/>
      <c r="BC343" s="18"/>
      <c r="BD343" s="18"/>
      <c r="BE343" s="18"/>
      <c r="BF343" s="18"/>
      <c r="BG343" s="18"/>
      <c r="BH343" s="18"/>
      <c r="BI343" s="18"/>
      <c r="BJ343" s="18">
        <v>3565.5</v>
      </c>
      <c r="BK343" s="18">
        <v>3565.5</v>
      </c>
    </row>
    <row r="344" spans="15:63" x14ac:dyDescent="0.3">
      <c r="O344" t="s">
        <v>1813</v>
      </c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  <c r="AD344" s="18"/>
      <c r="AE344" s="18"/>
      <c r="AF344" s="18"/>
      <c r="AG344" s="18"/>
      <c r="AH344" s="18"/>
      <c r="AI344" s="18"/>
      <c r="AJ344" s="18"/>
      <c r="AK344" s="18"/>
      <c r="AL344" s="18"/>
      <c r="AM344" s="18"/>
      <c r="AN344" s="18"/>
      <c r="AO344" s="18"/>
      <c r="AP344" s="18"/>
      <c r="AQ344" s="18"/>
      <c r="AR344" s="18"/>
      <c r="AS344" s="18"/>
      <c r="AT344" s="18"/>
      <c r="AU344" s="18"/>
      <c r="AV344" s="18"/>
      <c r="AW344" s="18"/>
      <c r="AX344" s="18"/>
      <c r="AY344" s="18"/>
      <c r="AZ344" s="18">
        <v>1738</v>
      </c>
      <c r="BA344" s="18"/>
      <c r="BB344" s="18"/>
      <c r="BC344" s="18"/>
      <c r="BD344" s="18"/>
      <c r="BE344" s="18"/>
      <c r="BF344" s="18"/>
      <c r="BG344" s="18"/>
      <c r="BH344" s="18"/>
      <c r="BI344" s="18"/>
      <c r="BJ344" s="18">
        <v>1738</v>
      </c>
      <c r="BK344" s="18">
        <v>1738</v>
      </c>
    </row>
    <row r="345" spans="15:63" x14ac:dyDescent="0.3">
      <c r="O345" t="s">
        <v>1822</v>
      </c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18"/>
      <c r="AE345" s="18"/>
      <c r="AF345" s="18"/>
      <c r="AG345" s="18"/>
      <c r="AH345" s="18"/>
      <c r="AI345" s="18"/>
      <c r="AJ345" s="18"/>
      <c r="AK345" s="18"/>
      <c r="AL345" s="18"/>
      <c r="AM345" s="18"/>
      <c r="AN345" s="18"/>
      <c r="AO345" s="18"/>
      <c r="AP345" s="18"/>
      <c r="AQ345" s="18"/>
      <c r="AR345" s="18"/>
      <c r="AS345" s="18"/>
      <c r="AT345" s="18"/>
      <c r="AU345" s="18"/>
      <c r="AV345" s="18"/>
      <c r="AW345" s="18"/>
      <c r="AX345" s="18"/>
      <c r="AY345" s="18"/>
      <c r="AZ345" s="18">
        <v>250</v>
      </c>
      <c r="BA345" s="18"/>
      <c r="BB345" s="18"/>
      <c r="BC345" s="18"/>
      <c r="BD345" s="18"/>
      <c r="BE345" s="18"/>
      <c r="BF345" s="18"/>
      <c r="BG345" s="18"/>
      <c r="BH345" s="18"/>
      <c r="BI345" s="18"/>
      <c r="BJ345" s="18">
        <v>250</v>
      </c>
      <c r="BK345" s="18">
        <v>250</v>
      </c>
    </row>
    <row r="346" spans="15:63" x14ac:dyDescent="0.3">
      <c r="O346" t="s">
        <v>1827</v>
      </c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18"/>
      <c r="AD346" s="18"/>
      <c r="AE346" s="18"/>
      <c r="AF346" s="18"/>
      <c r="AG346" s="18"/>
      <c r="AH346" s="18"/>
      <c r="AI346" s="18"/>
      <c r="AJ346" s="18"/>
      <c r="AK346" s="18"/>
      <c r="AL346" s="18"/>
      <c r="AM346" s="18"/>
      <c r="AN346" s="18"/>
      <c r="AO346" s="18"/>
      <c r="AP346" s="18"/>
      <c r="AQ346" s="18"/>
      <c r="AR346" s="18"/>
      <c r="AS346" s="18"/>
      <c r="AT346" s="18"/>
      <c r="AU346" s="18"/>
      <c r="AV346" s="18"/>
      <c r="AW346" s="18"/>
      <c r="AX346" s="18"/>
      <c r="AY346" s="18"/>
      <c r="AZ346" s="18">
        <v>1738</v>
      </c>
      <c r="BA346" s="18"/>
      <c r="BB346" s="18"/>
      <c r="BC346" s="18"/>
      <c r="BD346" s="18"/>
      <c r="BE346" s="18"/>
      <c r="BF346" s="18"/>
      <c r="BG346" s="18"/>
      <c r="BH346" s="18"/>
      <c r="BI346" s="18"/>
      <c r="BJ346" s="18">
        <v>1738</v>
      </c>
      <c r="BK346" s="18">
        <v>1738</v>
      </c>
    </row>
    <row r="347" spans="15:63" x14ac:dyDescent="0.3">
      <c r="O347" t="s">
        <v>1831</v>
      </c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  <c r="AC347" s="18"/>
      <c r="AD347" s="18"/>
      <c r="AE347" s="18"/>
      <c r="AF347" s="18"/>
      <c r="AG347" s="18"/>
      <c r="AH347" s="18"/>
      <c r="AI347" s="18"/>
      <c r="AJ347" s="18"/>
      <c r="AK347" s="18"/>
      <c r="AL347" s="18"/>
      <c r="AM347" s="18"/>
      <c r="AN347" s="18"/>
      <c r="AO347" s="18"/>
      <c r="AP347" s="18"/>
      <c r="AQ347" s="18"/>
      <c r="AR347" s="18"/>
      <c r="AS347" s="18"/>
      <c r="AT347" s="18"/>
      <c r="AU347" s="18"/>
      <c r="AV347" s="18"/>
      <c r="AW347" s="18"/>
      <c r="AX347" s="18"/>
      <c r="AY347" s="18"/>
      <c r="AZ347" s="18">
        <v>811.2</v>
      </c>
      <c r="BA347" s="18"/>
      <c r="BB347" s="18"/>
      <c r="BC347" s="18"/>
      <c r="BD347" s="18"/>
      <c r="BE347" s="18"/>
      <c r="BF347" s="18"/>
      <c r="BG347" s="18"/>
      <c r="BH347" s="18"/>
      <c r="BI347" s="18"/>
      <c r="BJ347" s="18">
        <v>811.2</v>
      </c>
      <c r="BK347" s="18">
        <v>811.2</v>
      </c>
    </row>
    <row r="348" spans="15:63" x14ac:dyDescent="0.3">
      <c r="O348" t="s">
        <v>1836</v>
      </c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/>
      <c r="AD348" s="18"/>
      <c r="AE348" s="18"/>
      <c r="AF348" s="18"/>
      <c r="AG348" s="18"/>
      <c r="AH348" s="18"/>
      <c r="AI348" s="18"/>
      <c r="AJ348" s="18"/>
      <c r="AK348" s="18"/>
      <c r="AL348" s="18"/>
      <c r="AM348" s="18"/>
      <c r="AN348" s="18"/>
      <c r="AO348" s="18"/>
      <c r="AP348" s="18"/>
      <c r="AQ348" s="18"/>
      <c r="AR348" s="18"/>
      <c r="AS348" s="18"/>
      <c r="AT348" s="18"/>
      <c r="AU348" s="18"/>
      <c r="AV348" s="18"/>
      <c r="AW348" s="18"/>
      <c r="AX348" s="18"/>
      <c r="AY348" s="18"/>
      <c r="AZ348" s="18">
        <v>1738</v>
      </c>
      <c r="BA348" s="18"/>
      <c r="BB348" s="18"/>
      <c r="BC348" s="18"/>
      <c r="BD348" s="18"/>
      <c r="BE348" s="18"/>
      <c r="BF348" s="18"/>
      <c r="BG348" s="18"/>
      <c r="BH348" s="18"/>
      <c r="BI348" s="18"/>
      <c r="BJ348" s="18">
        <v>1738</v>
      </c>
      <c r="BK348" s="18">
        <v>1738</v>
      </c>
    </row>
    <row r="349" spans="15:63" x14ac:dyDescent="0.3">
      <c r="O349" t="s">
        <v>1890</v>
      </c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/>
      <c r="AD349" s="18"/>
      <c r="AE349" s="18"/>
      <c r="AF349" s="18"/>
      <c r="AG349" s="18"/>
      <c r="AH349" s="18"/>
      <c r="AI349" s="18"/>
      <c r="AJ349" s="18"/>
      <c r="AK349" s="18"/>
      <c r="AL349" s="18"/>
      <c r="AM349" s="18"/>
      <c r="AN349" s="18"/>
      <c r="AO349" s="18"/>
      <c r="AP349" s="18"/>
      <c r="AQ349" s="18"/>
      <c r="AR349" s="18"/>
      <c r="AS349" s="18"/>
      <c r="AT349" s="18"/>
      <c r="AU349" s="18"/>
      <c r="AV349" s="18"/>
      <c r="AW349" s="18"/>
      <c r="AX349" s="18"/>
      <c r="AY349" s="18"/>
      <c r="AZ349" s="18"/>
      <c r="BA349" s="18">
        <v>3005.6</v>
      </c>
      <c r="BB349" s="18"/>
      <c r="BC349" s="18"/>
      <c r="BD349" s="18"/>
      <c r="BE349" s="18"/>
      <c r="BF349" s="18"/>
      <c r="BG349" s="18"/>
      <c r="BH349" s="18"/>
      <c r="BI349" s="18"/>
      <c r="BJ349" s="18">
        <v>3005.6</v>
      </c>
      <c r="BK349" s="18">
        <v>3005.6</v>
      </c>
    </row>
    <row r="350" spans="15:63" x14ac:dyDescent="0.3">
      <c r="O350" t="s">
        <v>1903</v>
      </c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/>
      <c r="AD350" s="18"/>
      <c r="AE350" s="18"/>
      <c r="AF350" s="18"/>
      <c r="AG350" s="18"/>
      <c r="AH350" s="18"/>
      <c r="AI350" s="18"/>
      <c r="AJ350" s="18"/>
      <c r="AK350" s="18"/>
      <c r="AL350" s="18"/>
      <c r="AM350" s="18"/>
      <c r="AN350" s="18"/>
      <c r="AO350" s="18"/>
      <c r="AP350" s="18"/>
      <c r="AQ350" s="18"/>
      <c r="AR350" s="18"/>
      <c r="AS350" s="18"/>
      <c r="AT350" s="18"/>
      <c r="AU350" s="18"/>
      <c r="AV350" s="18"/>
      <c r="AW350" s="18"/>
      <c r="AX350" s="18"/>
      <c r="AY350" s="18"/>
      <c r="AZ350" s="18"/>
      <c r="BA350" s="18">
        <v>322.5</v>
      </c>
      <c r="BB350" s="18"/>
      <c r="BC350" s="18"/>
      <c r="BD350" s="18"/>
      <c r="BE350" s="18"/>
      <c r="BF350" s="18"/>
      <c r="BG350" s="18"/>
      <c r="BH350" s="18"/>
      <c r="BI350" s="18"/>
      <c r="BJ350" s="18">
        <v>322.5</v>
      </c>
      <c r="BK350" s="18">
        <v>322.5</v>
      </c>
    </row>
    <row r="351" spans="15:63" x14ac:dyDescent="0.3">
      <c r="O351" t="s">
        <v>1917</v>
      </c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18"/>
      <c r="AE351" s="18"/>
      <c r="AF351" s="18"/>
      <c r="AG351" s="18"/>
      <c r="AH351" s="18"/>
      <c r="AI351" s="18"/>
      <c r="AJ351" s="18"/>
      <c r="AK351" s="18"/>
      <c r="AL351" s="18"/>
      <c r="AM351" s="18"/>
      <c r="AN351" s="18"/>
      <c r="AO351" s="18"/>
      <c r="AP351" s="18"/>
      <c r="AQ351" s="18"/>
      <c r="AR351" s="18"/>
      <c r="AS351" s="18"/>
      <c r="AT351" s="18"/>
      <c r="AU351" s="18"/>
      <c r="AV351" s="18"/>
      <c r="AW351" s="18"/>
      <c r="AX351" s="18"/>
      <c r="AY351" s="18"/>
      <c r="AZ351" s="18"/>
      <c r="BA351" s="18">
        <v>2128</v>
      </c>
      <c r="BB351" s="18"/>
      <c r="BC351" s="18"/>
      <c r="BD351" s="18"/>
      <c r="BE351" s="18"/>
      <c r="BF351" s="18"/>
      <c r="BG351" s="18"/>
      <c r="BH351" s="18"/>
      <c r="BI351" s="18"/>
      <c r="BJ351" s="18">
        <v>2128</v>
      </c>
      <c r="BK351" s="18">
        <v>2128</v>
      </c>
    </row>
    <row r="352" spans="15:63" x14ac:dyDescent="0.3">
      <c r="O352" t="s">
        <v>1921</v>
      </c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/>
      <c r="AE352" s="18"/>
      <c r="AF352" s="18"/>
      <c r="AG352" s="18"/>
      <c r="AH352" s="18"/>
      <c r="AI352" s="18"/>
      <c r="AJ352" s="18"/>
      <c r="AK352" s="18"/>
      <c r="AL352" s="18"/>
      <c r="AM352" s="18"/>
      <c r="AN352" s="18"/>
      <c r="AO352" s="18"/>
      <c r="AP352" s="18"/>
      <c r="AQ352" s="18"/>
      <c r="AR352" s="18"/>
      <c r="AS352" s="18"/>
      <c r="AT352" s="18"/>
      <c r="AU352" s="18"/>
      <c r="AV352" s="18"/>
      <c r="AW352" s="18"/>
      <c r="AX352" s="18"/>
      <c r="AY352" s="18"/>
      <c r="AZ352" s="18"/>
      <c r="BA352" s="18">
        <v>1196.2</v>
      </c>
      <c r="BB352" s="18"/>
      <c r="BC352" s="18"/>
      <c r="BD352" s="18"/>
      <c r="BE352" s="18"/>
      <c r="BF352" s="18"/>
      <c r="BG352" s="18"/>
      <c r="BH352" s="18"/>
      <c r="BI352" s="18"/>
      <c r="BJ352" s="18">
        <v>1196.2</v>
      </c>
      <c r="BK352" s="18">
        <v>1196.2</v>
      </c>
    </row>
    <row r="353" spans="14:63" x14ac:dyDescent="0.3">
      <c r="O353" t="s">
        <v>1993</v>
      </c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  <c r="AG353" s="18"/>
      <c r="AH353" s="18"/>
      <c r="AI353" s="18"/>
      <c r="AJ353" s="18"/>
      <c r="AK353" s="18"/>
      <c r="AL353" s="18"/>
      <c r="AM353" s="18"/>
      <c r="AN353" s="18"/>
      <c r="AO353" s="18"/>
      <c r="AP353" s="18"/>
      <c r="AQ353" s="18"/>
      <c r="AR353" s="18"/>
      <c r="AS353" s="18"/>
      <c r="AT353" s="18"/>
      <c r="AU353" s="18"/>
      <c r="AV353" s="18"/>
      <c r="AW353" s="18"/>
      <c r="AX353" s="18"/>
      <c r="AY353" s="18"/>
      <c r="AZ353" s="18"/>
      <c r="BA353" s="18"/>
      <c r="BB353" s="18">
        <v>2615.1999999999998</v>
      </c>
      <c r="BC353" s="18"/>
      <c r="BD353" s="18"/>
      <c r="BE353" s="18"/>
      <c r="BF353" s="18"/>
      <c r="BG353" s="18"/>
      <c r="BH353" s="18"/>
      <c r="BI353" s="18"/>
      <c r="BJ353" s="18">
        <v>2615.1999999999998</v>
      </c>
      <c r="BK353" s="18">
        <v>2615.1999999999998</v>
      </c>
    </row>
    <row r="354" spans="14:63" x14ac:dyDescent="0.3">
      <c r="O354" t="s">
        <v>2012</v>
      </c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  <c r="AG354" s="18"/>
      <c r="AH354" s="18"/>
      <c r="AI354" s="18"/>
      <c r="AJ354" s="18"/>
      <c r="AK354" s="18"/>
      <c r="AL354" s="18"/>
      <c r="AM354" s="18"/>
      <c r="AN354" s="18"/>
      <c r="AO354" s="18"/>
      <c r="AP354" s="18"/>
      <c r="AQ354" s="18"/>
      <c r="AR354" s="18"/>
      <c r="AS354" s="18"/>
      <c r="AT354" s="18"/>
      <c r="AU354" s="18"/>
      <c r="AV354" s="18"/>
      <c r="AW354" s="18"/>
      <c r="AX354" s="18"/>
      <c r="AY354" s="18"/>
      <c r="AZ354" s="18"/>
      <c r="BA354" s="18"/>
      <c r="BB354" s="18">
        <v>1738</v>
      </c>
      <c r="BC354" s="18"/>
      <c r="BD354" s="18"/>
      <c r="BE354" s="18"/>
      <c r="BF354" s="18"/>
      <c r="BG354" s="18"/>
      <c r="BH354" s="18"/>
      <c r="BI354" s="18"/>
      <c r="BJ354" s="18">
        <v>1738</v>
      </c>
      <c r="BK354" s="18">
        <v>1738</v>
      </c>
    </row>
    <row r="355" spans="14:63" x14ac:dyDescent="0.3">
      <c r="O355" t="s">
        <v>2033</v>
      </c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  <c r="AG355" s="18"/>
      <c r="AH355" s="18"/>
      <c r="AI355" s="18"/>
      <c r="AJ355" s="18"/>
      <c r="AK355" s="18"/>
      <c r="AL355" s="18"/>
      <c r="AM355" s="18"/>
      <c r="AN355" s="18"/>
      <c r="AO355" s="18"/>
      <c r="AP355" s="18"/>
      <c r="AQ355" s="18"/>
      <c r="AR355" s="18"/>
      <c r="AS355" s="18"/>
      <c r="AT355" s="18"/>
      <c r="AU355" s="18"/>
      <c r="AV355" s="18"/>
      <c r="AW355" s="18"/>
      <c r="AX355" s="18"/>
      <c r="AY355" s="18"/>
      <c r="AZ355" s="18"/>
      <c r="BA355" s="18"/>
      <c r="BB355" s="18">
        <v>2535.5</v>
      </c>
      <c r="BC355" s="18"/>
      <c r="BD355" s="18"/>
      <c r="BE355" s="18"/>
      <c r="BF355" s="18"/>
      <c r="BG355" s="18"/>
      <c r="BH355" s="18"/>
      <c r="BI355" s="18"/>
      <c r="BJ355" s="18">
        <v>2535.5</v>
      </c>
      <c r="BK355" s="18">
        <v>2535.5</v>
      </c>
    </row>
    <row r="356" spans="14:63" x14ac:dyDescent="0.3">
      <c r="O356" t="s">
        <v>2035</v>
      </c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  <c r="AG356" s="18"/>
      <c r="AH356" s="18"/>
      <c r="AI356" s="18"/>
      <c r="AJ356" s="18"/>
      <c r="AK356" s="18"/>
      <c r="AL356" s="18"/>
      <c r="AM356" s="18"/>
      <c r="AN356" s="18"/>
      <c r="AO356" s="18"/>
      <c r="AP356" s="18"/>
      <c r="AQ356" s="18"/>
      <c r="AR356" s="18"/>
      <c r="AS356" s="18"/>
      <c r="AT356" s="18"/>
      <c r="AU356" s="18"/>
      <c r="AV356" s="18"/>
      <c r="AW356" s="18"/>
      <c r="AX356" s="18"/>
      <c r="AY356" s="18"/>
      <c r="AZ356" s="18"/>
      <c r="BA356" s="18"/>
      <c r="BB356" s="18">
        <v>648</v>
      </c>
      <c r="BC356" s="18"/>
      <c r="BD356" s="18"/>
      <c r="BE356" s="18"/>
      <c r="BF356" s="18"/>
      <c r="BG356" s="18"/>
      <c r="BH356" s="18"/>
      <c r="BI356" s="18"/>
      <c r="BJ356" s="18">
        <v>648</v>
      </c>
      <c r="BK356" s="18">
        <v>648</v>
      </c>
    </row>
    <row r="357" spans="14:63" x14ac:dyDescent="0.3">
      <c r="O357" t="s">
        <v>2099</v>
      </c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  <c r="AF357" s="18"/>
      <c r="AG357" s="18"/>
      <c r="AH357" s="18"/>
      <c r="AI357" s="18"/>
      <c r="AJ357" s="18"/>
      <c r="AK357" s="18"/>
      <c r="AL357" s="18"/>
      <c r="AM357" s="18"/>
      <c r="AN357" s="18"/>
      <c r="AO357" s="18"/>
      <c r="AP357" s="18"/>
      <c r="AQ357" s="18"/>
      <c r="AR357" s="18"/>
      <c r="AS357" s="18"/>
      <c r="AT357" s="18"/>
      <c r="AU357" s="18"/>
      <c r="AV357" s="18"/>
      <c r="AW357" s="18"/>
      <c r="AX357" s="18"/>
      <c r="AY357" s="18"/>
      <c r="AZ357" s="18"/>
      <c r="BA357" s="18"/>
      <c r="BB357" s="18"/>
      <c r="BC357" s="18">
        <v>2418</v>
      </c>
      <c r="BD357" s="18"/>
      <c r="BE357" s="18"/>
      <c r="BF357" s="18"/>
      <c r="BG357" s="18"/>
      <c r="BH357" s="18"/>
      <c r="BI357" s="18"/>
      <c r="BJ357" s="18">
        <v>2418</v>
      </c>
      <c r="BK357" s="18">
        <v>2418</v>
      </c>
    </row>
    <row r="358" spans="14:63" x14ac:dyDescent="0.3">
      <c r="O358" t="s">
        <v>2116</v>
      </c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  <c r="AG358" s="18"/>
      <c r="AH358" s="18"/>
      <c r="AI358" s="18"/>
      <c r="AJ358" s="18"/>
      <c r="AK358" s="18"/>
      <c r="AL358" s="18"/>
      <c r="AM358" s="18"/>
      <c r="AN358" s="18"/>
      <c r="AO358" s="18"/>
      <c r="AP358" s="18"/>
      <c r="AQ358" s="18"/>
      <c r="AR358" s="18"/>
      <c r="AS358" s="18"/>
      <c r="AT358" s="18"/>
      <c r="AU358" s="18"/>
      <c r="AV358" s="18"/>
      <c r="AW358" s="18"/>
      <c r="AX358" s="18"/>
      <c r="AY358" s="18"/>
      <c r="AZ358" s="18"/>
      <c r="BA358" s="18"/>
      <c r="BB358" s="18"/>
      <c r="BC358" s="18">
        <v>3085.5</v>
      </c>
      <c r="BD358" s="18"/>
      <c r="BE358" s="18"/>
      <c r="BF358" s="18"/>
      <c r="BG358" s="18"/>
      <c r="BH358" s="18"/>
      <c r="BI358" s="18"/>
      <c r="BJ358" s="18">
        <v>3085.5</v>
      </c>
      <c r="BK358" s="18">
        <v>3085.5</v>
      </c>
    </row>
    <row r="359" spans="14:63" x14ac:dyDescent="0.3">
      <c r="O359" t="s">
        <v>2129</v>
      </c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  <c r="AG359" s="18"/>
      <c r="AH359" s="18"/>
      <c r="AI359" s="18"/>
      <c r="AJ359" s="18"/>
      <c r="AK359" s="18"/>
      <c r="AL359" s="18"/>
      <c r="AM359" s="18"/>
      <c r="AN359" s="18"/>
      <c r="AO359" s="18"/>
      <c r="AP359" s="18"/>
      <c r="AQ359" s="18"/>
      <c r="AR359" s="18"/>
      <c r="AS359" s="18"/>
      <c r="AT359" s="18"/>
      <c r="AU359" s="18"/>
      <c r="AV359" s="18"/>
      <c r="AW359" s="18"/>
      <c r="AX359" s="18"/>
      <c r="AY359" s="18"/>
      <c r="AZ359" s="18"/>
      <c r="BA359" s="18"/>
      <c r="BB359" s="18"/>
      <c r="BC359" s="18">
        <v>3424.3</v>
      </c>
      <c r="BD359" s="18"/>
      <c r="BE359" s="18"/>
      <c r="BF359" s="18"/>
      <c r="BG359" s="18"/>
      <c r="BH359" s="18"/>
      <c r="BI359" s="18"/>
      <c r="BJ359" s="18">
        <v>3424.3</v>
      </c>
      <c r="BK359" s="18">
        <v>3424.3</v>
      </c>
    </row>
    <row r="360" spans="14:63" x14ac:dyDescent="0.3">
      <c r="O360" t="s">
        <v>2173</v>
      </c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  <c r="AF360" s="18"/>
      <c r="AG360" s="18"/>
      <c r="AH360" s="18"/>
      <c r="AI360" s="18"/>
      <c r="AJ360" s="18"/>
      <c r="AK360" s="18"/>
      <c r="AL360" s="18"/>
      <c r="AM360" s="18"/>
      <c r="AN360" s="18"/>
      <c r="AO360" s="18"/>
      <c r="AP360" s="18"/>
      <c r="AQ360" s="18"/>
      <c r="AR360" s="18"/>
      <c r="AS360" s="18"/>
      <c r="AT360" s="18"/>
      <c r="AU360" s="18"/>
      <c r="AV360" s="18"/>
      <c r="AW360" s="18"/>
      <c r="AX360" s="18"/>
      <c r="AY360" s="18"/>
      <c r="AZ360" s="18"/>
      <c r="BA360" s="18"/>
      <c r="BB360" s="18"/>
      <c r="BC360" s="18"/>
      <c r="BD360" s="18">
        <v>2693</v>
      </c>
      <c r="BE360" s="18"/>
      <c r="BF360" s="18"/>
      <c r="BG360" s="18"/>
      <c r="BH360" s="18"/>
      <c r="BI360" s="18"/>
      <c r="BJ360" s="18">
        <v>2693</v>
      </c>
      <c r="BK360" s="18">
        <v>2693</v>
      </c>
    </row>
    <row r="361" spans="14:63" x14ac:dyDescent="0.3">
      <c r="O361" t="s">
        <v>2187</v>
      </c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  <c r="AJ361" s="18"/>
      <c r="AK361" s="18"/>
      <c r="AL361" s="18"/>
      <c r="AM361" s="18"/>
      <c r="AN361" s="18"/>
      <c r="AO361" s="18"/>
      <c r="AP361" s="18"/>
      <c r="AQ361" s="18"/>
      <c r="AR361" s="18"/>
      <c r="AS361" s="18"/>
      <c r="AT361" s="18"/>
      <c r="AU361" s="18"/>
      <c r="AV361" s="18"/>
      <c r="AW361" s="18"/>
      <c r="AX361" s="18"/>
      <c r="AY361" s="18"/>
      <c r="AZ361" s="18"/>
      <c r="BA361" s="18"/>
      <c r="BB361" s="18"/>
      <c r="BC361" s="18"/>
      <c r="BD361" s="18">
        <v>2918</v>
      </c>
      <c r="BE361" s="18"/>
      <c r="BF361" s="18"/>
      <c r="BG361" s="18"/>
      <c r="BH361" s="18"/>
      <c r="BI361" s="18"/>
      <c r="BJ361" s="18">
        <v>2918</v>
      </c>
      <c r="BK361" s="18">
        <v>2918</v>
      </c>
    </row>
    <row r="362" spans="14:63" x14ac:dyDescent="0.3">
      <c r="O362" t="s">
        <v>2201</v>
      </c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  <c r="AJ362" s="18"/>
      <c r="AK362" s="18"/>
      <c r="AL362" s="18"/>
      <c r="AM362" s="18"/>
      <c r="AN362" s="18"/>
      <c r="AO362" s="18"/>
      <c r="AP362" s="18"/>
      <c r="AQ362" s="18"/>
      <c r="AR362" s="18"/>
      <c r="AS362" s="18"/>
      <c r="AT362" s="18"/>
      <c r="AU362" s="18"/>
      <c r="AV362" s="18"/>
      <c r="AW362" s="18"/>
      <c r="AX362" s="18"/>
      <c r="AY362" s="18"/>
      <c r="AZ362" s="18"/>
      <c r="BA362" s="18"/>
      <c r="BB362" s="18"/>
      <c r="BC362" s="18"/>
      <c r="BD362" s="18">
        <v>2353</v>
      </c>
      <c r="BE362" s="18"/>
      <c r="BF362" s="18"/>
      <c r="BG362" s="18"/>
      <c r="BH362" s="18"/>
      <c r="BI362" s="18"/>
      <c r="BJ362" s="18">
        <v>2353</v>
      </c>
      <c r="BK362" s="18">
        <v>2353</v>
      </c>
    </row>
    <row r="363" spans="14:63" x14ac:dyDescent="0.3">
      <c r="N363" s="17" t="s">
        <v>422</v>
      </c>
      <c r="O363" s="17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  <c r="AA363" s="19"/>
      <c r="AB363" s="19">
        <v>11282.599999999999</v>
      </c>
      <c r="AC363" s="19">
        <v>14884.6</v>
      </c>
      <c r="AD363" s="19">
        <v>5014.8</v>
      </c>
      <c r="AE363" s="19"/>
      <c r="AF363" s="19"/>
      <c r="AG363" s="19"/>
      <c r="AH363" s="19"/>
      <c r="AI363" s="19"/>
      <c r="AJ363" s="19">
        <v>31181.999999999996</v>
      </c>
      <c r="AK363" s="19">
        <v>6223.6</v>
      </c>
      <c r="AL363" s="19">
        <v>5183.6000000000004</v>
      </c>
      <c r="AM363" s="19">
        <v>6136.8</v>
      </c>
      <c r="AN363" s="19">
        <v>3546.1</v>
      </c>
      <c r="AO363" s="19">
        <v>3137.3</v>
      </c>
      <c r="AP363" s="19">
        <v>5388.2</v>
      </c>
      <c r="AQ363" s="19">
        <v>6136.1</v>
      </c>
      <c r="AR363" s="19">
        <v>8960.4000000000015</v>
      </c>
      <c r="AS363" s="19">
        <v>12409.7</v>
      </c>
      <c r="AT363" s="19">
        <v>6694.9</v>
      </c>
      <c r="AU363" s="19">
        <v>12457.2</v>
      </c>
      <c r="AV363" s="19">
        <v>6201.1</v>
      </c>
      <c r="AW363" s="19">
        <v>82475</v>
      </c>
      <c r="AX363" s="19">
        <v>11614.599999999999</v>
      </c>
      <c r="AY363" s="19">
        <v>5658.9</v>
      </c>
      <c r="AZ363" s="19">
        <v>9840.7000000000007</v>
      </c>
      <c r="BA363" s="19">
        <v>6652.3</v>
      </c>
      <c r="BB363" s="19">
        <v>7536.7</v>
      </c>
      <c r="BC363" s="19">
        <v>8927.7999999999993</v>
      </c>
      <c r="BD363" s="19">
        <v>7964</v>
      </c>
      <c r="BE363" s="19">
        <v>6152.1</v>
      </c>
      <c r="BF363" s="19">
        <v>1604.9</v>
      </c>
      <c r="BG363" s="19">
        <v>6066.9</v>
      </c>
      <c r="BH363" s="19">
        <v>11293.3</v>
      </c>
      <c r="BI363" s="19">
        <v>4785.7</v>
      </c>
      <c r="BJ363" s="19">
        <v>88097.9</v>
      </c>
      <c r="BK363" s="19">
        <v>201754.90000000008</v>
      </c>
    </row>
    <row r="364" spans="14:63" x14ac:dyDescent="0.3">
      <c r="N364" t="s">
        <v>410</v>
      </c>
      <c r="O364" t="s">
        <v>408</v>
      </c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>
        <v>1760</v>
      </c>
      <c r="AC364" s="18"/>
      <c r="AD364" s="18"/>
      <c r="AE364" s="18"/>
      <c r="AF364" s="18"/>
      <c r="AG364" s="18"/>
      <c r="AH364" s="18"/>
      <c r="AI364" s="18"/>
      <c r="AJ364" s="18">
        <v>1760</v>
      </c>
      <c r="AK364" s="18"/>
      <c r="AL364" s="18"/>
      <c r="AM364" s="18"/>
      <c r="AN364" s="18"/>
      <c r="AO364" s="18"/>
      <c r="AP364" s="18"/>
      <c r="AQ364" s="18"/>
      <c r="AR364" s="18"/>
      <c r="AS364" s="18"/>
      <c r="AT364" s="18"/>
      <c r="AU364" s="18"/>
      <c r="AV364" s="18"/>
      <c r="AW364" s="18"/>
      <c r="AX364" s="18"/>
      <c r="AY364" s="18"/>
      <c r="AZ364" s="18"/>
      <c r="BA364" s="18"/>
      <c r="BB364" s="18"/>
      <c r="BC364" s="18"/>
      <c r="BD364" s="18"/>
      <c r="BE364" s="18"/>
      <c r="BF364" s="18"/>
      <c r="BG364" s="18"/>
      <c r="BH364" s="18"/>
      <c r="BI364" s="18"/>
      <c r="BJ364" s="18"/>
      <c r="BK364" s="18">
        <v>1760</v>
      </c>
    </row>
    <row r="365" spans="14:63" x14ac:dyDescent="0.3">
      <c r="O365" t="s">
        <v>412</v>
      </c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>
        <v>12627</v>
      </c>
      <c r="AC365" s="18"/>
      <c r="AD365" s="18"/>
      <c r="AE365" s="18"/>
      <c r="AF365" s="18"/>
      <c r="AG365" s="18"/>
      <c r="AH365" s="18"/>
      <c r="AI365" s="18"/>
      <c r="AJ365" s="18">
        <v>12627</v>
      </c>
      <c r="AK365" s="18"/>
      <c r="AL365" s="18"/>
      <c r="AM365" s="18"/>
      <c r="AN365" s="18"/>
      <c r="AO365" s="18"/>
      <c r="AP365" s="18"/>
      <c r="AQ365" s="18"/>
      <c r="AR365" s="18"/>
      <c r="AS365" s="18"/>
      <c r="AT365" s="18"/>
      <c r="AU365" s="18"/>
      <c r="AV365" s="18"/>
      <c r="AW365" s="18"/>
      <c r="AX365" s="18"/>
      <c r="AY365" s="18"/>
      <c r="AZ365" s="18"/>
      <c r="BA365" s="18"/>
      <c r="BB365" s="18"/>
      <c r="BC365" s="18"/>
      <c r="BD365" s="18"/>
      <c r="BE365" s="18"/>
      <c r="BF365" s="18"/>
      <c r="BG365" s="18"/>
      <c r="BH365" s="18"/>
      <c r="BI365" s="18"/>
      <c r="BJ365" s="18"/>
      <c r="BK365" s="18">
        <v>12627</v>
      </c>
    </row>
    <row r="366" spans="14:63" x14ac:dyDescent="0.3">
      <c r="O366" t="s">
        <v>425</v>
      </c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>
        <v>1311.4</v>
      </c>
      <c r="AC366" s="18"/>
      <c r="AD366" s="18"/>
      <c r="AE366" s="18"/>
      <c r="AF366" s="18"/>
      <c r="AG366" s="18"/>
      <c r="AH366" s="18"/>
      <c r="AI366" s="18"/>
      <c r="AJ366" s="18">
        <v>1311.4</v>
      </c>
      <c r="AK366" s="18"/>
      <c r="AL366" s="18"/>
      <c r="AM366" s="18"/>
      <c r="AN366" s="18"/>
      <c r="AO366" s="18"/>
      <c r="AP366" s="18"/>
      <c r="AQ366" s="18"/>
      <c r="AR366" s="18"/>
      <c r="AS366" s="18"/>
      <c r="AT366" s="18"/>
      <c r="AU366" s="18"/>
      <c r="AV366" s="18"/>
      <c r="AW366" s="18"/>
      <c r="AX366" s="18"/>
      <c r="AY366" s="18"/>
      <c r="AZ366" s="18"/>
      <c r="BA366" s="18"/>
      <c r="BB366" s="18"/>
      <c r="BC366" s="18"/>
      <c r="BD366" s="18"/>
      <c r="BE366" s="18"/>
      <c r="BF366" s="18"/>
      <c r="BG366" s="18"/>
      <c r="BH366" s="18"/>
      <c r="BI366" s="18"/>
      <c r="BJ366" s="18"/>
      <c r="BK366" s="18">
        <v>1311.4</v>
      </c>
    </row>
    <row r="367" spans="14:63" x14ac:dyDescent="0.3">
      <c r="O367" t="s">
        <v>426</v>
      </c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>
        <v>13109.2</v>
      </c>
      <c r="AC367" s="18"/>
      <c r="AD367" s="18"/>
      <c r="AE367" s="18"/>
      <c r="AF367" s="18"/>
      <c r="AG367" s="18"/>
      <c r="AH367" s="18"/>
      <c r="AI367" s="18"/>
      <c r="AJ367" s="18">
        <v>13109.2</v>
      </c>
      <c r="AK367" s="18"/>
      <c r="AL367" s="18"/>
      <c r="AM367" s="18"/>
      <c r="AN367" s="18"/>
      <c r="AO367" s="18"/>
      <c r="AP367" s="18"/>
      <c r="AQ367" s="18"/>
      <c r="AR367" s="18"/>
      <c r="AS367" s="18"/>
      <c r="AT367" s="18"/>
      <c r="AU367" s="18"/>
      <c r="AV367" s="18"/>
      <c r="AW367" s="18"/>
      <c r="AX367" s="18"/>
      <c r="AY367" s="18"/>
      <c r="AZ367" s="18"/>
      <c r="BA367" s="18"/>
      <c r="BB367" s="18"/>
      <c r="BC367" s="18"/>
      <c r="BD367" s="18"/>
      <c r="BE367" s="18"/>
      <c r="BF367" s="18"/>
      <c r="BG367" s="18"/>
      <c r="BH367" s="18"/>
      <c r="BI367" s="18"/>
      <c r="BJ367" s="18"/>
      <c r="BK367" s="18">
        <v>13109.2</v>
      </c>
    </row>
    <row r="368" spans="14:63" x14ac:dyDescent="0.3">
      <c r="O368" t="s">
        <v>427</v>
      </c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>
        <v>1000</v>
      </c>
      <c r="AC368" s="18"/>
      <c r="AD368" s="18"/>
      <c r="AE368" s="18"/>
      <c r="AF368" s="18"/>
      <c r="AG368" s="18"/>
      <c r="AH368" s="18"/>
      <c r="AI368" s="18"/>
      <c r="AJ368" s="18">
        <v>1000</v>
      </c>
      <c r="AK368" s="18"/>
      <c r="AL368" s="18"/>
      <c r="AM368" s="18"/>
      <c r="AN368" s="18"/>
      <c r="AO368" s="18"/>
      <c r="AP368" s="18"/>
      <c r="AQ368" s="18"/>
      <c r="AR368" s="18"/>
      <c r="AS368" s="18"/>
      <c r="AT368" s="18"/>
      <c r="AU368" s="18"/>
      <c r="AV368" s="18"/>
      <c r="AW368" s="18"/>
      <c r="AX368" s="18"/>
      <c r="AY368" s="18"/>
      <c r="AZ368" s="18"/>
      <c r="BA368" s="18"/>
      <c r="BB368" s="18"/>
      <c r="BC368" s="18"/>
      <c r="BD368" s="18"/>
      <c r="BE368" s="18"/>
      <c r="BF368" s="18"/>
      <c r="BG368" s="18"/>
      <c r="BH368" s="18"/>
      <c r="BI368" s="18"/>
      <c r="BJ368" s="18"/>
      <c r="BK368" s="18">
        <v>1000</v>
      </c>
    </row>
    <row r="369" spans="15:63" x14ac:dyDescent="0.3">
      <c r="O369" t="s">
        <v>428</v>
      </c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>
        <v>9673.4</v>
      </c>
      <c r="AC369" s="18"/>
      <c r="AD369" s="18"/>
      <c r="AE369" s="18"/>
      <c r="AF369" s="18"/>
      <c r="AG369" s="18"/>
      <c r="AH369" s="18"/>
      <c r="AI369" s="18"/>
      <c r="AJ369" s="18">
        <v>9673.4</v>
      </c>
      <c r="AK369" s="18"/>
      <c r="AL369" s="18"/>
      <c r="AM369" s="18"/>
      <c r="AN369" s="18"/>
      <c r="AO369" s="18"/>
      <c r="AP369" s="18"/>
      <c r="AQ369" s="18"/>
      <c r="AR369" s="18"/>
      <c r="AS369" s="18"/>
      <c r="AT369" s="18"/>
      <c r="AU369" s="18"/>
      <c r="AV369" s="18"/>
      <c r="AW369" s="18"/>
      <c r="AX369" s="18"/>
      <c r="AY369" s="18"/>
      <c r="AZ369" s="18"/>
      <c r="BA369" s="18"/>
      <c r="BB369" s="18"/>
      <c r="BC369" s="18"/>
      <c r="BD369" s="18"/>
      <c r="BE369" s="18"/>
      <c r="BF369" s="18"/>
      <c r="BG369" s="18"/>
      <c r="BH369" s="18"/>
      <c r="BI369" s="18"/>
      <c r="BJ369" s="18"/>
      <c r="BK369" s="18">
        <v>9673.4</v>
      </c>
    </row>
    <row r="370" spans="15:63" x14ac:dyDescent="0.3">
      <c r="O370" t="s">
        <v>444</v>
      </c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>
        <v>16976.2</v>
      </c>
      <c r="AC370" s="18"/>
      <c r="AD370" s="18"/>
      <c r="AE370" s="18"/>
      <c r="AF370" s="18"/>
      <c r="AG370" s="18"/>
      <c r="AH370" s="18"/>
      <c r="AI370" s="18"/>
      <c r="AJ370" s="18">
        <v>16976.2</v>
      </c>
      <c r="AK370" s="18"/>
      <c r="AL370" s="18"/>
      <c r="AM370" s="18"/>
      <c r="AN370" s="18"/>
      <c r="AO370" s="18"/>
      <c r="AP370" s="18"/>
      <c r="AQ370" s="18"/>
      <c r="AR370" s="18"/>
      <c r="AS370" s="18"/>
      <c r="AT370" s="18"/>
      <c r="AU370" s="18"/>
      <c r="AV370" s="18"/>
      <c r="AW370" s="18"/>
      <c r="AX370" s="18"/>
      <c r="AY370" s="18"/>
      <c r="AZ370" s="18"/>
      <c r="BA370" s="18"/>
      <c r="BB370" s="18"/>
      <c r="BC370" s="18"/>
      <c r="BD370" s="18"/>
      <c r="BE370" s="18"/>
      <c r="BF370" s="18"/>
      <c r="BG370" s="18"/>
      <c r="BH370" s="18"/>
      <c r="BI370" s="18"/>
      <c r="BJ370" s="18"/>
      <c r="BK370" s="18">
        <v>16976.2</v>
      </c>
    </row>
    <row r="371" spans="15:63" x14ac:dyDescent="0.3">
      <c r="O371" t="s">
        <v>446</v>
      </c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>
        <v>5874</v>
      </c>
      <c r="AC371" s="18"/>
      <c r="AD371" s="18"/>
      <c r="AE371" s="18"/>
      <c r="AF371" s="18"/>
      <c r="AG371" s="18"/>
      <c r="AH371" s="18"/>
      <c r="AI371" s="18"/>
      <c r="AJ371" s="18">
        <v>5874</v>
      </c>
      <c r="AK371" s="18"/>
      <c r="AL371" s="18"/>
      <c r="AM371" s="18"/>
      <c r="AN371" s="18"/>
      <c r="AO371" s="18"/>
      <c r="AP371" s="18"/>
      <c r="AQ371" s="18"/>
      <c r="AR371" s="18"/>
      <c r="AS371" s="18"/>
      <c r="AT371" s="18"/>
      <c r="AU371" s="18"/>
      <c r="AV371" s="18"/>
      <c r="AW371" s="18"/>
      <c r="AX371" s="18"/>
      <c r="AY371" s="18"/>
      <c r="AZ371" s="18"/>
      <c r="BA371" s="18"/>
      <c r="BB371" s="18"/>
      <c r="BC371" s="18"/>
      <c r="BD371" s="18"/>
      <c r="BE371" s="18"/>
      <c r="BF371" s="18"/>
      <c r="BG371" s="18"/>
      <c r="BH371" s="18"/>
      <c r="BI371" s="18"/>
      <c r="BJ371" s="18"/>
      <c r="BK371" s="18">
        <v>5874</v>
      </c>
    </row>
    <row r="372" spans="15:63" x14ac:dyDescent="0.3">
      <c r="O372" t="s">
        <v>460</v>
      </c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>
        <v>19017.5</v>
      </c>
      <c r="AD372" s="18"/>
      <c r="AE372" s="18"/>
      <c r="AF372" s="18"/>
      <c r="AG372" s="18"/>
      <c r="AH372" s="18"/>
      <c r="AI372" s="18"/>
      <c r="AJ372" s="18">
        <v>19017.5</v>
      </c>
      <c r="AK372" s="18"/>
      <c r="AL372" s="18"/>
      <c r="AM372" s="18"/>
      <c r="AN372" s="18"/>
      <c r="AO372" s="18"/>
      <c r="AP372" s="18"/>
      <c r="AQ372" s="18"/>
      <c r="AR372" s="18"/>
      <c r="AS372" s="18"/>
      <c r="AT372" s="18"/>
      <c r="AU372" s="18"/>
      <c r="AV372" s="18"/>
      <c r="AW372" s="18"/>
      <c r="AX372" s="18"/>
      <c r="AY372" s="18"/>
      <c r="AZ372" s="18"/>
      <c r="BA372" s="18"/>
      <c r="BB372" s="18"/>
      <c r="BC372" s="18"/>
      <c r="BD372" s="18"/>
      <c r="BE372" s="18"/>
      <c r="BF372" s="18"/>
      <c r="BG372" s="18"/>
      <c r="BH372" s="18"/>
      <c r="BI372" s="18"/>
      <c r="BJ372" s="18"/>
      <c r="BK372" s="18">
        <v>19017.5</v>
      </c>
    </row>
    <row r="373" spans="15:63" x14ac:dyDescent="0.3">
      <c r="O373" t="s">
        <v>465</v>
      </c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>
        <v>19315.5</v>
      </c>
      <c r="AD373" s="18"/>
      <c r="AE373" s="18"/>
      <c r="AF373" s="18"/>
      <c r="AG373" s="18"/>
      <c r="AH373" s="18"/>
      <c r="AI373" s="18"/>
      <c r="AJ373" s="18">
        <v>19315.5</v>
      </c>
      <c r="AK373" s="18"/>
      <c r="AL373" s="18"/>
      <c r="AM373" s="18"/>
      <c r="AN373" s="18"/>
      <c r="AO373" s="18"/>
      <c r="AP373" s="18"/>
      <c r="AQ373" s="18"/>
      <c r="AR373" s="18"/>
      <c r="AS373" s="18"/>
      <c r="AT373" s="18"/>
      <c r="AU373" s="18"/>
      <c r="AV373" s="18"/>
      <c r="AW373" s="18"/>
      <c r="AX373" s="18"/>
      <c r="AY373" s="18"/>
      <c r="AZ373" s="18"/>
      <c r="BA373" s="18"/>
      <c r="BB373" s="18"/>
      <c r="BC373" s="18"/>
      <c r="BD373" s="18"/>
      <c r="BE373" s="18"/>
      <c r="BF373" s="18"/>
      <c r="BG373" s="18"/>
      <c r="BH373" s="18"/>
      <c r="BI373" s="18"/>
      <c r="BJ373" s="18"/>
      <c r="BK373" s="18">
        <v>19315.5</v>
      </c>
    </row>
    <row r="374" spans="15:63" x14ac:dyDescent="0.3">
      <c r="O374" t="s">
        <v>474</v>
      </c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>
        <v>33172</v>
      </c>
      <c r="AD374" s="18"/>
      <c r="AE374" s="18"/>
      <c r="AF374" s="18"/>
      <c r="AG374" s="18"/>
      <c r="AH374" s="18"/>
      <c r="AI374" s="18"/>
      <c r="AJ374" s="18">
        <v>33172</v>
      </c>
      <c r="AK374" s="18"/>
      <c r="AL374" s="18"/>
      <c r="AM374" s="18"/>
      <c r="AN374" s="18"/>
      <c r="AO374" s="18"/>
      <c r="AP374" s="18"/>
      <c r="AQ374" s="18"/>
      <c r="AR374" s="18"/>
      <c r="AS374" s="18"/>
      <c r="AT374" s="18"/>
      <c r="AU374" s="18"/>
      <c r="AV374" s="18"/>
      <c r="AW374" s="18"/>
      <c r="AX374" s="18"/>
      <c r="AY374" s="18"/>
      <c r="AZ374" s="18"/>
      <c r="BA374" s="18"/>
      <c r="BB374" s="18"/>
      <c r="BC374" s="18"/>
      <c r="BD374" s="18"/>
      <c r="BE374" s="18"/>
      <c r="BF374" s="18"/>
      <c r="BG374" s="18"/>
      <c r="BH374" s="18"/>
      <c r="BI374" s="18"/>
      <c r="BJ374" s="18"/>
      <c r="BK374" s="18">
        <v>33172</v>
      </c>
    </row>
    <row r="375" spans="15:63" x14ac:dyDescent="0.3">
      <c r="O375" t="s">
        <v>476</v>
      </c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>
        <v>312.5</v>
      </c>
      <c r="AD375" s="18"/>
      <c r="AE375" s="18"/>
      <c r="AF375" s="18"/>
      <c r="AG375" s="18"/>
      <c r="AH375" s="18"/>
      <c r="AI375" s="18"/>
      <c r="AJ375" s="18">
        <v>312.5</v>
      </c>
      <c r="AK375" s="18"/>
      <c r="AL375" s="18"/>
      <c r="AM375" s="18"/>
      <c r="AN375" s="18"/>
      <c r="AO375" s="18"/>
      <c r="AP375" s="18"/>
      <c r="AQ375" s="18"/>
      <c r="AR375" s="18"/>
      <c r="AS375" s="18"/>
      <c r="AT375" s="18"/>
      <c r="AU375" s="18"/>
      <c r="AV375" s="18"/>
      <c r="AW375" s="18"/>
      <c r="AX375" s="18"/>
      <c r="AY375" s="18"/>
      <c r="AZ375" s="18"/>
      <c r="BA375" s="18"/>
      <c r="BB375" s="18"/>
      <c r="BC375" s="18"/>
      <c r="BD375" s="18"/>
      <c r="BE375" s="18"/>
      <c r="BF375" s="18"/>
      <c r="BG375" s="18"/>
      <c r="BH375" s="18"/>
      <c r="BI375" s="18"/>
      <c r="BJ375" s="18"/>
      <c r="BK375" s="18">
        <v>312.5</v>
      </c>
    </row>
    <row r="376" spans="15:63" x14ac:dyDescent="0.3">
      <c r="O376" t="s">
        <v>502</v>
      </c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>
        <v>12188.9</v>
      </c>
      <c r="AE376" s="18"/>
      <c r="AF376" s="18"/>
      <c r="AG376" s="18"/>
      <c r="AH376" s="18"/>
      <c r="AI376" s="18"/>
      <c r="AJ376" s="18">
        <v>12188.9</v>
      </c>
      <c r="AK376" s="18"/>
      <c r="AL376" s="18"/>
      <c r="AM376" s="18"/>
      <c r="AN376" s="18"/>
      <c r="AO376" s="18"/>
      <c r="AP376" s="18"/>
      <c r="AQ376" s="18"/>
      <c r="AR376" s="18"/>
      <c r="AS376" s="18"/>
      <c r="AT376" s="18"/>
      <c r="AU376" s="18"/>
      <c r="AV376" s="18"/>
      <c r="AW376" s="18"/>
      <c r="AX376" s="18"/>
      <c r="AY376" s="18"/>
      <c r="AZ376" s="18"/>
      <c r="BA376" s="18"/>
      <c r="BB376" s="18"/>
      <c r="BC376" s="18"/>
      <c r="BD376" s="18"/>
      <c r="BE376" s="18"/>
      <c r="BF376" s="18"/>
      <c r="BG376" s="18"/>
      <c r="BH376" s="18"/>
      <c r="BI376" s="18"/>
      <c r="BJ376" s="18"/>
      <c r="BK376" s="18">
        <v>12188.9</v>
      </c>
    </row>
    <row r="377" spans="15:63" x14ac:dyDescent="0.3">
      <c r="O377" t="s">
        <v>505</v>
      </c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>
        <v>18684.5</v>
      </c>
      <c r="AE377" s="18"/>
      <c r="AF377" s="18"/>
      <c r="AG377" s="18"/>
      <c r="AH377" s="18"/>
      <c r="AI377" s="18"/>
      <c r="AJ377" s="18">
        <v>18684.5</v>
      </c>
      <c r="AK377" s="18"/>
      <c r="AL377" s="18"/>
      <c r="AM377" s="18"/>
      <c r="AN377" s="18"/>
      <c r="AO377" s="18"/>
      <c r="AP377" s="18"/>
      <c r="AQ377" s="18"/>
      <c r="AR377" s="18"/>
      <c r="AS377" s="18"/>
      <c r="AT377" s="18"/>
      <c r="AU377" s="18"/>
      <c r="AV377" s="18"/>
      <c r="AW377" s="18"/>
      <c r="AX377" s="18"/>
      <c r="AY377" s="18"/>
      <c r="AZ377" s="18"/>
      <c r="BA377" s="18"/>
      <c r="BB377" s="18"/>
      <c r="BC377" s="18"/>
      <c r="BD377" s="18"/>
      <c r="BE377" s="18"/>
      <c r="BF377" s="18"/>
      <c r="BG377" s="18"/>
      <c r="BH377" s="18"/>
      <c r="BI377" s="18"/>
      <c r="BJ377" s="18"/>
      <c r="BK377" s="18">
        <v>18684.5</v>
      </c>
    </row>
    <row r="378" spans="15:63" x14ac:dyDescent="0.3">
      <c r="O378" t="s">
        <v>512</v>
      </c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>
        <v>7457.5</v>
      </c>
      <c r="AE378" s="18"/>
      <c r="AF378" s="18"/>
      <c r="AG378" s="18"/>
      <c r="AH378" s="18"/>
      <c r="AI378" s="18"/>
      <c r="AJ378" s="18">
        <v>7457.5</v>
      </c>
      <c r="AK378" s="18"/>
      <c r="AL378" s="18"/>
      <c r="AM378" s="18"/>
      <c r="AN378" s="18"/>
      <c r="AO378" s="18"/>
      <c r="AP378" s="18"/>
      <c r="AQ378" s="18"/>
      <c r="AR378" s="18"/>
      <c r="AS378" s="18"/>
      <c r="AT378" s="18"/>
      <c r="AU378" s="18"/>
      <c r="AV378" s="18"/>
      <c r="AW378" s="18"/>
      <c r="AX378" s="18"/>
      <c r="AY378" s="18"/>
      <c r="AZ378" s="18"/>
      <c r="BA378" s="18"/>
      <c r="BB378" s="18"/>
      <c r="BC378" s="18"/>
      <c r="BD378" s="18"/>
      <c r="BE378" s="18"/>
      <c r="BF378" s="18"/>
      <c r="BG378" s="18"/>
      <c r="BH378" s="18"/>
      <c r="BI378" s="18"/>
      <c r="BJ378" s="18"/>
      <c r="BK378" s="18">
        <v>7457.5</v>
      </c>
    </row>
    <row r="379" spans="15:63" x14ac:dyDescent="0.3">
      <c r="O379" t="s">
        <v>523</v>
      </c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>
        <v>10565.5</v>
      </c>
      <c r="AE379" s="18"/>
      <c r="AF379" s="18"/>
      <c r="AG379" s="18"/>
      <c r="AH379" s="18"/>
      <c r="AI379" s="18"/>
      <c r="AJ379" s="18">
        <v>10565.5</v>
      </c>
      <c r="AK379" s="18"/>
      <c r="AL379" s="18"/>
      <c r="AM379" s="18"/>
      <c r="AN379" s="18"/>
      <c r="AO379" s="18"/>
      <c r="AP379" s="18"/>
      <c r="AQ379" s="18"/>
      <c r="AR379" s="18"/>
      <c r="AS379" s="18"/>
      <c r="AT379" s="18"/>
      <c r="AU379" s="18"/>
      <c r="AV379" s="18"/>
      <c r="AW379" s="18"/>
      <c r="AX379" s="18"/>
      <c r="AY379" s="18"/>
      <c r="AZ379" s="18"/>
      <c r="BA379" s="18"/>
      <c r="BB379" s="18"/>
      <c r="BC379" s="18"/>
      <c r="BD379" s="18"/>
      <c r="BE379" s="18"/>
      <c r="BF379" s="18"/>
      <c r="BG379" s="18"/>
      <c r="BH379" s="18"/>
      <c r="BI379" s="18"/>
      <c r="BJ379" s="18"/>
      <c r="BK379" s="18">
        <v>10565.5</v>
      </c>
    </row>
    <row r="380" spans="15:63" x14ac:dyDescent="0.3">
      <c r="O380" t="s">
        <v>530</v>
      </c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>
        <v>777</v>
      </c>
      <c r="AE380" s="18"/>
      <c r="AF380" s="18"/>
      <c r="AG380" s="18"/>
      <c r="AH380" s="18"/>
      <c r="AI380" s="18"/>
      <c r="AJ380" s="18">
        <v>777</v>
      </c>
      <c r="AK380" s="18"/>
      <c r="AL380" s="18"/>
      <c r="AM380" s="18"/>
      <c r="AN380" s="18"/>
      <c r="AO380" s="18"/>
      <c r="AP380" s="18"/>
      <c r="AQ380" s="18"/>
      <c r="AR380" s="18"/>
      <c r="AS380" s="18"/>
      <c r="AT380" s="18"/>
      <c r="AU380" s="18"/>
      <c r="AV380" s="18"/>
      <c r="AW380" s="18"/>
      <c r="AX380" s="18"/>
      <c r="AY380" s="18"/>
      <c r="AZ380" s="18"/>
      <c r="BA380" s="18"/>
      <c r="BB380" s="18"/>
      <c r="BC380" s="18"/>
      <c r="BD380" s="18"/>
      <c r="BE380" s="18"/>
      <c r="BF380" s="18"/>
      <c r="BG380" s="18"/>
      <c r="BH380" s="18"/>
      <c r="BI380" s="18"/>
      <c r="BJ380" s="18"/>
      <c r="BK380" s="18">
        <v>777</v>
      </c>
    </row>
    <row r="381" spans="15:63" x14ac:dyDescent="0.3">
      <c r="O381" t="s">
        <v>531</v>
      </c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8">
        <v>1077</v>
      </c>
      <c r="AE381" s="18"/>
      <c r="AF381" s="18"/>
      <c r="AG381" s="18"/>
      <c r="AH381" s="18"/>
      <c r="AI381" s="18"/>
      <c r="AJ381" s="18">
        <v>1077</v>
      </c>
      <c r="AK381" s="18"/>
      <c r="AL381" s="18"/>
      <c r="AM381" s="18"/>
      <c r="AN381" s="18"/>
      <c r="AO381" s="18"/>
      <c r="AP381" s="18"/>
      <c r="AQ381" s="18"/>
      <c r="AR381" s="18"/>
      <c r="AS381" s="18"/>
      <c r="AT381" s="18"/>
      <c r="AU381" s="18"/>
      <c r="AV381" s="18"/>
      <c r="AW381" s="18"/>
      <c r="AX381" s="18"/>
      <c r="AY381" s="18"/>
      <c r="AZ381" s="18"/>
      <c r="BA381" s="18"/>
      <c r="BB381" s="18"/>
      <c r="BC381" s="18"/>
      <c r="BD381" s="18"/>
      <c r="BE381" s="18"/>
      <c r="BF381" s="18"/>
      <c r="BG381" s="18"/>
      <c r="BH381" s="18"/>
      <c r="BI381" s="18"/>
      <c r="BJ381" s="18"/>
      <c r="BK381" s="18">
        <v>1077</v>
      </c>
    </row>
    <row r="382" spans="15:63" x14ac:dyDescent="0.3">
      <c r="O382" t="s">
        <v>533</v>
      </c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>
        <v>19320.5</v>
      </c>
      <c r="AE382" s="18"/>
      <c r="AF382" s="18"/>
      <c r="AG382" s="18"/>
      <c r="AH382" s="18"/>
      <c r="AI382" s="18"/>
      <c r="AJ382" s="18">
        <v>19320.5</v>
      </c>
      <c r="AK382" s="18"/>
      <c r="AL382" s="18"/>
      <c r="AM382" s="18"/>
      <c r="AN382" s="18"/>
      <c r="AO382" s="18"/>
      <c r="AP382" s="18"/>
      <c r="AQ382" s="18"/>
      <c r="AR382" s="18"/>
      <c r="AS382" s="18"/>
      <c r="AT382" s="18"/>
      <c r="AU382" s="18"/>
      <c r="AV382" s="18"/>
      <c r="AW382" s="18"/>
      <c r="AX382" s="18"/>
      <c r="AY382" s="18"/>
      <c r="AZ382" s="18"/>
      <c r="BA382" s="18"/>
      <c r="BB382" s="18"/>
      <c r="BC382" s="18"/>
      <c r="BD382" s="18"/>
      <c r="BE382" s="18"/>
      <c r="BF382" s="18"/>
      <c r="BG382" s="18"/>
      <c r="BH382" s="18"/>
      <c r="BI382" s="18"/>
      <c r="BJ382" s="18"/>
      <c r="BK382" s="18">
        <v>19320.5</v>
      </c>
    </row>
    <row r="383" spans="15:63" x14ac:dyDescent="0.3">
      <c r="O383" t="s">
        <v>547</v>
      </c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  <c r="AF383" s="18"/>
      <c r="AG383" s="18"/>
      <c r="AH383" s="18"/>
      <c r="AI383" s="18"/>
      <c r="AJ383" s="18"/>
      <c r="AK383" s="18"/>
      <c r="AL383" s="18"/>
      <c r="AM383" s="18"/>
      <c r="AN383" s="18"/>
      <c r="AO383" s="18"/>
      <c r="AP383" s="18"/>
      <c r="AQ383" s="18"/>
      <c r="AR383" s="18">
        <v>8273</v>
      </c>
      <c r="AS383" s="18"/>
      <c r="AT383" s="18"/>
      <c r="AU383" s="18"/>
      <c r="AV383" s="18"/>
      <c r="AW383" s="18">
        <v>8273</v>
      </c>
      <c r="AX383" s="18"/>
      <c r="AY383" s="18"/>
      <c r="AZ383" s="18"/>
      <c r="BA383" s="18"/>
      <c r="BB383" s="18"/>
      <c r="BC383" s="18"/>
      <c r="BD383" s="18"/>
      <c r="BE383" s="18"/>
      <c r="BF383" s="18"/>
      <c r="BG383" s="18"/>
      <c r="BH383" s="18"/>
      <c r="BI383" s="18"/>
      <c r="BJ383" s="18"/>
      <c r="BK383" s="18">
        <v>8273</v>
      </c>
    </row>
    <row r="384" spans="15:63" x14ac:dyDescent="0.3">
      <c r="O384" t="s">
        <v>549</v>
      </c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  <c r="AF384" s="18"/>
      <c r="AG384" s="18"/>
      <c r="AH384" s="18"/>
      <c r="AI384" s="18"/>
      <c r="AJ384" s="18"/>
      <c r="AK384" s="18"/>
      <c r="AL384" s="18"/>
      <c r="AM384" s="18"/>
      <c r="AN384" s="18"/>
      <c r="AO384" s="18"/>
      <c r="AP384" s="18"/>
      <c r="AQ384" s="18"/>
      <c r="AR384" s="18">
        <v>1233</v>
      </c>
      <c r="AS384" s="18"/>
      <c r="AT384" s="18"/>
      <c r="AU384" s="18"/>
      <c r="AV384" s="18"/>
      <c r="AW384" s="18">
        <v>1233</v>
      </c>
      <c r="AX384" s="18"/>
      <c r="AY384" s="18"/>
      <c r="AZ384" s="18"/>
      <c r="BA384" s="18"/>
      <c r="BB384" s="18"/>
      <c r="BC384" s="18"/>
      <c r="BD384" s="18"/>
      <c r="BE384" s="18"/>
      <c r="BF384" s="18"/>
      <c r="BG384" s="18"/>
      <c r="BH384" s="18"/>
      <c r="BI384" s="18"/>
      <c r="BJ384" s="18"/>
      <c r="BK384" s="18">
        <v>1233</v>
      </c>
    </row>
    <row r="385" spans="15:63" x14ac:dyDescent="0.3">
      <c r="O385" t="s">
        <v>550</v>
      </c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  <c r="AF385" s="18"/>
      <c r="AG385" s="18"/>
      <c r="AH385" s="18"/>
      <c r="AI385" s="18"/>
      <c r="AJ385" s="18"/>
      <c r="AK385" s="18"/>
      <c r="AL385" s="18"/>
      <c r="AM385" s="18"/>
      <c r="AN385" s="18"/>
      <c r="AO385" s="18"/>
      <c r="AP385" s="18"/>
      <c r="AQ385" s="18"/>
      <c r="AR385" s="18">
        <v>7377</v>
      </c>
      <c r="AS385" s="18"/>
      <c r="AT385" s="18"/>
      <c r="AU385" s="18"/>
      <c r="AV385" s="18"/>
      <c r="AW385" s="18">
        <v>7377</v>
      </c>
      <c r="AX385" s="18"/>
      <c r="AY385" s="18"/>
      <c r="AZ385" s="18"/>
      <c r="BA385" s="18"/>
      <c r="BB385" s="18"/>
      <c r="BC385" s="18"/>
      <c r="BD385" s="18"/>
      <c r="BE385" s="18"/>
      <c r="BF385" s="18"/>
      <c r="BG385" s="18"/>
      <c r="BH385" s="18"/>
      <c r="BI385" s="18"/>
      <c r="BJ385" s="18"/>
      <c r="BK385" s="18">
        <v>7377</v>
      </c>
    </row>
    <row r="386" spans="15:63" x14ac:dyDescent="0.3">
      <c r="O386" t="s">
        <v>559</v>
      </c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E386" s="18"/>
      <c r="AF386" s="18"/>
      <c r="AG386" s="18"/>
      <c r="AH386" s="18"/>
      <c r="AI386" s="18"/>
      <c r="AJ386" s="18"/>
      <c r="AK386" s="18"/>
      <c r="AL386" s="18"/>
      <c r="AM386" s="18"/>
      <c r="AN386" s="18"/>
      <c r="AO386" s="18"/>
      <c r="AP386" s="18"/>
      <c r="AQ386" s="18"/>
      <c r="AR386" s="18">
        <v>28549</v>
      </c>
      <c r="AS386" s="18"/>
      <c r="AT386" s="18"/>
      <c r="AU386" s="18"/>
      <c r="AV386" s="18"/>
      <c r="AW386" s="18">
        <v>28549</v>
      </c>
      <c r="AX386" s="18"/>
      <c r="AY386" s="18"/>
      <c r="AZ386" s="18"/>
      <c r="BA386" s="18"/>
      <c r="BB386" s="18"/>
      <c r="BC386" s="18"/>
      <c r="BD386" s="18"/>
      <c r="BE386" s="18"/>
      <c r="BF386" s="18"/>
      <c r="BG386" s="18"/>
      <c r="BH386" s="18"/>
      <c r="BI386" s="18"/>
      <c r="BJ386" s="18"/>
      <c r="BK386" s="18">
        <v>28549</v>
      </c>
    </row>
    <row r="387" spans="15:63" x14ac:dyDescent="0.3">
      <c r="O387" t="s">
        <v>565</v>
      </c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E387" s="18"/>
      <c r="AF387" s="18"/>
      <c r="AG387" s="18"/>
      <c r="AH387" s="18"/>
      <c r="AI387" s="18"/>
      <c r="AJ387" s="18"/>
      <c r="AK387" s="18"/>
      <c r="AL387" s="18"/>
      <c r="AM387" s="18"/>
      <c r="AN387" s="18"/>
      <c r="AO387" s="18"/>
      <c r="AP387" s="18"/>
      <c r="AQ387" s="18"/>
      <c r="AR387" s="18">
        <v>11502</v>
      </c>
      <c r="AS387" s="18"/>
      <c r="AT387" s="18"/>
      <c r="AU387" s="18"/>
      <c r="AV387" s="18"/>
      <c r="AW387" s="18">
        <v>11502</v>
      </c>
      <c r="AX387" s="18"/>
      <c r="AY387" s="18"/>
      <c r="AZ387" s="18"/>
      <c r="BA387" s="18"/>
      <c r="BB387" s="18"/>
      <c r="BC387" s="18"/>
      <c r="BD387" s="18"/>
      <c r="BE387" s="18"/>
      <c r="BF387" s="18"/>
      <c r="BG387" s="18"/>
      <c r="BH387" s="18"/>
      <c r="BI387" s="18"/>
      <c r="BJ387" s="18"/>
      <c r="BK387" s="18">
        <v>11502</v>
      </c>
    </row>
    <row r="388" spans="15:63" x14ac:dyDescent="0.3">
      <c r="O388" t="s">
        <v>610</v>
      </c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E388" s="18"/>
      <c r="AF388" s="18"/>
      <c r="AG388" s="18"/>
      <c r="AH388" s="18"/>
      <c r="AI388" s="18"/>
      <c r="AJ388" s="18"/>
      <c r="AK388" s="18"/>
      <c r="AL388" s="18"/>
      <c r="AM388" s="18"/>
      <c r="AN388" s="18"/>
      <c r="AO388" s="18"/>
      <c r="AP388" s="18"/>
      <c r="AQ388" s="18"/>
      <c r="AR388" s="18"/>
      <c r="AS388" s="18">
        <v>7961</v>
      </c>
      <c r="AT388" s="18"/>
      <c r="AU388" s="18"/>
      <c r="AV388" s="18"/>
      <c r="AW388" s="18">
        <v>7961</v>
      </c>
      <c r="AX388" s="18"/>
      <c r="AY388" s="18"/>
      <c r="AZ388" s="18"/>
      <c r="BA388" s="18"/>
      <c r="BB388" s="18"/>
      <c r="BC388" s="18"/>
      <c r="BD388" s="18"/>
      <c r="BE388" s="18"/>
      <c r="BF388" s="18"/>
      <c r="BG388" s="18"/>
      <c r="BH388" s="18"/>
      <c r="BI388" s="18"/>
      <c r="BJ388" s="18"/>
      <c r="BK388" s="18">
        <v>7961</v>
      </c>
    </row>
    <row r="389" spans="15:63" x14ac:dyDescent="0.3">
      <c r="O389" t="s">
        <v>611</v>
      </c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E389" s="18"/>
      <c r="AF389" s="18"/>
      <c r="AG389" s="18"/>
      <c r="AH389" s="18"/>
      <c r="AI389" s="18"/>
      <c r="AJ389" s="18"/>
      <c r="AK389" s="18"/>
      <c r="AL389" s="18"/>
      <c r="AM389" s="18"/>
      <c r="AN389" s="18"/>
      <c r="AO389" s="18"/>
      <c r="AP389" s="18"/>
      <c r="AQ389" s="18"/>
      <c r="AR389" s="18"/>
      <c r="AS389" s="18">
        <v>2678</v>
      </c>
      <c r="AT389" s="18"/>
      <c r="AU389" s="18"/>
      <c r="AV389" s="18"/>
      <c r="AW389" s="18">
        <v>2678</v>
      </c>
      <c r="AX389" s="18"/>
      <c r="AY389" s="18"/>
      <c r="AZ389" s="18"/>
      <c r="BA389" s="18"/>
      <c r="BB389" s="18"/>
      <c r="BC389" s="18"/>
      <c r="BD389" s="18"/>
      <c r="BE389" s="18"/>
      <c r="BF389" s="18"/>
      <c r="BG389" s="18"/>
      <c r="BH389" s="18"/>
      <c r="BI389" s="18"/>
      <c r="BJ389" s="18"/>
      <c r="BK389" s="18">
        <v>2678</v>
      </c>
    </row>
    <row r="390" spans="15:63" x14ac:dyDescent="0.3">
      <c r="O390" t="s">
        <v>647</v>
      </c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E390" s="18"/>
      <c r="AF390" s="18"/>
      <c r="AG390" s="18"/>
      <c r="AH390" s="18"/>
      <c r="AI390" s="18"/>
      <c r="AJ390" s="18"/>
      <c r="AK390" s="18"/>
      <c r="AL390" s="18"/>
      <c r="AM390" s="18"/>
      <c r="AN390" s="18"/>
      <c r="AO390" s="18"/>
      <c r="AP390" s="18"/>
      <c r="AQ390" s="18"/>
      <c r="AR390" s="18"/>
      <c r="AS390" s="18"/>
      <c r="AT390" s="18">
        <v>3029</v>
      </c>
      <c r="AU390" s="18"/>
      <c r="AV390" s="18"/>
      <c r="AW390" s="18">
        <v>3029</v>
      </c>
      <c r="AX390" s="18"/>
      <c r="AY390" s="18"/>
      <c r="AZ390" s="18"/>
      <c r="BA390" s="18"/>
      <c r="BB390" s="18"/>
      <c r="BC390" s="18"/>
      <c r="BD390" s="18"/>
      <c r="BE390" s="18"/>
      <c r="BF390" s="18"/>
      <c r="BG390" s="18"/>
      <c r="BH390" s="18"/>
      <c r="BI390" s="18"/>
      <c r="BJ390" s="18"/>
      <c r="BK390" s="18">
        <v>3029</v>
      </c>
    </row>
    <row r="391" spans="15:63" x14ac:dyDescent="0.3">
      <c r="O391" t="s">
        <v>649</v>
      </c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E391" s="18"/>
      <c r="AF391" s="18"/>
      <c r="AG391" s="18"/>
      <c r="AH391" s="18"/>
      <c r="AI391" s="18"/>
      <c r="AJ391" s="18"/>
      <c r="AK391" s="18"/>
      <c r="AL391" s="18"/>
      <c r="AM391" s="18"/>
      <c r="AN391" s="18"/>
      <c r="AO391" s="18"/>
      <c r="AP391" s="18"/>
      <c r="AQ391" s="18"/>
      <c r="AR391" s="18"/>
      <c r="AS391" s="18"/>
      <c r="AT391" s="18">
        <v>11425</v>
      </c>
      <c r="AU391" s="18"/>
      <c r="AV391" s="18"/>
      <c r="AW391" s="18">
        <v>11425</v>
      </c>
      <c r="AX391" s="18"/>
      <c r="AY391" s="18"/>
      <c r="AZ391" s="18"/>
      <c r="BA391" s="18"/>
      <c r="BB391" s="18"/>
      <c r="BC391" s="18"/>
      <c r="BD391" s="18"/>
      <c r="BE391" s="18"/>
      <c r="BF391" s="18"/>
      <c r="BG391" s="18"/>
      <c r="BH391" s="18"/>
      <c r="BI391" s="18"/>
      <c r="BJ391" s="18"/>
      <c r="BK391" s="18">
        <v>11425</v>
      </c>
    </row>
    <row r="392" spans="15:63" x14ac:dyDescent="0.3">
      <c r="O392" t="s">
        <v>651</v>
      </c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  <c r="AE392" s="18"/>
      <c r="AF392" s="18"/>
      <c r="AG392" s="18"/>
      <c r="AH392" s="18"/>
      <c r="AI392" s="18"/>
      <c r="AJ392" s="18"/>
      <c r="AK392" s="18"/>
      <c r="AL392" s="18"/>
      <c r="AM392" s="18"/>
      <c r="AN392" s="18"/>
      <c r="AO392" s="18"/>
      <c r="AP392" s="18"/>
      <c r="AQ392" s="18"/>
      <c r="AR392" s="18"/>
      <c r="AS392" s="18"/>
      <c r="AT392" s="18">
        <v>9888</v>
      </c>
      <c r="AU392" s="18"/>
      <c r="AV392" s="18"/>
      <c r="AW392" s="18">
        <v>9888</v>
      </c>
      <c r="AX392" s="18"/>
      <c r="AY392" s="18"/>
      <c r="AZ392" s="18"/>
      <c r="BA392" s="18"/>
      <c r="BB392" s="18"/>
      <c r="BC392" s="18"/>
      <c r="BD392" s="18"/>
      <c r="BE392" s="18"/>
      <c r="BF392" s="18"/>
      <c r="BG392" s="18"/>
      <c r="BH392" s="18"/>
      <c r="BI392" s="18"/>
      <c r="BJ392" s="18"/>
      <c r="BK392" s="18">
        <v>9888</v>
      </c>
    </row>
    <row r="393" spans="15:63" x14ac:dyDescent="0.3">
      <c r="O393" t="s">
        <v>654</v>
      </c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E393" s="18"/>
      <c r="AF393" s="18"/>
      <c r="AG393" s="18"/>
      <c r="AH393" s="18"/>
      <c r="AI393" s="18"/>
      <c r="AJ393" s="18"/>
      <c r="AK393" s="18"/>
      <c r="AL393" s="18"/>
      <c r="AM393" s="18"/>
      <c r="AN393" s="18"/>
      <c r="AO393" s="18"/>
      <c r="AP393" s="18"/>
      <c r="AQ393" s="18"/>
      <c r="AR393" s="18"/>
      <c r="AS393" s="18"/>
      <c r="AT393" s="18">
        <v>8819</v>
      </c>
      <c r="AU393" s="18"/>
      <c r="AV393" s="18"/>
      <c r="AW393" s="18">
        <v>8819</v>
      </c>
      <c r="AX393" s="18"/>
      <c r="AY393" s="18"/>
      <c r="AZ393" s="18"/>
      <c r="BA393" s="18"/>
      <c r="BB393" s="18"/>
      <c r="BC393" s="18"/>
      <c r="BD393" s="18"/>
      <c r="BE393" s="18"/>
      <c r="BF393" s="18"/>
      <c r="BG393" s="18"/>
      <c r="BH393" s="18"/>
      <c r="BI393" s="18"/>
      <c r="BJ393" s="18"/>
      <c r="BK393" s="18">
        <v>8819</v>
      </c>
    </row>
    <row r="394" spans="15:63" x14ac:dyDescent="0.3">
      <c r="O394" t="s">
        <v>661</v>
      </c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E394" s="18"/>
      <c r="AF394" s="18"/>
      <c r="AG394" s="18"/>
      <c r="AH394" s="18"/>
      <c r="AI394" s="18"/>
      <c r="AJ394" s="18"/>
      <c r="AK394" s="18"/>
      <c r="AL394" s="18"/>
      <c r="AM394" s="18"/>
      <c r="AN394" s="18"/>
      <c r="AO394" s="18"/>
      <c r="AP394" s="18"/>
      <c r="AQ394" s="18"/>
      <c r="AR394" s="18"/>
      <c r="AS394" s="18"/>
      <c r="AT394" s="18">
        <v>14422</v>
      </c>
      <c r="AU394" s="18"/>
      <c r="AV394" s="18"/>
      <c r="AW394" s="18">
        <v>14422</v>
      </c>
      <c r="AX394" s="18"/>
      <c r="AY394" s="18"/>
      <c r="AZ394" s="18"/>
      <c r="BA394" s="18"/>
      <c r="BB394" s="18"/>
      <c r="BC394" s="18"/>
      <c r="BD394" s="18"/>
      <c r="BE394" s="18"/>
      <c r="BF394" s="18"/>
      <c r="BG394" s="18"/>
      <c r="BH394" s="18"/>
      <c r="BI394" s="18"/>
      <c r="BJ394" s="18"/>
      <c r="BK394" s="18">
        <v>14422</v>
      </c>
    </row>
    <row r="395" spans="15:63" x14ac:dyDescent="0.3">
      <c r="O395" t="s">
        <v>663</v>
      </c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  <c r="AG395" s="18"/>
      <c r="AH395" s="18"/>
      <c r="AI395" s="18"/>
      <c r="AJ395" s="18"/>
      <c r="AK395" s="18"/>
      <c r="AL395" s="18"/>
      <c r="AM395" s="18"/>
      <c r="AN395" s="18"/>
      <c r="AO395" s="18"/>
      <c r="AP395" s="18"/>
      <c r="AQ395" s="18"/>
      <c r="AR395" s="18"/>
      <c r="AS395" s="18"/>
      <c r="AT395" s="18">
        <v>7593</v>
      </c>
      <c r="AU395" s="18"/>
      <c r="AV395" s="18"/>
      <c r="AW395" s="18">
        <v>7593</v>
      </c>
      <c r="AX395" s="18"/>
      <c r="AY395" s="18"/>
      <c r="AZ395" s="18"/>
      <c r="BA395" s="18"/>
      <c r="BB395" s="18"/>
      <c r="BC395" s="18"/>
      <c r="BD395" s="18"/>
      <c r="BE395" s="18"/>
      <c r="BF395" s="18"/>
      <c r="BG395" s="18"/>
      <c r="BH395" s="18"/>
      <c r="BI395" s="18"/>
      <c r="BJ395" s="18"/>
      <c r="BK395" s="18">
        <v>7593</v>
      </c>
    </row>
    <row r="396" spans="15:63" x14ac:dyDescent="0.3">
      <c r="O396" t="s">
        <v>684</v>
      </c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  <c r="AJ396" s="18"/>
      <c r="AK396" s="18"/>
      <c r="AL396" s="18"/>
      <c r="AM396" s="18"/>
      <c r="AN396" s="18"/>
      <c r="AO396" s="18"/>
      <c r="AP396" s="18"/>
      <c r="AQ396" s="18"/>
      <c r="AR396" s="18"/>
      <c r="AS396" s="18"/>
      <c r="AT396" s="18"/>
      <c r="AU396" s="18">
        <v>9157.5</v>
      </c>
      <c r="AV396" s="18"/>
      <c r="AW396" s="18">
        <v>9157.5</v>
      </c>
      <c r="AX396" s="18"/>
      <c r="AY396" s="18"/>
      <c r="AZ396" s="18"/>
      <c r="BA396" s="18"/>
      <c r="BB396" s="18"/>
      <c r="BC396" s="18"/>
      <c r="BD396" s="18"/>
      <c r="BE396" s="18"/>
      <c r="BF396" s="18"/>
      <c r="BG396" s="18"/>
      <c r="BH396" s="18"/>
      <c r="BI396" s="18"/>
      <c r="BJ396" s="18"/>
      <c r="BK396" s="18">
        <v>9157.5</v>
      </c>
    </row>
    <row r="397" spans="15:63" x14ac:dyDescent="0.3">
      <c r="O397" t="s">
        <v>686</v>
      </c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  <c r="AG397" s="18"/>
      <c r="AH397" s="18"/>
      <c r="AI397" s="18"/>
      <c r="AJ397" s="18"/>
      <c r="AK397" s="18"/>
      <c r="AL397" s="18"/>
      <c r="AM397" s="18"/>
      <c r="AN397" s="18"/>
      <c r="AO397" s="18"/>
      <c r="AP397" s="18"/>
      <c r="AQ397" s="18"/>
      <c r="AR397" s="18"/>
      <c r="AS397" s="18"/>
      <c r="AT397" s="18"/>
      <c r="AU397" s="18">
        <v>10497.5</v>
      </c>
      <c r="AV397" s="18"/>
      <c r="AW397" s="18">
        <v>10497.5</v>
      </c>
      <c r="AX397" s="18"/>
      <c r="AY397" s="18"/>
      <c r="AZ397" s="18"/>
      <c r="BA397" s="18"/>
      <c r="BB397" s="18"/>
      <c r="BC397" s="18"/>
      <c r="BD397" s="18"/>
      <c r="BE397" s="18"/>
      <c r="BF397" s="18"/>
      <c r="BG397" s="18"/>
      <c r="BH397" s="18"/>
      <c r="BI397" s="18"/>
      <c r="BJ397" s="18"/>
      <c r="BK397" s="18">
        <v>10497.5</v>
      </c>
    </row>
    <row r="398" spans="15:63" x14ac:dyDescent="0.3">
      <c r="O398" t="s">
        <v>690</v>
      </c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E398" s="18"/>
      <c r="AF398" s="18"/>
      <c r="AG398" s="18"/>
      <c r="AH398" s="18"/>
      <c r="AI398" s="18"/>
      <c r="AJ398" s="18"/>
      <c r="AK398" s="18"/>
      <c r="AL398" s="18"/>
      <c r="AM398" s="18"/>
      <c r="AN398" s="18"/>
      <c r="AO398" s="18"/>
      <c r="AP398" s="18"/>
      <c r="AQ398" s="18"/>
      <c r="AR398" s="18"/>
      <c r="AS398" s="18"/>
      <c r="AT398" s="18"/>
      <c r="AU398" s="18">
        <v>8569.5</v>
      </c>
      <c r="AV398" s="18"/>
      <c r="AW398" s="18">
        <v>8569.5</v>
      </c>
      <c r="AX398" s="18"/>
      <c r="AY398" s="18"/>
      <c r="AZ398" s="18"/>
      <c r="BA398" s="18"/>
      <c r="BB398" s="18"/>
      <c r="BC398" s="18"/>
      <c r="BD398" s="18"/>
      <c r="BE398" s="18"/>
      <c r="BF398" s="18"/>
      <c r="BG398" s="18"/>
      <c r="BH398" s="18"/>
      <c r="BI398" s="18"/>
      <c r="BJ398" s="18"/>
      <c r="BK398" s="18">
        <v>8569.5</v>
      </c>
    </row>
    <row r="399" spans="15:63" x14ac:dyDescent="0.3">
      <c r="O399" t="s">
        <v>694</v>
      </c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  <c r="AF399" s="18"/>
      <c r="AG399" s="18"/>
      <c r="AH399" s="18"/>
      <c r="AI399" s="18"/>
      <c r="AJ399" s="18"/>
      <c r="AK399" s="18"/>
      <c r="AL399" s="18"/>
      <c r="AM399" s="18"/>
      <c r="AN399" s="18"/>
      <c r="AO399" s="18"/>
      <c r="AP399" s="18"/>
      <c r="AQ399" s="18"/>
      <c r="AR399" s="18"/>
      <c r="AS399" s="18"/>
      <c r="AT399" s="18"/>
      <c r="AU399" s="18">
        <v>10975.5</v>
      </c>
      <c r="AV399" s="18"/>
      <c r="AW399" s="18">
        <v>10975.5</v>
      </c>
      <c r="AX399" s="18"/>
      <c r="AY399" s="18"/>
      <c r="AZ399" s="18"/>
      <c r="BA399" s="18"/>
      <c r="BB399" s="18"/>
      <c r="BC399" s="18"/>
      <c r="BD399" s="18"/>
      <c r="BE399" s="18"/>
      <c r="BF399" s="18"/>
      <c r="BG399" s="18"/>
      <c r="BH399" s="18"/>
      <c r="BI399" s="18"/>
      <c r="BJ399" s="18"/>
      <c r="BK399" s="18">
        <v>10975.5</v>
      </c>
    </row>
    <row r="400" spans="15:63" x14ac:dyDescent="0.3">
      <c r="O400" t="s">
        <v>697</v>
      </c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  <c r="AG400" s="18"/>
      <c r="AH400" s="18"/>
      <c r="AI400" s="18"/>
      <c r="AJ400" s="18"/>
      <c r="AK400" s="18"/>
      <c r="AL400" s="18"/>
      <c r="AM400" s="18"/>
      <c r="AN400" s="18"/>
      <c r="AO400" s="18"/>
      <c r="AP400" s="18"/>
      <c r="AQ400" s="18"/>
      <c r="AR400" s="18"/>
      <c r="AS400" s="18"/>
      <c r="AT400" s="18"/>
      <c r="AU400" s="18">
        <v>10103.5</v>
      </c>
      <c r="AV400" s="18"/>
      <c r="AW400" s="18">
        <v>10103.5</v>
      </c>
      <c r="AX400" s="18"/>
      <c r="AY400" s="18"/>
      <c r="AZ400" s="18"/>
      <c r="BA400" s="18"/>
      <c r="BB400" s="18"/>
      <c r="BC400" s="18"/>
      <c r="BD400" s="18"/>
      <c r="BE400" s="18"/>
      <c r="BF400" s="18"/>
      <c r="BG400" s="18"/>
      <c r="BH400" s="18"/>
      <c r="BI400" s="18"/>
      <c r="BJ400" s="18"/>
      <c r="BK400" s="18">
        <v>10103.5</v>
      </c>
    </row>
    <row r="401" spans="15:63" x14ac:dyDescent="0.3">
      <c r="O401" t="s">
        <v>699</v>
      </c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  <c r="AG401" s="18"/>
      <c r="AH401" s="18"/>
      <c r="AI401" s="18"/>
      <c r="AJ401" s="18"/>
      <c r="AK401" s="18"/>
      <c r="AL401" s="18"/>
      <c r="AM401" s="18"/>
      <c r="AN401" s="18"/>
      <c r="AO401" s="18"/>
      <c r="AP401" s="18"/>
      <c r="AQ401" s="18"/>
      <c r="AR401" s="18"/>
      <c r="AS401" s="18"/>
      <c r="AT401" s="18"/>
      <c r="AU401" s="18">
        <v>3076</v>
      </c>
      <c r="AV401" s="18"/>
      <c r="AW401" s="18">
        <v>3076</v>
      </c>
      <c r="AX401" s="18"/>
      <c r="AY401" s="18"/>
      <c r="AZ401" s="18"/>
      <c r="BA401" s="18"/>
      <c r="BB401" s="18"/>
      <c r="BC401" s="18"/>
      <c r="BD401" s="18"/>
      <c r="BE401" s="18"/>
      <c r="BF401" s="18"/>
      <c r="BG401" s="18"/>
      <c r="BH401" s="18"/>
      <c r="BI401" s="18"/>
      <c r="BJ401" s="18"/>
      <c r="BK401" s="18">
        <v>3076</v>
      </c>
    </row>
    <row r="402" spans="15:63" x14ac:dyDescent="0.3">
      <c r="O402" t="s">
        <v>719</v>
      </c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  <c r="AG402" s="18"/>
      <c r="AH402" s="18"/>
      <c r="AI402" s="18"/>
      <c r="AJ402" s="18"/>
      <c r="AK402" s="18"/>
      <c r="AL402" s="18"/>
      <c r="AM402" s="18"/>
      <c r="AN402" s="18"/>
      <c r="AO402" s="18"/>
      <c r="AP402" s="18"/>
      <c r="AQ402" s="18"/>
      <c r="AR402" s="18"/>
      <c r="AS402" s="18"/>
      <c r="AT402" s="18"/>
      <c r="AU402" s="18">
        <v>11151</v>
      </c>
      <c r="AV402" s="18"/>
      <c r="AW402" s="18">
        <v>11151</v>
      </c>
      <c r="AX402" s="18"/>
      <c r="AY402" s="18"/>
      <c r="AZ402" s="18"/>
      <c r="BA402" s="18"/>
      <c r="BB402" s="18"/>
      <c r="BC402" s="18"/>
      <c r="BD402" s="18"/>
      <c r="BE402" s="18"/>
      <c r="BF402" s="18"/>
      <c r="BG402" s="18"/>
      <c r="BH402" s="18"/>
      <c r="BI402" s="18"/>
      <c r="BJ402" s="18"/>
      <c r="BK402" s="18">
        <v>11151</v>
      </c>
    </row>
    <row r="403" spans="15:63" x14ac:dyDescent="0.3">
      <c r="O403" t="s">
        <v>726</v>
      </c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  <c r="AJ403" s="18"/>
      <c r="AK403" s="18"/>
      <c r="AL403" s="18"/>
      <c r="AM403" s="18"/>
      <c r="AN403" s="18"/>
      <c r="AO403" s="18"/>
      <c r="AP403" s="18"/>
      <c r="AQ403" s="18"/>
      <c r="AR403" s="18"/>
      <c r="AS403" s="18"/>
      <c r="AT403" s="18"/>
      <c r="AU403" s="18">
        <v>11858.5</v>
      </c>
      <c r="AV403" s="18"/>
      <c r="AW403" s="18">
        <v>11858.5</v>
      </c>
      <c r="AX403" s="18"/>
      <c r="AY403" s="18"/>
      <c r="AZ403" s="18"/>
      <c r="BA403" s="18"/>
      <c r="BB403" s="18"/>
      <c r="BC403" s="18"/>
      <c r="BD403" s="18"/>
      <c r="BE403" s="18"/>
      <c r="BF403" s="18"/>
      <c r="BG403" s="18"/>
      <c r="BH403" s="18"/>
      <c r="BI403" s="18"/>
      <c r="BJ403" s="18"/>
      <c r="BK403" s="18">
        <v>11858.5</v>
      </c>
    </row>
    <row r="404" spans="15:63" x14ac:dyDescent="0.3">
      <c r="O404" t="s">
        <v>730</v>
      </c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  <c r="AF404" s="18"/>
      <c r="AG404" s="18"/>
      <c r="AH404" s="18"/>
      <c r="AI404" s="18"/>
      <c r="AJ404" s="18"/>
      <c r="AK404" s="18"/>
      <c r="AL404" s="18"/>
      <c r="AM404" s="18"/>
      <c r="AN404" s="18"/>
      <c r="AO404" s="18"/>
      <c r="AP404" s="18"/>
      <c r="AQ404" s="18"/>
      <c r="AR404" s="18"/>
      <c r="AS404" s="18"/>
      <c r="AT404" s="18"/>
      <c r="AU404" s="18">
        <v>15244</v>
      </c>
      <c r="AV404" s="18"/>
      <c r="AW404" s="18">
        <v>15244</v>
      </c>
      <c r="AX404" s="18"/>
      <c r="AY404" s="18"/>
      <c r="AZ404" s="18"/>
      <c r="BA404" s="18"/>
      <c r="BB404" s="18"/>
      <c r="BC404" s="18"/>
      <c r="BD404" s="18"/>
      <c r="BE404" s="18"/>
      <c r="BF404" s="18"/>
      <c r="BG404" s="18"/>
      <c r="BH404" s="18"/>
      <c r="BI404" s="18"/>
      <c r="BJ404" s="18"/>
      <c r="BK404" s="18">
        <v>15244</v>
      </c>
    </row>
    <row r="405" spans="15:63" x14ac:dyDescent="0.3">
      <c r="O405" t="s">
        <v>763</v>
      </c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  <c r="AG405" s="18"/>
      <c r="AH405" s="18"/>
      <c r="AI405" s="18"/>
      <c r="AJ405" s="18"/>
      <c r="AK405" s="18"/>
      <c r="AL405" s="18"/>
      <c r="AM405" s="18"/>
      <c r="AN405" s="18"/>
      <c r="AO405" s="18"/>
      <c r="AP405" s="18"/>
      <c r="AQ405" s="18"/>
      <c r="AR405" s="18"/>
      <c r="AS405" s="18"/>
      <c r="AT405" s="18"/>
      <c r="AU405" s="18"/>
      <c r="AV405" s="18">
        <v>11530</v>
      </c>
      <c r="AW405" s="18">
        <v>11530</v>
      </c>
      <c r="AX405" s="18"/>
      <c r="AY405" s="18"/>
      <c r="AZ405" s="18"/>
      <c r="BA405" s="18"/>
      <c r="BB405" s="18"/>
      <c r="BC405" s="18"/>
      <c r="BD405" s="18"/>
      <c r="BE405" s="18"/>
      <c r="BF405" s="18"/>
      <c r="BG405" s="18"/>
      <c r="BH405" s="18"/>
      <c r="BI405" s="18"/>
      <c r="BJ405" s="18"/>
      <c r="BK405" s="18">
        <v>11530</v>
      </c>
    </row>
    <row r="406" spans="15:63" x14ac:dyDescent="0.3">
      <c r="O406" t="s">
        <v>765</v>
      </c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  <c r="AF406" s="18"/>
      <c r="AG406" s="18"/>
      <c r="AH406" s="18"/>
      <c r="AI406" s="18"/>
      <c r="AJ406" s="18"/>
      <c r="AK406" s="18"/>
      <c r="AL406" s="18"/>
      <c r="AM406" s="18"/>
      <c r="AN406" s="18"/>
      <c r="AO406" s="18"/>
      <c r="AP406" s="18"/>
      <c r="AQ406" s="18"/>
      <c r="AR406" s="18"/>
      <c r="AS406" s="18"/>
      <c r="AT406" s="18"/>
      <c r="AU406" s="18"/>
      <c r="AV406" s="18">
        <v>16245</v>
      </c>
      <c r="AW406" s="18">
        <v>16245</v>
      </c>
      <c r="AX406" s="18"/>
      <c r="AY406" s="18"/>
      <c r="AZ406" s="18"/>
      <c r="BA406" s="18"/>
      <c r="BB406" s="18"/>
      <c r="BC406" s="18"/>
      <c r="BD406" s="18"/>
      <c r="BE406" s="18"/>
      <c r="BF406" s="18"/>
      <c r="BG406" s="18"/>
      <c r="BH406" s="18"/>
      <c r="BI406" s="18"/>
      <c r="BJ406" s="18"/>
      <c r="BK406" s="18">
        <v>16245</v>
      </c>
    </row>
    <row r="407" spans="15:63" x14ac:dyDescent="0.3">
      <c r="O407" t="s">
        <v>778</v>
      </c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  <c r="AG407" s="18"/>
      <c r="AH407" s="18"/>
      <c r="AI407" s="18"/>
      <c r="AJ407" s="18"/>
      <c r="AK407" s="18"/>
      <c r="AL407" s="18"/>
      <c r="AM407" s="18"/>
      <c r="AN407" s="18"/>
      <c r="AO407" s="18"/>
      <c r="AP407" s="18"/>
      <c r="AQ407" s="18"/>
      <c r="AR407" s="18"/>
      <c r="AS407" s="18"/>
      <c r="AT407" s="18"/>
      <c r="AU407" s="18"/>
      <c r="AV407" s="18">
        <v>10369.5</v>
      </c>
      <c r="AW407" s="18">
        <v>10369.5</v>
      </c>
      <c r="AX407" s="18"/>
      <c r="AY407" s="18"/>
      <c r="AZ407" s="18"/>
      <c r="BA407" s="18"/>
      <c r="BB407" s="18"/>
      <c r="BC407" s="18"/>
      <c r="BD407" s="18"/>
      <c r="BE407" s="18"/>
      <c r="BF407" s="18"/>
      <c r="BG407" s="18"/>
      <c r="BH407" s="18"/>
      <c r="BI407" s="18"/>
      <c r="BJ407" s="18"/>
      <c r="BK407" s="18">
        <v>10369.5</v>
      </c>
    </row>
    <row r="408" spans="15:63" x14ac:dyDescent="0.3">
      <c r="O408" t="s">
        <v>781</v>
      </c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  <c r="AF408" s="18"/>
      <c r="AG408" s="18"/>
      <c r="AH408" s="18"/>
      <c r="AI408" s="18"/>
      <c r="AJ408" s="18"/>
      <c r="AK408" s="18"/>
      <c r="AL408" s="18"/>
      <c r="AM408" s="18"/>
      <c r="AN408" s="18"/>
      <c r="AO408" s="18"/>
      <c r="AP408" s="18"/>
      <c r="AQ408" s="18"/>
      <c r="AR408" s="18"/>
      <c r="AS408" s="18"/>
      <c r="AT408" s="18"/>
      <c r="AU408" s="18"/>
      <c r="AV408" s="18">
        <v>8417</v>
      </c>
      <c r="AW408" s="18">
        <v>8417</v>
      </c>
      <c r="AX408" s="18"/>
      <c r="AY408" s="18"/>
      <c r="AZ408" s="18"/>
      <c r="BA408" s="18"/>
      <c r="BB408" s="18"/>
      <c r="BC408" s="18"/>
      <c r="BD408" s="18"/>
      <c r="BE408" s="18"/>
      <c r="BF408" s="18"/>
      <c r="BG408" s="18"/>
      <c r="BH408" s="18"/>
      <c r="BI408" s="18"/>
      <c r="BJ408" s="18"/>
      <c r="BK408" s="18">
        <v>8417</v>
      </c>
    </row>
    <row r="409" spans="15:63" x14ac:dyDescent="0.3">
      <c r="O409" t="s">
        <v>784</v>
      </c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E409" s="18"/>
      <c r="AF409" s="18"/>
      <c r="AG409" s="18"/>
      <c r="AH409" s="18"/>
      <c r="AI409" s="18"/>
      <c r="AJ409" s="18"/>
      <c r="AK409" s="18"/>
      <c r="AL409" s="18"/>
      <c r="AM409" s="18"/>
      <c r="AN409" s="18"/>
      <c r="AO409" s="18"/>
      <c r="AP409" s="18"/>
      <c r="AQ409" s="18"/>
      <c r="AR409" s="18"/>
      <c r="AS409" s="18"/>
      <c r="AT409" s="18"/>
      <c r="AU409" s="18"/>
      <c r="AV409" s="18">
        <v>13110</v>
      </c>
      <c r="AW409" s="18">
        <v>13110</v>
      </c>
      <c r="AX409" s="18"/>
      <c r="AY409" s="18"/>
      <c r="AZ409" s="18"/>
      <c r="BA409" s="18"/>
      <c r="BB409" s="18"/>
      <c r="BC409" s="18"/>
      <c r="BD409" s="18"/>
      <c r="BE409" s="18"/>
      <c r="BF409" s="18"/>
      <c r="BG409" s="18"/>
      <c r="BH409" s="18"/>
      <c r="BI409" s="18"/>
      <c r="BJ409" s="18"/>
      <c r="BK409" s="18">
        <v>13110</v>
      </c>
    </row>
    <row r="410" spans="15:63" x14ac:dyDescent="0.3">
      <c r="O410" t="s">
        <v>790</v>
      </c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  <c r="AE410" s="18"/>
      <c r="AF410" s="18"/>
      <c r="AG410" s="18"/>
      <c r="AH410" s="18"/>
      <c r="AI410" s="18"/>
      <c r="AJ410" s="18"/>
      <c r="AK410" s="18"/>
      <c r="AL410" s="18"/>
      <c r="AM410" s="18"/>
      <c r="AN410" s="18"/>
      <c r="AO410" s="18"/>
      <c r="AP410" s="18"/>
      <c r="AQ410" s="18"/>
      <c r="AR410" s="18"/>
      <c r="AS410" s="18"/>
      <c r="AT410" s="18"/>
      <c r="AU410" s="18"/>
      <c r="AV410" s="18">
        <v>13110</v>
      </c>
      <c r="AW410" s="18">
        <v>13110</v>
      </c>
      <c r="AX410" s="18"/>
      <c r="AY410" s="18"/>
      <c r="AZ410" s="18"/>
      <c r="BA410" s="18"/>
      <c r="BB410" s="18"/>
      <c r="BC410" s="18"/>
      <c r="BD410" s="18"/>
      <c r="BE410" s="18"/>
      <c r="BF410" s="18"/>
      <c r="BG410" s="18"/>
      <c r="BH410" s="18"/>
      <c r="BI410" s="18"/>
      <c r="BJ410" s="18"/>
      <c r="BK410" s="18">
        <v>13110</v>
      </c>
    </row>
    <row r="411" spans="15:63" x14ac:dyDescent="0.3">
      <c r="O411" t="s">
        <v>794</v>
      </c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  <c r="AE411" s="18"/>
      <c r="AF411" s="18"/>
      <c r="AG411" s="18"/>
      <c r="AH411" s="18"/>
      <c r="AI411" s="18"/>
      <c r="AJ411" s="18"/>
      <c r="AK411" s="18"/>
      <c r="AL411" s="18"/>
      <c r="AM411" s="18"/>
      <c r="AN411" s="18"/>
      <c r="AO411" s="18"/>
      <c r="AP411" s="18"/>
      <c r="AQ411" s="18"/>
      <c r="AR411" s="18"/>
      <c r="AS411" s="18"/>
      <c r="AT411" s="18"/>
      <c r="AU411" s="18"/>
      <c r="AV411" s="18">
        <v>6750</v>
      </c>
      <c r="AW411" s="18">
        <v>6750</v>
      </c>
      <c r="AX411" s="18"/>
      <c r="AY411" s="18"/>
      <c r="AZ411" s="18"/>
      <c r="BA411" s="18"/>
      <c r="BB411" s="18"/>
      <c r="BC411" s="18"/>
      <c r="BD411" s="18"/>
      <c r="BE411" s="18"/>
      <c r="BF411" s="18"/>
      <c r="BG411" s="18"/>
      <c r="BH411" s="18"/>
      <c r="BI411" s="18"/>
      <c r="BJ411" s="18"/>
      <c r="BK411" s="18">
        <v>6750</v>
      </c>
    </row>
    <row r="412" spans="15:63" x14ac:dyDescent="0.3">
      <c r="O412" t="s">
        <v>797</v>
      </c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  <c r="AG412" s="18"/>
      <c r="AH412" s="18"/>
      <c r="AI412" s="18"/>
      <c r="AJ412" s="18"/>
      <c r="AK412" s="18"/>
      <c r="AL412" s="18"/>
      <c r="AM412" s="18"/>
      <c r="AN412" s="18"/>
      <c r="AO412" s="18"/>
      <c r="AP412" s="18"/>
      <c r="AQ412" s="18"/>
      <c r="AR412" s="18"/>
      <c r="AS412" s="18"/>
      <c r="AT412" s="18"/>
      <c r="AU412" s="18"/>
      <c r="AV412" s="18">
        <v>14068</v>
      </c>
      <c r="AW412" s="18">
        <v>14068</v>
      </c>
      <c r="AX412" s="18"/>
      <c r="AY412" s="18"/>
      <c r="AZ412" s="18"/>
      <c r="BA412" s="18"/>
      <c r="BB412" s="18"/>
      <c r="BC412" s="18"/>
      <c r="BD412" s="18"/>
      <c r="BE412" s="18"/>
      <c r="BF412" s="18"/>
      <c r="BG412" s="18"/>
      <c r="BH412" s="18"/>
      <c r="BI412" s="18"/>
      <c r="BJ412" s="18"/>
      <c r="BK412" s="18">
        <v>14068</v>
      </c>
    </row>
    <row r="413" spans="15:63" x14ac:dyDescent="0.3">
      <c r="O413" t="s">
        <v>827</v>
      </c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  <c r="AF413" s="18"/>
      <c r="AG413" s="18"/>
      <c r="AH413" s="18"/>
      <c r="AI413" s="18"/>
      <c r="AJ413" s="18"/>
      <c r="AK413" s="18">
        <v>12427</v>
      </c>
      <c r="AL413" s="18"/>
      <c r="AM413" s="18"/>
      <c r="AN413" s="18"/>
      <c r="AO413" s="18"/>
      <c r="AP413" s="18"/>
      <c r="AQ413" s="18"/>
      <c r="AR413" s="18"/>
      <c r="AS413" s="18"/>
      <c r="AT413" s="18"/>
      <c r="AU413" s="18"/>
      <c r="AV413" s="18"/>
      <c r="AW413" s="18">
        <v>12427</v>
      </c>
      <c r="AX413" s="18"/>
      <c r="AY413" s="18"/>
      <c r="AZ413" s="18"/>
      <c r="BA413" s="18"/>
      <c r="BB413" s="18"/>
      <c r="BC413" s="18"/>
      <c r="BD413" s="18"/>
      <c r="BE413" s="18"/>
      <c r="BF413" s="18"/>
      <c r="BG413" s="18"/>
      <c r="BH413" s="18"/>
      <c r="BI413" s="18"/>
      <c r="BJ413" s="18"/>
      <c r="BK413" s="18">
        <v>12427</v>
      </c>
    </row>
    <row r="414" spans="15:63" x14ac:dyDescent="0.3">
      <c r="O414" t="s">
        <v>829</v>
      </c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  <c r="AD414" s="18"/>
      <c r="AE414" s="18"/>
      <c r="AF414" s="18"/>
      <c r="AG414" s="18"/>
      <c r="AH414" s="18"/>
      <c r="AI414" s="18"/>
      <c r="AJ414" s="18"/>
      <c r="AK414" s="18">
        <v>9000</v>
      </c>
      <c r="AL414" s="18"/>
      <c r="AM414" s="18"/>
      <c r="AN414" s="18"/>
      <c r="AO414" s="18"/>
      <c r="AP414" s="18"/>
      <c r="AQ414" s="18"/>
      <c r="AR414" s="18"/>
      <c r="AS414" s="18"/>
      <c r="AT414" s="18"/>
      <c r="AU414" s="18"/>
      <c r="AV414" s="18"/>
      <c r="AW414" s="18">
        <v>9000</v>
      </c>
      <c r="AX414" s="18"/>
      <c r="AY414" s="18"/>
      <c r="AZ414" s="18"/>
      <c r="BA414" s="18"/>
      <c r="BB414" s="18"/>
      <c r="BC414" s="18"/>
      <c r="BD414" s="18"/>
      <c r="BE414" s="18"/>
      <c r="BF414" s="18"/>
      <c r="BG414" s="18"/>
      <c r="BH414" s="18"/>
      <c r="BI414" s="18"/>
      <c r="BJ414" s="18"/>
      <c r="BK414" s="18">
        <v>9000</v>
      </c>
    </row>
    <row r="415" spans="15:63" x14ac:dyDescent="0.3">
      <c r="O415" t="s">
        <v>835</v>
      </c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  <c r="AE415" s="18"/>
      <c r="AF415" s="18"/>
      <c r="AG415" s="18"/>
      <c r="AH415" s="18"/>
      <c r="AI415" s="18"/>
      <c r="AJ415" s="18"/>
      <c r="AK415" s="18">
        <v>4950</v>
      </c>
      <c r="AL415" s="18"/>
      <c r="AM415" s="18"/>
      <c r="AN415" s="18"/>
      <c r="AO415" s="18"/>
      <c r="AP415" s="18"/>
      <c r="AQ415" s="18"/>
      <c r="AR415" s="18"/>
      <c r="AS415" s="18"/>
      <c r="AT415" s="18"/>
      <c r="AU415" s="18"/>
      <c r="AV415" s="18"/>
      <c r="AW415" s="18">
        <v>4950</v>
      </c>
      <c r="AX415" s="18"/>
      <c r="AY415" s="18"/>
      <c r="AZ415" s="18"/>
      <c r="BA415" s="18"/>
      <c r="BB415" s="18"/>
      <c r="BC415" s="18"/>
      <c r="BD415" s="18"/>
      <c r="BE415" s="18"/>
      <c r="BF415" s="18"/>
      <c r="BG415" s="18"/>
      <c r="BH415" s="18"/>
      <c r="BI415" s="18"/>
      <c r="BJ415" s="18"/>
      <c r="BK415" s="18">
        <v>4950</v>
      </c>
    </row>
    <row r="416" spans="15:63" x14ac:dyDescent="0.3">
      <c r="O416" t="s">
        <v>843</v>
      </c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  <c r="AE416" s="18"/>
      <c r="AF416" s="18"/>
      <c r="AG416" s="18"/>
      <c r="AH416" s="18"/>
      <c r="AI416" s="18"/>
      <c r="AJ416" s="18"/>
      <c r="AK416" s="18">
        <v>4431.5</v>
      </c>
      <c r="AL416" s="18"/>
      <c r="AM416" s="18"/>
      <c r="AN416" s="18"/>
      <c r="AO416" s="18"/>
      <c r="AP416" s="18"/>
      <c r="AQ416" s="18"/>
      <c r="AR416" s="18"/>
      <c r="AS416" s="18"/>
      <c r="AT416" s="18"/>
      <c r="AU416" s="18"/>
      <c r="AV416" s="18"/>
      <c r="AW416" s="18">
        <v>4431.5</v>
      </c>
      <c r="AX416" s="18"/>
      <c r="AY416" s="18"/>
      <c r="AZ416" s="18"/>
      <c r="BA416" s="18"/>
      <c r="BB416" s="18"/>
      <c r="BC416" s="18"/>
      <c r="BD416" s="18"/>
      <c r="BE416" s="18"/>
      <c r="BF416" s="18"/>
      <c r="BG416" s="18"/>
      <c r="BH416" s="18"/>
      <c r="BI416" s="18"/>
      <c r="BJ416" s="18"/>
      <c r="BK416" s="18">
        <v>4431.5</v>
      </c>
    </row>
    <row r="417" spans="15:63" x14ac:dyDescent="0.3">
      <c r="O417" t="s">
        <v>846</v>
      </c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  <c r="AE417" s="18"/>
      <c r="AF417" s="18"/>
      <c r="AG417" s="18"/>
      <c r="AH417" s="18"/>
      <c r="AI417" s="18"/>
      <c r="AJ417" s="18"/>
      <c r="AK417" s="18">
        <v>5889</v>
      </c>
      <c r="AL417" s="18"/>
      <c r="AM417" s="18"/>
      <c r="AN417" s="18"/>
      <c r="AO417" s="18"/>
      <c r="AP417" s="18"/>
      <c r="AQ417" s="18"/>
      <c r="AR417" s="18"/>
      <c r="AS417" s="18"/>
      <c r="AT417" s="18"/>
      <c r="AU417" s="18"/>
      <c r="AV417" s="18"/>
      <c r="AW417" s="18">
        <v>5889</v>
      </c>
      <c r="AX417" s="18"/>
      <c r="AY417" s="18"/>
      <c r="AZ417" s="18"/>
      <c r="BA417" s="18"/>
      <c r="BB417" s="18"/>
      <c r="BC417" s="18"/>
      <c r="BD417" s="18"/>
      <c r="BE417" s="18"/>
      <c r="BF417" s="18"/>
      <c r="BG417" s="18"/>
      <c r="BH417" s="18"/>
      <c r="BI417" s="18"/>
      <c r="BJ417" s="18"/>
      <c r="BK417" s="18">
        <v>5889</v>
      </c>
    </row>
    <row r="418" spans="15:63" x14ac:dyDescent="0.3">
      <c r="O418" t="s">
        <v>859</v>
      </c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  <c r="AF418" s="18"/>
      <c r="AG418" s="18"/>
      <c r="AH418" s="18"/>
      <c r="AI418" s="18"/>
      <c r="AJ418" s="18"/>
      <c r="AK418" s="18"/>
      <c r="AL418" s="18">
        <v>12855.5</v>
      </c>
      <c r="AM418" s="18"/>
      <c r="AN418" s="18"/>
      <c r="AO418" s="18"/>
      <c r="AP418" s="18"/>
      <c r="AQ418" s="18"/>
      <c r="AR418" s="18"/>
      <c r="AS418" s="18"/>
      <c r="AT418" s="18"/>
      <c r="AU418" s="18"/>
      <c r="AV418" s="18"/>
      <c r="AW418" s="18">
        <v>12855.5</v>
      </c>
      <c r="AX418" s="18"/>
      <c r="AY418" s="18"/>
      <c r="AZ418" s="18"/>
      <c r="BA418" s="18"/>
      <c r="BB418" s="18"/>
      <c r="BC418" s="18"/>
      <c r="BD418" s="18"/>
      <c r="BE418" s="18"/>
      <c r="BF418" s="18"/>
      <c r="BG418" s="18"/>
      <c r="BH418" s="18"/>
      <c r="BI418" s="18"/>
      <c r="BJ418" s="18"/>
      <c r="BK418" s="18">
        <v>12855.5</v>
      </c>
    </row>
    <row r="419" spans="15:63" x14ac:dyDescent="0.3">
      <c r="O419" t="s">
        <v>867</v>
      </c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  <c r="AF419" s="18"/>
      <c r="AG419" s="18"/>
      <c r="AH419" s="18"/>
      <c r="AI419" s="18"/>
      <c r="AJ419" s="18"/>
      <c r="AK419" s="18"/>
      <c r="AL419" s="18">
        <v>9153</v>
      </c>
      <c r="AM419" s="18"/>
      <c r="AN419" s="18"/>
      <c r="AO419" s="18"/>
      <c r="AP419" s="18"/>
      <c r="AQ419" s="18"/>
      <c r="AR419" s="18"/>
      <c r="AS419" s="18"/>
      <c r="AT419" s="18"/>
      <c r="AU419" s="18"/>
      <c r="AV419" s="18"/>
      <c r="AW419" s="18">
        <v>9153</v>
      </c>
      <c r="AX419" s="18"/>
      <c r="AY419" s="18"/>
      <c r="AZ419" s="18"/>
      <c r="BA419" s="18"/>
      <c r="BB419" s="18"/>
      <c r="BC419" s="18"/>
      <c r="BD419" s="18"/>
      <c r="BE419" s="18"/>
      <c r="BF419" s="18"/>
      <c r="BG419" s="18"/>
      <c r="BH419" s="18"/>
      <c r="BI419" s="18"/>
      <c r="BJ419" s="18"/>
      <c r="BK419" s="18">
        <v>9153</v>
      </c>
    </row>
    <row r="420" spans="15:63" x14ac:dyDescent="0.3">
      <c r="O420" t="s">
        <v>868</v>
      </c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  <c r="AE420" s="18"/>
      <c r="AF420" s="18"/>
      <c r="AG420" s="18"/>
      <c r="AH420" s="18"/>
      <c r="AI420" s="18"/>
      <c r="AJ420" s="18"/>
      <c r="AK420" s="18"/>
      <c r="AL420" s="18">
        <v>925.5</v>
      </c>
      <c r="AM420" s="18"/>
      <c r="AN420" s="18"/>
      <c r="AO420" s="18"/>
      <c r="AP420" s="18"/>
      <c r="AQ420" s="18"/>
      <c r="AR420" s="18"/>
      <c r="AS420" s="18"/>
      <c r="AT420" s="18"/>
      <c r="AU420" s="18"/>
      <c r="AV420" s="18"/>
      <c r="AW420" s="18">
        <v>925.5</v>
      </c>
      <c r="AX420" s="18"/>
      <c r="AY420" s="18"/>
      <c r="AZ420" s="18"/>
      <c r="BA420" s="18"/>
      <c r="BB420" s="18"/>
      <c r="BC420" s="18"/>
      <c r="BD420" s="18"/>
      <c r="BE420" s="18"/>
      <c r="BF420" s="18"/>
      <c r="BG420" s="18"/>
      <c r="BH420" s="18"/>
      <c r="BI420" s="18"/>
      <c r="BJ420" s="18"/>
      <c r="BK420" s="18">
        <v>925.5</v>
      </c>
    </row>
    <row r="421" spans="15:63" x14ac:dyDescent="0.3">
      <c r="O421" t="s">
        <v>869</v>
      </c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  <c r="AE421" s="18"/>
      <c r="AF421" s="18"/>
      <c r="AG421" s="18"/>
      <c r="AH421" s="18"/>
      <c r="AI421" s="18"/>
      <c r="AJ421" s="18"/>
      <c r="AK421" s="18"/>
      <c r="AL421" s="18">
        <v>6625</v>
      </c>
      <c r="AM421" s="18"/>
      <c r="AN421" s="18"/>
      <c r="AO421" s="18"/>
      <c r="AP421" s="18"/>
      <c r="AQ421" s="18"/>
      <c r="AR421" s="18"/>
      <c r="AS421" s="18"/>
      <c r="AT421" s="18"/>
      <c r="AU421" s="18"/>
      <c r="AV421" s="18"/>
      <c r="AW421" s="18">
        <v>6625</v>
      </c>
      <c r="AX421" s="18"/>
      <c r="AY421" s="18"/>
      <c r="AZ421" s="18"/>
      <c r="BA421" s="18"/>
      <c r="BB421" s="18"/>
      <c r="BC421" s="18"/>
      <c r="BD421" s="18"/>
      <c r="BE421" s="18"/>
      <c r="BF421" s="18"/>
      <c r="BG421" s="18"/>
      <c r="BH421" s="18"/>
      <c r="BI421" s="18"/>
      <c r="BJ421" s="18"/>
      <c r="BK421" s="18">
        <v>6625</v>
      </c>
    </row>
    <row r="422" spans="15:63" x14ac:dyDescent="0.3">
      <c r="O422" t="s">
        <v>896</v>
      </c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  <c r="AD422" s="18"/>
      <c r="AE422" s="18"/>
      <c r="AF422" s="18"/>
      <c r="AG422" s="18"/>
      <c r="AH422" s="18"/>
      <c r="AI422" s="18"/>
      <c r="AJ422" s="18"/>
      <c r="AK422" s="18"/>
      <c r="AL422" s="18"/>
      <c r="AM422" s="18">
        <v>5268.6</v>
      </c>
      <c r="AN422" s="18"/>
      <c r="AO422" s="18"/>
      <c r="AP422" s="18"/>
      <c r="AQ422" s="18"/>
      <c r="AR422" s="18"/>
      <c r="AS422" s="18"/>
      <c r="AT422" s="18"/>
      <c r="AU422" s="18"/>
      <c r="AV422" s="18"/>
      <c r="AW422" s="18">
        <v>5268.6</v>
      </c>
      <c r="AX422" s="18"/>
      <c r="AY422" s="18"/>
      <c r="AZ422" s="18"/>
      <c r="BA422" s="18"/>
      <c r="BB422" s="18"/>
      <c r="BC422" s="18"/>
      <c r="BD422" s="18"/>
      <c r="BE422" s="18"/>
      <c r="BF422" s="18"/>
      <c r="BG422" s="18"/>
      <c r="BH422" s="18"/>
      <c r="BI422" s="18"/>
      <c r="BJ422" s="18"/>
      <c r="BK422" s="18">
        <v>5268.6</v>
      </c>
    </row>
    <row r="423" spans="15:63" x14ac:dyDescent="0.3">
      <c r="O423" t="s">
        <v>900</v>
      </c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  <c r="AE423" s="18"/>
      <c r="AF423" s="18"/>
      <c r="AG423" s="18"/>
      <c r="AH423" s="18"/>
      <c r="AI423" s="18"/>
      <c r="AJ423" s="18"/>
      <c r="AK423" s="18"/>
      <c r="AL423" s="18"/>
      <c r="AM423" s="18">
        <v>4312.5</v>
      </c>
      <c r="AN423" s="18"/>
      <c r="AO423" s="18"/>
      <c r="AP423" s="18"/>
      <c r="AQ423" s="18"/>
      <c r="AR423" s="18"/>
      <c r="AS423" s="18"/>
      <c r="AT423" s="18"/>
      <c r="AU423" s="18"/>
      <c r="AV423" s="18"/>
      <c r="AW423" s="18">
        <v>4312.5</v>
      </c>
      <c r="AX423" s="18"/>
      <c r="AY423" s="18"/>
      <c r="AZ423" s="18"/>
      <c r="BA423" s="18"/>
      <c r="BB423" s="18"/>
      <c r="BC423" s="18"/>
      <c r="BD423" s="18"/>
      <c r="BE423" s="18"/>
      <c r="BF423" s="18"/>
      <c r="BG423" s="18"/>
      <c r="BH423" s="18"/>
      <c r="BI423" s="18"/>
      <c r="BJ423" s="18"/>
      <c r="BK423" s="18">
        <v>4312.5</v>
      </c>
    </row>
    <row r="424" spans="15:63" x14ac:dyDescent="0.3">
      <c r="O424" t="s">
        <v>911</v>
      </c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  <c r="AD424" s="18"/>
      <c r="AE424" s="18"/>
      <c r="AF424" s="18"/>
      <c r="AG424" s="18"/>
      <c r="AH424" s="18"/>
      <c r="AI424" s="18"/>
      <c r="AJ424" s="18"/>
      <c r="AK424" s="18"/>
      <c r="AL424" s="18"/>
      <c r="AM424" s="18">
        <v>6838.5</v>
      </c>
      <c r="AN424" s="18"/>
      <c r="AO424" s="18"/>
      <c r="AP424" s="18"/>
      <c r="AQ424" s="18"/>
      <c r="AR424" s="18"/>
      <c r="AS424" s="18"/>
      <c r="AT424" s="18"/>
      <c r="AU424" s="18"/>
      <c r="AV424" s="18"/>
      <c r="AW424" s="18">
        <v>6838.5</v>
      </c>
      <c r="AX424" s="18"/>
      <c r="AY424" s="18"/>
      <c r="AZ424" s="18"/>
      <c r="BA424" s="18"/>
      <c r="BB424" s="18"/>
      <c r="BC424" s="18"/>
      <c r="BD424" s="18"/>
      <c r="BE424" s="18"/>
      <c r="BF424" s="18"/>
      <c r="BG424" s="18"/>
      <c r="BH424" s="18"/>
      <c r="BI424" s="18"/>
      <c r="BJ424" s="18"/>
      <c r="BK424" s="18">
        <v>6838.5</v>
      </c>
    </row>
    <row r="425" spans="15:63" x14ac:dyDescent="0.3">
      <c r="O425" t="s">
        <v>925</v>
      </c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  <c r="AD425" s="18"/>
      <c r="AE425" s="18"/>
      <c r="AF425" s="18"/>
      <c r="AG425" s="18"/>
      <c r="AH425" s="18"/>
      <c r="AI425" s="18"/>
      <c r="AJ425" s="18"/>
      <c r="AK425" s="18"/>
      <c r="AL425" s="18"/>
      <c r="AM425" s="18"/>
      <c r="AN425" s="18">
        <v>9343.9</v>
      </c>
      <c r="AO425" s="18"/>
      <c r="AP425" s="18"/>
      <c r="AQ425" s="18"/>
      <c r="AR425" s="18"/>
      <c r="AS425" s="18"/>
      <c r="AT425" s="18"/>
      <c r="AU425" s="18"/>
      <c r="AV425" s="18"/>
      <c r="AW425" s="18">
        <v>9343.9</v>
      </c>
      <c r="AX425" s="18"/>
      <c r="AY425" s="18"/>
      <c r="AZ425" s="18"/>
      <c r="BA425" s="18"/>
      <c r="BB425" s="18"/>
      <c r="BC425" s="18"/>
      <c r="BD425" s="18"/>
      <c r="BE425" s="18"/>
      <c r="BF425" s="18"/>
      <c r="BG425" s="18"/>
      <c r="BH425" s="18"/>
      <c r="BI425" s="18"/>
      <c r="BJ425" s="18"/>
      <c r="BK425" s="18">
        <v>9343.9</v>
      </c>
    </row>
    <row r="426" spans="15:63" x14ac:dyDescent="0.3">
      <c r="O426" t="s">
        <v>928</v>
      </c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  <c r="AD426" s="18"/>
      <c r="AE426" s="18"/>
      <c r="AF426" s="18"/>
      <c r="AG426" s="18"/>
      <c r="AH426" s="18"/>
      <c r="AI426" s="18"/>
      <c r="AJ426" s="18"/>
      <c r="AK426" s="18"/>
      <c r="AL426" s="18"/>
      <c r="AM426" s="18"/>
      <c r="AN426" s="18">
        <v>11453.6</v>
      </c>
      <c r="AO426" s="18"/>
      <c r="AP426" s="18"/>
      <c r="AQ426" s="18"/>
      <c r="AR426" s="18"/>
      <c r="AS426" s="18"/>
      <c r="AT426" s="18"/>
      <c r="AU426" s="18"/>
      <c r="AV426" s="18"/>
      <c r="AW426" s="18">
        <v>11453.6</v>
      </c>
      <c r="AX426" s="18"/>
      <c r="AY426" s="18"/>
      <c r="AZ426" s="18"/>
      <c r="BA426" s="18"/>
      <c r="BB426" s="18"/>
      <c r="BC426" s="18"/>
      <c r="BD426" s="18"/>
      <c r="BE426" s="18"/>
      <c r="BF426" s="18"/>
      <c r="BG426" s="18"/>
      <c r="BH426" s="18"/>
      <c r="BI426" s="18"/>
      <c r="BJ426" s="18"/>
      <c r="BK426" s="18">
        <v>11453.6</v>
      </c>
    </row>
    <row r="427" spans="15:63" x14ac:dyDescent="0.3">
      <c r="O427" t="s">
        <v>932</v>
      </c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  <c r="AD427" s="18"/>
      <c r="AE427" s="18"/>
      <c r="AF427" s="18"/>
      <c r="AG427" s="18"/>
      <c r="AH427" s="18"/>
      <c r="AI427" s="18"/>
      <c r="AJ427" s="18"/>
      <c r="AK427" s="18"/>
      <c r="AL427" s="18"/>
      <c r="AM427" s="18"/>
      <c r="AN427" s="18">
        <v>1914</v>
      </c>
      <c r="AO427" s="18"/>
      <c r="AP427" s="18"/>
      <c r="AQ427" s="18"/>
      <c r="AR427" s="18"/>
      <c r="AS427" s="18"/>
      <c r="AT427" s="18"/>
      <c r="AU427" s="18"/>
      <c r="AV427" s="18"/>
      <c r="AW427" s="18">
        <v>1914</v>
      </c>
      <c r="AX427" s="18"/>
      <c r="AY427" s="18"/>
      <c r="AZ427" s="18"/>
      <c r="BA427" s="18"/>
      <c r="BB427" s="18"/>
      <c r="BC427" s="18"/>
      <c r="BD427" s="18"/>
      <c r="BE427" s="18"/>
      <c r="BF427" s="18"/>
      <c r="BG427" s="18"/>
      <c r="BH427" s="18"/>
      <c r="BI427" s="18"/>
      <c r="BJ427" s="18"/>
      <c r="BK427" s="18">
        <v>1914</v>
      </c>
    </row>
    <row r="428" spans="15:63" x14ac:dyDescent="0.3">
      <c r="O428" t="s">
        <v>934</v>
      </c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  <c r="AE428" s="18"/>
      <c r="AF428" s="18"/>
      <c r="AG428" s="18"/>
      <c r="AH428" s="18"/>
      <c r="AI428" s="18"/>
      <c r="AJ428" s="18"/>
      <c r="AK428" s="18"/>
      <c r="AL428" s="18"/>
      <c r="AM428" s="18"/>
      <c r="AN428" s="18">
        <v>13163</v>
      </c>
      <c r="AO428" s="18"/>
      <c r="AP428" s="18"/>
      <c r="AQ428" s="18"/>
      <c r="AR428" s="18"/>
      <c r="AS428" s="18"/>
      <c r="AT428" s="18"/>
      <c r="AU428" s="18"/>
      <c r="AV428" s="18"/>
      <c r="AW428" s="18">
        <v>13163</v>
      </c>
      <c r="AX428" s="18"/>
      <c r="AY428" s="18"/>
      <c r="AZ428" s="18"/>
      <c r="BA428" s="18"/>
      <c r="BB428" s="18"/>
      <c r="BC428" s="18"/>
      <c r="BD428" s="18"/>
      <c r="BE428" s="18"/>
      <c r="BF428" s="18"/>
      <c r="BG428" s="18"/>
      <c r="BH428" s="18"/>
      <c r="BI428" s="18"/>
      <c r="BJ428" s="18"/>
      <c r="BK428" s="18">
        <v>13163</v>
      </c>
    </row>
    <row r="429" spans="15:63" x14ac:dyDescent="0.3">
      <c r="O429" t="s">
        <v>935</v>
      </c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  <c r="AE429" s="18"/>
      <c r="AF429" s="18"/>
      <c r="AG429" s="18"/>
      <c r="AH429" s="18"/>
      <c r="AI429" s="18"/>
      <c r="AJ429" s="18"/>
      <c r="AK429" s="18"/>
      <c r="AL429" s="18"/>
      <c r="AM429" s="18"/>
      <c r="AN429" s="18">
        <v>11823</v>
      </c>
      <c r="AO429" s="18"/>
      <c r="AP429" s="18"/>
      <c r="AQ429" s="18"/>
      <c r="AR429" s="18"/>
      <c r="AS429" s="18"/>
      <c r="AT429" s="18"/>
      <c r="AU429" s="18"/>
      <c r="AV429" s="18"/>
      <c r="AW429" s="18">
        <v>11823</v>
      </c>
      <c r="AX429" s="18"/>
      <c r="AY429" s="18"/>
      <c r="AZ429" s="18"/>
      <c r="BA429" s="18"/>
      <c r="BB429" s="18"/>
      <c r="BC429" s="18"/>
      <c r="BD429" s="18"/>
      <c r="BE429" s="18"/>
      <c r="BF429" s="18"/>
      <c r="BG429" s="18"/>
      <c r="BH429" s="18"/>
      <c r="BI429" s="18"/>
      <c r="BJ429" s="18"/>
      <c r="BK429" s="18">
        <v>11823</v>
      </c>
    </row>
    <row r="430" spans="15:63" x14ac:dyDescent="0.3">
      <c r="O430" t="s">
        <v>988</v>
      </c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  <c r="AB430" s="18"/>
      <c r="AC430" s="18"/>
      <c r="AD430" s="18"/>
      <c r="AE430" s="18"/>
      <c r="AF430" s="18"/>
      <c r="AG430" s="18"/>
      <c r="AH430" s="18"/>
      <c r="AI430" s="18"/>
      <c r="AJ430" s="18"/>
      <c r="AK430" s="18"/>
      <c r="AL430" s="18"/>
      <c r="AM430" s="18"/>
      <c r="AN430" s="18"/>
      <c r="AO430" s="18">
        <v>48172.5</v>
      </c>
      <c r="AP430" s="18"/>
      <c r="AQ430" s="18"/>
      <c r="AR430" s="18"/>
      <c r="AS430" s="18"/>
      <c r="AT430" s="18"/>
      <c r="AU430" s="18"/>
      <c r="AV430" s="18"/>
      <c r="AW430" s="18">
        <v>48172.5</v>
      </c>
      <c r="AX430" s="18"/>
      <c r="AY430" s="18"/>
      <c r="AZ430" s="18"/>
      <c r="BA430" s="18"/>
      <c r="BB430" s="18"/>
      <c r="BC430" s="18"/>
      <c r="BD430" s="18"/>
      <c r="BE430" s="18"/>
      <c r="BF430" s="18"/>
      <c r="BG430" s="18"/>
      <c r="BH430" s="18"/>
      <c r="BI430" s="18"/>
      <c r="BJ430" s="18"/>
      <c r="BK430" s="18">
        <v>48172.5</v>
      </c>
    </row>
    <row r="431" spans="15:63" x14ac:dyDescent="0.3">
      <c r="O431" t="s">
        <v>1000</v>
      </c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  <c r="AC431" s="18"/>
      <c r="AD431" s="18"/>
      <c r="AE431" s="18"/>
      <c r="AF431" s="18"/>
      <c r="AG431" s="18"/>
      <c r="AH431" s="18"/>
      <c r="AI431" s="18"/>
      <c r="AJ431" s="18"/>
      <c r="AK431" s="18"/>
      <c r="AL431" s="18"/>
      <c r="AM431" s="18"/>
      <c r="AN431" s="18"/>
      <c r="AO431" s="18">
        <v>10166.299999999999</v>
      </c>
      <c r="AP431" s="18"/>
      <c r="AQ431" s="18"/>
      <c r="AR431" s="18"/>
      <c r="AS431" s="18"/>
      <c r="AT431" s="18"/>
      <c r="AU431" s="18"/>
      <c r="AV431" s="18"/>
      <c r="AW431" s="18">
        <v>10166.299999999999</v>
      </c>
      <c r="AX431" s="18"/>
      <c r="AY431" s="18"/>
      <c r="AZ431" s="18"/>
      <c r="BA431" s="18"/>
      <c r="BB431" s="18"/>
      <c r="BC431" s="18"/>
      <c r="BD431" s="18"/>
      <c r="BE431" s="18"/>
      <c r="BF431" s="18"/>
      <c r="BG431" s="18"/>
      <c r="BH431" s="18"/>
      <c r="BI431" s="18"/>
      <c r="BJ431" s="18"/>
      <c r="BK431" s="18">
        <v>10166.299999999999</v>
      </c>
    </row>
    <row r="432" spans="15:63" x14ac:dyDescent="0.3">
      <c r="O432" t="s">
        <v>1011</v>
      </c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/>
      <c r="AC432" s="18"/>
      <c r="AD432" s="18"/>
      <c r="AE432" s="18"/>
      <c r="AF432" s="18"/>
      <c r="AG432" s="18"/>
      <c r="AH432" s="18"/>
      <c r="AI432" s="18"/>
      <c r="AJ432" s="18"/>
      <c r="AK432" s="18"/>
      <c r="AL432" s="18"/>
      <c r="AM432" s="18"/>
      <c r="AN432" s="18"/>
      <c r="AO432" s="18">
        <v>7590.5</v>
      </c>
      <c r="AP432" s="18"/>
      <c r="AQ432" s="18"/>
      <c r="AR432" s="18"/>
      <c r="AS432" s="18"/>
      <c r="AT432" s="18"/>
      <c r="AU432" s="18"/>
      <c r="AV432" s="18"/>
      <c r="AW432" s="18">
        <v>7590.5</v>
      </c>
      <c r="AX432" s="18"/>
      <c r="AY432" s="18"/>
      <c r="AZ432" s="18"/>
      <c r="BA432" s="18"/>
      <c r="BB432" s="18"/>
      <c r="BC432" s="18"/>
      <c r="BD432" s="18"/>
      <c r="BE432" s="18"/>
      <c r="BF432" s="18"/>
      <c r="BG432" s="18"/>
      <c r="BH432" s="18"/>
      <c r="BI432" s="18"/>
      <c r="BJ432" s="18"/>
      <c r="BK432" s="18">
        <v>7590.5</v>
      </c>
    </row>
    <row r="433" spans="15:63" x14ac:dyDescent="0.3">
      <c r="O433" t="s">
        <v>1013</v>
      </c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/>
      <c r="AC433" s="18"/>
      <c r="AD433" s="18"/>
      <c r="AE433" s="18"/>
      <c r="AF433" s="18"/>
      <c r="AG433" s="18"/>
      <c r="AH433" s="18"/>
      <c r="AI433" s="18"/>
      <c r="AJ433" s="18"/>
      <c r="AK433" s="18"/>
      <c r="AL433" s="18"/>
      <c r="AM433" s="18"/>
      <c r="AN433" s="18"/>
      <c r="AO433" s="18">
        <v>250</v>
      </c>
      <c r="AP433" s="18"/>
      <c r="AQ433" s="18"/>
      <c r="AR433" s="18"/>
      <c r="AS433" s="18"/>
      <c r="AT433" s="18"/>
      <c r="AU433" s="18"/>
      <c r="AV433" s="18"/>
      <c r="AW433" s="18">
        <v>250</v>
      </c>
      <c r="AX433" s="18"/>
      <c r="AY433" s="18"/>
      <c r="AZ433" s="18"/>
      <c r="BA433" s="18"/>
      <c r="BB433" s="18"/>
      <c r="BC433" s="18"/>
      <c r="BD433" s="18"/>
      <c r="BE433" s="18"/>
      <c r="BF433" s="18"/>
      <c r="BG433" s="18"/>
      <c r="BH433" s="18"/>
      <c r="BI433" s="18"/>
      <c r="BJ433" s="18"/>
      <c r="BK433" s="18">
        <v>250</v>
      </c>
    </row>
    <row r="434" spans="15:63" x14ac:dyDescent="0.3">
      <c r="O434" t="s">
        <v>1015</v>
      </c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/>
      <c r="AC434" s="18"/>
      <c r="AD434" s="18"/>
      <c r="AE434" s="18"/>
      <c r="AF434" s="18"/>
      <c r="AG434" s="18"/>
      <c r="AH434" s="18"/>
      <c r="AI434" s="18"/>
      <c r="AJ434" s="18"/>
      <c r="AK434" s="18"/>
      <c r="AL434" s="18"/>
      <c r="AM434" s="18"/>
      <c r="AN434" s="18"/>
      <c r="AO434" s="18">
        <v>47685</v>
      </c>
      <c r="AP434" s="18"/>
      <c r="AQ434" s="18"/>
      <c r="AR434" s="18"/>
      <c r="AS434" s="18"/>
      <c r="AT434" s="18"/>
      <c r="AU434" s="18"/>
      <c r="AV434" s="18"/>
      <c r="AW434" s="18">
        <v>47685</v>
      </c>
      <c r="AX434" s="18"/>
      <c r="AY434" s="18"/>
      <c r="AZ434" s="18"/>
      <c r="BA434" s="18"/>
      <c r="BB434" s="18"/>
      <c r="BC434" s="18"/>
      <c r="BD434" s="18"/>
      <c r="BE434" s="18"/>
      <c r="BF434" s="18"/>
      <c r="BG434" s="18"/>
      <c r="BH434" s="18"/>
      <c r="BI434" s="18"/>
      <c r="BJ434" s="18"/>
      <c r="BK434" s="18">
        <v>47685</v>
      </c>
    </row>
    <row r="435" spans="15:63" x14ac:dyDescent="0.3">
      <c r="O435" t="s">
        <v>1051</v>
      </c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  <c r="AD435" s="18"/>
      <c r="AE435" s="18"/>
      <c r="AF435" s="18"/>
      <c r="AG435" s="18"/>
      <c r="AH435" s="18"/>
      <c r="AI435" s="18"/>
      <c r="AJ435" s="18"/>
      <c r="AK435" s="18"/>
      <c r="AL435" s="18"/>
      <c r="AM435" s="18"/>
      <c r="AN435" s="18"/>
      <c r="AO435" s="18"/>
      <c r="AP435" s="18">
        <v>403.8</v>
      </c>
      <c r="AQ435" s="18"/>
      <c r="AR435" s="18"/>
      <c r="AS435" s="18"/>
      <c r="AT435" s="18"/>
      <c r="AU435" s="18"/>
      <c r="AV435" s="18"/>
      <c r="AW435" s="18">
        <v>403.8</v>
      </c>
      <c r="AX435" s="18"/>
      <c r="AY435" s="18"/>
      <c r="AZ435" s="18"/>
      <c r="BA435" s="18"/>
      <c r="BB435" s="18"/>
      <c r="BC435" s="18"/>
      <c r="BD435" s="18"/>
      <c r="BE435" s="18"/>
      <c r="BF435" s="18"/>
      <c r="BG435" s="18"/>
      <c r="BH435" s="18"/>
      <c r="BI435" s="18"/>
      <c r="BJ435" s="18"/>
      <c r="BK435" s="18">
        <v>403.8</v>
      </c>
    </row>
    <row r="436" spans="15:63" x14ac:dyDescent="0.3">
      <c r="O436" t="s">
        <v>1065</v>
      </c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/>
      <c r="AC436" s="18"/>
      <c r="AD436" s="18"/>
      <c r="AE436" s="18"/>
      <c r="AF436" s="18"/>
      <c r="AG436" s="18"/>
      <c r="AH436" s="18"/>
      <c r="AI436" s="18"/>
      <c r="AJ436" s="18"/>
      <c r="AK436" s="18"/>
      <c r="AL436" s="18"/>
      <c r="AM436" s="18"/>
      <c r="AN436" s="18"/>
      <c r="AO436" s="18"/>
      <c r="AP436" s="18">
        <v>14886.5</v>
      </c>
      <c r="AQ436" s="18"/>
      <c r="AR436" s="18"/>
      <c r="AS436" s="18"/>
      <c r="AT436" s="18"/>
      <c r="AU436" s="18"/>
      <c r="AV436" s="18"/>
      <c r="AW436" s="18">
        <v>14886.5</v>
      </c>
      <c r="AX436" s="18"/>
      <c r="AY436" s="18"/>
      <c r="AZ436" s="18"/>
      <c r="BA436" s="18"/>
      <c r="BB436" s="18"/>
      <c r="BC436" s="18"/>
      <c r="BD436" s="18"/>
      <c r="BE436" s="18"/>
      <c r="BF436" s="18"/>
      <c r="BG436" s="18"/>
      <c r="BH436" s="18"/>
      <c r="BI436" s="18"/>
      <c r="BJ436" s="18"/>
      <c r="BK436" s="18">
        <v>14886.5</v>
      </c>
    </row>
    <row r="437" spans="15:63" x14ac:dyDescent="0.3">
      <c r="O437" t="s">
        <v>1076</v>
      </c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/>
      <c r="AC437" s="18"/>
      <c r="AD437" s="18"/>
      <c r="AE437" s="18"/>
      <c r="AF437" s="18"/>
      <c r="AG437" s="18"/>
      <c r="AH437" s="18"/>
      <c r="AI437" s="18"/>
      <c r="AJ437" s="18"/>
      <c r="AK437" s="18"/>
      <c r="AL437" s="18"/>
      <c r="AM437" s="18"/>
      <c r="AN437" s="18"/>
      <c r="AO437" s="18"/>
      <c r="AP437" s="18">
        <v>17236.599999999999</v>
      </c>
      <c r="AQ437" s="18"/>
      <c r="AR437" s="18"/>
      <c r="AS437" s="18"/>
      <c r="AT437" s="18"/>
      <c r="AU437" s="18"/>
      <c r="AV437" s="18"/>
      <c r="AW437" s="18">
        <v>17236.599999999999</v>
      </c>
      <c r="AX437" s="18"/>
      <c r="AY437" s="18"/>
      <c r="AZ437" s="18"/>
      <c r="BA437" s="18"/>
      <c r="BB437" s="18"/>
      <c r="BC437" s="18"/>
      <c r="BD437" s="18"/>
      <c r="BE437" s="18"/>
      <c r="BF437" s="18"/>
      <c r="BG437" s="18"/>
      <c r="BH437" s="18"/>
      <c r="BI437" s="18"/>
      <c r="BJ437" s="18"/>
      <c r="BK437" s="18">
        <v>17236.599999999999</v>
      </c>
    </row>
    <row r="438" spans="15:63" x14ac:dyDescent="0.3">
      <c r="O438" t="s">
        <v>1110</v>
      </c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  <c r="AC438" s="18"/>
      <c r="AD438" s="18"/>
      <c r="AE438" s="18"/>
      <c r="AF438" s="18"/>
      <c r="AG438" s="18"/>
      <c r="AH438" s="18"/>
      <c r="AI438" s="18"/>
      <c r="AJ438" s="18"/>
      <c r="AK438" s="18"/>
      <c r="AL438" s="18"/>
      <c r="AM438" s="18"/>
      <c r="AN438" s="18"/>
      <c r="AO438" s="18"/>
      <c r="AP438" s="18"/>
      <c r="AQ438" s="18">
        <v>4489</v>
      </c>
      <c r="AR438" s="18"/>
      <c r="AS438" s="18"/>
      <c r="AT438" s="18"/>
      <c r="AU438" s="18"/>
      <c r="AV438" s="18"/>
      <c r="AW438" s="18">
        <v>4489</v>
      </c>
      <c r="AX438" s="18"/>
      <c r="AY438" s="18"/>
      <c r="AZ438" s="18"/>
      <c r="BA438" s="18"/>
      <c r="BB438" s="18"/>
      <c r="BC438" s="18"/>
      <c r="BD438" s="18"/>
      <c r="BE438" s="18"/>
      <c r="BF438" s="18"/>
      <c r="BG438" s="18"/>
      <c r="BH438" s="18"/>
      <c r="BI438" s="18"/>
      <c r="BJ438" s="18"/>
      <c r="BK438" s="18">
        <v>4489</v>
      </c>
    </row>
    <row r="439" spans="15:63" x14ac:dyDescent="0.3">
      <c r="O439" t="s">
        <v>1112</v>
      </c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/>
      <c r="AD439" s="18"/>
      <c r="AE439" s="18"/>
      <c r="AF439" s="18"/>
      <c r="AG439" s="18"/>
      <c r="AH439" s="18"/>
      <c r="AI439" s="18"/>
      <c r="AJ439" s="18"/>
      <c r="AK439" s="18"/>
      <c r="AL439" s="18"/>
      <c r="AM439" s="18"/>
      <c r="AN439" s="18"/>
      <c r="AO439" s="18"/>
      <c r="AP439" s="18"/>
      <c r="AQ439" s="18">
        <v>3915</v>
      </c>
      <c r="AR439" s="18"/>
      <c r="AS439" s="18"/>
      <c r="AT439" s="18"/>
      <c r="AU439" s="18"/>
      <c r="AV439" s="18"/>
      <c r="AW439" s="18">
        <v>3915</v>
      </c>
      <c r="AX439" s="18"/>
      <c r="AY439" s="18"/>
      <c r="AZ439" s="18"/>
      <c r="BA439" s="18"/>
      <c r="BB439" s="18"/>
      <c r="BC439" s="18"/>
      <c r="BD439" s="18"/>
      <c r="BE439" s="18"/>
      <c r="BF439" s="18"/>
      <c r="BG439" s="18"/>
      <c r="BH439" s="18"/>
      <c r="BI439" s="18"/>
      <c r="BJ439" s="18"/>
      <c r="BK439" s="18">
        <v>3915</v>
      </c>
    </row>
    <row r="440" spans="15:63" x14ac:dyDescent="0.3">
      <c r="O440" t="s">
        <v>1116</v>
      </c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/>
      <c r="AD440" s="18"/>
      <c r="AE440" s="18"/>
      <c r="AF440" s="18"/>
      <c r="AG440" s="18"/>
      <c r="AH440" s="18"/>
      <c r="AI440" s="18"/>
      <c r="AJ440" s="18"/>
      <c r="AK440" s="18"/>
      <c r="AL440" s="18"/>
      <c r="AM440" s="18"/>
      <c r="AN440" s="18"/>
      <c r="AO440" s="18"/>
      <c r="AP440" s="18"/>
      <c r="AQ440" s="18">
        <v>7395.5</v>
      </c>
      <c r="AR440" s="18"/>
      <c r="AS440" s="18"/>
      <c r="AT440" s="18"/>
      <c r="AU440" s="18"/>
      <c r="AV440" s="18"/>
      <c r="AW440" s="18">
        <v>7395.5</v>
      </c>
      <c r="AX440" s="18"/>
      <c r="AY440" s="18"/>
      <c r="AZ440" s="18"/>
      <c r="BA440" s="18"/>
      <c r="BB440" s="18"/>
      <c r="BC440" s="18"/>
      <c r="BD440" s="18"/>
      <c r="BE440" s="18"/>
      <c r="BF440" s="18"/>
      <c r="BG440" s="18"/>
      <c r="BH440" s="18"/>
      <c r="BI440" s="18"/>
      <c r="BJ440" s="18"/>
      <c r="BK440" s="18">
        <v>7395.5</v>
      </c>
    </row>
    <row r="441" spans="15:63" x14ac:dyDescent="0.3">
      <c r="O441" t="s">
        <v>1123</v>
      </c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  <c r="AD441" s="18"/>
      <c r="AE441" s="18"/>
      <c r="AF441" s="18"/>
      <c r="AG441" s="18"/>
      <c r="AH441" s="18"/>
      <c r="AI441" s="18"/>
      <c r="AJ441" s="18"/>
      <c r="AK441" s="18"/>
      <c r="AL441" s="18"/>
      <c r="AM441" s="18"/>
      <c r="AN441" s="18"/>
      <c r="AO441" s="18"/>
      <c r="AP441" s="18"/>
      <c r="AQ441" s="18">
        <v>49088.1</v>
      </c>
      <c r="AR441" s="18"/>
      <c r="AS441" s="18"/>
      <c r="AT441" s="18"/>
      <c r="AU441" s="18"/>
      <c r="AV441" s="18"/>
      <c r="AW441" s="18">
        <v>49088.1</v>
      </c>
      <c r="AX441" s="18"/>
      <c r="AY441" s="18"/>
      <c r="AZ441" s="18"/>
      <c r="BA441" s="18"/>
      <c r="BB441" s="18"/>
      <c r="BC441" s="18"/>
      <c r="BD441" s="18"/>
      <c r="BE441" s="18"/>
      <c r="BF441" s="18"/>
      <c r="BG441" s="18"/>
      <c r="BH441" s="18"/>
      <c r="BI441" s="18"/>
      <c r="BJ441" s="18"/>
      <c r="BK441" s="18">
        <v>49088.1</v>
      </c>
    </row>
    <row r="442" spans="15:63" x14ac:dyDescent="0.3">
      <c r="O442" t="s">
        <v>1128</v>
      </c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/>
      <c r="AD442" s="18"/>
      <c r="AE442" s="18"/>
      <c r="AF442" s="18"/>
      <c r="AG442" s="18"/>
      <c r="AH442" s="18"/>
      <c r="AI442" s="18"/>
      <c r="AJ442" s="18"/>
      <c r="AK442" s="18"/>
      <c r="AL442" s="18"/>
      <c r="AM442" s="18"/>
      <c r="AN442" s="18"/>
      <c r="AO442" s="18"/>
      <c r="AP442" s="18"/>
      <c r="AQ442" s="18">
        <v>47686.5</v>
      </c>
      <c r="AR442" s="18"/>
      <c r="AS442" s="18"/>
      <c r="AT442" s="18"/>
      <c r="AU442" s="18"/>
      <c r="AV442" s="18"/>
      <c r="AW442" s="18">
        <v>47686.5</v>
      </c>
      <c r="AX442" s="18"/>
      <c r="AY442" s="18"/>
      <c r="AZ442" s="18"/>
      <c r="BA442" s="18"/>
      <c r="BB442" s="18"/>
      <c r="BC442" s="18"/>
      <c r="BD442" s="18"/>
      <c r="BE442" s="18"/>
      <c r="BF442" s="18"/>
      <c r="BG442" s="18"/>
      <c r="BH442" s="18"/>
      <c r="BI442" s="18"/>
      <c r="BJ442" s="18"/>
      <c r="BK442" s="18">
        <v>47686.5</v>
      </c>
    </row>
    <row r="443" spans="15:63" x14ac:dyDescent="0.3">
      <c r="O443" t="s">
        <v>1139</v>
      </c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  <c r="AD443" s="18"/>
      <c r="AE443" s="18"/>
      <c r="AF443" s="18"/>
      <c r="AG443" s="18"/>
      <c r="AH443" s="18"/>
      <c r="AI443" s="18"/>
      <c r="AJ443" s="18"/>
      <c r="AK443" s="18"/>
      <c r="AL443" s="18"/>
      <c r="AM443" s="18"/>
      <c r="AN443" s="18"/>
      <c r="AO443" s="18"/>
      <c r="AP443" s="18"/>
      <c r="AQ443" s="18">
        <v>1008</v>
      </c>
      <c r="AR443" s="18"/>
      <c r="AS443" s="18"/>
      <c r="AT443" s="18"/>
      <c r="AU443" s="18"/>
      <c r="AV443" s="18"/>
      <c r="AW443" s="18">
        <v>1008</v>
      </c>
      <c r="AX443" s="18"/>
      <c r="AY443" s="18"/>
      <c r="AZ443" s="18"/>
      <c r="BA443" s="18"/>
      <c r="BB443" s="18"/>
      <c r="BC443" s="18"/>
      <c r="BD443" s="18"/>
      <c r="BE443" s="18"/>
      <c r="BF443" s="18"/>
      <c r="BG443" s="18"/>
      <c r="BH443" s="18"/>
      <c r="BI443" s="18"/>
      <c r="BJ443" s="18"/>
      <c r="BK443" s="18">
        <v>1008</v>
      </c>
    </row>
    <row r="444" spans="15:63" x14ac:dyDescent="0.3">
      <c r="O444" t="s">
        <v>1140</v>
      </c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  <c r="AD444" s="18"/>
      <c r="AE444" s="18"/>
      <c r="AF444" s="18"/>
      <c r="AG444" s="18"/>
      <c r="AH444" s="18"/>
      <c r="AI444" s="18"/>
      <c r="AJ444" s="18"/>
      <c r="AK444" s="18"/>
      <c r="AL444" s="18"/>
      <c r="AM444" s="18"/>
      <c r="AN444" s="18"/>
      <c r="AO444" s="18"/>
      <c r="AP444" s="18"/>
      <c r="AQ444" s="18">
        <v>21740.5</v>
      </c>
      <c r="AR444" s="18"/>
      <c r="AS444" s="18"/>
      <c r="AT444" s="18"/>
      <c r="AU444" s="18"/>
      <c r="AV444" s="18"/>
      <c r="AW444" s="18">
        <v>21740.5</v>
      </c>
      <c r="AX444" s="18"/>
      <c r="AY444" s="18"/>
      <c r="AZ444" s="18"/>
      <c r="BA444" s="18"/>
      <c r="BB444" s="18"/>
      <c r="BC444" s="18"/>
      <c r="BD444" s="18"/>
      <c r="BE444" s="18"/>
      <c r="BF444" s="18"/>
      <c r="BG444" s="18"/>
      <c r="BH444" s="18"/>
      <c r="BI444" s="18"/>
      <c r="BJ444" s="18"/>
      <c r="BK444" s="18">
        <v>21740.5</v>
      </c>
    </row>
    <row r="445" spans="15:63" x14ac:dyDescent="0.3">
      <c r="O445" t="s">
        <v>1168</v>
      </c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/>
      <c r="AE445" s="18"/>
      <c r="AF445" s="18"/>
      <c r="AG445" s="18"/>
      <c r="AH445" s="18"/>
      <c r="AI445" s="18"/>
      <c r="AJ445" s="18"/>
      <c r="AK445" s="18"/>
      <c r="AL445" s="18"/>
      <c r="AM445" s="18"/>
      <c r="AN445" s="18"/>
      <c r="AO445" s="18"/>
      <c r="AP445" s="18"/>
      <c r="AQ445" s="18"/>
      <c r="AR445" s="18"/>
      <c r="AS445" s="18"/>
      <c r="AT445" s="18"/>
      <c r="AU445" s="18"/>
      <c r="AV445" s="18"/>
      <c r="AW445" s="18"/>
      <c r="AX445" s="18"/>
      <c r="AY445" s="18"/>
      <c r="AZ445" s="18"/>
      <c r="BA445" s="18"/>
      <c r="BB445" s="18"/>
      <c r="BC445" s="18"/>
      <c r="BD445" s="18"/>
      <c r="BE445" s="18">
        <v>31500</v>
      </c>
      <c r="BF445" s="18"/>
      <c r="BG445" s="18"/>
      <c r="BH445" s="18"/>
      <c r="BI445" s="18"/>
      <c r="BJ445" s="18">
        <v>31500</v>
      </c>
      <c r="BK445" s="18">
        <v>31500</v>
      </c>
    </row>
    <row r="446" spans="15:63" x14ac:dyDescent="0.3">
      <c r="O446" t="s">
        <v>1172</v>
      </c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/>
      <c r="AE446" s="18"/>
      <c r="AF446" s="18"/>
      <c r="AG446" s="18"/>
      <c r="AH446" s="18"/>
      <c r="AI446" s="18"/>
      <c r="AJ446" s="18"/>
      <c r="AK446" s="18"/>
      <c r="AL446" s="18"/>
      <c r="AM446" s="18"/>
      <c r="AN446" s="18"/>
      <c r="AO446" s="18"/>
      <c r="AP446" s="18"/>
      <c r="AQ446" s="18"/>
      <c r="AR446" s="18"/>
      <c r="AS446" s="18"/>
      <c r="AT446" s="18"/>
      <c r="AU446" s="18"/>
      <c r="AV446" s="18"/>
      <c r="AW446" s="18"/>
      <c r="AX446" s="18"/>
      <c r="AY446" s="18"/>
      <c r="AZ446" s="18"/>
      <c r="BA446" s="18"/>
      <c r="BB446" s="18"/>
      <c r="BC446" s="18"/>
      <c r="BD446" s="18"/>
      <c r="BE446" s="18">
        <v>9213.5</v>
      </c>
      <c r="BF446" s="18"/>
      <c r="BG446" s="18"/>
      <c r="BH446" s="18"/>
      <c r="BI446" s="18"/>
      <c r="BJ446" s="18">
        <v>9213.5</v>
      </c>
      <c r="BK446" s="18">
        <v>9213.5</v>
      </c>
    </row>
    <row r="447" spans="15:63" x14ac:dyDescent="0.3">
      <c r="O447" t="s">
        <v>1175</v>
      </c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18"/>
      <c r="AE447" s="18"/>
      <c r="AF447" s="18"/>
      <c r="AG447" s="18"/>
      <c r="AH447" s="18"/>
      <c r="AI447" s="18"/>
      <c r="AJ447" s="18"/>
      <c r="AK447" s="18"/>
      <c r="AL447" s="18"/>
      <c r="AM447" s="18"/>
      <c r="AN447" s="18"/>
      <c r="AO447" s="18"/>
      <c r="AP447" s="18"/>
      <c r="AQ447" s="18"/>
      <c r="AR447" s="18"/>
      <c r="AS447" s="18"/>
      <c r="AT447" s="18"/>
      <c r="AU447" s="18"/>
      <c r="AV447" s="18"/>
      <c r="AW447" s="18"/>
      <c r="AX447" s="18"/>
      <c r="AY447" s="18"/>
      <c r="AZ447" s="18"/>
      <c r="BA447" s="18"/>
      <c r="BB447" s="18"/>
      <c r="BC447" s="18"/>
      <c r="BD447" s="18"/>
      <c r="BE447" s="18">
        <v>800</v>
      </c>
      <c r="BF447" s="18"/>
      <c r="BG447" s="18"/>
      <c r="BH447" s="18"/>
      <c r="BI447" s="18"/>
      <c r="BJ447" s="18">
        <v>800</v>
      </c>
      <c r="BK447" s="18">
        <v>800</v>
      </c>
    </row>
    <row r="448" spans="15:63" x14ac:dyDescent="0.3">
      <c r="O448" t="s">
        <v>1182</v>
      </c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  <c r="AD448" s="18"/>
      <c r="AE448" s="18"/>
      <c r="AF448" s="18"/>
      <c r="AG448" s="18"/>
      <c r="AH448" s="18"/>
      <c r="AI448" s="18"/>
      <c r="AJ448" s="18"/>
      <c r="AK448" s="18"/>
      <c r="AL448" s="18"/>
      <c r="AM448" s="18"/>
      <c r="AN448" s="18"/>
      <c r="AO448" s="18"/>
      <c r="AP448" s="18"/>
      <c r="AQ448" s="18"/>
      <c r="AR448" s="18"/>
      <c r="AS448" s="18"/>
      <c r="AT448" s="18"/>
      <c r="AU448" s="18"/>
      <c r="AV448" s="18"/>
      <c r="AW448" s="18"/>
      <c r="AX448" s="18"/>
      <c r="AY448" s="18"/>
      <c r="AZ448" s="18"/>
      <c r="BA448" s="18"/>
      <c r="BB448" s="18"/>
      <c r="BC448" s="18"/>
      <c r="BD448" s="18"/>
      <c r="BE448" s="18">
        <v>15570.5</v>
      </c>
      <c r="BF448" s="18"/>
      <c r="BG448" s="18"/>
      <c r="BH448" s="18"/>
      <c r="BI448" s="18"/>
      <c r="BJ448" s="18">
        <v>15570.5</v>
      </c>
      <c r="BK448" s="18">
        <v>15570.5</v>
      </c>
    </row>
    <row r="449" spans="15:63" x14ac:dyDescent="0.3">
      <c r="O449" t="s">
        <v>1190</v>
      </c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  <c r="AD449" s="18"/>
      <c r="AE449" s="18"/>
      <c r="AF449" s="18"/>
      <c r="AG449" s="18"/>
      <c r="AH449" s="18"/>
      <c r="AI449" s="18"/>
      <c r="AJ449" s="18"/>
      <c r="AK449" s="18"/>
      <c r="AL449" s="18"/>
      <c r="AM449" s="18"/>
      <c r="AN449" s="18"/>
      <c r="AO449" s="18"/>
      <c r="AP449" s="18"/>
      <c r="AQ449" s="18"/>
      <c r="AR449" s="18"/>
      <c r="AS449" s="18"/>
      <c r="AT449" s="18"/>
      <c r="AU449" s="18"/>
      <c r="AV449" s="18"/>
      <c r="AW449" s="18"/>
      <c r="AX449" s="18"/>
      <c r="AY449" s="18"/>
      <c r="AZ449" s="18"/>
      <c r="BA449" s="18"/>
      <c r="BB449" s="18"/>
      <c r="BC449" s="18"/>
      <c r="BD449" s="18"/>
      <c r="BE449" s="18">
        <v>14150.5</v>
      </c>
      <c r="BF449" s="18"/>
      <c r="BG449" s="18"/>
      <c r="BH449" s="18"/>
      <c r="BI449" s="18"/>
      <c r="BJ449" s="18">
        <v>14150.5</v>
      </c>
      <c r="BK449" s="18">
        <v>14150.5</v>
      </c>
    </row>
    <row r="450" spans="15:63" x14ac:dyDescent="0.3">
      <c r="O450" t="s">
        <v>1194</v>
      </c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  <c r="AD450" s="18"/>
      <c r="AE450" s="18"/>
      <c r="AF450" s="18"/>
      <c r="AG450" s="18"/>
      <c r="AH450" s="18"/>
      <c r="AI450" s="18"/>
      <c r="AJ450" s="18"/>
      <c r="AK450" s="18"/>
      <c r="AL450" s="18"/>
      <c r="AM450" s="18"/>
      <c r="AN450" s="18"/>
      <c r="AO450" s="18"/>
      <c r="AP450" s="18"/>
      <c r="AQ450" s="18"/>
      <c r="AR450" s="18"/>
      <c r="AS450" s="18"/>
      <c r="AT450" s="18"/>
      <c r="AU450" s="18"/>
      <c r="AV450" s="18"/>
      <c r="AW450" s="18"/>
      <c r="AX450" s="18"/>
      <c r="AY450" s="18"/>
      <c r="AZ450" s="18"/>
      <c r="BA450" s="18"/>
      <c r="BB450" s="18"/>
      <c r="BC450" s="18"/>
      <c r="BD450" s="18"/>
      <c r="BE450" s="18">
        <v>14565</v>
      </c>
      <c r="BF450" s="18"/>
      <c r="BG450" s="18"/>
      <c r="BH450" s="18"/>
      <c r="BI450" s="18"/>
      <c r="BJ450" s="18">
        <v>14565</v>
      </c>
      <c r="BK450" s="18">
        <v>14565</v>
      </c>
    </row>
    <row r="451" spans="15:63" x14ac:dyDescent="0.3">
      <c r="O451" t="s">
        <v>1205</v>
      </c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  <c r="AE451" s="18"/>
      <c r="AF451" s="18"/>
      <c r="AG451" s="18"/>
      <c r="AH451" s="18"/>
      <c r="AI451" s="18"/>
      <c r="AJ451" s="18"/>
      <c r="AK451" s="18"/>
      <c r="AL451" s="18"/>
      <c r="AM451" s="18"/>
      <c r="AN451" s="18"/>
      <c r="AO451" s="18"/>
      <c r="AP451" s="18"/>
      <c r="AQ451" s="18"/>
      <c r="AR451" s="18"/>
      <c r="AS451" s="18"/>
      <c r="AT451" s="18"/>
      <c r="AU451" s="18"/>
      <c r="AV451" s="18"/>
      <c r="AW451" s="18"/>
      <c r="AX451" s="18"/>
      <c r="AY451" s="18"/>
      <c r="AZ451" s="18"/>
      <c r="BA451" s="18"/>
      <c r="BB451" s="18"/>
      <c r="BC451" s="18"/>
      <c r="BD451" s="18"/>
      <c r="BE451" s="18">
        <v>14617.8</v>
      </c>
      <c r="BF451" s="18"/>
      <c r="BG451" s="18"/>
      <c r="BH451" s="18"/>
      <c r="BI451" s="18"/>
      <c r="BJ451" s="18">
        <v>14617.8</v>
      </c>
      <c r="BK451" s="18">
        <v>14617.8</v>
      </c>
    </row>
    <row r="452" spans="15:63" x14ac:dyDescent="0.3">
      <c r="O452" t="s">
        <v>1238</v>
      </c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  <c r="AE452" s="18"/>
      <c r="AF452" s="18"/>
      <c r="AG452" s="18"/>
      <c r="AH452" s="18"/>
      <c r="AI452" s="18"/>
      <c r="AJ452" s="18"/>
      <c r="AK452" s="18"/>
      <c r="AL452" s="18"/>
      <c r="AM452" s="18"/>
      <c r="AN452" s="18"/>
      <c r="AO452" s="18"/>
      <c r="AP452" s="18"/>
      <c r="AQ452" s="18"/>
      <c r="AR452" s="18"/>
      <c r="AS452" s="18"/>
      <c r="AT452" s="18"/>
      <c r="AU452" s="18"/>
      <c r="AV452" s="18"/>
      <c r="AW452" s="18"/>
      <c r="AX452" s="18"/>
      <c r="AY452" s="18"/>
      <c r="AZ452" s="18"/>
      <c r="BA452" s="18"/>
      <c r="BB452" s="18"/>
      <c r="BC452" s="18"/>
      <c r="BD452" s="18"/>
      <c r="BE452" s="18"/>
      <c r="BF452" s="18">
        <v>7081.8</v>
      </c>
      <c r="BG452" s="18"/>
      <c r="BH452" s="18"/>
      <c r="BI452" s="18"/>
      <c r="BJ452" s="18">
        <v>7081.8</v>
      </c>
      <c r="BK452" s="18">
        <v>7081.8</v>
      </c>
    </row>
    <row r="453" spans="15:63" x14ac:dyDescent="0.3">
      <c r="O453" t="s">
        <v>1246</v>
      </c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  <c r="AF453" s="18"/>
      <c r="AG453" s="18"/>
      <c r="AH453" s="18"/>
      <c r="AI453" s="18"/>
      <c r="AJ453" s="18"/>
      <c r="AK453" s="18"/>
      <c r="AL453" s="18"/>
      <c r="AM453" s="18"/>
      <c r="AN453" s="18"/>
      <c r="AO453" s="18"/>
      <c r="AP453" s="18"/>
      <c r="AQ453" s="18"/>
      <c r="AR453" s="18"/>
      <c r="AS453" s="18"/>
      <c r="AT453" s="18"/>
      <c r="AU453" s="18"/>
      <c r="AV453" s="18"/>
      <c r="AW453" s="18"/>
      <c r="AX453" s="18"/>
      <c r="AY453" s="18"/>
      <c r="AZ453" s="18"/>
      <c r="BA453" s="18"/>
      <c r="BB453" s="18"/>
      <c r="BC453" s="18"/>
      <c r="BD453" s="18"/>
      <c r="BE453" s="18"/>
      <c r="BF453" s="18">
        <v>13868.8</v>
      </c>
      <c r="BG453" s="18"/>
      <c r="BH453" s="18"/>
      <c r="BI453" s="18"/>
      <c r="BJ453" s="18">
        <v>13868.8</v>
      </c>
      <c r="BK453" s="18">
        <v>13868.8</v>
      </c>
    </row>
    <row r="454" spans="15:63" x14ac:dyDescent="0.3">
      <c r="O454" t="s">
        <v>1248</v>
      </c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  <c r="AF454" s="18"/>
      <c r="AG454" s="18"/>
      <c r="AH454" s="18"/>
      <c r="AI454" s="18"/>
      <c r="AJ454" s="18"/>
      <c r="AK454" s="18"/>
      <c r="AL454" s="18"/>
      <c r="AM454" s="18"/>
      <c r="AN454" s="18"/>
      <c r="AO454" s="18"/>
      <c r="AP454" s="18"/>
      <c r="AQ454" s="18"/>
      <c r="AR454" s="18"/>
      <c r="AS454" s="18"/>
      <c r="AT454" s="18"/>
      <c r="AU454" s="18"/>
      <c r="AV454" s="18"/>
      <c r="AW454" s="18"/>
      <c r="AX454" s="18"/>
      <c r="AY454" s="18"/>
      <c r="AZ454" s="18"/>
      <c r="BA454" s="18"/>
      <c r="BB454" s="18"/>
      <c r="BC454" s="18"/>
      <c r="BD454" s="18"/>
      <c r="BE454" s="18"/>
      <c r="BF454" s="18">
        <v>250</v>
      </c>
      <c r="BG454" s="18"/>
      <c r="BH454" s="18"/>
      <c r="BI454" s="18"/>
      <c r="BJ454" s="18">
        <v>250</v>
      </c>
      <c r="BK454" s="18">
        <v>250</v>
      </c>
    </row>
    <row r="455" spans="15:63" x14ac:dyDescent="0.3">
      <c r="O455" t="s">
        <v>1255</v>
      </c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  <c r="AF455" s="18"/>
      <c r="AG455" s="18"/>
      <c r="AH455" s="18"/>
      <c r="AI455" s="18"/>
      <c r="AJ455" s="18"/>
      <c r="AK455" s="18"/>
      <c r="AL455" s="18"/>
      <c r="AM455" s="18"/>
      <c r="AN455" s="18"/>
      <c r="AO455" s="18"/>
      <c r="AP455" s="18"/>
      <c r="AQ455" s="18"/>
      <c r="AR455" s="18"/>
      <c r="AS455" s="18"/>
      <c r="AT455" s="18"/>
      <c r="AU455" s="18"/>
      <c r="AV455" s="18"/>
      <c r="AW455" s="18"/>
      <c r="AX455" s="18"/>
      <c r="AY455" s="18"/>
      <c r="AZ455" s="18"/>
      <c r="BA455" s="18"/>
      <c r="BB455" s="18"/>
      <c r="BC455" s="18"/>
      <c r="BD455" s="18"/>
      <c r="BE455" s="18"/>
      <c r="BF455" s="18">
        <v>15226.8</v>
      </c>
      <c r="BG455" s="18"/>
      <c r="BH455" s="18"/>
      <c r="BI455" s="18"/>
      <c r="BJ455" s="18">
        <v>15226.8</v>
      </c>
      <c r="BK455" s="18">
        <v>15226.8</v>
      </c>
    </row>
    <row r="456" spans="15:63" x14ac:dyDescent="0.3">
      <c r="O456" t="s">
        <v>1256</v>
      </c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  <c r="AE456" s="18"/>
      <c r="AF456" s="18"/>
      <c r="AG456" s="18"/>
      <c r="AH456" s="18"/>
      <c r="AI456" s="18"/>
      <c r="AJ456" s="18"/>
      <c r="AK456" s="18"/>
      <c r="AL456" s="18"/>
      <c r="AM456" s="18"/>
      <c r="AN456" s="18"/>
      <c r="AO456" s="18"/>
      <c r="AP456" s="18"/>
      <c r="AQ456" s="18"/>
      <c r="AR456" s="18"/>
      <c r="AS456" s="18"/>
      <c r="AT456" s="18"/>
      <c r="AU456" s="18"/>
      <c r="AV456" s="18"/>
      <c r="AW456" s="18"/>
      <c r="AX456" s="18"/>
      <c r="AY456" s="18"/>
      <c r="AZ456" s="18"/>
      <c r="BA456" s="18"/>
      <c r="BB456" s="18"/>
      <c r="BC456" s="18"/>
      <c r="BD456" s="18"/>
      <c r="BE456" s="18"/>
      <c r="BF456" s="18">
        <v>312.5</v>
      </c>
      <c r="BG456" s="18"/>
      <c r="BH456" s="18"/>
      <c r="BI456" s="18"/>
      <c r="BJ456" s="18">
        <v>312.5</v>
      </c>
      <c r="BK456" s="18">
        <v>312.5</v>
      </c>
    </row>
    <row r="457" spans="15:63" x14ac:dyDescent="0.3">
      <c r="O457" t="s">
        <v>1264</v>
      </c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  <c r="AG457" s="18"/>
      <c r="AH457" s="18"/>
      <c r="AI457" s="18"/>
      <c r="AJ457" s="18"/>
      <c r="AK457" s="18"/>
      <c r="AL457" s="18"/>
      <c r="AM457" s="18"/>
      <c r="AN457" s="18"/>
      <c r="AO457" s="18"/>
      <c r="AP457" s="18"/>
      <c r="AQ457" s="18"/>
      <c r="AR457" s="18"/>
      <c r="AS457" s="18"/>
      <c r="AT457" s="18"/>
      <c r="AU457" s="18"/>
      <c r="AV457" s="18"/>
      <c r="AW457" s="18"/>
      <c r="AX457" s="18"/>
      <c r="AY457" s="18"/>
      <c r="AZ457" s="18"/>
      <c r="BA457" s="18"/>
      <c r="BB457" s="18"/>
      <c r="BC457" s="18"/>
      <c r="BD457" s="18"/>
      <c r="BE457" s="18"/>
      <c r="BF457" s="18">
        <v>13369.6</v>
      </c>
      <c r="BG457" s="18"/>
      <c r="BH457" s="18"/>
      <c r="BI457" s="18"/>
      <c r="BJ457" s="18">
        <v>13369.6</v>
      </c>
      <c r="BK457" s="18">
        <v>13369.6</v>
      </c>
    </row>
    <row r="458" spans="15:63" x14ac:dyDescent="0.3">
      <c r="O458" t="s">
        <v>1267</v>
      </c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  <c r="AG458" s="18"/>
      <c r="AH458" s="18"/>
      <c r="AI458" s="18"/>
      <c r="AJ458" s="18"/>
      <c r="AK458" s="18"/>
      <c r="AL458" s="18"/>
      <c r="AM458" s="18"/>
      <c r="AN458" s="18"/>
      <c r="AO458" s="18"/>
      <c r="AP458" s="18"/>
      <c r="AQ458" s="18"/>
      <c r="AR458" s="18"/>
      <c r="AS458" s="18"/>
      <c r="AT458" s="18"/>
      <c r="AU458" s="18"/>
      <c r="AV458" s="18"/>
      <c r="AW458" s="18"/>
      <c r="AX458" s="18"/>
      <c r="AY458" s="18"/>
      <c r="AZ458" s="18"/>
      <c r="BA458" s="18"/>
      <c r="BB458" s="18"/>
      <c r="BC458" s="18"/>
      <c r="BD458" s="18"/>
      <c r="BE458" s="18"/>
      <c r="BF458" s="18">
        <v>437.5</v>
      </c>
      <c r="BG458" s="18"/>
      <c r="BH458" s="18"/>
      <c r="BI458" s="18"/>
      <c r="BJ458" s="18">
        <v>437.5</v>
      </c>
      <c r="BK458" s="18">
        <v>437.5</v>
      </c>
    </row>
    <row r="459" spans="15:63" x14ac:dyDescent="0.3">
      <c r="O459" t="s">
        <v>1268</v>
      </c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  <c r="AG459" s="18"/>
      <c r="AH459" s="18"/>
      <c r="AI459" s="18"/>
      <c r="AJ459" s="18"/>
      <c r="AK459" s="18"/>
      <c r="AL459" s="18"/>
      <c r="AM459" s="18"/>
      <c r="AN459" s="18"/>
      <c r="AO459" s="18"/>
      <c r="AP459" s="18"/>
      <c r="AQ459" s="18"/>
      <c r="AR459" s="18"/>
      <c r="AS459" s="18"/>
      <c r="AT459" s="18"/>
      <c r="AU459" s="18"/>
      <c r="AV459" s="18"/>
      <c r="AW459" s="18"/>
      <c r="AX459" s="18"/>
      <c r="AY459" s="18"/>
      <c r="AZ459" s="18"/>
      <c r="BA459" s="18"/>
      <c r="BB459" s="18"/>
      <c r="BC459" s="18"/>
      <c r="BD459" s="18"/>
      <c r="BE459" s="18"/>
      <c r="BF459" s="18">
        <v>7304</v>
      </c>
      <c r="BG459" s="18"/>
      <c r="BH459" s="18"/>
      <c r="BI459" s="18"/>
      <c r="BJ459" s="18">
        <v>7304</v>
      </c>
      <c r="BK459" s="18">
        <v>7304</v>
      </c>
    </row>
    <row r="460" spans="15:63" x14ac:dyDescent="0.3">
      <c r="O460" t="s">
        <v>1275</v>
      </c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  <c r="AF460" s="18"/>
      <c r="AG460" s="18"/>
      <c r="AH460" s="18"/>
      <c r="AI460" s="18"/>
      <c r="AJ460" s="18"/>
      <c r="AK460" s="18"/>
      <c r="AL460" s="18"/>
      <c r="AM460" s="18"/>
      <c r="AN460" s="18"/>
      <c r="AO460" s="18"/>
      <c r="AP460" s="18"/>
      <c r="AQ460" s="18"/>
      <c r="AR460" s="18"/>
      <c r="AS460" s="18"/>
      <c r="AT460" s="18"/>
      <c r="AU460" s="18"/>
      <c r="AV460" s="18"/>
      <c r="AW460" s="18"/>
      <c r="AX460" s="18"/>
      <c r="AY460" s="18"/>
      <c r="AZ460" s="18"/>
      <c r="BA460" s="18"/>
      <c r="BB460" s="18"/>
      <c r="BC460" s="18"/>
      <c r="BD460" s="18"/>
      <c r="BE460" s="18"/>
      <c r="BF460" s="18">
        <v>750</v>
      </c>
      <c r="BG460" s="18"/>
      <c r="BH460" s="18"/>
      <c r="BI460" s="18"/>
      <c r="BJ460" s="18">
        <v>750</v>
      </c>
      <c r="BK460" s="18">
        <v>750</v>
      </c>
    </row>
    <row r="461" spans="15:63" x14ac:dyDescent="0.3">
      <c r="O461" t="s">
        <v>1276</v>
      </c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  <c r="AE461" s="18"/>
      <c r="AF461" s="18"/>
      <c r="AG461" s="18"/>
      <c r="AH461" s="18"/>
      <c r="AI461" s="18"/>
      <c r="AJ461" s="18"/>
      <c r="AK461" s="18"/>
      <c r="AL461" s="18"/>
      <c r="AM461" s="18"/>
      <c r="AN461" s="18"/>
      <c r="AO461" s="18"/>
      <c r="AP461" s="18"/>
      <c r="AQ461" s="18"/>
      <c r="AR461" s="18"/>
      <c r="AS461" s="18"/>
      <c r="AT461" s="18"/>
      <c r="AU461" s="18"/>
      <c r="AV461" s="18"/>
      <c r="AW461" s="18"/>
      <c r="AX461" s="18"/>
      <c r="AY461" s="18"/>
      <c r="AZ461" s="18"/>
      <c r="BA461" s="18"/>
      <c r="BB461" s="18"/>
      <c r="BC461" s="18"/>
      <c r="BD461" s="18"/>
      <c r="BE461" s="18"/>
      <c r="BF461" s="18">
        <v>43750</v>
      </c>
      <c r="BG461" s="18"/>
      <c r="BH461" s="18"/>
      <c r="BI461" s="18"/>
      <c r="BJ461" s="18">
        <v>43750</v>
      </c>
      <c r="BK461" s="18">
        <v>43750</v>
      </c>
    </row>
    <row r="462" spans="15:63" x14ac:dyDescent="0.3">
      <c r="O462" t="s">
        <v>1278</v>
      </c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  <c r="AD462" s="18"/>
      <c r="AE462" s="18"/>
      <c r="AF462" s="18"/>
      <c r="AG462" s="18"/>
      <c r="AH462" s="18"/>
      <c r="AI462" s="18"/>
      <c r="AJ462" s="18"/>
      <c r="AK462" s="18"/>
      <c r="AL462" s="18"/>
      <c r="AM462" s="18"/>
      <c r="AN462" s="18"/>
      <c r="AO462" s="18"/>
      <c r="AP462" s="18"/>
      <c r="AQ462" s="18"/>
      <c r="AR462" s="18"/>
      <c r="AS462" s="18"/>
      <c r="AT462" s="18"/>
      <c r="AU462" s="18"/>
      <c r="AV462" s="18"/>
      <c r="AW462" s="18"/>
      <c r="AX462" s="18"/>
      <c r="AY462" s="18"/>
      <c r="AZ462" s="18"/>
      <c r="BA462" s="18"/>
      <c r="BB462" s="18"/>
      <c r="BC462" s="18"/>
      <c r="BD462" s="18"/>
      <c r="BE462" s="18"/>
      <c r="BF462" s="18">
        <v>1567.5</v>
      </c>
      <c r="BG462" s="18"/>
      <c r="BH462" s="18"/>
      <c r="BI462" s="18"/>
      <c r="BJ462" s="18">
        <v>1567.5</v>
      </c>
      <c r="BK462" s="18">
        <v>1567.5</v>
      </c>
    </row>
    <row r="463" spans="15:63" x14ac:dyDescent="0.3">
      <c r="O463" t="s">
        <v>1308</v>
      </c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  <c r="AD463" s="18"/>
      <c r="AE463" s="18"/>
      <c r="AF463" s="18"/>
      <c r="AG463" s="18"/>
      <c r="AH463" s="18"/>
      <c r="AI463" s="18"/>
      <c r="AJ463" s="18"/>
      <c r="AK463" s="18"/>
      <c r="AL463" s="18"/>
      <c r="AM463" s="18"/>
      <c r="AN463" s="18"/>
      <c r="AO463" s="18"/>
      <c r="AP463" s="18"/>
      <c r="AQ463" s="18"/>
      <c r="AR463" s="18"/>
      <c r="AS463" s="18"/>
      <c r="AT463" s="18"/>
      <c r="AU463" s="18"/>
      <c r="AV463" s="18"/>
      <c r="AW463" s="18"/>
      <c r="AX463" s="18"/>
      <c r="AY463" s="18"/>
      <c r="AZ463" s="18"/>
      <c r="BA463" s="18"/>
      <c r="BB463" s="18"/>
      <c r="BC463" s="18"/>
      <c r="BD463" s="18"/>
      <c r="BE463" s="18"/>
      <c r="BF463" s="18"/>
      <c r="BG463" s="18">
        <v>937.5</v>
      </c>
      <c r="BH463" s="18"/>
      <c r="BI463" s="18"/>
      <c r="BJ463" s="18">
        <v>937.5</v>
      </c>
      <c r="BK463" s="18">
        <v>937.5</v>
      </c>
    </row>
    <row r="464" spans="15:63" x14ac:dyDescent="0.3">
      <c r="O464" t="s">
        <v>1312</v>
      </c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E464" s="18"/>
      <c r="AF464" s="18"/>
      <c r="AG464" s="18"/>
      <c r="AH464" s="18"/>
      <c r="AI464" s="18"/>
      <c r="AJ464" s="18"/>
      <c r="AK464" s="18"/>
      <c r="AL464" s="18"/>
      <c r="AM464" s="18"/>
      <c r="AN464" s="18"/>
      <c r="AO464" s="18"/>
      <c r="AP464" s="18"/>
      <c r="AQ464" s="18"/>
      <c r="AR464" s="18"/>
      <c r="AS464" s="18"/>
      <c r="AT464" s="18"/>
      <c r="AU464" s="18"/>
      <c r="AV464" s="18"/>
      <c r="AW464" s="18"/>
      <c r="AX464" s="18"/>
      <c r="AY464" s="18"/>
      <c r="AZ464" s="18"/>
      <c r="BA464" s="18"/>
      <c r="BB464" s="18"/>
      <c r="BC464" s="18"/>
      <c r="BD464" s="18"/>
      <c r="BE464" s="18"/>
      <c r="BF464" s="18"/>
      <c r="BG464" s="18">
        <v>42610</v>
      </c>
      <c r="BH464" s="18"/>
      <c r="BI464" s="18"/>
      <c r="BJ464" s="18">
        <v>42610</v>
      </c>
      <c r="BK464" s="18">
        <v>42610</v>
      </c>
    </row>
    <row r="465" spans="15:63" x14ac:dyDescent="0.3">
      <c r="O465" t="s">
        <v>1332</v>
      </c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E465" s="18"/>
      <c r="AF465" s="18"/>
      <c r="AG465" s="18"/>
      <c r="AH465" s="18"/>
      <c r="AI465" s="18"/>
      <c r="AJ465" s="18"/>
      <c r="AK465" s="18"/>
      <c r="AL465" s="18"/>
      <c r="AM465" s="18"/>
      <c r="AN465" s="18"/>
      <c r="AO465" s="18"/>
      <c r="AP465" s="18"/>
      <c r="AQ465" s="18"/>
      <c r="AR465" s="18"/>
      <c r="AS465" s="18"/>
      <c r="AT465" s="18"/>
      <c r="AU465" s="18"/>
      <c r="AV465" s="18"/>
      <c r="AW465" s="18"/>
      <c r="AX465" s="18"/>
      <c r="AY465" s="18"/>
      <c r="AZ465" s="18"/>
      <c r="BA465" s="18"/>
      <c r="BB465" s="18"/>
      <c r="BC465" s="18"/>
      <c r="BD465" s="18"/>
      <c r="BE465" s="18"/>
      <c r="BF465" s="18"/>
      <c r="BG465" s="18">
        <v>200</v>
      </c>
      <c r="BH465" s="18"/>
      <c r="BI465" s="18"/>
      <c r="BJ465" s="18">
        <v>200</v>
      </c>
      <c r="BK465" s="18">
        <v>200</v>
      </c>
    </row>
    <row r="466" spans="15:63" x14ac:dyDescent="0.3">
      <c r="O466" t="s">
        <v>1336</v>
      </c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E466" s="18"/>
      <c r="AF466" s="18"/>
      <c r="AG466" s="18"/>
      <c r="AH466" s="18"/>
      <c r="AI466" s="18"/>
      <c r="AJ466" s="18"/>
      <c r="AK466" s="18"/>
      <c r="AL466" s="18"/>
      <c r="AM466" s="18"/>
      <c r="AN466" s="18"/>
      <c r="AO466" s="18"/>
      <c r="AP466" s="18"/>
      <c r="AQ466" s="18"/>
      <c r="AR466" s="18"/>
      <c r="AS466" s="18"/>
      <c r="AT466" s="18"/>
      <c r="AU466" s="18"/>
      <c r="AV466" s="18"/>
      <c r="AW466" s="18"/>
      <c r="AX466" s="18"/>
      <c r="AY466" s="18"/>
      <c r="AZ466" s="18"/>
      <c r="BA466" s="18"/>
      <c r="BB466" s="18"/>
      <c r="BC466" s="18"/>
      <c r="BD466" s="18"/>
      <c r="BE466" s="18"/>
      <c r="BF466" s="18"/>
      <c r="BG466" s="18">
        <v>625</v>
      </c>
      <c r="BH466" s="18"/>
      <c r="BI466" s="18"/>
      <c r="BJ466" s="18">
        <v>625</v>
      </c>
      <c r="BK466" s="18">
        <v>625</v>
      </c>
    </row>
    <row r="467" spans="15:63" x14ac:dyDescent="0.3">
      <c r="O467" t="s">
        <v>1337</v>
      </c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  <c r="AG467" s="18"/>
      <c r="AH467" s="18"/>
      <c r="AI467" s="18"/>
      <c r="AJ467" s="18"/>
      <c r="AK467" s="18"/>
      <c r="AL467" s="18"/>
      <c r="AM467" s="18"/>
      <c r="AN467" s="18"/>
      <c r="AO467" s="18"/>
      <c r="AP467" s="18"/>
      <c r="AQ467" s="18"/>
      <c r="AR467" s="18"/>
      <c r="AS467" s="18"/>
      <c r="AT467" s="18"/>
      <c r="AU467" s="18"/>
      <c r="AV467" s="18"/>
      <c r="AW467" s="18"/>
      <c r="AX467" s="18"/>
      <c r="AY467" s="18"/>
      <c r="AZ467" s="18"/>
      <c r="BA467" s="18"/>
      <c r="BB467" s="18"/>
      <c r="BC467" s="18"/>
      <c r="BD467" s="18"/>
      <c r="BE467" s="18"/>
      <c r="BF467" s="18"/>
      <c r="BG467" s="18">
        <v>29168</v>
      </c>
      <c r="BH467" s="18"/>
      <c r="BI467" s="18"/>
      <c r="BJ467" s="18">
        <v>29168</v>
      </c>
      <c r="BK467" s="18">
        <v>29168</v>
      </c>
    </row>
    <row r="468" spans="15:63" x14ac:dyDescent="0.3">
      <c r="O468" t="s">
        <v>1347</v>
      </c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  <c r="AJ468" s="18"/>
      <c r="AK468" s="18"/>
      <c r="AL468" s="18"/>
      <c r="AM468" s="18"/>
      <c r="AN468" s="18"/>
      <c r="AO468" s="18"/>
      <c r="AP468" s="18"/>
      <c r="AQ468" s="18"/>
      <c r="AR468" s="18"/>
      <c r="AS468" s="18"/>
      <c r="AT468" s="18"/>
      <c r="AU468" s="18"/>
      <c r="AV468" s="18"/>
      <c r="AW468" s="18"/>
      <c r="AX468" s="18"/>
      <c r="AY468" s="18"/>
      <c r="AZ468" s="18"/>
      <c r="BA468" s="18"/>
      <c r="BB468" s="18"/>
      <c r="BC468" s="18"/>
      <c r="BD468" s="18"/>
      <c r="BE468" s="18"/>
      <c r="BF468" s="18"/>
      <c r="BG468" s="18">
        <v>312.5</v>
      </c>
      <c r="BH468" s="18"/>
      <c r="BI468" s="18"/>
      <c r="BJ468" s="18">
        <v>312.5</v>
      </c>
      <c r="BK468" s="18">
        <v>312.5</v>
      </c>
    </row>
    <row r="469" spans="15:63" x14ac:dyDescent="0.3">
      <c r="O469" t="s">
        <v>1348</v>
      </c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  <c r="AJ469" s="18"/>
      <c r="AK469" s="18"/>
      <c r="AL469" s="18"/>
      <c r="AM469" s="18"/>
      <c r="AN469" s="18"/>
      <c r="AO469" s="18"/>
      <c r="AP469" s="18"/>
      <c r="AQ469" s="18"/>
      <c r="AR469" s="18"/>
      <c r="AS469" s="18"/>
      <c r="AT469" s="18"/>
      <c r="AU469" s="18"/>
      <c r="AV469" s="18"/>
      <c r="AW469" s="18"/>
      <c r="AX469" s="18"/>
      <c r="AY469" s="18"/>
      <c r="AZ469" s="18"/>
      <c r="BA469" s="18"/>
      <c r="BB469" s="18"/>
      <c r="BC469" s="18"/>
      <c r="BD469" s="18"/>
      <c r="BE469" s="18"/>
      <c r="BF469" s="18"/>
      <c r="BG469" s="18">
        <v>15506</v>
      </c>
      <c r="BH469" s="18"/>
      <c r="BI469" s="18"/>
      <c r="BJ469" s="18">
        <v>15506</v>
      </c>
      <c r="BK469" s="18">
        <v>15506</v>
      </c>
    </row>
    <row r="470" spans="15:63" x14ac:dyDescent="0.3">
      <c r="O470" t="s">
        <v>1366</v>
      </c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  <c r="AF470" s="18"/>
      <c r="AG470" s="18"/>
      <c r="AH470" s="18"/>
      <c r="AI470" s="18"/>
      <c r="AJ470" s="18"/>
      <c r="AK470" s="18"/>
      <c r="AL470" s="18"/>
      <c r="AM470" s="18"/>
      <c r="AN470" s="18"/>
      <c r="AO470" s="18"/>
      <c r="AP470" s="18"/>
      <c r="AQ470" s="18"/>
      <c r="AR470" s="18"/>
      <c r="AS470" s="18"/>
      <c r="AT470" s="18"/>
      <c r="AU470" s="18"/>
      <c r="AV470" s="18"/>
      <c r="AW470" s="18"/>
      <c r="AX470" s="18"/>
      <c r="AY470" s="18"/>
      <c r="AZ470" s="18"/>
      <c r="BA470" s="18"/>
      <c r="BB470" s="18"/>
      <c r="BC470" s="18"/>
      <c r="BD470" s="18"/>
      <c r="BE470" s="18"/>
      <c r="BF470" s="18"/>
      <c r="BG470" s="18">
        <v>312.5</v>
      </c>
      <c r="BH470" s="18"/>
      <c r="BI470" s="18"/>
      <c r="BJ470" s="18">
        <v>312.5</v>
      </c>
      <c r="BK470" s="18">
        <v>312.5</v>
      </c>
    </row>
    <row r="471" spans="15:63" x14ac:dyDescent="0.3">
      <c r="O471" t="s">
        <v>1367</v>
      </c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E471" s="18"/>
      <c r="AF471" s="18"/>
      <c r="AG471" s="18"/>
      <c r="AH471" s="18"/>
      <c r="AI471" s="18"/>
      <c r="AJ471" s="18"/>
      <c r="AK471" s="18"/>
      <c r="AL471" s="18"/>
      <c r="AM471" s="18"/>
      <c r="AN471" s="18"/>
      <c r="AO471" s="18"/>
      <c r="AP471" s="18"/>
      <c r="AQ471" s="18"/>
      <c r="AR471" s="18"/>
      <c r="AS471" s="18"/>
      <c r="AT471" s="18"/>
      <c r="AU471" s="18"/>
      <c r="AV471" s="18"/>
      <c r="AW471" s="18"/>
      <c r="AX471" s="18"/>
      <c r="AY471" s="18"/>
      <c r="AZ471" s="18"/>
      <c r="BA471" s="18"/>
      <c r="BB471" s="18"/>
      <c r="BC471" s="18"/>
      <c r="BD471" s="18"/>
      <c r="BE471" s="18"/>
      <c r="BF471" s="18"/>
      <c r="BG471" s="18">
        <v>12610</v>
      </c>
      <c r="BH471" s="18"/>
      <c r="BI471" s="18"/>
      <c r="BJ471" s="18">
        <v>12610</v>
      </c>
      <c r="BK471" s="18">
        <v>12610</v>
      </c>
    </row>
    <row r="472" spans="15:63" x14ac:dyDescent="0.3">
      <c r="O472" t="s">
        <v>1408</v>
      </c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E472" s="18"/>
      <c r="AF472" s="18"/>
      <c r="AG472" s="18"/>
      <c r="AH472" s="18"/>
      <c r="AI472" s="18"/>
      <c r="AJ472" s="18"/>
      <c r="AK472" s="18"/>
      <c r="AL472" s="18"/>
      <c r="AM472" s="18"/>
      <c r="AN472" s="18"/>
      <c r="AO472" s="18"/>
      <c r="AP472" s="18"/>
      <c r="AQ472" s="18"/>
      <c r="AR472" s="18"/>
      <c r="AS472" s="18"/>
      <c r="AT472" s="18"/>
      <c r="AU472" s="18"/>
      <c r="AV472" s="18"/>
      <c r="AW472" s="18"/>
      <c r="AX472" s="18"/>
      <c r="AY472" s="18"/>
      <c r="AZ472" s="18"/>
      <c r="BA472" s="18"/>
      <c r="BB472" s="18"/>
      <c r="BC472" s="18"/>
      <c r="BD472" s="18"/>
      <c r="BE472" s="18"/>
      <c r="BF472" s="18"/>
      <c r="BG472" s="18"/>
      <c r="BH472" s="18">
        <v>30445</v>
      </c>
      <c r="BI472" s="18"/>
      <c r="BJ472" s="18">
        <v>30445</v>
      </c>
      <c r="BK472" s="18">
        <v>30445</v>
      </c>
    </row>
    <row r="473" spans="15:63" x14ac:dyDescent="0.3">
      <c r="O473" t="s">
        <v>1419</v>
      </c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  <c r="AF473" s="18"/>
      <c r="AG473" s="18"/>
      <c r="AH473" s="18"/>
      <c r="AI473" s="18"/>
      <c r="AJ473" s="18"/>
      <c r="AK473" s="18"/>
      <c r="AL473" s="18"/>
      <c r="AM473" s="18"/>
      <c r="AN473" s="18"/>
      <c r="AO473" s="18"/>
      <c r="AP473" s="18"/>
      <c r="AQ473" s="18"/>
      <c r="AR473" s="18"/>
      <c r="AS473" s="18"/>
      <c r="AT473" s="18"/>
      <c r="AU473" s="18"/>
      <c r="AV473" s="18"/>
      <c r="AW473" s="18"/>
      <c r="AX473" s="18"/>
      <c r="AY473" s="18"/>
      <c r="AZ473" s="18"/>
      <c r="BA473" s="18"/>
      <c r="BB473" s="18"/>
      <c r="BC473" s="18"/>
      <c r="BD473" s="18"/>
      <c r="BE473" s="18"/>
      <c r="BF473" s="18"/>
      <c r="BG473" s="18"/>
      <c r="BH473" s="18">
        <v>1000</v>
      </c>
      <c r="BI473" s="18"/>
      <c r="BJ473" s="18">
        <v>1000</v>
      </c>
      <c r="BK473" s="18">
        <v>1000</v>
      </c>
    </row>
    <row r="474" spans="15:63" x14ac:dyDescent="0.3">
      <c r="O474" t="s">
        <v>1434</v>
      </c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  <c r="AF474" s="18"/>
      <c r="AG474" s="18"/>
      <c r="AH474" s="18"/>
      <c r="AI474" s="18"/>
      <c r="AJ474" s="18"/>
      <c r="AK474" s="18"/>
      <c r="AL474" s="18"/>
      <c r="AM474" s="18"/>
      <c r="AN474" s="18"/>
      <c r="AO474" s="18"/>
      <c r="AP474" s="18"/>
      <c r="AQ474" s="18"/>
      <c r="AR474" s="18"/>
      <c r="AS474" s="18"/>
      <c r="AT474" s="18"/>
      <c r="AU474" s="18"/>
      <c r="AV474" s="18"/>
      <c r="AW474" s="18"/>
      <c r="AX474" s="18"/>
      <c r="AY474" s="18"/>
      <c r="AZ474" s="18"/>
      <c r="BA474" s="18"/>
      <c r="BB474" s="18"/>
      <c r="BC474" s="18"/>
      <c r="BD474" s="18"/>
      <c r="BE474" s="18"/>
      <c r="BF474" s="18"/>
      <c r="BG474" s="18"/>
      <c r="BH474" s="18">
        <v>312.5</v>
      </c>
      <c r="BI474" s="18"/>
      <c r="BJ474" s="18">
        <v>312.5</v>
      </c>
      <c r="BK474" s="18">
        <v>312.5</v>
      </c>
    </row>
    <row r="475" spans="15:63" x14ac:dyDescent="0.3">
      <c r="O475" t="s">
        <v>1435</v>
      </c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E475" s="18"/>
      <c r="AF475" s="18"/>
      <c r="AG475" s="18"/>
      <c r="AH475" s="18"/>
      <c r="AI475" s="18"/>
      <c r="AJ475" s="18"/>
      <c r="AK475" s="18"/>
      <c r="AL475" s="18"/>
      <c r="AM475" s="18"/>
      <c r="AN475" s="18"/>
      <c r="AO475" s="18"/>
      <c r="AP475" s="18"/>
      <c r="AQ475" s="18"/>
      <c r="AR475" s="18"/>
      <c r="AS475" s="18"/>
      <c r="AT475" s="18"/>
      <c r="AU475" s="18"/>
      <c r="AV475" s="18"/>
      <c r="AW475" s="18"/>
      <c r="AX475" s="18"/>
      <c r="AY475" s="18"/>
      <c r="AZ475" s="18"/>
      <c r="BA475" s="18"/>
      <c r="BB475" s="18"/>
      <c r="BC475" s="18"/>
      <c r="BD475" s="18"/>
      <c r="BE475" s="18"/>
      <c r="BF475" s="18"/>
      <c r="BG475" s="18"/>
      <c r="BH475" s="18">
        <v>15182.2</v>
      </c>
      <c r="BI475" s="18"/>
      <c r="BJ475" s="18">
        <v>15182.2</v>
      </c>
      <c r="BK475" s="18">
        <v>15182.2</v>
      </c>
    </row>
    <row r="476" spans="15:63" x14ac:dyDescent="0.3">
      <c r="O476" t="s">
        <v>1464</v>
      </c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  <c r="AG476" s="18"/>
      <c r="AH476" s="18"/>
      <c r="AI476" s="18"/>
      <c r="AJ476" s="18"/>
      <c r="AK476" s="18"/>
      <c r="AL476" s="18"/>
      <c r="AM476" s="18"/>
      <c r="AN476" s="18"/>
      <c r="AO476" s="18"/>
      <c r="AP476" s="18"/>
      <c r="AQ476" s="18"/>
      <c r="AR476" s="18"/>
      <c r="AS476" s="18"/>
      <c r="AT476" s="18"/>
      <c r="AU476" s="18"/>
      <c r="AV476" s="18"/>
      <c r="AW476" s="18"/>
      <c r="AX476" s="18"/>
      <c r="AY476" s="18"/>
      <c r="AZ476" s="18"/>
      <c r="BA476" s="18"/>
      <c r="BB476" s="18"/>
      <c r="BC476" s="18"/>
      <c r="BD476" s="18"/>
      <c r="BE476" s="18"/>
      <c r="BF476" s="18"/>
      <c r="BG476" s="18"/>
      <c r="BH476" s="18">
        <v>2466</v>
      </c>
      <c r="BI476" s="18"/>
      <c r="BJ476" s="18">
        <v>2466</v>
      </c>
      <c r="BK476" s="18">
        <v>2466</v>
      </c>
    </row>
    <row r="477" spans="15:63" x14ac:dyDescent="0.3">
      <c r="O477" t="s">
        <v>1532</v>
      </c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  <c r="AG477" s="18"/>
      <c r="AH477" s="18"/>
      <c r="AI477" s="18"/>
      <c r="AJ477" s="18"/>
      <c r="AK477" s="18"/>
      <c r="AL477" s="18"/>
      <c r="AM477" s="18"/>
      <c r="AN477" s="18"/>
      <c r="AO477" s="18"/>
      <c r="AP477" s="18"/>
      <c r="AQ477" s="18"/>
      <c r="AR477" s="18"/>
      <c r="AS477" s="18"/>
      <c r="AT477" s="18"/>
      <c r="AU477" s="18"/>
      <c r="AV477" s="18"/>
      <c r="AW477" s="18"/>
      <c r="AX477" s="18"/>
      <c r="AY477" s="18"/>
      <c r="AZ477" s="18"/>
      <c r="BA477" s="18"/>
      <c r="BB477" s="18"/>
      <c r="BC477" s="18"/>
      <c r="BD477" s="18"/>
      <c r="BE477" s="18"/>
      <c r="BF477" s="18"/>
      <c r="BG477" s="18"/>
      <c r="BH477" s="18"/>
      <c r="BI477" s="18">
        <v>187.5</v>
      </c>
      <c r="BJ477" s="18">
        <v>187.5</v>
      </c>
      <c r="BK477" s="18">
        <v>187.5</v>
      </c>
    </row>
    <row r="478" spans="15:63" x14ac:dyDescent="0.3">
      <c r="O478" t="s">
        <v>1533</v>
      </c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  <c r="AG478" s="18"/>
      <c r="AH478" s="18"/>
      <c r="AI478" s="18"/>
      <c r="AJ478" s="18"/>
      <c r="AK478" s="18"/>
      <c r="AL478" s="18"/>
      <c r="AM478" s="18"/>
      <c r="AN478" s="18"/>
      <c r="AO478" s="18"/>
      <c r="AP478" s="18"/>
      <c r="AQ478" s="18"/>
      <c r="AR478" s="18"/>
      <c r="AS478" s="18"/>
      <c r="AT478" s="18"/>
      <c r="AU478" s="18"/>
      <c r="AV478" s="18"/>
      <c r="AW478" s="18"/>
      <c r="AX478" s="18"/>
      <c r="AY478" s="18"/>
      <c r="AZ478" s="18"/>
      <c r="BA478" s="18"/>
      <c r="BB478" s="18"/>
      <c r="BC478" s="18"/>
      <c r="BD478" s="18"/>
      <c r="BE478" s="18"/>
      <c r="BF478" s="18"/>
      <c r="BG478" s="18"/>
      <c r="BH478" s="18"/>
      <c r="BI478" s="18">
        <v>10079.6</v>
      </c>
      <c r="BJ478" s="18">
        <v>10079.6</v>
      </c>
      <c r="BK478" s="18">
        <v>10079.6</v>
      </c>
    </row>
    <row r="479" spans="15:63" x14ac:dyDescent="0.3">
      <c r="O479" t="s">
        <v>1539</v>
      </c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E479" s="18"/>
      <c r="AF479" s="18"/>
      <c r="AG479" s="18"/>
      <c r="AH479" s="18"/>
      <c r="AI479" s="18"/>
      <c r="AJ479" s="18"/>
      <c r="AK479" s="18"/>
      <c r="AL479" s="18"/>
      <c r="AM479" s="18"/>
      <c r="AN479" s="18"/>
      <c r="AO479" s="18"/>
      <c r="AP479" s="18"/>
      <c r="AQ479" s="18"/>
      <c r="AR479" s="18"/>
      <c r="AS479" s="18"/>
      <c r="AT479" s="18"/>
      <c r="AU479" s="18"/>
      <c r="AV479" s="18"/>
      <c r="AW479" s="18"/>
      <c r="AX479" s="18"/>
      <c r="AY479" s="18"/>
      <c r="AZ479" s="18"/>
      <c r="BA479" s="18"/>
      <c r="BB479" s="18"/>
      <c r="BC479" s="18"/>
      <c r="BD479" s="18"/>
      <c r="BE479" s="18"/>
      <c r="BF479" s="18"/>
      <c r="BG479" s="18"/>
      <c r="BH479" s="18"/>
      <c r="BI479" s="18">
        <v>937.5</v>
      </c>
      <c r="BJ479" s="18">
        <v>937.5</v>
      </c>
      <c r="BK479" s="18">
        <v>937.5</v>
      </c>
    </row>
    <row r="480" spans="15:63" x14ac:dyDescent="0.3">
      <c r="O480" t="s">
        <v>1540</v>
      </c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  <c r="AG480" s="18"/>
      <c r="AH480" s="18"/>
      <c r="AI480" s="18"/>
      <c r="AJ480" s="18"/>
      <c r="AK480" s="18"/>
      <c r="AL480" s="18"/>
      <c r="AM480" s="18"/>
      <c r="AN480" s="18"/>
      <c r="AO480" s="18"/>
      <c r="AP480" s="18"/>
      <c r="AQ480" s="18"/>
      <c r="AR480" s="18"/>
      <c r="AS480" s="18"/>
      <c r="AT480" s="18"/>
      <c r="AU480" s="18"/>
      <c r="AV480" s="18"/>
      <c r="AW480" s="18"/>
      <c r="AX480" s="18"/>
      <c r="AY480" s="18"/>
      <c r="AZ480" s="18"/>
      <c r="BA480" s="18"/>
      <c r="BB480" s="18"/>
      <c r="BC480" s="18"/>
      <c r="BD480" s="18"/>
      <c r="BE480" s="18"/>
      <c r="BF480" s="18"/>
      <c r="BG480" s="18"/>
      <c r="BH480" s="18"/>
      <c r="BI480" s="18">
        <v>45901.2</v>
      </c>
      <c r="BJ480" s="18">
        <v>45901.2</v>
      </c>
      <c r="BK480" s="18">
        <v>45901.2</v>
      </c>
    </row>
    <row r="481" spans="15:63" x14ac:dyDescent="0.3">
      <c r="O481" t="s">
        <v>1556</v>
      </c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  <c r="AF481" s="18"/>
      <c r="AG481" s="18"/>
      <c r="AH481" s="18"/>
      <c r="AI481" s="18"/>
      <c r="AJ481" s="18"/>
      <c r="AK481" s="18"/>
      <c r="AL481" s="18"/>
      <c r="AM481" s="18"/>
      <c r="AN481" s="18"/>
      <c r="AO481" s="18"/>
      <c r="AP481" s="18"/>
      <c r="AQ481" s="18"/>
      <c r="AR481" s="18"/>
      <c r="AS481" s="18"/>
      <c r="AT481" s="18"/>
      <c r="AU481" s="18"/>
      <c r="AV481" s="18"/>
      <c r="AW481" s="18"/>
      <c r="AX481" s="18"/>
      <c r="AY481" s="18"/>
      <c r="AZ481" s="18"/>
      <c r="BA481" s="18"/>
      <c r="BB481" s="18"/>
      <c r="BC481" s="18"/>
      <c r="BD481" s="18"/>
      <c r="BE481" s="18"/>
      <c r="BF481" s="18"/>
      <c r="BG481" s="18"/>
      <c r="BH481" s="18"/>
      <c r="BI481" s="18">
        <v>187.5</v>
      </c>
      <c r="BJ481" s="18">
        <v>187.5</v>
      </c>
      <c r="BK481" s="18">
        <v>187.5</v>
      </c>
    </row>
    <row r="482" spans="15:63" x14ac:dyDescent="0.3">
      <c r="O482" t="s">
        <v>1557</v>
      </c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  <c r="AF482" s="18"/>
      <c r="AG482" s="18"/>
      <c r="AH482" s="18"/>
      <c r="AI482" s="18"/>
      <c r="AJ482" s="18"/>
      <c r="AK482" s="18"/>
      <c r="AL482" s="18"/>
      <c r="AM482" s="18"/>
      <c r="AN482" s="18"/>
      <c r="AO482" s="18"/>
      <c r="AP482" s="18"/>
      <c r="AQ482" s="18"/>
      <c r="AR482" s="18"/>
      <c r="AS482" s="18"/>
      <c r="AT482" s="18"/>
      <c r="AU482" s="18"/>
      <c r="AV482" s="18"/>
      <c r="AW482" s="18"/>
      <c r="AX482" s="18"/>
      <c r="AY482" s="18"/>
      <c r="AZ482" s="18"/>
      <c r="BA482" s="18"/>
      <c r="BB482" s="18"/>
      <c r="BC482" s="18"/>
      <c r="BD482" s="18"/>
      <c r="BE482" s="18"/>
      <c r="BF482" s="18"/>
      <c r="BG482" s="18"/>
      <c r="BH482" s="18"/>
      <c r="BI482" s="18">
        <v>10713.8</v>
      </c>
      <c r="BJ482" s="18">
        <v>10713.8</v>
      </c>
      <c r="BK482" s="18">
        <v>10713.8</v>
      </c>
    </row>
    <row r="483" spans="15:63" x14ac:dyDescent="0.3">
      <c r="O483" t="s">
        <v>1560</v>
      </c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  <c r="AG483" s="18"/>
      <c r="AH483" s="18"/>
      <c r="AI483" s="18"/>
      <c r="AJ483" s="18"/>
      <c r="AK483" s="18"/>
      <c r="AL483" s="18"/>
      <c r="AM483" s="18"/>
      <c r="AN483" s="18"/>
      <c r="AO483" s="18"/>
      <c r="AP483" s="18"/>
      <c r="AQ483" s="18"/>
      <c r="AR483" s="18"/>
      <c r="AS483" s="18"/>
      <c r="AT483" s="18"/>
      <c r="AU483" s="18"/>
      <c r="AV483" s="18"/>
      <c r="AW483" s="18"/>
      <c r="AX483" s="18"/>
      <c r="AY483" s="18"/>
      <c r="AZ483" s="18"/>
      <c r="BA483" s="18"/>
      <c r="BB483" s="18"/>
      <c r="BC483" s="18"/>
      <c r="BD483" s="18"/>
      <c r="BE483" s="18"/>
      <c r="BF483" s="18"/>
      <c r="BG483" s="18"/>
      <c r="BH483" s="18"/>
      <c r="BI483" s="18">
        <v>2815.1</v>
      </c>
      <c r="BJ483" s="18">
        <v>2815.1</v>
      </c>
      <c r="BK483" s="18">
        <v>2815.1</v>
      </c>
    </row>
    <row r="484" spans="15:63" x14ac:dyDescent="0.3">
      <c r="O484" t="s">
        <v>1634</v>
      </c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  <c r="AF484" s="18"/>
      <c r="AG484" s="18"/>
      <c r="AH484" s="18"/>
      <c r="AI484" s="18"/>
      <c r="AJ484" s="18"/>
      <c r="AK484" s="18"/>
      <c r="AL484" s="18"/>
      <c r="AM484" s="18"/>
      <c r="AN484" s="18"/>
      <c r="AO484" s="18"/>
      <c r="AP484" s="18"/>
      <c r="AQ484" s="18"/>
      <c r="AR484" s="18"/>
      <c r="AS484" s="18"/>
      <c r="AT484" s="18"/>
      <c r="AU484" s="18"/>
      <c r="AV484" s="18"/>
      <c r="AW484" s="18"/>
      <c r="AX484" s="18">
        <v>375</v>
      </c>
      <c r="AY484" s="18"/>
      <c r="AZ484" s="18"/>
      <c r="BA484" s="18"/>
      <c r="BB484" s="18"/>
      <c r="BC484" s="18"/>
      <c r="BD484" s="18"/>
      <c r="BE484" s="18"/>
      <c r="BF484" s="18"/>
      <c r="BG484" s="18"/>
      <c r="BH484" s="18"/>
      <c r="BI484" s="18"/>
      <c r="BJ484" s="18">
        <v>375</v>
      </c>
      <c r="BK484" s="18">
        <v>375</v>
      </c>
    </row>
    <row r="485" spans="15:63" x14ac:dyDescent="0.3">
      <c r="O485" t="s">
        <v>1635</v>
      </c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E485" s="18"/>
      <c r="AF485" s="18"/>
      <c r="AG485" s="18"/>
      <c r="AH485" s="18"/>
      <c r="AI485" s="18"/>
      <c r="AJ485" s="18"/>
      <c r="AK485" s="18"/>
      <c r="AL485" s="18"/>
      <c r="AM485" s="18"/>
      <c r="AN485" s="18"/>
      <c r="AO485" s="18"/>
      <c r="AP485" s="18"/>
      <c r="AQ485" s="18"/>
      <c r="AR485" s="18"/>
      <c r="AS485" s="18"/>
      <c r="AT485" s="18"/>
      <c r="AU485" s="18"/>
      <c r="AV485" s="18"/>
      <c r="AW485" s="18"/>
      <c r="AX485" s="18">
        <v>16367</v>
      </c>
      <c r="AY485" s="18"/>
      <c r="AZ485" s="18"/>
      <c r="BA485" s="18"/>
      <c r="BB485" s="18"/>
      <c r="BC485" s="18"/>
      <c r="BD485" s="18"/>
      <c r="BE485" s="18"/>
      <c r="BF485" s="18"/>
      <c r="BG485" s="18"/>
      <c r="BH485" s="18"/>
      <c r="BI485" s="18"/>
      <c r="BJ485" s="18">
        <v>16367</v>
      </c>
      <c r="BK485" s="18">
        <v>16367</v>
      </c>
    </row>
    <row r="486" spans="15:63" x14ac:dyDescent="0.3">
      <c r="O486" t="s">
        <v>1707</v>
      </c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  <c r="AF486" s="18"/>
      <c r="AG486" s="18"/>
      <c r="AH486" s="18"/>
      <c r="AI486" s="18"/>
      <c r="AJ486" s="18"/>
      <c r="AK486" s="18"/>
      <c r="AL486" s="18"/>
      <c r="AM486" s="18"/>
      <c r="AN486" s="18"/>
      <c r="AO486" s="18"/>
      <c r="AP486" s="18"/>
      <c r="AQ486" s="18"/>
      <c r="AR486" s="18"/>
      <c r="AS486" s="18"/>
      <c r="AT486" s="18"/>
      <c r="AU486" s="18"/>
      <c r="AV486" s="18"/>
      <c r="AW486" s="18"/>
      <c r="AX486" s="18"/>
      <c r="AY486" s="18">
        <v>112.9</v>
      </c>
      <c r="AZ486" s="18"/>
      <c r="BA486" s="18"/>
      <c r="BB486" s="18"/>
      <c r="BC486" s="18"/>
      <c r="BD486" s="18"/>
      <c r="BE486" s="18"/>
      <c r="BF486" s="18"/>
      <c r="BG486" s="18"/>
      <c r="BH486" s="18"/>
      <c r="BI486" s="18"/>
      <c r="BJ486" s="18">
        <v>112.9</v>
      </c>
      <c r="BK486" s="18">
        <v>112.9</v>
      </c>
    </row>
    <row r="487" spans="15:63" x14ac:dyDescent="0.3">
      <c r="O487" t="s">
        <v>1726</v>
      </c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E487" s="18"/>
      <c r="AF487" s="18"/>
      <c r="AG487" s="18"/>
      <c r="AH487" s="18"/>
      <c r="AI487" s="18"/>
      <c r="AJ487" s="18"/>
      <c r="AK487" s="18"/>
      <c r="AL487" s="18"/>
      <c r="AM487" s="18"/>
      <c r="AN487" s="18"/>
      <c r="AO487" s="18"/>
      <c r="AP487" s="18"/>
      <c r="AQ487" s="18"/>
      <c r="AR487" s="18"/>
      <c r="AS487" s="18"/>
      <c r="AT487" s="18"/>
      <c r="AU487" s="18"/>
      <c r="AV487" s="18"/>
      <c r="AW487" s="18"/>
      <c r="AX487" s="18"/>
      <c r="AY487" s="18">
        <v>62.5</v>
      </c>
      <c r="AZ487" s="18"/>
      <c r="BA487" s="18"/>
      <c r="BB487" s="18"/>
      <c r="BC487" s="18"/>
      <c r="BD487" s="18"/>
      <c r="BE487" s="18"/>
      <c r="BF487" s="18"/>
      <c r="BG487" s="18"/>
      <c r="BH487" s="18"/>
      <c r="BI487" s="18"/>
      <c r="BJ487" s="18">
        <v>62.5</v>
      </c>
      <c r="BK487" s="18">
        <v>62.5</v>
      </c>
    </row>
    <row r="488" spans="15:63" x14ac:dyDescent="0.3">
      <c r="O488" t="s">
        <v>1732</v>
      </c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E488" s="18"/>
      <c r="AF488" s="18"/>
      <c r="AG488" s="18"/>
      <c r="AH488" s="18"/>
      <c r="AI488" s="18"/>
      <c r="AJ488" s="18"/>
      <c r="AK488" s="18"/>
      <c r="AL488" s="18"/>
      <c r="AM488" s="18"/>
      <c r="AN488" s="18"/>
      <c r="AO488" s="18"/>
      <c r="AP488" s="18"/>
      <c r="AQ488" s="18"/>
      <c r="AR488" s="18"/>
      <c r="AS488" s="18"/>
      <c r="AT488" s="18"/>
      <c r="AU488" s="18"/>
      <c r="AV488" s="18"/>
      <c r="AW488" s="18"/>
      <c r="AX488" s="18"/>
      <c r="AY488" s="18">
        <v>6194</v>
      </c>
      <c r="AZ488" s="18"/>
      <c r="BA488" s="18"/>
      <c r="BB488" s="18"/>
      <c r="BC488" s="18"/>
      <c r="BD488" s="18"/>
      <c r="BE488" s="18"/>
      <c r="BF488" s="18"/>
      <c r="BG488" s="18"/>
      <c r="BH488" s="18"/>
      <c r="BI488" s="18"/>
      <c r="BJ488" s="18">
        <v>6194</v>
      </c>
      <c r="BK488" s="18">
        <v>6194</v>
      </c>
    </row>
    <row r="489" spans="15:63" x14ac:dyDescent="0.3">
      <c r="O489" t="s">
        <v>1736</v>
      </c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8"/>
      <c r="AG489" s="18"/>
      <c r="AH489" s="18"/>
      <c r="AI489" s="18"/>
      <c r="AJ489" s="18"/>
      <c r="AK489" s="18"/>
      <c r="AL489" s="18"/>
      <c r="AM489" s="18"/>
      <c r="AN489" s="18"/>
      <c r="AO489" s="18"/>
      <c r="AP489" s="18"/>
      <c r="AQ489" s="18"/>
      <c r="AR489" s="18"/>
      <c r="AS489" s="18"/>
      <c r="AT489" s="18"/>
      <c r="AU489" s="18"/>
      <c r="AV489" s="18"/>
      <c r="AW489" s="18"/>
      <c r="AX489" s="18"/>
      <c r="AY489" s="18">
        <v>187.5</v>
      </c>
      <c r="AZ489" s="18"/>
      <c r="BA489" s="18"/>
      <c r="BB489" s="18"/>
      <c r="BC489" s="18"/>
      <c r="BD489" s="18"/>
      <c r="BE489" s="18"/>
      <c r="BF489" s="18"/>
      <c r="BG489" s="18"/>
      <c r="BH489" s="18"/>
      <c r="BI489" s="18"/>
      <c r="BJ489" s="18">
        <v>187.5</v>
      </c>
      <c r="BK489" s="18">
        <v>187.5</v>
      </c>
    </row>
    <row r="490" spans="15:63" x14ac:dyDescent="0.3">
      <c r="O490" t="s">
        <v>1737</v>
      </c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  <c r="AG490" s="18"/>
      <c r="AH490" s="18"/>
      <c r="AI490" s="18"/>
      <c r="AJ490" s="18"/>
      <c r="AK490" s="18"/>
      <c r="AL490" s="18"/>
      <c r="AM490" s="18"/>
      <c r="AN490" s="18"/>
      <c r="AO490" s="18"/>
      <c r="AP490" s="18"/>
      <c r="AQ490" s="18"/>
      <c r="AR490" s="18"/>
      <c r="AS490" s="18"/>
      <c r="AT490" s="18"/>
      <c r="AU490" s="18"/>
      <c r="AV490" s="18"/>
      <c r="AW490" s="18"/>
      <c r="AX490" s="18"/>
      <c r="AY490" s="18">
        <v>7121</v>
      </c>
      <c r="AZ490" s="18"/>
      <c r="BA490" s="18"/>
      <c r="BB490" s="18"/>
      <c r="BC490" s="18"/>
      <c r="BD490" s="18"/>
      <c r="BE490" s="18"/>
      <c r="BF490" s="18"/>
      <c r="BG490" s="18"/>
      <c r="BH490" s="18"/>
      <c r="BI490" s="18"/>
      <c r="BJ490" s="18">
        <v>7121</v>
      </c>
      <c r="BK490" s="18">
        <v>7121</v>
      </c>
    </row>
    <row r="491" spans="15:63" x14ac:dyDescent="0.3">
      <c r="O491" t="s">
        <v>1800</v>
      </c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  <c r="AF491" s="18"/>
      <c r="AG491" s="18"/>
      <c r="AH491" s="18"/>
      <c r="AI491" s="18"/>
      <c r="AJ491" s="18"/>
      <c r="AK491" s="18"/>
      <c r="AL491" s="18"/>
      <c r="AM491" s="18"/>
      <c r="AN491" s="18"/>
      <c r="AO491" s="18"/>
      <c r="AP491" s="18"/>
      <c r="AQ491" s="18"/>
      <c r="AR491" s="18"/>
      <c r="AS491" s="18"/>
      <c r="AT491" s="18"/>
      <c r="AU491" s="18"/>
      <c r="AV491" s="18"/>
      <c r="AW491" s="18"/>
      <c r="AX491" s="18"/>
      <c r="AY491" s="18"/>
      <c r="AZ491" s="18">
        <v>5858</v>
      </c>
      <c r="BA491" s="18"/>
      <c r="BB491" s="18"/>
      <c r="BC491" s="18"/>
      <c r="BD491" s="18"/>
      <c r="BE491" s="18"/>
      <c r="BF491" s="18"/>
      <c r="BG491" s="18"/>
      <c r="BH491" s="18"/>
      <c r="BI491" s="18"/>
      <c r="BJ491" s="18">
        <v>5858</v>
      </c>
      <c r="BK491" s="18">
        <v>5858</v>
      </c>
    </row>
    <row r="492" spans="15:63" x14ac:dyDescent="0.3">
      <c r="O492" t="s">
        <v>1805</v>
      </c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  <c r="AG492" s="18"/>
      <c r="AH492" s="18"/>
      <c r="AI492" s="18"/>
      <c r="AJ492" s="18"/>
      <c r="AK492" s="18"/>
      <c r="AL492" s="18"/>
      <c r="AM492" s="18"/>
      <c r="AN492" s="18"/>
      <c r="AO492" s="18"/>
      <c r="AP492" s="18"/>
      <c r="AQ492" s="18"/>
      <c r="AR492" s="18"/>
      <c r="AS492" s="18"/>
      <c r="AT492" s="18"/>
      <c r="AU492" s="18"/>
      <c r="AV492" s="18"/>
      <c r="AW492" s="18"/>
      <c r="AX492" s="18"/>
      <c r="AY492" s="18"/>
      <c r="AZ492" s="18">
        <v>250</v>
      </c>
      <c r="BA492" s="18"/>
      <c r="BB492" s="18"/>
      <c r="BC492" s="18"/>
      <c r="BD492" s="18"/>
      <c r="BE492" s="18"/>
      <c r="BF492" s="18"/>
      <c r="BG492" s="18"/>
      <c r="BH492" s="18"/>
      <c r="BI492" s="18"/>
      <c r="BJ492" s="18">
        <v>250</v>
      </c>
      <c r="BK492" s="18">
        <v>250</v>
      </c>
    </row>
    <row r="493" spans="15:63" x14ac:dyDescent="0.3">
      <c r="O493" t="s">
        <v>1806</v>
      </c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  <c r="AG493" s="18"/>
      <c r="AH493" s="18"/>
      <c r="AI493" s="18"/>
      <c r="AJ493" s="18"/>
      <c r="AK493" s="18"/>
      <c r="AL493" s="18"/>
      <c r="AM493" s="18"/>
      <c r="AN493" s="18"/>
      <c r="AO493" s="18"/>
      <c r="AP493" s="18"/>
      <c r="AQ493" s="18"/>
      <c r="AR493" s="18"/>
      <c r="AS493" s="18"/>
      <c r="AT493" s="18"/>
      <c r="AU493" s="18"/>
      <c r="AV493" s="18"/>
      <c r="AW493" s="18"/>
      <c r="AX493" s="18"/>
      <c r="AY493" s="18"/>
      <c r="AZ493" s="18">
        <v>3124</v>
      </c>
      <c r="BA493" s="18"/>
      <c r="BB493" s="18"/>
      <c r="BC493" s="18"/>
      <c r="BD493" s="18"/>
      <c r="BE493" s="18"/>
      <c r="BF493" s="18"/>
      <c r="BG493" s="18"/>
      <c r="BH493" s="18"/>
      <c r="BI493" s="18"/>
      <c r="BJ493" s="18">
        <v>3124</v>
      </c>
      <c r="BK493" s="18">
        <v>3124</v>
      </c>
    </row>
    <row r="494" spans="15:63" x14ac:dyDescent="0.3">
      <c r="O494" t="s">
        <v>1807</v>
      </c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  <c r="AG494" s="18"/>
      <c r="AH494" s="18"/>
      <c r="AI494" s="18"/>
      <c r="AJ494" s="18"/>
      <c r="AK494" s="18"/>
      <c r="AL494" s="18"/>
      <c r="AM494" s="18"/>
      <c r="AN494" s="18"/>
      <c r="AO494" s="18"/>
      <c r="AP494" s="18"/>
      <c r="AQ494" s="18"/>
      <c r="AR494" s="18"/>
      <c r="AS494" s="18"/>
      <c r="AT494" s="18"/>
      <c r="AU494" s="18"/>
      <c r="AV494" s="18"/>
      <c r="AW494" s="18"/>
      <c r="AX494" s="18"/>
      <c r="AY494" s="18"/>
      <c r="AZ494" s="18">
        <v>2734</v>
      </c>
      <c r="BA494" s="18"/>
      <c r="BB494" s="18"/>
      <c r="BC494" s="18"/>
      <c r="BD494" s="18"/>
      <c r="BE494" s="18"/>
      <c r="BF494" s="18"/>
      <c r="BG494" s="18"/>
      <c r="BH494" s="18"/>
      <c r="BI494" s="18"/>
      <c r="BJ494" s="18">
        <v>2734</v>
      </c>
      <c r="BK494" s="18">
        <v>2734</v>
      </c>
    </row>
    <row r="495" spans="15:63" x14ac:dyDescent="0.3">
      <c r="O495" t="s">
        <v>1814</v>
      </c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  <c r="AJ495" s="18"/>
      <c r="AK495" s="18"/>
      <c r="AL495" s="18"/>
      <c r="AM495" s="18"/>
      <c r="AN495" s="18"/>
      <c r="AO495" s="18"/>
      <c r="AP495" s="18"/>
      <c r="AQ495" s="18"/>
      <c r="AR495" s="18"/>
      <c r="AS495" s="18"/>
      <c r="AT495" s="18"/>
      <c r="AU495" s="18"/>
      <c r="AV495" s="18"/>
      <c r="AW495" s="18"/>
      <c r="AX495" s="18"/>
      <c r="AY495" s="18"/>
      <c r="AZ495" s="18">
        <v>125</v>
      </c>
      <c r="BA495" s="18"/>
      <c r="BB495" s="18"/>
      <c r="BC495" s="18"/>
      <c r="BD495" s="18"/>
      <c r="BE495" s="18"/>
      <c r="BF495" s="18"/>
      <c r="BG495" s="18"/>
      <c r="BH495" s="18"/>
      <c r="BI495" s="18"/>
      <c r="BJ495" s="18">
        <v>125</v>
      </c>
      <c r="BK495" s="18">
        <v>125</v>
      </c>
    </row>
    <row r="496" spans="15:63" x14ac:dyDescent="0.3">
      <c r="O496" t="s">
        <v>1815</v>
      </c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  <c r="AJ496" s="18"/>
      <c r="AK496" s="18"/>
      <c r="AL496" s="18"/>
      <c r="AM496" s="18"/>
      <c r="AN496" s="18"/>
      <c r="AO496" s="18"/>
      <c r="AP496" s="18"/>
      <c r="AQ496" s="18"/>
      <c r="AR496" s="18"/>
      <c r="AS496" s="18"/>
      <c r="AT496" s="18"/>
      <c r="AU496" s="18"/>
      <c r="AV496" s="18"/>
      <c r="AW496" s="18"/>
      <c r="AX496" s="18"/>
      <c r="AY496" s="18"/>
      <c r="AZ496" s="18">
        <v>5427</v>
      </c>
      <c r="BA496" s="18"/>
      <c r="BB496" s="18"/>
      <c r="BC496" s="18"/>
      <c r="BD496" s="18"/>
      <c r="BE496" s="18"/>
      <c r="BF496" s="18"/>
      <c r="BG496" s="18"/>
      <c r="BH496" s="18"/>
      <c r="BI496" s="18"/>
      <c r="BJ496" s="18">
        <v>5427</v>
      </c>
      <c r="BK496" s="18">
        <v>5427</v>
      </c>
    </row>
    <row r="497" spans="15:63" x14ac:dyDescent="0.3">
      <c r="O497" t="s">
        <v>1825</v>
      </c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  <c r="AJ497" s="18"/>
      <c r="AK497" s="18"/>
      <c r="AL497" s="18"/>
      <c r="AM497" s="18"/>
      <c r="AN497" s="18"/>
      <c r="AO497" s="18"/>
      <c r="AP497" s="18"/>
      <c r="AQ497" s="18"/>
      <c r="AR497" s="18"/>
      <c r="AS497" s="18"/>
      <c r="AT497" s="18"/>
      <c r="AU497" s="18"/>
      <c r="AV497" s="18"/>
      <c r="AW497" s="18"/>
      <c r="AX497" s="18"/>
      <c r="AY497" s="18"/>
      <c r="AZ497" s="18">
        <v>187.5</v>
      </c>
      <c r="BA497" s="18"/>
      <c r="BB497" s="18"/>
      <c r="BC497" s="18"/>
      <c r="BD497" s="18"/>
      <c r="BE497" s="18"/>
      <c r="BF497" s="18"/>
      <c r="BG497" s="18"/>
      <c r="BH497" s="18"/>
      <c r="BI497" s="18"/>
      <c r="BJ497" s="18">
        <v>187.5</v>
      </c>
      <c r="BK497" s="18">
        <v>187.5</v>
      </c>
    </row>
    <row r="498" spans="15:63" x14ac:dyDescent="0.3">
      <c r="O498" t="s">
        <v>1826</v>
      </c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  <c r="AG498" s="18"/>
      <c r="AH498" s="18"/>
      <c r="AI498" s="18"/>
      <c r="AJ498" s="18"/>
      <c r="AK498" s="18"/>
      <c r="AL498" s="18"/>
      <c r="AM498" s="18"/>
      <c r="AN498" s="18"/>
      <c r="AO498" s="18"/>
      <c r="AP498" s="18"/>
      <c r="AQ498" s="18"/>
      <c r="AR498" s="18"/>
      <c r="AS498" s="18"/>
      <c r="AT498" s="18"/>
      <c r="AU498" s="18"/>
      <c r="AV498" s="18"/>
      <c r="AW498" s="18"/>
      <c r="AX498" s="18"/>
      <c r="AY498" s="18"/>
      <c r="AZ498" s="18">
        <v>6587</v>
      </c>
      <c r="BA498" s="18"/>
      <c r="BB498" s="18"/>
      <c r="BC498" s="18"/>
      <c r="BD498" s="18"/>
      <c r="BE498" s="18"/>
      <c r="BF498" s="18"/>
      <c r="BG498" s="18"/>
      <c r="BH498" s="18"/>
      <c r="BI498" s="18"/>
      <c r="BJ498" s="18">
        <v>6587</v>
      </c>
      <c r="BK498" s="18">
        <v>6587</v>
      </c>
    </row>
    <row r="499" spans="15:63" x14ac:dyDescent="0.3">
      <c r="O499" t="s">
        <v>1834</v>
      </c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  <c r="AG499" s="18"/>
      <c r="AH499" s="18"/>
      <c r="AI499" s="18"/>
      <c r="AJ499" s="18"/>
      <c r="AK499" s="18"/>
      <c r="AL499" s="18"/>
      <c r="AM499" s="18"/>
      <c r="AN499" s="18"/>
      <c r="AO499" s="18"/>
      <c r="AP499" s="18"/>
      <c r="AQ499" s="18"/>
      <c r="AR499" s="18"/>
      <c r="AS499" s="18"/>
      <c r="AT499" s="18"/>
      <c r="AU499" s="18"/>
      <c r="AV499" s="18"/>
      <c r="AW499" s="18"/>
      <c r="AX499" s="18"/>
      <c r="AY499" s="18"/>
      <c r="AZ499" s="18">
        <v>125</v>
      </c>
      <c r="BA499" s="18"/>
      <c r="BB499" s="18"/>
      <c r="BC499" s="18"/>
      <c r="BD499" s="18"/>
      <c r="BE499" s="18"/>
      <c r="BF499" s="18"/>
      <c r="BG499" s="18"/>
      <c r="BH499" s="18"/>
      <c r="BI499" s="18"/>
      <c r="BJ499" s="18">
        <v>125</v>
      </c>
      <c r="BK499" s="18">
        <v>125</v>
      </c>
    </row>
    <row r="500" spans="15:63" x14ac:dyDescent="0.3">
      <c r="O500" t="s">
        <v>1835</v>
      </c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  <c r="AG500" s="18"/>
      <c r="AH500" s="18"/>
      <c r="AI500" s="18"/>
      <c r="AJ500" s="18"/>
      <c r="AK500" s="18"/>
      <c r="AL500" s="18"/>
      <c r="AM500" s="18"/>
      <c r="AN500" s="18"/>
      <c r="AO500" s="18"/>
      <c r="AP500" s="18"/>
      <c r="AQ500" s="18"/>
      <c r="AR500" s="18"/>
      <c r="AS500" s="18"/>
      <c r="AT500" s="18"/>
      <c r="AU500" s="18"/>
      <c r="AV500" s="18"/>
      <c r="AW500" s="18"/>
      <c r="AX500" s="18"/>
      <c r="AY500" s="18"/>
      <c r="AZ500" s="18">
        <v>5858</v>
      </c>
      <c r="BA500" s="18"/>
      <c r="BB500" s="18"/>
      <c r="BC500" s="18"/>
      <c r="BD500" s="18"/>
      <c r="BE500" s="18"/>
      <c r="BF500" s="18"/>
      <c r="BG500" s="18"/>
      <c r="BH500" s="18"/>
      <c r="BI500" s="18"/>
      <c r="BJ500" s="18">
        <v>5858</v>
      </c>
      <c r="BK500" s="18">
        <v>5858</v>
      </c>
    </row>
    <row r="501" spans="15:63" x14ac:dyDescent="0.3">
      <c r="O501" t="s">
        <v>1877</v>
      </c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  <c r="AG501" s="18"/>
      <c r="AH501" s="18"/>
      <c r="AI501" s="18"/>
      <c r="AJ501" s="18"/>
      <c r="AK501" s="18"/>
      <c r="AL501" s="18"/>
      <c r="AM501" s="18"/>
      <c r="AN501" s="18"/>
      <c r="AO501" s="18"/>
      <c r="AP501" s="18"/>
      <c r="AQ501" s="18"/>
      <c r="AR501" s="18"/>
      <c r="AS501" s="18"/>
      <c r="AT501" s="18"/>
      <c r="AU501" s="18"/>
      <c r="AV501" s="18"/>
      <c r="AW501" s="18"/>
      <c r="AX501" s="18"/>
      <c r="AY501" s="18"/>
      <c r="AZ501" s="18"/>
      <c r="BA501" s="18">
        <v>125</v>
      </c>
      <c r="BB501" s="18"/>
      <c r="BC501" s="18"/>
      <c r="BD501" s="18"/>
      <c r="BE501" s="18"/>
      <c r="BF501" s="18"/>
      <c r="BG501" s="18"/>
      <c r="BH501" s="18"/>
      <c r="BI501" s="18"/>
      <c r="BJ501" s="18">
        <v>125</v>
      </c>
      <c r="BK501" s="18">
        <v>125</v>
      </c>
    </row>
    <row r="502" spans="15:63" x14ac:dyDescent="0.3">
      <c r="O502" t="s">
        <v>1878</v>
      </c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  <c r="AG502" s="18"/>
      <c r="AH502" s="18"/>
      <c r="AI502" s="18"/>
      <c r="AJ502" s="18"/>
      <c r="AK502" s="18"/>
      <c r="AL502" s="18"/>
      <c r="AM502" s="18"/>
      <c r="AN502" s="18"/>
      <c r="AO502" s="18"/>
      <c r="AP502" s="18"/>
      <c r="AQ502" s="18"/>
      <c r="AR502" s="18"/>
      <c r="AS502" s="18"/>
      <c r="AT502" s="18"/>
      <c r="AU502" s="18"/>
      <c r="AV502" s="18"/>
      <c r="AW502" s="18"/>
      <c r="AX502" s="18"/>
      <c r="AY502" s="18"/>
      <c r="AZ502" s="18"/>
      <c r="BA502" s="18">
        <v>4858</v>
      </c>
      <c r="BB502" s="18"/>
      <c r="BC502" s="18"/>
      <c r="BD502" s="18"/>
      <c r="BE502" s="18"/>
      <c r="BF502" s="18"/>
      <c r="BG502" s="18"/>
      <c r="BH502" s="18"/>
      <c r="BI502" s="18"/>
      <c r="BJ502" s="18">
        <v>4858</v>
      </c>
      <c r="BK502" s="18">
        <v>4858</v>
      </c>
    </row>
    <row r="503" spans="15:63" x14ac:dyDescent="0.3">
      <c r="O503" t="s">
        <v>1882</v>
      </c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  <c r="AF503" s="18"/>
      <c r="AG503" s="18"/>
      <c r="AH503" s="18"/>
      <c r="AI503" s="18"/>
      <c r="AJ503" s="18"/>
      <c r="AK503" s="18"/>
      <c r="AL503" s="18"/>
      <c r="AM503" s="18"/>
      <c r="AN503" s="18"/>
      <c r="AO503" s="18"/>
      <c r="AP503" s="18"/>
      <c r="AQ503" s="18"/>
      <c r="AR503" s="18"/>
      <c r="AS503" s="18"/>
      <c r="AT503" s="18"/>
      <c r="AU503" s="18"/>
      <c r="AV503" s="18"/>
      <c r="AW503" s="18"/>
      <c r="AX503" s="18"/>
      <c r="AY503" s="18"/>
      <c r="AZ503" s="18"/>
      <c r="BA503" s="18">
        <v>125</v>
      </c>
      <c r="BB503" s="18"/>
      <c r="BC503" s="18"/>
      <c r="BD503" s="18"/>
      <c r="BE503" s="18"/>
      <c r="BF503" s="18"/>
      <c r="BG503" s="18"/>
      <c r="BH503" s="18"/>
      <c r="BI503" s="18"/>
      <c r="BJ503" s="18">
        <v>125</v>
      </c>
      <c r="BK503" s="18">
        <v>125</v>
      </c>
    </row>
    <row r="504" spans="15:63" x14ac:dyDescent="0.3">
      <c r="O504" t="s">
        <v>1883</v>
      </c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  <c r="AG504" s="18"/>
      <c r="AH504" s="18"/>
      <c r="AI504" s="18"/>
      <c r="AJ504" s="18"/>
      <c r="AK504" s="18"/>
      <c r="AL504" s="18"/>
      <c r="AM504" s="18"/>
      <c r="AN504" s="18"/>
      <c r="AO504" s="18"/>
      <c r="AP504" s="18"/>
      <c r="AQ504" s="18"/>
      <c r="AR504" s="18"/>
      <c r="AS504" s="18"/>
      <c r="AT504" s="18"/>
      <c r="AU504" s="18"/>
      <c r="AV504" s="18"/>
      <c r="AW504" s="18"/>
      <c r="AX504" s="18"/>
      <c r="AY504" s="18"/>
      <c r="AZ504" s="18"/>
      <c r="BA504" s="18">
        <v>5946</v>
      </c>
      <c r="BB504" s="18"/>
      <c r="BC504" s="18"/>
      <c r="BD504" s="18"/>
      <c r="BE504" s="18"/>
      <c r="BF504" s="18"/>
      <c r="BG504" s="18"/>
      <c r="BH504" s="18"/>
      <c r="BI504" s="18"/>
      <c r="BJ504" s="18">
        <v>5946</v>
      </c>
      <c r="BK504" s="18">
        <v>5946</v>
      </c>
    </row>
    <row r="505" spans="15:63" x14ac:dyDescent="0.3">
      <c r="O505" t="s">
        <v>1892</v>
      </c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G505" s="18"/>
      <c r="AH505" s="18"/>
      <c r="AI505" s="18"/>
      <c r="AJ505" s="18"/>
      <c r="AK505" s="18"/>
      <c r="AL505" s="18"/>
      <c r="AM505" s="18"/>
      <c r="AN505" s="18"/>
      <c r="AO505" s="18"/>
      <c r="AP505" s="18"/>
      <c r="AQ505" s="18"/>
      <c r="AR505" s="18"/>
      <c r="AS505" s="18"/>
      <c r="AT505" s="18"/>
      <c r="AU505" s="18"/>
      <c r="AV505" s="18"/>
      <c r="AW505" s="18"/>
      <c r="AX505" s="18"/>
      <c r="AY505" s="18"/>
      <c r="AZ505" s="18"/>
      <c r="BA505" s="18">
        <v>125</v>
      </c>
      <c r="BB505" s="18"/>
      <c r="BC505" s="18"/>
      <c r="BD505" s="18"/>
      <c r="BE505" s="18"/>
      <c r="BF505" s="18"/>
      <c r="BG505" s="18"/>
      <c r="BH505" s="18"/>
      <c r="BI505" s="18"/>
      <c r="BJ505" s="18">
        <v>125</v>
      </c>
      <c r="BK505" s="18">
        <v>125</v>
      </c>
    </row>
    <row r="506" spans="15:63" x14ac:dyDescent="0.3">
      <c r="O506" t="s">
        <v>1893</v>
      </c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  <c r="AG506" s="18"/>
      <c r="AH506" s="18"/>
      <c r="AI506" s="18"/>
      <c r="AJ506" s="18"/>
      <c r="AK506" s="18"/>
      <c r="AL506" s="18"/>
      <c r="AM506" s="18"/>
      <c r="AN506" s="18"/>
      <c r="AO506" s="18"/>
      <c r="AP506" s="18"/>
      <c r="AQ506" s="18"/>
      <c r="AR506" s="18"/>
      <c r="AS506" s="18"/>
      <c r="AT506" s="18"/>
      <c r="AU506" s="18"/>
      <c r="AV506" s="18"/>
      <c r="AW506" s="18"/>
      <c r="AX506" s="18"/>
      <c r="AY506" s="18"/>
      <c r="AZ506" s="18"/>
      <c r="BA506" s="18">
        <v>5746</v>
      </c>
      <c r="BB506" s="18"/>
      <c r="BC506" s="18"/>
      <c r="BD506" s="18"/>
      <c r="BE506" s="18"/>
      <c r="BF506" s="18"/>
      <c r="BG506" s="18"/>
      <c r="BH506" s="18"/>
      <c r="BI506" s="18"/>
      <c r="BJ506" s="18">
        <v>5746</v>
      </c>
      <c r="BK506" s="18">
        <v>5746</v>
      </c>
    </row>
    <row r="507" spans="15:63" x14ac:dyDescent="0.3">
      <c r="O507" t="s">
        <v>1901</v>
      </c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  <c r="AG507" s="18"/>
      <c r="AH507" s="18"/>
      <c r="AI507" s="18"/>
      <c r="AJ507" s="18"/>
      <c r="AK507" s="18"/>
      <c r="AL507" s="18"/>
      <c r="AM507" s="18"/>
      <c r="AN507" s="18"/>
      <c r="AO507" s="18"/>
      <c r="AP507" s="18"/>
      <c r="AQ507" s="18"/>
      <c r="AR507" s="18"/>
      <c r="AS507" s="18"/>
      <c r="AT507" s="18"/>
      <c r="AU507" s="18"/>
      <c r="AV507" s="18"/>
      <c r="AW507" s="18"/>
      <c r="AX507" s="18"/>
      <c r="AY507" s="18"/>
      <c r="AZ507" s="18"/>
      <c r="BA507" s="18">
        <v>125</v>
      </c>
      <c r="BB507" s="18"/>
      <c r="BC507" s="18"/>
      <c r="BD507" s="18"/>
      <c r="BE507" s="18"/>
      <c r="BF507" s="18"/>
      <c r="BG507" s="18"/>
      <c r="BH507" s="18"/>
      <c r="BI507" s="18"/>
      <c r="BJ507" s="18">
        <v>125</v>
      </c>
      <c r="BK507" s="18">
        <v>125</v>
      </c>
    </row>
    <row r="508" spans="15:63" x14ac:dyDescent="0.3">
      <c r="O508" t="s">
        <v>1902</v>
      </c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  <c r="AG508" s="18"/>
      <c r="AH508" s="18"/>
      <c r="AI508" s="18"/>
      <c r="AJ508" s="18"/>
      <c r="AK508" s="18"/>
      <c r="AL508" s="18"/>
      <c r="AM508" s="18"/>
      <c r="AN508" s="18"/>
      <c r="AO508" s="18"/>
      <c r="AP508" s="18"/>
      <c r="AQ508" s="18"/>
      <c r="AR508" s="18"/>
      <c r="AS508" s="18"/>
      <c r="AT508" s="18"/>
      <c r="AU508" s="18"/>
      <c r="AV508" s="18"/>
      <c r="AW508" s="18"/>
      <c r="AX508" s="18"/>
      <c r="AY508" s="18"/>
      <c r="AZ508" s="18"/>
      <c r="BA508" s="18">
        <v>5326</v>
      </c>
      <c r="BB508" s="18"/>
      <c r="BC508" s="18"/>
      <c r="BD508" s="18"/>
      <c r="BE508" s="18"/>
      <c r="BF508" s="18"/>
      <c r="BG508" s="18"/>
      <c r="BH508" s="18"/>
      <c r="BI508" s="18"/>
      <c r="BJ508" s="18">
        <v>5326</v>
      </c>
      <c r="BK508" s="18">
        <v>5326</v>
      </c>
    </row>
    <row r="509" spans="15:63" x14ac:dyDescent="0.3">
      <c r="O509" t="s">
        <v>1904</v>
      </c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  <c r="AG509" s="18"/>
      <c r="AH509" s="18"/>
      <c r="AI509" s="18"/>
      <c r="AJ509" s="18"/>
      <c r="AK509" s="18"/>
      <c r="AL509" s="18"/>
      <c r="AM509" s="18"/>
      <c r="AN509" s="18"/>
      <c r="AO509" s="18"/>
      <c r="AP509" s="18"/>
      <c r="AQ509" s="18"/>
      <c r="AR509" s="18"/>
      <c r="AS509" s="18"/>
      <c r="AT509" s="18"/>
      <c r="AU509" s="18"/>
      <c r="AV509" s="18"/>
      <c r="AW509" s="18"/>
      <c r="AX509" s="18"/>
      <c r="AY509" s="18"/>
      <c r="AZ509" s="18"/>
      <c r="BA509" s="18">
        <v>125</v>
      </c>
      <c r="BB509" s="18"/>
      <c r="BC509" s="18"/>
      <c r="BD509" s="18"/>
      <c r="BE509" s="18"/>
      <c r="BF509" s="18"/>
      <c r="BG509" s="18"/>
      <c r="BH509" s="18"/>
      <c r="BI509" s="18"/>
      <c r="BJ509" s="18">
        <v>125</v>
      </c>
      <c r="BK509" s="18">
        <v>125</v>
      </c>
    </row>
    <row r="510" spans="15:63" x14ac:dyDescent="0.3">
      <c r="O510" t="s">
        <v>1905</v>
      </c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  <c r="AG510" s="18"/>
      <c r="AH510" s="18"/>
      <c r="AI510" s="18"/>
      <c r="AJ510" s="18"/>
      <c r="AK510" s="18"/>
      <c r="AL510" s="18"/>
      <c r="AM510" s="18"/>
      <c r="AN510" s="18"/>
      <c r="AO510" s="18"/>
      <c r="AP510" s="18"/>
      <c r="AQ510" s="18"/>
      <c r="AR510" s="18"/>
      <c r="AS510" s="18"/>
      <c r="AT510" s="18"/>
      <c r="AU510" s="18"/>
      <c r="AV510" s="18"/>
      <c r="AW510" s="18"/>
      <c r="AX510" s="18"/>
      <c r="AY510" s="18"/>
      <c r="AZ510" s="18"/>
      <c r="BA510" s="18">
        <v>5502</v>
      </c>
      <c r="BB510" s="18"/>
      <c r="BC510" s="18"/>
      <c r="BD510" s="18"/>
      <c r="BE510" s="18"/>
      <c r="BF510" s="18"/>
      <c r="BG510" s="18"/>
      <c r="BH510" s="18"/>
      <c r="BI510" s="18"/>
      <c r="BJ510" s="18">
        <v>5502</v>
      </c>
      <c r="BK510" s="18">
        <v>5502</v>
      </c>
    </row>
    <row r="511" spans="15:63" x14ac:dyDescent="0.3">
      <c r="O511" t="s">
        <v>1911</v>
      </c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  <c r="AG511" s="18"/>
      <c r="AH511" s="18"/>
      <c r="AI511" s="18"/>
      <c r="AJ511" s="18"/>
      <c r="AK511" s="18"/>
      <c r="AL511" s="18"/>
      <c r="AM511" s="18"/>
      <c r="AN511" s="18"/>
      <c r="AO511" s="18"/>
      <c r="AP511" s="18"/>
      <c r="AQ511" s="18"/>
      <c r="AR511" s="18"/>
      <c r="AS511" s="18"/>
      <c r="AT511" s="18"/>
      <c r="AU511" s="18"/>
      <c r="AV511" s="18"/>
      <c r="AW511" s="18"/>
      <c r="AX511" s="18"/>
      <c r="AY511" s="18"/>
      <c r="AZ511" s="18"/>
      <c r="BA511" s="18">
        <v>125</v>
      </c>
      <c r="BB511" s="18"/>
      <c r="BC511" s="18"/>
      <c r="BD511" s="18"/>
      <c r="BE511" s="18"/>
      <c r="BF511" s="18"/>
      <c r="BG511" s="18"/>
      <c r="BH511" s="18"/>
      <c r="BI511" s="18"/>
      <c r="BJ511" s="18">
        <v>125</v>
      </c>
      <c r="BK511" s="18">
        <v>125</v>
      </c>
    </row>
    <row r="512" spans="15:63" x14ac:dyDescent="0.3">
      <c r="O512" t="s">
        <v>1912</v>
      </c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  <c r="AG512" s="18"/>
      <c r="AH512" s="18"/>
      <c r="AI512" s="18"/>
      <c r="AJ512" s="18"/>
      <c r="AK512" s="18"/>
      <c r="AL512" s="18"/>
      <c r="AM512" s="18"/>
      <c r="AN512" s="18"/>
      <c r="AO512" s="18"/>
      <c r="AP512" s="18"/>
      <c r="AQ512" s="18"/>
      <c r="AR512" s="18"/>
      <c r="AS512" s="18"/>
      <c r="AT512" s="18"/>
      <c r="AU512" s="18"/>
      <c r="AV512" s="18"/>
      <c r="AW512" s="18"/>
      <c r="AX512" s="18"/>
      <c r="AY512" s="18"/>
      <c r="AZ512" s="18"/>
      <c r="BA512" s="18">
        <v>6326</v>
      </c>
      <c r="BB512" s="18"/>
      <c r="BC512" s="18"/>
      <c r="BD512" s="18"/>
      <c r="BE512" s="18"/>
      <c r="BF512" s="18"/>
      <c r="BG512" s="18"/>
      <c r="BH512" s="18"/>
      <c r="BI512" s="18"/>
      <c r="BJ512" s="18">
        <v>6326</v>
      </c>
      <c r="BK512" s="18">
        <v>6326</v>
      </c>
    </row>
    <row r="513" spans="14:63" x14ac:dyDescent="0.3">
      <c r="O513" t="s">
        <v>1922</v>
      </c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  <c r="AH513" s="18"/>
      <c r="AI513" s="18"/>
      <c r="AJ513" s="18"/>
      <c r="AK513" s="18"/>
      <c r="AL513" s="18"/>
      <c r="AM513" s="18"/>
      <c r="AN513" s="18"/>
      <c r="AO513" s="18"/>
      <c r="AP513" s="18"/>
      <c r="AQ513" s="18"/>
      <c r="AR513" s="18"/>
      <c r="AS513" s="18"/>
      <c r="AT513" s="18"/>
      <c r="AU513" s="18"/>
      <c r="AV513" s="18"/>
      <c r="AW513" s="18"/>
      <c r="AX513" s="18"/>
      <c r="AY513" s="18"/>
      <c r="AZ513" s="18"/>
      <c r="BA513" s="18">
        <v>500</v>
      </c>
      <c r="BB513" s="18"/>
      <c r="BC513" s="18"/>
      <c r="BD513" s="18"/>
      <c r="BE513" s="18"/>
      <c r="BF513" s="18"/>
      <c r="BG513" s="18"/>
      <c r="BH513" s="18"/>
      <c r="BI513" s="18"/>
      <c r="BJ513" s="18">
        <v>500</v>
      </c>
      <c r="BK513" s="18">
        <v>500</v>
      </c>
    </row>
    <row r="514" spans="14:63" x14ac:dyDescent="0.3">
      <c r="O514" t="s">
        <v>1924</v>
      </c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  <c r="AJ514" s="18"/>
      <c r="AK514" s="18"/>
      <c r="AL514" s="18"/>
      <c r="AM514" s="18"/>
      <c r="AN514" s="18"/>
      <c r="AO514" s="18"/>
      <c r="AP514" s="18"/>
      <c r="AQ514" s="18"/>
      <c r="AR514" s="18"/>
      <c r="AS514" s="18"/>
      <c r="AT514" s="18"/>
      <c r="AU514" s="18"/>
      <c r="AV514" s="18"/>
      <c r="AW514" s="18"/>
      <c r="AX514" s="18"/>
      <c r="AY514" s="18"/>
      <c r="AZ514" s="18"/>
      <c r="BA514" s="18">
        <v>21572</v>
      </c>
      <c r="BB514" s="18"/>
      <c r="BC514" s="18"/>
      <c r="BD514" s="18"/>
      <c r="BE514" s="18"/>
      <c r="BF514" s="18"/>
      <c r="BG514" s="18"/>
      <c r="BH514" s="18"/>
      <c r="BI514" s="18"/>
      <c r="BJ514" s="18">
        <v>21572</v>
      </c>
      <c r="BK514" s="18">
        <v>21572</v>
      </c>
    </row>
    <row r="515" spans="14:63" x14ac:dyDescent="0.3">
      <c r="O515" t="s">
        <v>1926</v>
      </c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  <c r="AF515" s="18"/>
      <c r="AG515" s="18"/>
      <c r="AH515" s="18"/>
      <c r="AI515" s="18"/>
      <c r="AJ515" s="18"/>
      <c r="AK515" s="18"/>
      <c r="AL515" s="18"/>
      <c r="AM515" s="18"/>
      <c r="AN515" s="18"/>
      <c r="AO515" s="18"/>
      <c r="AP515" s="18"/>
      <c r="AQ515" s="18"/>
      <c r="AR515" s="18"/>
      <c r="AS515" s="18"/>
      <c r="AT515" s="18"/>
      <c r="AU515" s="18"/>
      <c r="AV515" s="18"/>
      <c r="AW515" s="18"/>
      <c r="AX515" s="18"/>
      <c r="AY515" s="18"/>
      <c r="AZ515" s="18"/>
      <c r="BA515" s="18">
        <v>312.5</v>
      </c>
      <c r="BB515" s="18"/>
      <c r="BC515" s="18"/>
      <c r="BD515" s="18"/>
      <c r="BE515" s="18"/>
      <c r="BF515" s="18"/>
      <c r="BG515" s="18"/>
      <c r="BH515" s="18"/>
      <c r="BI515" s="18"/>
      <c r="BJ515" s="18">
        <v>312.5</v>
      </c>
      <c r="BK515" s="18">
        <v>312.5</v>
      </c>
    </row>
    <row r="516" spans="14:63" x14ac:dyDescent="0.3">
      <c r="O516" t="s">
        <v>1927</v>
      </c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  <c r="AH516" s="18"/>
      <c r="AI516" s="18"/>
      <c r="AJ516" s="18"/>
      <c r="AK516" s="18"/>
      <c r="AL516" s="18"/>
      <c r="AM516" s="18"/>
      <c r="AN516" s="18"/>
      <c r="AO516" s="18"/>
      <c r="AP516" s="18"/>
      <c r="AQ516" s="18"/>
      <c r="AR516" s="18"/>
      <c r="AS516" s="18"/>
      <c r="AT516" s="18"/>
      <c r="AU516" s="18"/>
      <c r="AV516" s="18"/>
      <c r="AW516" s="18"/>
      <c r="AX516" s="18"/>
      <c r="AY516" s="18"/>
      <c r="AZ516" s="18"/>
      <c r="BA516" s="18">
        <v>14117</v>
      </c>
      <c r="BB516" s="18"/>
      <c r="BC516" s="18"/>
      <c r="BD516" s="18"/>
      <c r="BE516" s="18"/>
      <c r="BF516" s="18"/>
      <c r="BG516" s="18"/>
      <c r="BH516" s="18"/>
      <c r="BI516" s="18"/>
      <c r="BJ516" s="18">
        <v>14117</v>
      </c>
      <c r="BK516" s="18">
        <v>14117</v>
      </c>
    </row>
    <row r="517" spans="14:63" x14ac:dyDescent="0.3">
      <c r="O517" t="s">
        <v>1995</v>
      </c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  <c r="AF517" s="18"/>
      <c r="AG517" s="18"/>
      <c r="AH517" s="18"/>
      <c r="AI517" s="18"/>
      <c r="AJ517" s="18"/>
      <c r="AK517" s="18"/>
      <c r="AL517" s="18"/>
      <c r="AM517" s="18"/>
      <c r="AN517" s="18"/>
      <c r="AO517" s="18"/>
      <c r="AP517" s="18"/>
      <c r="AQ517" s="18"/>
      <c r="AR517" s="18"/>
      <c r="AS517" s="18"/>
      <c r="AT517" s="18"/>
      <c r="AU517" s="18"/>
      <c r="AV517" s="18"/>
      <c r="AW517" s="18"/>
      <c r="AX517" s="18"/>
      <c r="AY517" s="18"/>
      <c r="AZ517" s="18"/>
      <c r="BA517" s="18"/>
      <c r="BB517" s="18">
        <v>125</v>
      </c>
      <c r="BC517" s="18"/>
      <c r="BD517" s="18"/>
      <c r="BE517" s="18"/>
      <c r="BF517" s="18"/>
      <c r="BG517" s="18"/>
      <c r="BH517" s="18"/>
      <c r="BI517" s="18"/>
      <c r="BJ517" s="18">
        <v>125</v>
      </c>
      <c r="BK517" s="18">
        <v>125</v>
      </c>
    </row>
    <row r="518" spans="14:63" x14ac:dyDescent="0.3">
      <c r="O518" t="s">
        <v>1996</v>
      </c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  <c r="AF518" s="18"/>
      <c r="AG518" s="18"/>
      <c r="AH518" s="18"/>
      <c r="AI518" s="18"/>
      <c r="AJ518" s="18"/>
      <c r="AK518" s="18"/>
      <c r="AL518" s="18"/>
      <c r="AM518" s="18"/>
      <c r="AN518" s="18"/>
      <c r="AO518" s="18"/>
      <c r="AP518" s="18"/>
      <c r="AQ518" s="18"/>
      <c r="AR518" s="18"/>
      <c r="AS518" s="18"/>
      <c r="AT518" s="18"/>
      <c r="AU518" s="18"/>
      <c r="AV518" s="18"/>
      <c r="AW518" s="18"/>
      <c r="AX518" s="18"/>
      <c r="AY518" s="18"/>
      <c r="AZ518" s="18"/>
      <c r="BA518" s="18"/>
      <c r="BB518" s="18">
        <v>6038</v>
      </c>
      <c r="BC518" s="18"/>
      <c r="BD518" s="18"/>
      <c r="BE518" s="18"/>
      <c r="BF518" s="18"/>
      <c r="BG518" s="18"/>
      <c r="BH518" s="18"/>
      <c r="BI518" s="18"/>
      <c r="BJ518" s="18">
        <v>6038</v>
      </c>
      <c r="BK518" s="18">
        <v>6038</v>
      </c>
    </row>
    <row r="519" spans="14:63" x14ac:dyDescent="0.3">
      <c r="O519" t="s">
        <v>2001</v>
      </c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  <c r="AG519" s="18"/>
      <c r="AH519" s="18"/>
      <c r="AI519" s="18"/>
      <c r="AJ519" s="18"/>
      <c r="AK519" s="18"/>
      <c r="AL519" s="18"/>
      <c r="AM519" s="18"/>
      <c r="AN519" s="18"/>
      <c r="AO519" s="18"/>
      <c r="AP519" s="18"/>
      <c r="AQ519" s="18"/>
      <c r="AR519" s="18"/>
      <c r="AS519" s="18"/>
      <c r="AT519" s="18"/>
      <c r="AU519" s="18"/>
      <c r="AV519" s="18"/>
      <c r="AW519" s="18"/>
      <c r="AX519" s="18"/>
      <c r="AY519" s="18"/>
      <c r="AZ519" s="18"/>
      <c r="BA519" s="18"/>
      <c r="BB519" s="18">
        <v>610</v>
      </c>
      <c r="BC519" s="18"/>
      <c r="BD519" s="18"/>
      <c r="BE519" s="18"/>
      <c r="BF519" s="18"/>
      <c r="BG519" s="18"/>
      <c r="BH519" s="18"/>
      <c r="BI519" s="18"/>
      <c r="BJ519" s="18">
        <v>610</v>
      </c>
      <c r="BK519" s="18">
        <v>610</v>
      </c>
    </row>
    <row r="520" spans="14:63" x14ac:dyDescent="0.3">
      <c r="O520" t="s">
        <v>2003</v>
      </c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  <c r="AG520" s="18"/>
      <c r="AH520" s="18"/>
      <c r="AI520" s="18"/>
      <c r="AJ520" s="18"/>
      <c r="AK520" s="18"/>
      <c r="AL520" s="18"/>
      <c r="AM520" s="18"/>
      <c r="AN520" s="18"/>
      <c r="AO520" s="18"/>
      <c r="AP520" s="18"/>
      <c r="AQ520" s="18"/>
      <c r="AR520" s="18"/>
      <c r="AS520" s="18"/>
      <c r="AT520" s="18"/>
      <c r="AU520" s="18"/>
      <c r="AV520" s="18"/>
      <c r="AW520" s="18"/>
      <c r="AX520" s="18"/>
      <c r="AY520" s="18"/>
      <c r="AZ520" s="18"/>
      <c r="BA520" s="18"/>
      <c r="BB520" s="18">
        <v>1025</v>
      </c>
      <c r="BC520" s="18"/>
      <c r="BD520" s="18"/>
      <c r="BE520" s="18"/>
      <c r="BF520" s="18"/>
      <c r="BG520" s="18"/>
      <c r="BH520" s="18"/>
      <c r="BI520" s="18"/>
      <c r="BJ520" s="18">
        <v>1025</v>
      </c>
      <c r="BK520" s="18">
        <v>1025</v>
      </c>
    </row>
    <row r="521" spans="14:63" x14ac:dyDescent="0.3">
      <c r="N521" s="17" t="s">
        <v>423</v>
      </c>
      <c r="O521" s="17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  <c r="AA521" s="19"/>
      <c r="AB521" s="19">
        <v>62331.199999999997</v>
      </c>
      <c r="AC521" s="19">
        <v>71817.5</v>
      </c>
      <c r="AD521" s="19">
        <v>70070.899999999994</v>
      </c>
      <c r="AE521" s="19"/>
      <c r="AF521" s="19"/>
      <c r="AG521" s="19"/>
      <c r="AH521" s="19"/>
      <c r="AI521" s="19"/>
      <c r="AJ521" s="19">
        <v>204219.6</v>
      </c>
      <c r="AK521" s="19">
        <v>36697.5</v>
      </c>
      <c r="AL521" s="19">
        <v>29559</v>
      </c>
      <c r="AM521" s="19">
        <v>16419.599999999999</v>
      </c>
      <c r="AN521" s="19">
        <v>47697.5</v>
      </c>
      <c r="AO521" s="19">
        <v>113864.3</v>
      </c>
      <c r="AP521" s="19">
        <v>32526.899999999998</v>
      </c>
      <c r="AQ521" s="19">
        <v>135322.6</v>
      </c>
      <c r="AR521" s="19">
        <v>56934</v>
      </c>
      <c r="AS521" s="19">
        <v>10639</v>
      </c>
      <c r="AT521" s="19">
        <v>55176</v>
      </c>
      <c r="AU521" s="19">
        <v>90633</v>
      </c>
      <c r="AV521" s="19">
        <v>93599.5</v>
      </c>
      <c r="AW521" s="19">
        <v>719068.89999999991</v>
      </c>
      <c r="AX521" s="19">
        <v>16742</v>
      </c>
      <c r="AY521" s="19">
        <v>13677.9</v>
      </c>
      <c r="AZ521" s="19">
        <v>30275.5</v>
      </c>
      <c r="BA521" s="19">
        <v>70955.5</v>
      </c>
      <c r="BB521" s="19">
        <v>7798</v>
      </c>
      <c r="BC521" s="19"/>
      <c r="BD521" s="19"/>
      <c r="BE521" s="19">
        <v>100417.3</v>
      </c>
      <c r="BF521" s="19">
        <v>103918.5</v>
      </c>
      <c r="BG521" s="19">
        <v>102281.5</v>
      </c>
      <c r="BH521" s="19">
        <v>49405.7</v>
      </c>
      <c r="BI521" s="19">
        <v>70822.2</v>
      </c>
      <c r="BJ521" s="19">
        <v>566294.10000000009</v>
      </c>
      <c r="BK521" s="19">
        <v>1489582.6000000003</v>
      </c>
    </row>
    <row r="522" spans="14:63" x14ac:dyDescent="0.3">
      <c r="N522" t="s">
        <v>470</v>
      </c>
      <c r="O522" t="s">
        <v>471</v>
      </c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>
        <v>240</v>
      </c>
      <c r="AD522" s="18"/>
      <c r="AE522" s="18"/>
      <c r="AF522" s="18"/>
      <c r="AG522" s="18"/>
      <c r="AH522" s="18"/>
      <c r="AI522" s="18"/>
      <c r="AJ522" s="18">
        <v>240</v>
      </c>
      <c r="AK522" s="18"/>
      <c r="AL522" s="18"/>
      <c r="AM522" s="18"/>
      <c r="AN522" s="18"/>
      <c r="AO522" s="18"/>
      <c r="AP522" s="18"/>
      <c r="AQ522" s="18"/>
      <c r="AR522" s="18"/>
      <c r="AS522" s="18"/>
      <c r="AT522" s="18"/>
      <c r="AU522" s="18"/>
      <c r="AV522" s="18"/>
      <c r="AW522" s="18"/>
      <c r="AX522" s="18"/>
      <c r="AY522" s="18"/>
      <c r="AZ522" s="18"/>
      <c r="BA522" s="18"/>
      <c r="BB522" s="18"/>
      <c r="BC522" s="18"/>
      <c r="BD522" s="18"/>
      <c r="BE522" s="18"/>
      <c r="BF522" s="18"/>
      <c r="BG522" s="18"/>
      <c r="BH522" s="18"/>
      <c r="BI522" s="18"/>
      <c r="BJ522" s="18"/>
      <c r="BK522" s="18">
        <v>240</v>
      </c>
    </row>
    <row r="523" spans="14:63" x14ac:dyDescent="0.3">
      <c r="N523" s="17" t="s">
        <v>484</v>
      </c>
      <c r="O523" s="17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  <c r="AA523" s="19"/>
      <c r="AB523" s="19"/>
      <c r="AC523" s="19">
        <v>240</v>
      </c>
      <c r="AD523" s="19"/>
      <c r="AE523" s="19"/>
      <c r="AF523" s="19"/>
      <c r="AG523" s="19"/>
      <c r="AH523" s="19"/>
      <c r="AI523" s="19"/>
      <c r="AJ523" s="19">
        <v>240</v>
      </c>
      <c r="AK523" s="19"/>
      <c r="AL523" s="19"/>
      <c r="AM523" s="19"/>
      <c r="AN523" s="19"/>
      <c r="AO523" s="19"/>
      <c r="AP523" s="19"/>
      <c r="AQ523" s="19"/>
      <c r="AR523" s="19"/>
      <c r="AS523" s="19"/>
      <c r="AT523" s="19"/>
      <c r="AU523" s="19"/>
      <c r="AV523" s="19"/>
      <c r="AW523" s="19"/>
      <c r="AX523" s="19"/>
      <c r="AY523" s="19"/>
      <c r="AZ523" s="19"/>
      <c r="BA523" s="19"/>
      <c r="BB523" s="19"/>
      <c r="BC523" s="19"/>
      <c r="BD523" s="19"/>
      <c r="BE523" s="19"/>
      <c r="BF523" s="19"/>
      <c r="BG523" s="19"/>
      <c r="BH523" s="19"/>
      <c r="BI523" s="19"/>
      <c r="BJ523" s="19"/>
      <c r="BK523" s="19">
        <v>240</v>
      </c>
    </row>
    <row r="524" spans="14:63" x14ac:dyDescent="0.3">
      <c r="N524" t="s">
        <v>492</v>
      </c>
      <c r="O524" t="s">
        <v>473</v>
      </c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>
        <v>2024</v>
      </c>
      <c r="AD524" s="18"/>
      <c r="AE524" s="18"/>
      <c r="AF524" s="18"/>
      <c r="AG524" s="18"/>
      <c r="AH524" s="18"/>
      <c r="AI524" s="18"/>
      <c r="AJ524" s="18">
        <v>2024</v>
      </c>
      <c r="AK524" s="18"/>
      <c r="AL524" s="18"/>
      <c r="AM524" s="18"/>
      <c r="AN524" s="18"/>
      <c r="AO524" s="18"/>
      <c r="AP524" s="18"/>
      <c r="AQ524" s="18"/>
      <c r="AR524" s="18"/>
      <c r="AS524" s="18"/>
      <c r="AT524" s="18"/>
      <c r="AU524" s="18"/>
      <c r="AV524" s="18"/>
      <c r="AW524" s="18"/>
      <c r="AX524" s="18"/>
      <c r="AY524" s="18"/>
      <c r="AZ524" s="18"/>
      <c r="BA524" s="18"/>
      <c r="BB524" s="18"/>
      <c r="BC524" s="18"/>
      <c r="BD524" s="18"/>
      <c r="BE524" s="18"/>
      <c r="BF524" s="18"/>
      <c r="BG524" s="18"/>
      <c r="BH524" s="18"/>
      <c r="BI524" s="18"/>
      <c r="BJ524" s="18"/>
      <c r="BK524" s="18">
        <v>2024</v>
      </c>
    </row>
    <row r="525" spans="14:63" x14ac:dyDescent="0.3">
      <c r="O525" t="s">
        <v>607</v>
      </c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  <c r="AG525" s="18"/>
      <c r="AH525" s="18"/>
      <c r="AI525" s="18"/>
      <c r="AJ525" s="18"/>
      <c r="AK525" s="18"/>
      <c r="AL525" s="18"/>
      <c r="AM525" s="18"/>
      <c r="AN525" s="18"/>
      <c r="AO525" s="18"/>
      <c r="AP525" s="18"/>
      <c r="AQ525" s="18"/>
      <c r="AR525" s="18"/>
      <c r="AS525" s="18">
        <v>5822</v>
      </c>
      <c r="AT525" s="18"/>
      <c r="AU525" s="18"/>
      <c r="AV525" s="18"/>
      <c r="AW525" s="18">
        <v>5822</v>
      </c>
      <c r="AX525" s="18"/>
      <c r="AY525" s="18"/>
      <c r="AZ525" s="18"/>
      <c r="BA525" s="18"/>
      <c r="BB525" s="18"/>
      <c r="BC525" s="18"/>
      <c r="BD525" s="18"/>
      <c r="BE525" s="18"/>
      <c r="BF525" s="18"/>
      <c r="BG525" s="18"/>
      <c r="BH525" s="18"/>
      <c r="BI525" s="18"/>
      <c r="BJ525" s="18"/>
      <c r="BK525" s="18">
        <v>5822</v>
      </c>
    </row>
    <row r="526" spans="14:63" x14ac:dyDescent="0.3">
      <c r="O526" t="s">
        <v>634</v>
      </c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  <c r="AF526" s="18"/>
      <c r="AG526" s="18"/>
      <c r="AH526" s="18"/>
      <c r="AI526" s="18"/>
      <c r="AJ526" s="18"/>
      <c r="AK526" s="18"/>
      <c r="AL526" s="18"/>
      <c r="AM526" s="18"/>
      <c r="AN526" s="18"/>
      <c r="AO526" s="18"/>
      <c r="AP526" s="18"/>
      <c r="AQ526" s="18"/>
      <c r="AR526" s="18"/>
      <c r="AS526" s="18"/>
      <c r="AT526" s="18">
        <v>6301</v>
      </c>
      <c r="AU526" s="18"/>
      <c r="AV526" s="18"/>
      <c r="AW526" s="18">
        <v>6301</v>
      </c>
      <c r="AX526" s="18"/>
      <c r="AY526" s="18"/>
      <c r="AZ526" s="18"/>
      <c r="BA526" s="18"/>
      <c r="BB526" s="18"/>
      <c r="BC526" s="18"/>
      <c r="BD526" s="18"/>
      <c r="BE526" s="18"/>
      <c r="BF526" s="18"/>
      <c r="BG526" s="18"/>
      <c r="BH526" s="18"/>
      <c r="BI526" s="18"/>
      <c r="BJ526" s="18"/>
      <c r="BK526" s="18">
        <v>6301</v>
      </c>
    </row>
    <row r="527" spans="14:63" x14ac:dyDescent="0.3">
      <c r="O527" t="s">
        <v>652</v>
      </c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  <c r="AF527" s="18"/>
      <c r="AG527" s="18"/>
      <c r="AH527" s="18"/>
      <c r="AI527" s="18"/>
      <c r="AJ527" s="18"/>
      <c r="AK527" s="18"/>
      <c r="AL527" s="18"/>
      <c r="AM527" s="18"/>
      <c r="AN527" s="18"/>
      <c r="AO527" s="18"/>
      <c r="AP527" s="18"/>
      <c r="AQ527" s="18"/>
      <c r="AR527" s="18"/>
      <c r="AS527" s="18"/>
      <c r="AT527" s="18">
        <v>8127.5</v>
      </c>
      <c r="AU527" s="18"/>
      <c r="AV527" s="18"/>
      <c r="AW527" s="18">
        <v>8127.5</v>
      </c>
      <c r="AX527" s="18"/>
      <c r="AY527" s="18"/>
      <c r="AZ527" s="18"/>
      <c r="BA527" s="18"/>
      <c r="BB527" s="18"/>
      <c r="BC527" s="18"/>
      <c r="BD527" s="18"/>
      <c r="BE527" s="18"/>
      <c r="BF527" s="18"/>
      <c r="BG527" s="18"/>
      <c r="BH527" s="18"/>
      <c r="BI527" s="18"/>
      <c r="BJ527" s="18"/>
      <c r="BK527" s="18">
        <v>8127.5</v>
      </c>
    </row>
    <row r="528" spans="14:63" x14ac:dyDescent="0.3">
      <c r="O528" t="s">
        <v>681</v>
      </c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  <c r="AG528" s="18"/>
      <c r="AH528" s="18"/>
      <c r="AI528" s="18"/>
      <c r="AJ528" s="18"/>
      <c r="AK528" s="18"/>
      <c r="AL528" s="18"/>
      <c r="AM528" s="18"/>
      <c r="AN528" s="18"/>
      <c r="AO528" s="18"/>
      <c r="AP528" s="18"/>
      <c r="AQ528" s="18"/>
      <c r="AR528" s="18"/>
      <c r="AS528" s="18"/>
      <c r="AT528" s="18"/>
      <c r="AU528" s="18">
        <v>6083.5</v>
      </c>
      <c r="AV528" s="18"/>
      <c r="AW528" s="18">
        <v>6083.5</v>
      </c>
      <c r="AX528" s="18"/>
      <c r="AY528" s="18"/>
      <c r="AZ528" s="18"/>
      <c r="BA528" s="18"/>
      <c r="BB528" s="18"/>
      <c r="BC528" s="18"/>
      <c r="BD528" s="18"/>
      <c r="BE528" s="18"/>
      <c r="BF528" s="18"/>
      <c r="BG528" s="18"/>
      <c r="BH528" s="18"/>
      <c r="BI528" s="18"/>
      <c r="BJ528" s="18"/>
      <c r="BK528" s="18">
        <v>6083.5</v>
      </c>
    </row>
    <row r="529" spans="15:63" x14ac:dyDescent="0.3">
      <c r="O529" t="s">
        <v>695</v>
      </c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  <c r="AF529" s="18"/>
      <c r="AG529" s="18"/>
      <c r="AH529" s="18"/>
      <c r="AI529" s="18"/>
      <c r="AJ529" s="18"/>
      <c r="AK529" s="18"/>
      <c r="AL529" s="18"/>
      <c r="AM529" s="18"/>
      <c r="AN529" s="18"/>
      <c r="AO529" s="18"/>
      <c r="AP529" s="18"/>
      <c r="AQ529" s="18"/>
      <c r="AR529" s="18"/>
      <c r="AS529" s="18"/>
      <c r="AT529" s="18"/>
      <c r="AU529" s="18">
        <v>5746</v>
      </c>
      <c r="AV529" s="18"/>
      <c r="AW529" s="18">
        <v>5746</v>
      </c>
      <c r="AX529" s="18"/>
      <c r="AY529" s="18"/>
      <c r="AZ529" s="18"/>
      <c r="BA529" s="18"/>
      <c r="BB529" s="18"/>
      <c r="BC529" s="18"/>
      <c r="BD529" s="18"/>
      <c r="BE529" s="18"/>
      <c r="BF529" s="18"/>
      <c r="BG529" s="18"/>
      <c r="BH529" s="18"/>
      <c r="BI529" s="18"/>
      <c r="BJ529" s="18"/>
      <c r="BK529" s="18">
        <v>5746</v>
      </c>
    </row>
    <row r="530" spans="15:63" x14ac:dyDescent="0.3">
      <c r="O530" t="s">
        <v>725</v>
      </c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  <c r="AG530" s="18"/>
      <c r="AH530" s="18"/>
      <c r="AI530" s="18"/>
      <c r="AJ530" s="18"/>
      <c r="AK530" s="18"/>
      <c r="AL530" s="18"/>
      <c r="AM530" s="18"/>
      <c r="AN530" s="18"/>
      <c r="AO530" s="18"/>
      <c r="AP530" s="18"/>
      <c r="AQ530" s="18"/>
      <c r="AR530" s="18"/>
      <c r="AS530" s="18"/>
      <c r="AT530" s="18"/>
      <c r="AU530" s="18">
        <v>5458</v>
      </c>
      <c r="AV530" s="18"/>
      <c r="AW530" s="18">
        <v>5458</v>
      </c>
      <c r="AX530" s="18"/>
      <c r="AY530" s="18"/>
      <c r="AZ530" s="18"/>
      <c r="BA530" s="18"/>
      <c r="BB530" s="18"/>
      <c r="BC530" s="18"/>
      <c r="BD530" s="18"/>
      <c r="BE530" s="18"/>
      <c r="BF530" s="18"/>
      <c r="BG530" s="18"/>
      <c r="BH530" s="18"/>
      <c r="BI530" s="18"/>
      <c r="BJ530" s="18"/>
      <c r="BK530" s="18">
        <v>5458</v>
      </c>
    </row>
    <row r="531" spans="15:63" x14ac:dyDescent="0.3">
      <c r="O531" t="s">
        <v>782</v>
      </c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8"/>
      <c r="AG531" s="18"/>
      <c r="AH531" s="18"/>
      <c r="AI531" s="18"/>
      <c r="AJ531" s="18"/>
      <c r="AK531" s="18"/>
      <c r="AL531" s="18"/>
      <c r="AM531" s="18"/>
      <c r="AN531" s="18"/>
      <c r="AO531" s="18"/>
      <c r="AP531" s="18"/>
      <c r="AQ531" s="18"/>
      <c r="AR531" s="18"/>
      <c r="AS531" s="18"/>
      <c r="AT531" s="18"/>
      <c r="AU531" s="18"/>
      <c r="AV531" s="18">
        <v>3484</v>
      </c>
      <c r="AW531" s="18">
        <v>3484</v>
      </c>
      <c r="AX531" s="18"/>
      <c r="AY531" s="18"/>
      <c r="AZ531" s="18"/>
      <c r="BA531" s="18"/>
      <c r="BB531" s="18"/>
      <c r="BC531" s="18"/>
      <c r="BD531" s="18"/>
      <c r="BE531" s="18"/>
      <c r="BF531" s="18"/>
      <c r="BG531" s="18"/>
      <c r="BH531" s="18"/>
      <c r="BI531" s="18"/>
      <c r="BJ531" s="18"/>
      <c r="BK531" s="18">
        <v>3484</v>
      </c>
    </row>
    <row r="532" spans="15:63" x14ac:dyDescent="0.3">
      <c r="O532" t="s">
        <v>798</v>
      </c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  <c r="AF532" s="18"/>
      <c r="AG532" s="18"/>
      <c r="AH532" s="18"/>
      <c r="AI532" s="18"/>
      <c r="AJ532" s="18"/>
      <c r="AK532" s="18"/>
      <c r="AL532" s="18"/>
      <c r="AM532" s="18"/>
      <c r="AN532" s="18"/>
      <c r="AO532" s="18"/>
      <c r="AP532" s="18"/>
      <c r="AQ532" s="18"/>
      <c r="AR532" s="18"/>
      <c r="AS532" s="18"/>
      <c r="AT532" s="18"/>
      <c r="AU532" s="18"/>
      <c r="AV532" s="18">
        <v>3241</v>
      </c>
      <c r="AW532" s="18">
        <v>3241</v>
      </c>
      <c r="AX532" s="18"/>
      <c r="AY532" s="18"/>
      <c r="AZ532" s="18"/>
      <c r="BA532" s="18"/>
      <c r="BB532" s="18"/>
      <c r="BC532" s="18"/>
      <c r="BD532" s="18"/>
      <c r="BE532" s="18"/>
      <c r="BF532" s="18"/>
      <c r="BG532" s="18"/>
      <c r="BH532" s="18"/>
      <c r="BI532" s="18"/>
      <c r="BJ532" s="18"/>
      <c r="BK532" s="18">
        <v>3241</v>
      </c>
    </row>
    <row r="533" spans="15:63" x14ac:dyDescent="0.3">
      <c r="O533" t="s">
        <v>834</v>
      </c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  <c r="AE533" s="18"/>
      <c r="AF533" s="18"/>
      <c r="AG533" s="18"/>
      <c r="AH533" s="18"/>
      <c r="AI533" s="18"/>
      <c r="AJ533" s="18"/>
      <c r="AK533" s="18">
        <v>2746</v>
      </c>
      <c r="AL533" s="18"/>
      <c r="AM533" s="18"/>
      <c r="AN533" s="18"/>
      <c r="AO533" s="18"/>
      <c r="AP533" s="18"/>
      <c r="AQ533" s="18"/>
      <c r="AR533" s="18"/>
      <c r="AS533" s="18"/>
      <c r="AT533" s="18"/>
      <c r="AU533" s="18"/>
      <c r="AV533" s="18"/>
      <c r="AW533" s="18">
        <v>2746</v>
      </c>
      <c r="AX533" s="18"/>
      <c r="AY533" s="18"/>
      <c r="AZ533" s="18"/>
      <c r="BA533" s="18"/>
      <c r="BB533" s="18"/>
      <c r="BC533" s="18"/>
      <c r="BD533" s="18"/>
      <c r="BE533" s="18"/>
      <c r="BF533" s="18"/>
      <c r="BG533" s="18"/>
      <c r="BH533" s="18"/>
      <c r="BI533" s="18"/>
      <c r="BJ533" s="18"/>
      <c r="BK533" s="18">
        <v>2746</v>
      </c>
    </row>
    <row r="534" spans="15:63" x14ac:dyDescent="0.3">
      <c r="O534" t="s">
        <v>845</v>
      </c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  <c r="AG534" s="18"/>
      <c r="AH534" s="18"/>
      <c r="AI534" s="18"/>
      <c r="AJ534" s="18"/>
      <c r="AK534" s="18">
        <v>3374.5</v>
      </c>
      <c r="AL534" s="18"/>
      <c r="AM534" s="18"/>
      <c r="AN534" s="18"/>
      <c r="AO534" s="18"/>
      <c r="AP534" s="18"/>
      <c r="AQ534" s="18"/>
      <c r="AR534" s="18"/>
      <c r="AS534" s="18"/>
      <c r="AT534" s="18"/>
      <c r="AU534" s="18"/>
      <c r="AV534" s="18"/>
      <c r="AW534" s="18">
        <v>3374.5</v>
      </c>
      <c r="AX534" s="18"/>
      <c r="AY534" s="18"/>
      <c r="AZ534" s="18"/>
      <c r="BA534" s="18"/>
      <c r="BB534" s="18"/>
      <c r="BC534" s="18"/>
      <c r="BD534" s="18"/>
      <c r="BE534" s="18"/>
      <c r="BF534" s="18"/>
      <c r="BG534" s="18"/>
      <c r="BH534" s="18"/>
      <c r="BI534" s="18"/>
      <c r="BJ534" s="18"/>
      <c r="BK534" s="18">
        <v>3374.5</v>
      </c>
    </row>
    <row r="535" spans="15:63" x14ac:dyDescent="0.3">
      <c r="O535" t="s">
        <v>872</v>
      </c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  <c r="AF535" s="18"/>
      <c r="AG535" s="18"/>
      <c r="AH535" s="18"/>
      <c r="AI535" s="18"/>
      <c r="AJ535" s="18"/>
      <c r="AK535" s="18"/>
      <c r="AL535" s="18">
        <v>2180</v>
      </c>
      <c r="AM535" s="18"/>
      <c r="AN535" s="18"/>
      <c r="AO535" s="18"/>
      <c r="AP535" s="18"/>
      <c r="AQ535" s="18"/>
      <c r="AR535" s="18"/>
      <c r="AS535" s="18"/>
      <c r="AT535" s="18"/>
      <c r="AU535" s="18"/>
      <c r="AV535" s="18"/>
      <c r="AW535" s="18">
        <v>2180</v>
      </c>
      <c r="AX535" s="18"/>
      <c r="AY535" s="18"/>
      <c r="AZ535" s="18"/>
      <c r="BA535" s="18"/>
      <c r="BB535" s="18"/>
      <c r="BC535" s="18"/>
      <c r="BD535" s="18"/>
      <c r="BE535" s="18"/>
      <c r="BF535" s="18"/>
      <c r="BG535" s="18"/>
      <c r="BH535" s="18"/>
      <c r="BI535" s="18"/>
      <c r="BJ535" s="18"/>
      <c r="BK535" s="18">
        <v>2180</v>
      </c>
    </row>
    <row r="536" spans="15:63" x14ac:dyDescent="0.3">
      <c r="O536" t="s">
        <v>908</v>
      </c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  <c r="AG536" s="18"/>
      <c r="AH536" s="18"/>
      <c r="AI536" s="18"/>
      <c r="AJ536" s="18"/>
      <c r="AK536" s="18"/>
      <c r="AL536" s="18"/>
      <c r="AM536" s="18">
        <v>3459</v>
      </c>
      <c r="AN536" s="18"/>
      <c r="AO536" s="18"/>
      <c r="AP536" s="18"/>
      <c r="AQ536" s="18"/>
      <c r="AR536" s="18"/>
      <c r="AS536" s="18"/>
      <c r="AT536" s="18"/>
      <c r="AU536" s="18"/>
      <c r="AV536" s="18"/>
      <c r="AW536" s="18">
        <v>3459</v>
      </c>
      <c r="AX536" s="18"/>
      <c r="AY536" s="18"/>
      <c r="AZ536" s="18"/>
      <c r="BA536" s="18"/>
      <c r="BB536" s="18"/>
      <c r="BC536" s="18"/>
      <c r="BD536" s="18"/>
      <c r="BE536" s="18"/>
      <c r="BF536" s="18"/>
      <c r="BG536" s="18"/>
      <c r="BH536" s="18"/>
      <c r="BI536" s="18"/>
      <c r="BJ536" s="18"/>
      <c r="BK536" s="18">
        <v>3459</v>
      </c>
    </row>
    <row r="537" spans="15:63" x14ac:dyDescent="0.3">
      <c r="O537" t="s">
        <v>933</v>
      </c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  <c r="AG537" s="18"/>
      <c r="AH537" s="18"/>
      <c r="AI537" s="18"/>
      <c r="AJ537" s="18"/>
      <c r="AK537" s="18"/>
      <c r="AL537" s="18"/>
      <c r="AM537" s="18"/>
      <c r="AN537" s="18">
        <v>2251</v>
      </c>
      <c r="AO537" s="18"/>
      <c r="AP537" s="18"/>
      <c r="AQ537" s="18"/>
      <c r="AR537" s="18"/>
      <c r="AS537" s="18"/>
      <c r="AT537" s="18"/>
      <c r="AU537" s="18"/>
      <c r="AV537" s="18"/>
      <c r="AW537" s="18">
        <v>2251</v>
      </c>
      <c r="AX537" s="18"/>
      <c r="AY537" s="18"/>
      <c r="AZ537" s="18"/>
      <c r="BA537" s="18"/>
      <c r="BB537" s="18"/>
      <c r="BC537" s="18"/>
      <c r="BD537" s="18"/>
      <c r="BE537" s="18"/>
      <c r="BF537" s="18"/>
      <c r="BG537" s="18"/>
      <c r="BH537" s="18"/>
      <c r="BI537" s="18"/>
      <c r="BJ537" s="18"/>
      <c r="BK537" s="18">
        <v>2251</v>
      </c>
    </row>
    <row r="538" spans="15:63" x14ac:dyDescent="0.3">
      <c r="O538" t="s">
        <v>938</v>
      </c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  <c r="AF538" s="18"/>
      <c r="AG538" s="18"/>
      <c r="AH538" s="18"/>
      <c r="AI538" s="18"/>
      <c r="AJ538" s="18"/>
      <c r="AK538" s="18"/>
      <c r="AL538" s="18"/>
      <c r="AM538" s="18"/>
      <c r="AN538" s="18">
        <v>3655.7</v>
      </c>
      <c r="AO538" s="18"/>
      <c r="AP538" s="18"/>
      <c r="AQ538" s="18"/>
      <c r="AR538" s="18"/>
      <c r="AS538" s="18"/>
      <c r="AT538" s="18"/>
      <c r="AU538" s="18"/>
      <c r="AV538" s="18"/>
      <c r="AW538" s="18">
        <v>3655.7</v>
      </c>
      <c r="AX538" s="18"/>
      <c r="AY538" s="18"/>
      <c r="AZ538" s="18"/>
      <c r="BA538" s="18"/>
      <c r="BB538" s="18"/>
      <c r="BC538" s="18"/>
      <c r="BD538" s="18"/>
      <c r="BE538" s="18"/>
      <c r="BF538" s="18"/>
      <c r="BG538" s="18"/>
      <c r="BH538" s="18"/>
      <c r="BI538" s="18"/>
      <c r="BJ538" s="18"/>
      <c r="BK538" s="18">
        <v>3655.7</v>
      </c>
    </row>
    <row r="539" spans="15:63" x14ac:dyDescent="0.3">
      <c r="O539" t="s">
        <v>951</v>
      </c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  <c r="AE539" s="18"/>
      <c r="AF539" s="18"/>
      <c r="AG539" s="18"/>
      <c r="AH539" s="18"/>
      <c r="AI539" s="18"/>
      <c r="AJ539" s="18"/>
      <c r="AK539" s="18"/>
      <c r="AL539" s="18"/>
      <c r="AM539" s="18"/>
      <c r="AN539" s="18">
        <v>3595.6</v>
      </c>
      <c r="AO539" s="18"/>
      <c r="AP539" s="18"/>
      <c r="AQ539" s="18"/>
      <c r="AR539" s="18"/>
      <c r="AS539" s="18"/>
      <c r="AT539" s="18"/>
      <c r="AU539" s="18"/>
      <c r="AV539" s="18"/>
      <c r="AW539" s="18">
        <v>3595.6</v>
      </c>
      <c r="AX539" s="18"/>
      <c r="AY539" s="18"/>
      <c r="AZ539" s="18"/>
      <c r="BA539" s="18"/>
      <c r="BB539" s="18"/>
      <c r="BC539" s="18"/>
      <c r="BD539" s="18"/>
      <c r="BE539" s="18"/>
      <c r="BF539" s="18"/>
      <c r="BG539" s="18"/>
      <c r="BH539" s="18"/>
      <c r="BI539" s="18"/>
      <c r="BJ539" s="18"/>
      <c r="BK539" s="18">
        <v>3595.6</v>
      </c>
    </row>
    <row r="540" spans="15:63" x14ac:dyDescent="0.3">
      <c r="O540" t="s">
        <v>994</v>
      </c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  <c r="AF540" s="18"/>
      <c r="AG540" s="18"/>
      <c r="AH540" s="18"/>
      <c r="AI540" s="18"/>
      <c r="AJ540" s="18"/>
      <c r="AK540" s="18"/>
      <c r="AL540" s="18"/>
      <c r="AM540" s="18"/>
      <c r="AN540" s="18"/>
      <c r="AO540" s="18">
        <v>2636.5</v>
      </c>
      <c r="AP540" s="18"/>
      <c r="AQ540" s="18"/>
      <c r="AR540" s="18"/>
      <c r="AS540" s="18"/>
      <c r="AT540" s="18"/>
      <c r="AU540" s="18"/>
      <c r="AV540" s="18"/>
      <c r="AW540" s="18">
        <v>2636.5</v>
      </c>
      <c r="AX540" s="18"/>
      <c r="AY540" s="18"/>
      <c r="AZ540" s="18"/>
      <c r="BA540" s="18"/>
      <c r="BB540" s="18"/>
      <c r="BC540" s="18"/>
      <c r="BD540" s="18"/>
      <c r="BE540" s="18"/>
      <c r="BF540" s="18"/>
      <c r="BG540" s="18"/>
      <c r="BH540" s="18"/>
      <c r="BI540" s="18"/>
      <c r="BJ540" s="18"/>
      <c r="BK540" s="18">
        <v>2636.5</v>
      </c>
    </row>
    <row r="541" spans="15:63" x14ac:dyDescent="0.3">
      <c r="O541" t="s">
        <v>1001</v>
      </c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  <c r="AG541" s="18"/>
      <c r="AH541" s="18"/>
      <c r="AI541" s="18"/>
      <c r="AJ541" s="18"/>
      <c r="AK541" s="18"/>
      <c r="AL541" s="18"/>
      <c r="AM541" s="18"/>
      <c r="AN541" s="18"/>
      <c r="AO541" s="18">
        <v>2570</v>
      </c>
      <c r="AP541" s="18"/>
      <c r="AQ541" s="18"/>
      <c r="AR541" s="18"/>
      <c r="AS541" s="18"/>
      <c r="AT541" s="18"/>
      <c r="AU541" s="18"/>
      <c r="AV541" s="18"/>
      <c r="AW541" s="18">
        <v>2570</v>
      </c>
      <c r="AX541" s="18"/>
      <c r="AY541" s="18"/>
      <c r="AZ541" s="18"/>
      <c r="BA541" s="18"/>
      <c r="BB541" s="18"/>
      <c r="BC541" s="18"/>
      <c r="BD541" s="18"/>
      <c r="BE541" s="18"/>
      <c r="BF541" s="18"/>
      <c r="BG541" s="18"/>
      <c r="BH541" s="18"/>
      <c r="BI541" s="18"/>
      <c r="BJ541" s="18"/>
      <c r="BK541" s="18">
        <v>2570</v>
      </c>
    </row>
    <row r="542" spans="15:63" x14ac:dyDescent="0.3">
      <c r="O542" t="s">
        <v>1012</v>
      </c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  <c r="AE542" s="18"/>
      <c r="AF542" s="18"/>
      <c r="AG542" s="18"/>
      <c r="AH542" s="18"/>
      <c r="AI542" s="18"/>
      <c r="AJ542" s="18"/>
      <c r="AK542" s="18"/>
      <c r="AL542" s="18"/>
      <c r="AM542" s="18"/>
      <c r="AN542" s="18"/>
      <c r="AO542" s="18">
        <v>2837</v>
      </c>
      <c r="AP542" s="18"/>
      <c r="AQ542" s="18"/>
      <c r="AR542" s="18"/>
      <c r="AS542" s="18"/>
      <c r="AT542" s="18"/>
      <c r="AU542" s="18"/>
      <c r="AV542" s="18"/>
      <c r="AW542" s="18">
        <v>2837</v>
      </c>
      <c r="AX542" s="18"/>
      <c r="AY542" s="18"/>
      <c r="AZ542" s="18"/>
      <c r="BA542" s="18"/>
      <c r="BB542" s="18"/>
      <c r="BC542" s="18"/>
      <c r="BD542" s="18"/>
      <c r="BE542" s="18"/>
      <c r="BF542" s="18"/>
      <c r="BG542" s="18"/>
      <c r="BH542" s="18"/>
      <c r="BI542" s="18"/>
      <c r="BJ542" s="18"/>
      <c r="BK542" s="18">
        <v>2837</v>
      </c>
    </row>
    <row r="543" spans="15:63" x14ac:dyDescent="0.3">
      <c r="O543" t="s">
        <v>1016</v>
      </c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  <c r="AE543" s="18"/>
      <c r="AF543" s="18"/>
      <c r="AG543" s="18"/>
      <c r="AH543" s="18"/>
      <c r="AI543" s="18"/>
      <c r="AJ543" s="18"/>
      <c r="AK543" s="18"/>
      <c r="AL543" s="18"/>
      <c r="AM543" s="18"/>
      <c r="AN543" s="18"/>
      <c r="AO543" s="18">
        <v>3095</v>
      </c>
      <c r="AP543" s="18"/>
      <c r="AQ543" s="18"/>
      <c r="AR543" s="18"/>
      <c r="AS543" s="18"/>
      <c r="AT543" s="18"/>
      <c r="AU543" s="18"/>
      <c r="AV543" s="18"/>
      <c r="AW543" s="18">
        <v>3095</v>
      </c>
      <c r="AX543" s="18"/>
      <c r="AY543" s="18"/>
      <c r="AZ543" s="18"/>
      <c r="BA543" s="18"/>
      <c r="BB543" s="18"/>
      <c r="BC543" s="18"/>
      <c r="BD543" s="18"/>
      <c r="BE543" s="18"/>
      <c r="BF543" s="18"/>
      <c r="BG543" s="18"/>
      <c r="BH543" s="18"/>
      <c r="BI543" s="18"/>
      <c r="BJ543" s="18"/>
      <c r="BK543" s="18">
        <v>3095</v>
      </c>
    </row>
    <row r="544" spans="15:63" x14ac:dyDescent="0.3">
      <c r="O544" t="s">
        <v>1064</v>
      </c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  <c r="AG544" s="18"/>
      <c r="AH544" s="18"/>
      <c r="AI544" s="18"/>
      <c r="AJ544" s="18"/>
      <c r="AK544" s="18"/>
      <c r="AL544" s="18"/>
      <c r="AM544" s="18"/>
      <c r="AN544" s="18"/>
      <c r="AO544" s="18"/>
      <c r="AP544" s="18">
        <v>3094</v>
      </c>
      <c r="AQ544" s="18"/>
      <c r="AR544" s="18"/>
      <c r="AS544" s="18"/>
      <c r="AT544" s="18"/>
      <c r="AU544" s="18"/>
      <c r="AV544" s="18"/>
      <c r="AW544" s="18">
        <v>3094</v>
      </c>
      <c r="AX544" s="18"/>
      <c r="AY544" s="18"/>
      <c r="AZ544" s="18"/>
      <c r="BA544" s="18"/>
      <c r="BB544" s="18"/>
      <c r="BC544" s="18"/>
      <c r="BD544" s="18"/>
      <c r="BE544" s="18"/>
      <c r="BF544" s="18"/>
      <c r="BG544" s="18"/>
      <c r="BH544" s="18"/>
      <c r="BI544" s="18"/>
      <c r="BJ544" s="18"/>
      <c r="BK544" s="18">
        <v>3094</v>
      </c>
    </row>
    <row r="545" spans="15:63" x14ac:dyDescent="0.3">
      <c r="O545" t="s">
        <v>1120</v>
      </c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  <c r="AE545" s="18"/>
      <c r="AF545" s="18"/>
      <c r="AG545" s="18"/>
      <c r="AH545" s="18"/>
      <c r="AI545" s="18"/>
      <c r="AJ545" s="18"/>
      <c r="AK545" s="18"/>
      <c r="AL545" s="18"/>
      <c r="AM545" s="18"/>
      <c r="AN545" s="18"/>
      <c r="AO545" s="18"/>
      <c r="AP545" s="18"/>
      <c r="AQ545" s="18">
        <v>3067</v>
      </c>
      <c r="AR545" s="18"/>
      <c r="AS545" s="18"/>
      <c r="AT545" s="18"/>
      <c r="AU545" s="18"/>
      <c r="AV545" s="18"/>
      <c r="AW545" s="18">
        <v>3067</v>
      </c>
      <c r="AX545" s="18"/>
      <c r="AY545" s="18"/>
      <c r="AZ545" s="18"/>
      <c r="BA545" s="18"/>
      <c r="BB545" s="18"/>
      <c r="BC545" s="18"/>
      <c r="BD545" s="18"/>
      <c r="BE545" s="18"/>
      <c r="BF545" s="18"/>
      <c r="BG545" s="18"/>
      <c r="BH545" s="18"/>
      <c r="BI545" s="18"/>
      <c r="BJ545" s="18"/>
      <c r="BK545" s="18">
        <v>3067</v>
      </c>
    </row>
    <row r="546" spans="15:63" x14ac:dyDescent="0.3">
      <c r="O546" t="s">
        <v>1124</v>
      </c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  <c r="AF546" s="18"/>
      <c r="AG546" s="18"/>
      <c r="AH546" s="18"/>
      <c r="AI546" s="18"/>
      <c r="AJ546" s="18"/>
      <c r="AK546" s="18"/>
      <c r="AL546" s="18"/>
      <c r="AM546" s="18"/>
      <c r="AN546" s="18"/>
      <c r="AO546" s="18"/>
      <c r="AP546" s="18"/>
      <c r="AQ546" s="18">
        <v>2842</v>
      </c>
      <c r="AR546" s="18"/>
      <c r="AS546" s="18"/>
      <c r="AT546" s="18"/>
      <c r="AU546" s="18"/>
      <c r="AV546" s="18"/>
      <c r="AW546" s="18">
        <v>2842</v>
      </c>
      <c r="AX546" s="18"/>
      <c r="AY546" s="18"/>
      <c r="AZ546" s="18"/>
      <c r="BA546" s="18"/>
      <c r="BB546" s="18"/>
      <c r="BC546" s="18"/>
      <c r="BD546" s="18"/>
      <c r="BE546" s="18"/>
      <c r="BF546" s="18"/>
      <c r="BG546" s="18"/>
      <c r="BH546" s="18"/>
      <c r="BI546" s="18"/>
      <c r="BJ546" s="18"/>
      <c r="BK546" s="18">
        <v>2842</v>
      </c>
    </row>
    <row r="547" spans="15:63" x14ac:dyDescent="0.3">
      <c r="O547" t="s">
        <v>1136</v>
      </c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  <c r="AG547" s="18"/>
      <c r="AH547" s="18"/>
      <c r="AI547" s="18"/>
      <c r="AJ547" s="18"/>
      <c r="AK547" s="18"/>
      <c r="AL547" s="18"/>
      <c r="AM547" s="18"/>
      <c r="AN547" s="18"/>
      <c r="AO547" s="18"/>
      <c r="AP547" s="18"/>
      <c r="AQ547" s="18">
        <v>2842</v>
      </c>
      <c r="AR547" s="18"/>
      <c r="AS547" s="18"/>
      <c r="AT547" s="18"/>
      <c r="AU547" s="18"/>
      <c r="AV547" s="18"/>
      <c r="AW547" s="18">
        <v>2842</v>
      </c>
      <c r="AX547" s="18"/>
      <c r="AY547" s="18"/>
      <c r="AZ547" s="18"/>
      <c r="BA547" s="18"/>
      <c r="BB547" s="18"/>
      <c r="BC547" s="18"/>
      <c r="BD547" s="18"/>
      <c r="BE547" s="18"/>
      <c r="BF547" s="18"/>
      <c r="BG547" s="18"/>
      <c r="BH547" s="18"/>
      <c r="BI547" s="18"/>
      <c r="BJ547" s="18"/>
      <c r="BK547" s="18">
        <v>2842</v>
      </c>
    </row>
    <row r="548" spans="15:63" x14ac:dyDescent="0.3">
      <c r="O548" t="s">
        <v>1173</v>
      </c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E548" s="18"/>
      <c r="AF548" s="18"/>
      <c r="AG548" s="18"/>
      <c r="AH548" s="18"/>
      <c r="AI548" s="18"/>
      <c r="AJ548" s="18"/>
      <c r="AK548" s="18"/>
      <c r="AL548" s="18"/>
      <c r="AM548" s="18"/>
      <c r="AN548" s="18"/>
      <c r="AO548" s="18"/>
      <c r="AP548" s="18"/>
      <c r="AQ548" s="18"/>
      <c r="AR548" s="18"/>
      <c r="AS548" s="18"/>
      <c r="AT548" s="18"/>
      <c r="AU548" s="18"/>
      <c r="AV548" s="18"/>
      <c r="AW548" s="18"/>
      <c r="AX548" s="18"/>
      <c r="AY548" s="18"/>
      <c r="AZ548" s="18"/>
      <c r="BA548" s="18"/>
      <c r="BB548" s="18"/>
      <c r="BC548" s="18"/>
      <c r="BD548" s="18"/>
      <c r="BE548" s="18">
        <v>3373.5</v>
      </c>
      <c r="BF548" s="18"/>
      <c r="BG548" s="18"/>
      <c r="BH548" s="18"/>
      <c r="BI548" s="18"/>
      <c r="BJ548" s="18">
        <v>3373.5</v>
      </c>
      <c r="BK548" s="18">
        <v>3373.5</v>
      </c>
    </row>
    <row r="549" spans="15:63" x14ac:dyDescent="0.3">
      <c r="O549" t="s">
        <v>1191</v>
      </c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E549" s="18"/>
      <c r="AF549" s="18"/>
      <c r="AG549" s="18"/>
      <c r="AH549" s="18"/>
      <c r="AI549" s="18"/>
      <c r="AJ549" s="18"/>
      <c r="AK549" s="18"/>
      <c r="AL549" s="18"/>
      <c r="AM549" s="18"/>
      <c r="AN549" s="18"/>
      <c r="AO549" s="18"/>
      <c r="AP549" s="18"/>
      <c r="AQ549" s="18"/>
      <c r="AR549" s="18"/>
      <c r="AS549" s="18"/>
      <c r="AT549" s="18"/>
      <c r="AU549" s="18"/>
      <c r="AV549" s="18"/>
      <c r="AW549" s="18"/>
      <c r="AX549" s="18"/>
      <c r="AY549" s="18"/>
      <c r="AZ549" s="18"/>
      <c r="BA549" s="18"/>
      <c r="BB549" s="18"/>
      <c r="BC549" s="18"/>
      <c r="BD549" s="18"/>
      <c r="BE549" s="18">
        <v>2832</v>
      </c>
      <c r="BF549" s="18"/>
      <c r="BG549" s="18"/>
      <c r="BH549" s="18"/>
      <c r="BI549" s="18"/>
      <c r="BJ549" s="18">
        <v>2832</v>
      </c>
      <c r="BK549" s="18">
        <v>2832</v>
      </c>
    </row>
    <row r="550" spans="15:63" x14ac:dyDescent="0.3">
      <c r="O550" t="s">
        <v>1237</v>
      </c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  <c r="AF550" s="18"/>
      <c r="AG550" s="18"/>
      <c r="AH550" s="18"/>
      <c r="AI550" s="18"/>
      <c r="AJ550" s="18"/>
      <c r="AK550" s="18"/>
      <c r="AL550" s="18"/>
      <c r="AM550" s="18"/>
      <c r="AN550" s="18"/>
      <c r="AO550" s="18"/>
      <c r="AP550" s="18"/>
      <c r="AQ550" s="18"/>
      <c r="AR550" s="18"/>
      <c r="AS550" s="18"/>
      <c r="AT550" s="18"/>
      <c r="AU550" s="18"/>
      <c r="AV550" s="18"/>
      <c r="AW550" s="18"/>
      <c r="AX550" s="18"/>
      <c r="AY550" s="18"/>
      <c r="AZ550" s="18"/>
      <c r="BA550" s="18"/>
      <c r="BB550" s="18"/>
      <c r="BC550" s="18"/>
      <c r="BD550" s="18"/>
      <c r="BE550" s="18"/>
      <c r="BF550" s="18">
        <v>2475</v>
      </c>
      <c r="BG550" s="18"/>
      <c r="BH550" s="18"/>
      <c r="BI550" s="18"/>
      <c r="BJ550" s="18">
        <v>2475</v>
      </c>
      <c r="BK550" s="18">
        <v>2475</v>
      </c>
    </row>
    <row r="551" spans="15:63" x14ac:dyDescent="0.3">
      <c r="O551" t="s">
        <v>1250</v>
      </c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  <c r="AF551" s="18"/>
      <c r="AG551" s="18"/>
      <c r="AH551" s="18"/>
      <c r="AI551" s="18"/>
      <c r="AJ551" s="18"/>
      <c r="AK551" s="18"/>
      <c r="AL551" s="18"/>
      <c r="AM551" s="18"/>
      <c r="AN551" s="18"/>
      <c r="AO551" s="18"/>
      <c r="AP551" s="18"/>
      <c r="AQ551" s="18"/>
      <c r="AR551" s="18"/>
      <c r="AS551" s="18"/>
      <c r="AT551" s="18"/>
      <c r="AU551" s="18"/>
      <c r="AV551" s="18"/>
      <c r="AW551" s="18"/>
      <c r="AX551" s="18"/>
      <c r="AY551" s="18"/>
      <c r="AZ551" s="18"/>
      <c r="BA551" s="18"/>
      <c r="BB551" s="18"/>
      <c r="BC551" s="18"/>
      <c r="BD551" s="18"/>
      <c r="BE551" s="18"/>
      <c r="BF551" s="18">
        <v>2730</v>
      </c>
      <c r="BG551" s="18"/>
      <c r="BH551" s="18"/>
      <c r="BI551" s="18"/>
      <c r="BJ551" s="18">
        <v>2730</v>
      </c>
      <c r="BK551" s="18">
        <v>2730</v>
      </c>
    </row>
    <row r="552" spans="15:63" x14ac:dyDescent="0.3">
      <c r="O552" t="s">
        <v>1272</v>
      </c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8"/>
      <c r="AF552" s="18"/>
      <c r="AG552" s="18"/>
      <c r="AH552" s="18"/>
      <c r="AI552" s="18"/>
      <c r="AJ552" s="18"/>
      <c r="AK552" s="18"/>
      <c r="AL552" s="18"/>
      <c r="AM552" s="18"/>
      <c r="AN552" s="18"/>
      <c r="AO552" s="18"/>
      <c r="AP552" s="18"/>
      <c r="AQ552" s="18"/>
      <c r="AR552" s="18"/>
      <c r="AS552" s="18"/>
      <c r="AT552" s="18"/>
      <c r="AU552" s="18"/>
      <c r="AV552" s="18"/>
      <c r="AW552" s="18"/>
      <c r="AX552" s="18"/>
      <c r="AY552" s="18"/>
      <c r="AZ552" s="18"/>
      <c r="BA552" s="18"/>
      <c r="BB552" s="18"/>
      <c r="BC552" s="18"/>
      <c r="BD552" s="18"/>
      <c r="BE552" s="18"/>
      <c r="BF552" s="18">
        <v>2475</v>
      </c>
      <c r="BG552" s="18"/>
      <c r="BH552" s="18"/>
      <c r="BI552" s="18"/>
      <c r="BJ552" s="18">
        <v>2475</v>
      </c>
      <c r="BK552" s="18">
        <v>2475</v>
      </c>
    </row>
    <row r="553" spans="15:63" x14ac:dyDescent="0.3">
      <c r="O553" t="s">
        <v>1319</v>
      </c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  <c r="AF553" s="18"/>
      <c r="AG553" s="18"/>
      <c r="AH553" s="18"/>
      <c r="AI553" s="18"/>
      <c r="AJ553" s="18"/>
      <c r="AK553" s="18"/>
      <c r="AL553" s="18"/>
      <c r="AM553" s="18"/>
      <c r="AN553" s="18"/>
      <c r="AO553" s="18"/>
      <c r="AP553" s="18"/>
      <c r="AQ553" s="18"/>
      <c r="AR553" s="18"/>
      <c r="AS553" s="18"/>
      <c r="AT553" s="18"/>
      <c r="AU553" s="18"/>
      <c r="AV553" s="18"/>
      <c r="AW553" s="18"/>
      <c r="AX553" s="18"/>
      <c r="AY553" s="18"/>
      <c r="AZ553" s="18"/>
      <c r="BA553" s="18"/>
      <c r="BB553" s="18"/>
      <c r="BC553" s="18"/>
      <c r="BD553" s="18"/>
      <c r="BE553" s="18"/>
      <c r="BF553" s="18"/>
      <c r="BG553" s="18">
        <v>2475</v>
      </c>
      <c r="BH553" s="18"/>
      <c r="BI553" s="18"/>
      <c r="BJ553" s="18">
        <v>2475</v>
      </c>
      <c r="BK553" s="18">
        <v>2475</v>
      </c>
    </row>
    <row r="554" spans="15:63" x14ac:dyDescent="0.3">
      <c r="O554" t="s">
        <v>1340</v>
      </c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  <c r="AH554" s="18"/>
      <c r="AI554" s="18"/>
      <c r="AJ554" s="18"/>
      <c r="AK554" s="18"/>
      <c r="AL554" s="18"/>
      <c r="AM554" s="18"/>
      <c r="AN554" s="18"/>
      <c r="AO554" s="18"/>
      <c r="AP554" s="18"/>
      <c r="AQ554" s="18"/>
      <c r="AR554" s="18"/>
      <c r="AS554" s="18"/>
      <c r="AT554" s="18"/>
      <c r="AU554" s="18"/>
      <c r="AV554" s="18"/>
      <c r="AW554" s="18"/>
      <c r="AX554" s="18"/>
      <c r="AY554" s="18"/>
      <c r="AZ554" s="18"/>
      <c r="BA554" s="18"/>
      <c r="BB554" s="18"/>
      <c r="BC554" s="18"/>
      <c r="BD554" s="18"/>
      <c r="BE554" s="18"/>
      <c r="BF554" s="18"/>
      <c r="BG554" s="18">
        <v>2475</v>
      </c>
      <c r="BH554" s="18"/>
      <c r="BI554" s="18"/>
      <c r="BJ554" s="18">
        <v>2475</v>
      </c>
      <c r="BK554" s="18">
        <v>2475</v>
      </c>
    </row>
    <row r="555" spans="15:63" x14ac:dyDescent="0.3">
      <c r="O555" t="s">
        <v>1350</v>
      </c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  <c r="AG555" s="18"/>
      <c r="AH555" s="18"/>
      <c r="AI555" s="18"/>
      <c r="AJ555" s="18"/>
      <c r="AK555" s="18"/>
      <c r="AL555" s="18"/>
      <c r="AM555" s="18"/>
      <c r="AN555" s="18"/>
      <c r="AO555" s="18"/>
      <c r="AP555" s="18"/>
      <c r="AQ555" s="18"/>
      <c r="AR555" s="18"/>
      <c r="AS555" s="18"/>
      <c r="AT555" s="18"/>
      <c r="AU555" s="18"/>
      <c r="AV555" s="18"/>
      <c r="AW555" s="18"/>
      <c r="AX555" s="18"/>
      <c r="AY555" s="18"/>
      <c r="AZ555" s="18"/>
      <c r="BA555" s="18"/>
      <c r="BB555" s="18"/>
      <c r="BC555" s="18"/>
      <c r="BD555" s="18"/>
      <c r="BE555" s="18"/>
      <c r="BF555" s="18"/>
      <c r="BG555" s="18">
        <v>3240</v>
      </c>
      <c r="BH555" s="18"/>
      <c r="BI555" s="18"/>
      <c r="BJ555" s="18">
        <v>3240</v>
      </c>
      <c r="BK555" s="18">
        <v>3240</v>
      </c>
    </row>
    <row r="556" spans="15:63" x14ac:dyDescent="0.3">
      <c r="O556" t="s">
        <v>1407</v>
      </c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8"/>
      <c r="AG556" s="18"/>
      <c r="AH556" s="18"/>
      <c r="AI556" s="18"/>
      <c r="AJ556" s="18"/>
      <c r="AK556" s="18"/>
      <c r="AL556" s="18"/>
      <c r="AM556" s="18"/>
      <c r="AN556" s="18"/>
      <c r="AO556" s="18"/>
      <c r="AP556" s="18"/>
      <c r="AQ556" s="18"/>
      <c r="AR556" s="18"/>
      <c r="AS556" s="18"/>
      <c r="AT556" s="18"/>
      <c r="AU556" s="18"/>
      <c r="AV556" s="18"/>
      <c r="AW556" s="18"/>
      <c r="AX556" s="18"/>
      <c r="AY556" s="18"/>
      <c r="AZ556" s="18"/>
      <c r="BA556" s="18"/>
      <c r="BB556" s="18"/>
      <c r="BC556" s="18"/>
      <c r="BD556" s="18"/>
      <c r="BE556" s="18"/>
      <c r="BF556" s="18"/>
      <c r="BG556" s="18"/>
      <c r="BH556" s="18">
        <v>3078.5</v>
      </c>
      <c r="BI556" s="18"/>
      <c r="BJ556" s="18">
        <v>3078.5</v>
      </c>
      <c r="BK556" s="18">
        <v>3078.5</v>
      </c>
    </row>
    <row r="557" spans="15:63" x14ac:dyDescent="0.3">
      <c r="O557" t="s">
        <v>1428</v>
      </c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  <c r="AF557" s="18"/>
      <c r="AG557" s="18"/>
      <c r="AH557" s="18"/>
      <c r="AI557" s="18"/>
      <c r="AJ557" s="18"/>
      <c r="AK557" s="18"/>
      <c r="AL557" s="18"/>
      <c r="AM557" s="18"/>
      <c r="AN557" s="18"/>
      <c r="AO557" s="18"/>
      <c r="AP557" s="18"/>
      <c r="AQ557" s="18"/>
      <c r="AR557" s="18"/>
      <c r="AS557" s="18"/>
      <c r="AT557" s="18"/>
      <c r="AU557" s="18"/>
      <c r="AV557" s="18"/>
      <c r="AW557" s="18"/>
      <c r="AX557" s="18"/>
      <c r="AY557" s="18"/>
      <c r="AZ557" s="18"/>
      <c r="BA557" s="18"/>
      <c r="BB557" s="18"/>
      <c r="BC557" s="18"/>
      <c r="BD557" s="18"/>
      <c r="BE557" s="18"/>
      <c r="BF557" s="18"/>
      <c r="BG557" s="18"/>
      <c r="BH557" s="18">
        <v>2947.5</v>
      </c>
      <c r="BI557" s="18"/>
      <c r="BJ557" s="18">
        <v>2947.5</v>
      </c>
      <c r="BK557" s="18">
        <v>2947.5</v>
      </c>
    </row>
    <row r="558" spans="15:63" x14ac:dyDescent="0.3">
      <c r="O558" t="s">
        <v>1439</v>
      </c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  <c r="AF558" s="18"/>
      <c r="AG558" s="18"/>
      <c r="AH558" s="18"/>
      <c r="AI558" s="18"/>
      <c r="AJ558" s="18"/>
      <c r="AK558" s="18"/>
      <c r="AL558" s="18"/>
      <c r="AM558" s="18"/>
      <c r="AN558" s="18"/>
      <c r="AO558" s="18"/>
      <c r="AP558" s="18"/>
      <c r="AQ558" s="18"/>
      <c r="AR558" s="18"/>
      <c r="AS558" s="18"/>
      <c r="AT558" s="18"/>
      <c r="AU558" s="18"/>
      <c r="AV558" s="18"/>
      <c r="AW558" s="18"/>
      <c r="AX558" s="18"/>
      <c r="AY558" s="18"/>
      <c r="AZ558" s="18"/>
      <c r="BA558" s="18"/>
      <c r="BB558" s="18"/>
      <c r="BC558" s="18"/>
      <c r="BD558" s="18"/>
      <c r="BE558" s="18"/>
      <c r="BF558" s="18"/>
      <c r="BG558" s="18"/>
      <c r="BH558" s="18">
        <v>3137.5</v>
      </c>
      <c r="BI558" s="18"/>
      <c r="BJ558" s="18">
        <v>3137.5</v>
      </c>
      <c r="BK558" s="18">
        <v>3137.5</v>
      </c>
    </row>
    <row r="559" spans="15:63" x14ac:dyDescent="0.3">
      <c r="O559" t="s">
        <v>1466</v>
      </c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  <c r="AG559" s="18"/>
      <c r="AH559" s="18"/>
      <c r="AI559" s="18"/>
      <c r="AJ559" s="18"/>
      <c r="AK559" s="18"/>
      <c r="AL559" s="18"/>
      <c r="AM559" s="18"/>
      <c r="AN559" s="18"/>
      <c r="AO559" s="18"/>
      <c r="AP559" s="18"/>
      <c r="AQ559" s="18"/>
      <c r="AR559" s="18"/>
      <c r="AS559" s="18"/>
      <c r="AT559" s="18"/>
      <c r="AU559" s="18"/>
      <c r="AV559" s="18"/>
      <c r="AW559" s="18"/>
      <c r="AX559" s="18"/>
      <c r="AY559" s="18"/>
      <c r="AZ559" s="18"/>
      <c r="BA559" s="18"/>
      <c r="BB559" s="18"/>
      <c r="BC559" s="18"/>
      <c r="BD559" s="18"/>
      <c r="BE559" s="18"/>
      <c r="BF559" s="18"/>
      <c r="BG559" s="18"/>
      <c r="BH559" s="18">
        <v>1965</v>
      </c>
      <c r="BI559" s="18"/>
      <c r="BJ559" s="18">
        <v>1965</v>
      </c>
      <c r="BK559" s="18">
        <v>1965</v>
      </c>
    </row>
    <row r="560" spans="15:63" x14ac:dyDescent="0.3">
      <c r="O560" t="s">
        <v>1551</v>
      </c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  <c r="AG560" s="18"/>
      <c r="AH560" s="18"/>
      <c r="AI560" s="18"/>
      <c r="AJ560" s="18"/>
      <c r="AK560" s="18"/>
      <c r="AL560" s="18"/>
      <c r="AM560" s="18"/>
      <c r="AN560" s="18"/>
      <c r="AO560" s="18"/>
      <c r="AP560" s="18"/>
      <c r="AQ560" s="18"/>
      <c r="AR560" s="18"/>
      <c r="AS560" s="18"/>
      <c r="AT560" s="18"/>
      <c r="AU560" s="18"/>
      <c r="AV560" s="18"/>
      <c r="AW560" s="18"/>
      <c r="AX560" s="18"/>
      <c r="AY560" s="18"/>
      <c r="AZ560" s="18"/>
      <c r="BA560" s="18"/>
      <c r="BB560" s="18"/>
      <c r="BC560" s="18"/>
      <c r="BD560" s="18"/>
      <c r="BE560" s="18"/>
      <c r="BF560" s="18"/>
      <c r="BG560" s="18"/>
      <c r="BH560" s="18"/>
      <c r="BI560" s="18">
        <v>2475</v>
      </c>
      <c r="BJ560" s="18">
        <v>2475</v>
      </c>
      <c r="BK560" s="18">
        <v>2475</v>
      </c>
    </row>
    <row r="561" spans="15:63" x14ac:dyDescent="0.3">
      <c r="O561" t="s">
        <v>1649</v>
      </c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  <c r="AF561" s="18"/>
      <c r="AG561" s="18"/>
      <c r="AH561" s="18"/>
      <c r="AI561" s="18"/>
      <c r="AJ561" s="18"/>
      <c r="AK561" s="18"/>
      <c r="AL561" s="18"/>
      <c r="AM561" s="18"/>
      <c r="AN561" s="18"/>
      <c r="AO561" s="18"/>
      <c r="AP561" s="18"/>
      <c r="AQ561" s="18"/>
      <c r="AR561" s="18"/>
      <c r="AS561" s="18"/>
      <c r="AT561" s="18"/>
      <c r="AU561" s="18"/>
      <c r="AV561" s="18"/>
      <c r="AW561" s="18"/>
      <c r="AX561" s="18">
        <v>2475</v>
      </c>
      <c r="AY561" s="18"/>
      <c r="AZ561" s="18"/>
      <c r="BA561" s="18"/>
      <c r="BB561" s="18"/>
      <c r="BC561" s="18"/>
      <c r="BD561" s="18"/>
      <c r="BE561" s="18"/>
      <c r="BF561" s="18"/>
      <c r="BG561" s="18"/>
      <c r="BH561" s="18"/>
      <c r="BI561" s="18"/>
      <c r="BJ561" s="18">
        <v>2475</v>
      </c>
      <c r="BK561" s="18">
        <v>2475</v>
      </c>
    </row>
    <row r="562" spans="15:63" x14ac:dyDescent="0.3">
      <c r="O562" t="s">
        <v>1665</v>
      </c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8"/>
      <c r="AG562" s="18"/>
      <c r="AH562" s="18"/>
      <c r="AI562" s="18"/>
      <c r="AJ562" s="18"/>
      <c r="AK562" s="18"/>
      <c r="AL562" s="18"/>
      <c r="AM562" s="18"/>
      <c r="AN562" s="18"/>
      <c r="AO562" s="18"/>
      <c r="AP562" s="18"/>
      <c r="AQ562" s="18"/>
      <c r="AR562" s="18"/>
      <c r="AS562" s="18"/>
      <c r="AT562" s="18"/>
      <c r="AU562" s="18"/>
      <c r="AV562" s="18"/>
      <c r="AW562" s="18"/>
      <c r="AX562" s="18">
        <v>2475</v>
      </c>
      <c r="AY562" s="18"/>
      <c r="AZ562" s="18"/>
      <c r="BA562" s="18"/>
      <c r="BB562" s="18"/>
      <c r="BC562" s="18"/>
      <c r="BD562" s="18"/>
      <c r="BE562" s="18"/>
      <c r="BF562" s="18"/>
      <c r="BG562" s="18"/>
      <c r="BH562" s="18"/>
      <c r="BI562" s="18"/>
      <c r="BJ562" s="18">
        <v>2475</v>
      </c>
      <c r="BK562" s="18">
        <v>2475</v>
      </c>
    </row>
    <row r="563" spans="15:63" x14ac:dyDescent="0.3">
      <c r="O563" t="s">
        <v>1719</v>
      </c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  <c r="AJ563" s="18"/>
      <c r="AK563" s="18"/>
      <c r="AL563" s="18"/>
      <c r="AM563" s="18"/>
      <c r="AN563" s="18"/>
      <c r="AO563" s="18"/>
      <c r="AP563" s="18"/>
      <c r="AQ563" s="18"/>
      <c r="AR563" s="18"/>
      <c r="AS563" s="18"/>
      <c r="AT563" s="18"/>
      <c r="AU563" s="18"/>
      <c r="AV563" s="18"/>
      <c r="AW563" s="18"/>
      <c r="AX563" s="18"/>
      <c r="AY563" s="18">
        <v>2668</v>
      </c>
      <c r="AZ563" s="18"/>
      <c r="BA563" s="18"/>
      <c r="BB563" s="18"/>
      <c r="BC563" s="18"/>
      <c r="BD563" s="18"/>
      <c r="BE563" s="18"/>
      <c r="BF563" s="18"/>
      <c r="BG563" s="18"/>
      <c r="BH563" s="18"/>
      <c r="BI563" s="18"/>
      <c r="BJ563" s="18">
        <v>2668</v>
      </c>
      <c r="BK563" s="18">
        <v>2668</v>
      </c>
    </row>
    <row r="564" spans="15:63" x14ac:dyDescent="0.3">
      <c r="O564" t="s">
        <v>1723</v>
      </c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  <c r="AG564" s="18"/>
      <c r="AH564" s="18"/>
      <c r="AI564" s="18"/>
      <c r="AJ564" s="18"/>
      <c r="AK564" s="18"/>
      <c r="AL564" s="18"/>
      <c r="AM564" s="18"/>
      <c r="AN564" s="18"/>
      <c r="AO564" s="18"/>
      <c r="AP564" s="18"/>
      <c r="AQ564" s="18"/>
      <c r="AR564" s="18"/>
      <c r="AS564" s="18"/>
      <c r="AT564" s="18"/>
      <c r="AU564" s="18"/>
      <c r="AV564" s="18"/>
      <c r="AW564" s="18"/>
      <c r="AX564" s="18"/>
      <c r="AY564" s="18">
        <v>2731.5</v>
      </c>
      <c r="AZ564" s="18"/>
      <c r="BA564" s="18"/>
      <c r="BB564" s="18"/>
      <c r="BC564" s="18"/>
      <c r="BD564" s="18"/>
      <c r="BE564" s="18"/>
      <c r="BF564" s="18"/>
      <c r="BG564" s="18"/>
      <c r="BH564" s="18"/>
      <c r="BI564" s="18"/>
      <c r="BJ564" s="18">
        <v>2731.5</v>
      </c>
      <c r="BK564" s="18">
        <v>2731.5</v>
      </c>
    </row>
    <row r="565" spans="15:63" x14ac:dyDescent="0.3">
      <c r="O565" t="s">
        <v>1735</v>
      </c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  <c r="AF565" s="18"/>
      <c r="AG565" s="18"/>
      <c r="AH565" s="18"/>
      <c r="AI565" s="18"/>
      <c r="AJ565" s="18"/>
      <c r="AK565" s="18"/>
      <c r="AL565" s="18"/>
      <c r="AM565" s="18"/>
      <c r="AN565" s="18"/>
      <c r="AO565" s="18"/>
      <c r="AP565" s="18"/>
      <c r="AQ565" s="18"/>
      <c r="AR565" s="18"/>
      <c r="AS565" s="18"/>
      <c r="AT565" s="18"/>
      <c r="AU565" s="18"/>
      <c r="AV565" s="18"/>
      <c r="AW565" s="18"/>
      <c r="AX565" s="18"/>
      <c r="AY565" s="18">
        <v>2644</v>
      </c>
      <c r="AZ565" s="18"/>
      <c r="BA565" s="18"/>
      <c r="BB565" s="18"/>
      <c r="BC565" s="18"/>
      <c r="BD565" s="18"/>
      <c r="BE565" s="18"/>
      <c r="BF565" s="18"/>
      <c r="BG565" s="18"/>
      <c r="BH565" s="18"/>
      <c r="BI565" s="18"/>
      <c r="BJ565" s="18">
        <v>2644</v>
      </c>
      <c r="BK565" s="18">
        <v>2644</v>
      </c>
    </row>
    <row r="566" spans="15:63" x14ac:dyDescent="0.3">
      <c r="O566" t="s">
        <v>1830</v>
      </c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  <c r="AG566" s="18"/>
      <c r="AH566" s="18"/>
      <c r="AI566" s="18"/>
      <c r="AJ566" s="18"/>
      <c r="AK566" s="18"/>
      <c r="AL566" s="18"/>
      <c r="AM566" s="18"/>
      <c r="AN566" s="18"/>
      <c r="AO566" s="18"/>
      <c r="AP566" s="18"/>
      <c r="AQ566" s="18"/>
      <c r="AR566" s="18"/>
      <c r="AS566" s="18"/>
      <c r="AT566" s="18"/>
      <c r="AU566" s="18"/>
      <c r="AV566" s="18"/>
      <c r="AW566" s="18"/>
      <c r="AX566" s="18"/>
      <c r="AY566" s="18"/>
      <c r="AZ566" s="18">
        <v>2847.5</v>
      </c>
      <c r="BA566" s="18"/>
      <c r="BB566" s="18"/>
      <c r="BC566" s="18"/>
      <c r="BD566" s="18"/>
      <c r="BE566" s="18"/>
      <c r="BF566" s="18"/>
      <c r="BG566" s="18"/>
      <c r="BH566" s="18"/>
      <c r="BI566" s="18"/>
      <c r="BJ566" s="18">
        <v>2847.5</v>
      </c>
      <c r="BK566" s="18">
        <v>2847.5</v>
      </c>
    </row>
    <row r="567" spans="15:63" x14ac:dyDescent="0.3">
      <c r="O567" t="s">
        <v>1889</v>
      </c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/>
      <c r="AG567" s="18"/>
      <c r="AH567" s="18"/>
      <c r="AI567" s="18"/>
      <c r="AJ567" s="18"/>
      <c r="AK567" s="18"/>
      <c r="AL567" s="18"/>
      <c r="AM567" s="18"/>
      <c r="AN567" s="18"/>
      <c r="AO567" s="18"/>
      <c r="AP567" s="18"/>
      <c r="AQ567" s="18"/>
      <c r="AR567" s="18"/>
      <c r="AS567" s="18"/>
      <c r="AT567" s="18"/>
      <c r="AU567" s="18"/>
      <c r="AV567" s="18"/>
      <c r="AW567" s="18"/>
      <c r="AX567" s="18"/>
      <c r="AY567" s="18"/>
      <c r="AZ567" s="18"/>
      <c r="BA567" s="18">
        <v>2613.5</v>
      </c>
      <c r="BB567" s="18"/>
      <c r="BC567" s="18"/>
      <c r="BD567" s="18"/>
      <c r="BE567" s="18"/>
      <c r="BF567" s="18"/>
      <c r="BG567" s="18"/>
      <c r="BH567" s="18"/>
      <c r="BI567" s="18"/>
      <c r="BJ567" s="18">
        <v>2613.5</v>
      </c>
      <c r="BK567" s="18">
        <v>2613.5</v>
      </c>
    </row>
    <row r="568" spans="15:63" x14ac:dyDescent="0.3">
      <c r="O568" t="s">
        <v>1994</v>
      </c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  <c r="AF568" s="18"/>
      <c r="AG568" s="18"/>
      <c r="AH568" s="18"/>
      <c r="AI568" s="18"/>
      <c r="AJ568" s="18"/>
      <c r="AK568" s="18"/>
      <c r="AL568" s="18"/>
      <c r="AM568" s="18"/>
      <c r="AN568" s="18"/>
      <c r="AO568" s="18"/>
      <c r="AP568" s="18"/>
      <c r="AQ568" s="18"/>
      <c r="AR568" s="18"/>
      <c r="AS568" s="18"/>
      <c r="AT568" s="18"/>
      <c r="AU568" s="18"/>
      <c r="AV568" s="18"/>
      <c r="AW568" s="18"/>
      <c r="AX568" s="18"/>
      <c r="AY568" s="18"/>
      <c r="AZ568" s="18"/>
      <c r="BA568" s="18"/>
      <c r="BB568" s="18">
        <v>2535</v>
      </c>
      <c r="BC568" s="18"/>
      <c r="BD568" s="18"/>
      <c r="BE568" s="18"/>
      <c r="BF568" s="18"/>
      <c r="BG568" s="18"/>
      <c r="BH568" s="18"/>
      <c r="BI568" s="18"/>
      <c r="BJ568" s="18">
        <v>2535</v>
      </c>
      <c r="BK568" s="18">
        <v>2535</v>
      </c>
    </row>
    <row r="569" spans="15:63" x14ac:dyDescent="0.3">
      <c r="O569" t="s">
        <v>2031</v>
      </c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  <c r="AF569" s="18"/>
      <c r="AG569" s="18"/>
      <c r="AH569" s="18"/>
      <c r="AI569" s="18"/>
      <c r="AJ569" s="18"/>
      <c r="AK569" s="18"/>
      <c r="AL569" s="18"/>
      <c r="AM569" s="18"/>
      <c r="AN569" s="18"/>
      <c r="AO569" s="18"/>
      <c r="AP569" s="18"/>
      <c r="AQ569" s="18"/>
      <c r="AR569" s="18"/>
      <c r="AS569" s="18"/>
      <c r="AT569" s="18"/>
      <c r="AU569" s="18"/>
      <c r="AV569" s="18"/>
      <c r="AW569" s="18"/>
      <c r="AX569" s="18"/>
      <c r="AY569" s="18"/>
      <c r="AZ569" s="18"/>
      <c r="BA569" s="18"/>
      <c r="BB569" s="18">
        <v>2561</v>
      </c>
      <c r="BC569" s="18"/>
      <c r="BD569" s="18"/>
      <c r="BE569" s="18"/>
      <c r="BF569" s="18"/>
      <c r="BG569" s="18"/>
      <c r="BH569" s="18"/>
      <c r="BI569" s="18"/>
      <c r="BJ569" s="18">
        <v>2561</v>
      </c>
      <c r="BK569" s="18">
        <v>2561</v>
      </c>
    </row>
    <row r="570" spans="15:63" x14ac:dyDescent="0.3">
      <c r="O570" t="s">
        <v>2103</v>
      </c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  <c r="AF570" s="18"/>
      <c r="AG570" s="18"/>
      <c r="AH570" s="18"/>
      <c r="AI570" s="18"/>
      <c r="AJ570" s="18"/>
      <c r="AK570" s="18"/>
      <c r="AL570" s="18"/>
      <c r="AM570" s="18"/>
      <c r="AN570" s="18"/>
      <c r="AO570" s="18"/>
      <c r="AP570" s="18"/>
      <c r="AQ570" s="18"/>
      <c r="AR570" s="18"/>
      <c r="AS570" s="18"/>
      <c r="AT570" s="18"/>
      <c r="AU570" s="18"/>
      <c r="AV570" s="18"/>
      <c r="AW570" s="18"/>
      <c r="AX570" s="18"/>
      <c r="AY570" s="18"/>
      <c r="AZ570" s="18"/>
      <c r="BA570" s="18"/>
      <c r="BB570" s="18"/>
      <c r="BC570" s="18">
        <v>2818.5</v>
      </c>
      <c r="BD570" s="18"/>
      <c r="BE570" s="18"/>
      <c r="BF570" s="18"/>
      <c r="BG570" s="18"/>
      <c r="BH570" s="18"/>
      <c r="BI570" s="18"/>
      <c r="BJ570" s="18">
        <v>2818.5</v>
      </c>
      <c r="BK570" s="18">
        <v>2818.5</v>
      </c>
    </row>
    <row r="571" spans="15:63" x14ac:dyDescent="0.3">
      <c r="O571" t="s">
        <v>2125</v>
      </c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  <c r="AF571" s="18"/>
      <c r="AG571" s="18"/>
      <c r="AH571" s="18"/>
      <c r="AI571" s="18"/>
      <c r="AJ571" s="18"/>
      <c r="AK571" s="18"/>
      <c r="AL571" s="18"/>
      <c r="AM571" s="18"/>
      <c r="AN571" s="18"/>
      <c r="AO571" s="18"/>
      <c r="AP571" s="18"/>
      <c r="AQ571" s="18"/>
      <c r="AR571" s="18"/>
      <c r="AS571" s="18"/>
      <c r="AT571" s="18"/>
      <c r="AU571" s="18"/>
      <c r="AV571" s="18"/>
      <c r="AW571" s="18"/>
      <c r="AX571" s="18"/>
      <c r="AY571" s="18"/>
      <c r="AZ571" s="18"/>
      <c r="BA571" s="18"/>
      <c r="BB571" s="18"/>
      <c r="BC571" s="18">
        <v>2508</v>
      </c>
      <c r="BD571" s="18"/>
      <c r="BE571" s="18"/>
      <c r="BF571" s="18"/>
      <c r="BG571" s="18"/>
      <c r="BH571" s="18"/>
      <c r="BI571" s="18"/>
      <c r="BJ571" s="18">
        <v>2508</v>
      </c>
      <c r="BK571" s="18">
        <v>2508</v>
      </c>
    </row>
    <row r="572" spans="15:63" x14ac:dyDescent="0.3">
      <c r="O572" t="s">
        <v>2167</v>
      </c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  <c r="AG572" s="18"/>
      <c r="AH572" s="18"/>
      <c r="AI572" s="18"/>
      <c r="AJ572" s="18"/>
      <c r="AK572" s="18"/>
      <c r="AL572" s="18"/>
      <c r="AM572" s="18"/>
      <c r="AN572" s="18"/>
      <c r="AO572" s="18"/>
      <c r="AP572" s="18"/>
      <c r="AQ572" s="18"/>
      <c r="AR572" s="18"/>
      <c r="AS572" s="18"/>
      <c r="AT572" s="18"/>
      <c r="AU572" s="18"/>
      <c r="AV572" s="18"/>
      <c r="AW572" s="18"/>
      <c r="AX572" s="18"/>
      <c r="AY572" s="18"/>
      <c r="AZ572" s="18"/>
      <c r="BA572" s="18"/>
      <c r="BB572" s="18"/>
      <c r="BC572" s="18"/>
      <c r="BD572" s="18">
        <v>3449</v>
      </c>
      <c r="BE572" s="18"/>
      <c r="BF572" s="18"/>
      <c r="BG572" s="18"/>
      <c r="BH572" s="18"/>
      <c r="BI572" s="18"/>
      <c r="BJ572" s="18">
        <v>3449</v>
      </c>
      <c r="BK572" s="18">
        <v>3449</v>
      </c>
    </row>
    <row r="573" spans="15:63" x14ac:dyDescent="0.3">
      <c r="O573" t="s">
        <v>2170</v>
      </c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  <c r="AG573" s="18"/>
      <c r="AH573" s="18"/>
      <c r="AI573" s="18"/>
      <c r="AJ573" s="18"/>
      <c r="AK573" s="18"/>
      <c r="AL573" s="18"/>
      <c r="AM573" s="18"/>
      <c r="AN573" s="18"/>
      <c r="AO573" s="18"/>
      <c r="AP573" s="18"/>
      <c r="AQ573" s="18"/>
      <c r="AR573" s="18"/>
      <c r="AS573" s="18"/>
      <c r="AT573" s="18"/>
      <c r="AU573" s="18"/>
      <c r="AV573" s="18"/>
      <c r="AW573" s="18"/>
      <c r="AX573" s="18"/>
      <c r="AY573" s="18"/>
      <c r="AZ573" s="18"/>
      <c r="BA573" s="18"/>
      <c r="BB573" s="18"/>
      <c r="BC573" s="18"/>
      <c r="BD573" s="18">
        <v>2700.5</v>
      </c>
      <c r="BE573" s="18"/>
      <c r="BF573" s="18"/>
      <c r="BG573" s="18"/>
      <c r="BH573" s="18"/>
      <c r="BI573" s="18"/>
      <c r="BJ573" s="18">
        <v>2700.5</v>
      </c>
      <c r="BK573" s="18">
        <v>2700.5</v>
      </c>
    </row>
    <row r="574" spans="15:63" x14ac:dyDescent="0.3">
      <c r="O574" t="s">
        <v>2179</v>
      </c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  <c r="AJ574" s="18"/>
      <c r="AK574" s="18"/>
      <c r="AL574" s="18"/>
      <c r="AM574" s="18"/>
      <c r="AN574" s="18"/>
      <c r="AO574" s="18"/>
      <c r="AP574" s="18"/>
      <c r="AQ574" s="18"/>
      <c r="AR574" s="18"/>
      <c r="AS574" s="18"/>
      <c r="AT574" s="18"/>
      <c r="AU574" s="18"/>
      <c r="AV574" s="18"/>
      <c r="AW574" s="18"/>
      <c r="AX574" s="18"/>
      <c r="AY574" s="18"/>
      <c r="AZ574" s="18"/>
      <c r="BA574" s="18"/>
      <c r="BB574" s="18"/>
      <c r="BC574" s="18"/>
      <c r="BD574" s="18">
        <v>2665.5</v>
      </c>
      <c r="BE574" s="18"/>
      <c r="BF574" s="18"/>
      <c r="BG574" s="18"/>
      <c r="BH574" s="18"/>
      <c r="BI574" s="18"/>
      <c r="BJ574" s="18">
        <v>2665.5</v>
      </c>
      <c r="BK574" s="18">
        <v>2665.5</v>
      </c>
    </row>
    <row r="575" spans="15:63" x14ac:dyDescent="0.3">
      <c r="O575" t="s">
        <v>2185</v>
      </c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8"/>
      <c r="AG575" s="18"/>
      <c r="AH575" s="18"/>
      <c r="AI575" s="18"/>
      <c r="AJ575" s="18"/>
      <c r="AK575" s="18"/>
      <c r="AL575" s="18"/>
      <c r="AM575" s="18"/>
      <c r="AN575" s="18"/>
      <c r="AO575" s="18"/>
      <c r="AP575" s="18"/>
      <c r="AQ575" s="18"/>
      <c r="AR575" s="18"/>
      <c r="AS575" s="18"/>
      <c r="AT575" s="18"/>
      <c r="AU575" s="18"/>
      <c r="AV575" s="18"/>
      <c r="AW575" s="18"/>
      <c r="AX575" s="18"/>
      <c r="AY575" s="18"/>
      <c r="AZ575" s="18"/>
      <c r="BA575" s="18"/>
      <c r="BB575" s="18"/>
      <c r="BC575" s="18"/>
      <c r="BD575" s="18">
        <v>2978</v>
      </c>
      <c r="BE575" s="18"/>
      <c r="BF575" s="18"/>
      <c r="BG575" s="18"/>
      <c r="BH575" s="18"/>
      <c r="BI575" s="18"/>
      <c r="BJ575" s="18">
        <v>2978</v>
      </c>
      <c r="BK575" s="18">
        <v>2978</v>
      </c>
    </row>
    <row r="576" spans="15:63" x14ac:dyDescent="0.3">
      <c r="O576" t="s">
        <v>2195</v>
      </c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  <c r="AG576" s="18"/>
      <c r="AH576" s="18"/>
      <c r="AI576" s="18"/>
      <c r="AJ576" s="18"/>
      <c r="AK576" s="18"/>
      <c r="AL576" s="18"/>
      <c r="AM576" s="18"/>
      <c r="AN576" s="18"/>
      <c r="AO576" s="18"/>
      <c r="AP576" s="18"/>
      <c r="AQ576" s="18"/>
      <c r="AR576" s="18"/>
      <c r="AS576" s="18"/>
      <c r="AT576" s="18"/>
      <c r="AU576" s="18"/>
      <c r="AV576" s="18"/>
      <c r="AW576" s="18"/>
      <c r="AX576" s="18"/>
      <c r="AY576" s="18"/>
      <c r="AZ576" s="18"/>
      <c r="BA576" s="18"/>
      <c r="BB576" s="18"/>
      <c r="BC576" s="18"/>
      <c r="BD576" s="18">
        <v>2145.5</v>
      </c>
      <c r="BE576" s="18"/>
      <c r="BF576" s="18"/>
      <c r="BG576" s="18"/>
      <c r="BH576" s="18"/>
      <c r="BI576" s="18"/>
      <c r="BJ576" s="18">
        <v>2145.5</v>
      </c>
      <c r="BK576" s="18">
        <v>2145.5</v>
      </c>
    </row>
    <row r="577" spans="14:63" x14ac:dyDescent="0.3">
      <c r="O577" t="s">
        <v>2200</v>
      </c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  <c r="AG577" s="18"/>
      <c r="AH577" s="18"/>
      <c r="AI577" s="18"/>
      <c r="AJ577" s="18"/>
      <c r="AK577" s="18"/>
      <c r="AL577" s="18"/>
      <c r="AM577" s="18"/>
      <c r="AN577" s="18"/>
      <c r="AO577" s="18"/>
      <c r="AP577" s="18"/>
      <c r="AQ577" s="18"/>
      <c r="AR577" s="18"/>
      <c r="AS577" s="18"/>
      <c r="AT577" s="18"/>
      <c r="AU577" s="18"/>
      <c r="AV577" s="18"/>
      <c r="AW577" s="18"/>
      <c r="AX577" s="18"/>
      <c r="AY577" s="18"/>
      <c r="AZ577" s="18"/>
      <c r="BA577" s="18"/>
      <c r="BB577" s="18"/>
      <c r="BC577" s="18"/>
      <c r="BD577" s="18">
        <v>2423</v>
      </c>
      <c r="BE577" s="18"/>
      <c r="BF577" s="18"/>
      <c r="BG577" s="18"/>
      <c r="BH577" s="18"/>
      <c r="BI577" s="18"/>
      <c r="BJ577" s="18">
        <v>2423</v>
      </c>
      <c r="BK577" s="18">
        <v>2423</v>
      </c>
    </row>
    <row r="578" spans="14:63" x14ac:dyDescent="0.3">
      <c r="N578" s="17" t="s">
        <v>501</v>
      </c>
      <c r="O578" s="17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9"/>
      <c r="AA578" s="19"/>
      <c r="AB578" s="19"/>
      <c r="AC578" s="19">
        <v>2024</v>
      </c>
      <c r="AD578" s="19"/>
      <c r="AE578" s="19"/>
      <c r="AF578" s="19"/>
      <c r="AG578" s="19"/>
      <c r="AH578" s="19"/>
      <c r="AI578" s="19"/>
      <c r="AJ578" s="19">
        <v>2024</v>
      </c>
      <c r="AK578" s="19">
        <v>6120.5</v>
      </c>
      <c r="AL578" s="19">
        <v>2180</v>
      </c>
      <c r="AM578" s="19">
        <v>3459</v>
      </c>
      <c r="AN578" s="19">
        <v>9502.2999999999993</v>
      </c>
      <c r="AO578" s="19">
        <v>11138.5</v>
      </c>
      <c r="AP578" s="19">
        <v>3094</v>
      </c>
      <c r="AQ578" s="19">
        <v>8751</v>
      </c>
      <c r="AR578" s="19"/>
      <c r="AS578" s="19">
        <v>5822</v>
      </c>
      <c r="AT578" s="19">
        <v>14428.5</v>
      </c>
      <c r="AU578" s="19">
        <v>17287.5</v>
      </c>
      <c r="AV578" s="19">
        <v>6725</v>
      </c>
      <c r="AW578" s="19">
        <v>88508.299999999988</v>
      </c>
      <c r="AX578" s="19">
        <v>4950</v>
      </c>
      <c r="AY578" s="19">
        <v>8043.5</v>
      </c>
      <c r="AZ578" s="19">
        <v>2847.5</v>
      </c>
      <c r="BA578" s="19">
        <v>2613.5</v>
      </c>
      <c r="BB578" s="19">
        <v>5096</v>
      </c>
      <c r="BC578" s="19">
        <v>5326.5</v>
      </c>
      <c r="BD578" s="19">
        <v>16361.5</v>
      </c>
      <c r="BE578" s="19">
        <v>6205.5</v>
      </c>
      <c r="BF578" s="19">
        <v>7680</v>
      </c>
      <c r="BG578" s="19">
        <v>8190</v>
      </c>
      <c r="BH578" s="19">
        <v>11128.5</v>
      </c>
      <c r="BI578" s="19">
        <v>2475</v>
      </c>
      <c r="BJ578" s="19">
        <v>80917.5</v>
      </c>
      <c r="BK578" s="19">
        <v>171449.8</v>
      </c>
    </row>
    <row r="579" spans="14:63" x14ac:dyDescent="0.3">
      <c r="N579" t="s">
        <v>638</v>
      </c>
      <c r="O579" t="s">
        <v>635</v>
      </c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  <c r="AG579" s="18"/>
      <c r="AH579" s="18"/>
      <c r="AI579" s="18"/>
      <c r="AJ579" s="18"/>
      <c r="AK579" s="18"/>
      <c r="AL579" s="18"/>
      <c r="AM579" s="18"/>
      <c r="AN579" s="18"/>
      <c r="AO579" s="18"/>
      <c r="AP579" s="18"/>
      <c r="AQ579" s="18"/>
      <c r="AR579" s="18"/>
      <c r="AS579" s="18"/>
      <c r="AT579" s="18">
        <v>4873</v>
      </c>
      <c r="AU579" s="18"/>
      <c r="AV579" s="18"/>
      <c r="AW579" s="18">
        <v>4873</v>
      </c>
      <c r="AX579" s="18"/>
      <c r="AY579" s="18"/>
      <c r="AZ579" s="18"/>
      <c r="BA579" s="18"/>
      <c r="BB579" s="18"/>
      <c r="BC579" s="18"/>
      <c r="BD579" s="18"/>
      <c r="BE579" s="18"/>
      <c r="BF579" s="18"/>
      <c r="BG579" s="18"/>
      <c r="BH579" s="18"/>
      <c r="BI579" s="18"/>
      <c r="BJ579" s="18"/>
      <c r="BK579" s="18">
        <v>4873</v>
      </c>
    </row>
    <row r="580" spans="14:63" x14ac:dyDescent="0.3">
      <c r="O580" t="s">
        <v>643</v>
      </c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  <c r="AF580" s="18"/>
      <c r="AG580" s="18"/>
      <c r="AH580" s="18"/>
      <c r="AI580" s="18"/>
      <c r="AJ580" s="18"/>
      <c r="AK580" s="18"/>
      <c r="AL580" s="18"/>
      <c r="AM580" s="18"/>
      <c r="AN580" s="18"/>
      <c r="AO580" s="18"/>
      <c r="AP580" s="18"/>
      <c r="AQ580" s="18"/>
      <c r="AR580" s="18"/>
      <c r="AS580" s="18"/>
      <c r="AT580" s="18">
        <v>65</v>
      </c>
      <c r="AU580" s="18"/>
      <c r="AV580" s="18"/>
      <c r="AW580" s="18">
        <v>65</v>
      </c>
      <c r="AX580" s="18"/>
      <c r="AY580" s="18"/>
      <c r="AZ580" s="18"/>
      <c r="BA580" s="18"/>
      <c r="BB580" s="18"/>
      <c r="BC580" s="18"/>
      <c r="BD580" s="18"/>
      <c r="BE580" s="18"/>
      <c r="BF580" s="18"/>
      <c r="BG580" s="18"/>
      <c r="BH580" s="18"/>
      <c r="BI580" s="18"/>
      <c r="BJ580" s="18"/>
      <c r="BK580" s="18">
        <v>65</v>
      </c>
    </row>
    <row r="581" spans="14:63" x14ac:dyDescent="0.3">
      <c r="O581" t="s">
        <v>645</v>
      </c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8"/>
      <c r="AF581" s="18"/>
      <c r="AG581" s="18"/>
      <c r="AH581" s="18"/>
      <c r="AI581" s="18"/>
      <c r="AJ581" s="18"/>
      <c r="AK581" s="18"/>
      <c r="AL581" s="18"/>
      <c r="AM581" s="18"/>
      <c r="AN581" s="18"/>
      <c r="AO581" s="18"/>
      <c r="AP581" s="18"/>
      <c r="AQ581" s="18"/>
      <c r="AR581" s="18"/>
      <c r="AS581" s="18"/>
      <c r="AT581" s="18">
        <v>390</v>
      </c>
      <c r="AU581" s="18"/>
      <c r="AV581" s="18"/>
      <c r="AW581" s="18">
        <v>390</v>
      </c>
      <c r="AX581" s="18"/>
      <c r="AY581" s="18"/>
      <c r="AZ581" s="18"/>
      <c r="BA581" s="18"/>
      <c r="BB581" s="18"/>
      <c r="BC581" s="18"/>
      <c r="BD581" s="18"/>
      <c r="BE581" s="18"/>
      <c r="BF581" s="18"/>
      <c r="BG581" s="18"/>
      <c r="BH581" s="18"/>
      <c r="BI581" s="18"/>
      <c r="BJ581" s="18"/>
      <c r="BK581" s="18">
        <v>390</v>
      </c>
    </row>
    <row r="582" spans="14:63" x14ac:dyDescent="0.3">
      <c r="O582" t="s">
        <v>685</v>
      </c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  <c r="AF582" s="18"/>
      <c r="AG582" s="18"/>
      <c r="AH582" s="18"/>
      <c r="AI582" s="18"/>
      <c r="AJ582" s="18"/>
      <c r="AK582" s="18"/>
      <c r="AL582" s="18"/>
      <c r="AM582" s="18"/>
      <c r="AN582" s="18"/>
      <c r="AO582" s="18"/>
      <c r="AP582" s="18"/>
      <c r="AQ582" s="18"/>
      <c r="AR582" s="18"/>
      <c r="AS582" s="18"/>
      <c r="AT582" s="18"/>
      <c r="AU582" s="18">
        <v>3480</v>
      </c>
      <c r="AV582" s="18"/>
      <c r="AW582" s="18">
        <v>3480</v>
      </c>
      <c r="AX582" s="18"/>
      <c r="AY582" s="18"/>
      <c r="AZ582" s="18"/>
      <c r="BA582" s="18"/>
      <c r="BB582" s="18"/>
      <c r="BC582" s="18"/>
      <c r="BD582" s="18"/>
      <c r="BE582" s="18"/>
      <c r="BF582" s="18"/>
      <c r="BG582" s="18"/>
      <c r="BH582" s="18"/>
      <c r="BI582" s="18"/>
      <c r="BJ582" s="18"/>
      <c r="BK582" s="18">
        <v>3480</v>
      </c>
    </row>
    <row r="583" spans="14:63" x14ac:dyDescent="0.3">
      <c r="O583" t="s">
        <v>692</v>
      </c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  <c r="AE583" s="18"/>
      <c r="AF583" s="18"/>
      <c r="AG583" s="18"/>
      <c r="AH583" s="18"/>
      <c r="AI583" s="18"/>
      <c r="AJ583" s="18"/>
      <c r="AK583" s="18"/>
      <c r="AL583" s="18"/>
      <c r="AM583" s="18"/>
      <c r="AN583" s="18"/>
      <c r="AO583" s="18"/>
      <c r="AP583" s="18"/>
      <c r="AQ583" s="18"/>
      <c r="AR583" s="18"/>
      <c r="AS583" s="18"/>
      <c r="AT583" s="18"/>
      <c r="AU583" s="18">
        <v>590</v>
      </c>
      <c r="AV583" s="18"/>
      <c r="AW583" s="18">
        <v>590</v>
      </c>
      <c r="AX583" s="18"/>
      <c r="AY583" s="18"/>
      <c r="AZ583" s="18"/>
      <c r="BA583" s="18"/>
      <c r="BB583" s="18"/>
      <c r="BC583" s="18"/>
      <c r="BD583" s="18"/>
      <c r="BE583" s="18"/>
      <c r="BF583" s="18"/>
      <c r="BG583" s="18"/>
      <c r="BH583" s="18"/>
      <c r="BI583" s="18"/>
      <c r="BJ583" s="18"/>
      <c r="BK583" s="18">
        <v>590</v>
      </c>
    </row>
    <row r="584" spans="14:63" x14ac:dyDescent="0.3">
      <c r="O584" t="s">
        <v>770</v>
      </c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  <c r="AF584" s="18"/>
      <c r="AG584" s="18"/>
      <c r="AH584" s="18"/>
      <c r="AI584" s="18"/>
      <c r="AJ584" s="18"/>
      <c r="AK584" s="18"/>
      <c r="AL584" s="18"/>
      <c r="AM584" s="18"/>
      <c r="AN584" s="18"/>
      <c r="AO584" s="18"/>
      <c r="AP584" s="18"/>
      <c r="AQ584" s="18"/>
      <c r="AR584" s="18"/>
      <c r="AS584" s="18"/>
      <c r="AT584" s="18"/>
      <c r="AU584" s="18"/>
      <c r="AV584" s="18">
        <v>4317.8999999999996</v>
      </c>
      <c r="AW584" s="18">
        <v>4317.8999999999996</v>
      </c>
      <c r="AX584" s="18"/>
      <c r="AY584" s="18"/>
      <c r="AZ584" s="18"/>
      <c r="BA584" s="18"/>
      <c r="BB584" s="18"/>
      <c r="BC584" s="18"/>
      <c r="BD584" s="18"/>
      <c r="BE584" s="18"/>
      <c r="BF584" s="18"/>
      <c r="BG584" s="18"/>
      <c r="BH584" s="18"/>
      <c r="BI584" s="18"/>
      <c r="BJ584" s="18"/>
      <c r="BK584" s="18">
        <v>4317.8999999999996</v>
      </c>
    </row>
    <row r="585" spans="14:63" x14ac:dyDescent="0.3">
      <c r="O585" t="s">
        <v>828</v>
      </c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  <c r="AE585" s="18"/>
      <c r="AF585" s="18"/>
      <c r="AG585" s="18"/>
      <c r="AH585" s="18"/>
      <c r="AI585" s="18"/>
      <c r="AJ585" s="18"/>
      <c r="AK585" s="18">
        <v>2112</v>
      </c>
      <c r="AL585" s="18"/>
      <c r="AM585" s="18"/>
      <c r="AN585" s="18"/>
      <c r="AO585" s="18"/>
      <c r="AP585" s="18"/>
      <c r="AQ585" s="18"/>
      <c r="AR585" s="18"/>
      <c r="AS585" s="18"/>
      <c r="AT585" s="18"/>
      <c r="AU585" s="18"/>
      <c r="AV585" s="18"/>
      <c r="AW585" s="18">
        <v>2112</v>
      </c>
      <c r="AX585" s="18"/>
      <c r="AY585" s="18"/>
      <c r="AZ585" s="18"/>
      <c r="BA585" s="18"/>
      <c r="BB585" s="18"/>
      <c r="BC585" s="18"/>
      <c r="BD585" s="18"/>
      <c r="BE585" s="18"/>
      <c r="BF585" s="18"/>
      <c r="BG585" s="18"/>
      <c r="BH585" s="18"/>
      <c r="BI585" s="18"/>
      <c r="BJ585" s="18"/>
      <c r="BK585" s="18">
        <v>2112</v>
      </c>
    </row>
    <row r="586" spans="14:63" x14ac:dyDescent="0.3">
      <c r="O586" t="s">
        <v>833</v>
      </c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  <c r="AF586" s="18"/>
      <c r="AG586" s="18"/>
      <c r="AH586" s="18"/>
      <c r="AI586" s="18"/>
      <c r="AJ586" s="18"/>
      <c r="AK586" s="18">
        <v>2112</v>
      </c>
      <c r="AL586" s="18"/>
      <c r="AM586" s="18"/>
      <c r="AN586" s="18"/>
      <c r="AO586" s="18"/>
      <c r="AP586" s="18"/>
      <c r="AQ586" s="18"/>
      <c r="AR586" s="18"/>
      <c r="AS586" s="18"/>
      <c r="AT586" s="18"/>
      <c r="AU586" s="18"/>
      <c r="AV586" s="18"/>
      <c r="AW586" s="18">
        <v>2112</v>
      </c>
      <c r="AX586" s="18"/>
      <c r="AY586" s="18"/>
      <c r="AZ586" s="18"/>
      <c r="BA586" s="18"/>
      <c r="BB586" s="18"/>
      <c r="BC586" s="18"/>
      <c r="BD586" s="18"/>
      <c r="BE586" s="18"/>
      <c r="BF586" s="18"/>
      <c r="BG586" s="18"/>
      <c r="BH586" s="18"/>
      <c r="BI586" s="18"/>
      <c r="BJ586" s="18"/>
      <c r="BK586" s="18">
        <v>2112</v>
      </c>
    </row>
    <row r="587" spans="14:63" x14ac:dyDescent="0.3">
      <c r="O587" t="s">
        <v>953</v>
      </c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  <c r="AB587" s="18"/>
      <c r="AC587" s="18"/>
      <c r="AD587" s="18"/>
      <c r="AE587" s="18"/>
      <c r="AF587" s="18"/>
      <c r="AG587" s="18"/>
      <c r="AH587" s="18"/>
      <c r="AI587" s="18"/>
      <c r="AJ587" s="18"/>
      <c r="AK587" s="18"/>
      <c r="AL587" s="18"/>
      <c r="AM587" s="18"/>
      <c r="AN587" s="18">
        <v>2968.8</v>
      </c>
      <c r="AO587" s="18"/>
      <c r="AP587" s="18"/>
      <c r="AQ587" s="18"/>
      <c r="AR587" s="18"/>
      <c r="AS587" s="18"/>
      <c r="AT587" s="18"/>
      <c r="AU587" s="18"/>
      <c r="AV587" s="18"/>
      <c r="AW587" s="18">
        <v>2968.8</v>
      </c>
      <c r="AX587" s="18"/>
      <c r="AY587" s="18"/>
      <c r="AZ587" s="18"/>
      <c r="BA587" s="18"/>
      <c r="BB587" s="18"/>
      <c r="BC587" s="18"/>
      <c r="BD587" s="18"/>
      <c r="BE587" s="18"/>
      <c r="BF587" s="18"/>
      <c r="BG587" s="18"/>
      <c r="BH587" s="18"/>
      <c r="BI587" s="18"/>
      <c r="BJ587" s="18"/>
      <c r="BK587" s="18">
        <v>2968.8</v>
      </c>
    </row>
    <row r="588" spans="14:63" x14ac:dyDescent="0.3">
      <c r="O588" t="s">
        <v>954</v>
      </c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/>
      <c r="AD588" s="18"/>
      <c r="AE588" s="18"/>
      <c r="AF588" s="18"/>
      <c r="AG588" s="18"/>
      <c r="AH588" s="18"/>
      <c r="AI588" s="18"/>
      <c r="AJ588" s="18"/>
      <c r="AK588" s="18"/>
      <c r="AL588" s="18"/>
      <c r="AM588" s="18"/>
      <c r="AN588" s="18">
        <v>840</v>
      </c>
      <c r="AO588" s="18"/>
      <c r="AP588" s="18"/>
      <c r="AQ588" s="18"/>
      <c r="AR588" s="18"/>
      <c r="AS588" s="18"/>
      <c r="AT588" s="18"/>
      <c r="AU588" s="18"/>
      <c r="AV588" s="18"/>
      <c r="AW588" s="18">
        <v>840</v>
      </c>
      <c r="AX588" s="18"/>
      <c r="AY588" s="18"/>
      <c r="AZ588" s="18"/>
      <c r="BA588" s="18"/>
      <c r="BB588" s="18"/>
      <c r="BC588" s="18"/>
      <c r="BD588" s="18"/>
      <c r="BE588" s="18"/>
      <c r="BF588" s="18"/>
      <c r="BG588" s="18"/>
      <c r="BH588" s="18"/>
      <c r="BI588" s="18"/>
      <c r="BJ588" s="18"/>
      <c r="BK588" s="18">
        <v>840</v>
      </c>
    </row>
    <row r="589" spans="14:63" x14ac:dyDescent="0.3">
      <c r="O589" t="s">
        <v>1056</v>
      </c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  <c r="AC589" s="18"/>
      <c r="AD589" s="18"/>
      <c r="AE589" s="18"/>
      <c r="AF589" s="18"/>
      <c r="AG589" s="18"/>
      <c r="AH589" s="18"/>
      <c r="AI589" s="18"/>
      <c r="AJ589" s="18"/>
      <c r="AK589" s="18"/>
      <c r="AL589" s="18"/>
      <c r="AM589" s="18"/>
      <c r="AN589" s="18"/>
      <c r="AO589" s="18"/>
      <c r="AP589" s="18">
        <v>1316</v>
      </c>
      <c r="AQ589" s="18"/>
      <c r="AR589" s="18"/>
      <c r="AS589" s="18"/>
      <c r="AT589" s="18"/>
      <c r="AU589" s="18"/>
      <c r="AV589" s="18"/>
      <c r="AW589" s="18">
        <v>1316</v>
      </c>
      <c r="AX589" s="18"/>
      <c r="AY589" s="18"/>
      <c r="AZ589" s="18"/>
      <c r="BA589" s="18"/>
      <c r="BB589" s="18"/>
      <c r="BC589" s="18"/>
      <c r="BD589" s="18"/>
      <c r="BE589" s="18"/>
      <c r="BF589" s="18"/>
      <c r="BG589" s="18"/>
      <c r="BH589" s="18"/>
      <c r="BI589" s="18"/>
      <c r="BJ589" s="18"/>
      <c r="BK589" s="18">
        <v>1316</v>
      </c>
    </row>
    <row r="590" spans="14:63" x14ac:dyDescent="0.3">
      <c r="O590" t="s">
        <v>1109</v>
      </c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/>
      <c r="AD590" s="18"/>
      <c r="AE590" s="18"/>
      <c r="AF590" s="18"/>
      <c r="AG590" s="18"/>
      <c r="AH590" s="18"/>
      <c r="AI590" s="18"/>
      <c r="AJ590" s="18"/>
      <c r="AK590" s="18"/>
      <c r="AL590" s="18"/>
      <c r="AM590" s="18"/>
      <c r="AN590" s="18"/>
      <c r="AO590" s="18"/>
      <c r="AP590" s="18"/>
      <c r="AQ590" s="18">
        <v>855</v>
      </c>
      <c r="AR590" s="18"/>
      <c r="AS590" s="18"/>
      <c r="AT590" s="18"/>
      <c r="AU590" s="18"/>
      <c r="AV590" s="18"/>
      <c r="AW590" s="18">
        <v>855</v>
      </c>
      <c r="AX590" s="18"/>
      <c r="AY590" s="18"/>
      <c r="AZ590" s="18"/>
      <c r="BA590" s="18"/>
      <c r="BB590" s="18"/>
      <c r="BC590" s="18"/>
      <c r="BD590" s="18"/>
      <c r="BE590" s="18"/>
      <c r="BF590" s="18"/>
      <c r="BG590" s="18"/>
      <c r="BH590" s="18"/>
      <c r="BI590" s="18"/>
      <c r="BJ590" s="18"/>
      <c r="BK590" s="18">
        <v>855</v>
      </c>
    </row>
    <row r="591" spans="14:63" x14ac:dyDescent="0.3">
      <c r="O591" t="s">
        <v>1117</v>
      </c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  <c r="AF591" s="18"/>
      <c r="AG591" s="18"/>
      <c r="AH591" s="18"/>
      <c r="AI591" s="18"/>
      <c r="AJ591" s="18"/>
      <c r="AK591" s="18"/>
      <c r="AL591" s="18"/>
      <c r="AM591" s="18"/>
      <c r="AN591" s="18"/>
      <c r="AO591" s="18"/>
      <c r="AP591" s="18"/>
      <c r="AQ591" s="18">
        <v>93</v>
      </c>
      <c r="AR591" s="18"/>
      <c r="AS591" s="18"/>
      <c r="AT591" s="18"/>
      <c r="AU591" s="18"/>
      <c r="AV591" s="18"/>
      <c r="AW591" s="18">
        <v>93</v>
      </c>
      <c r="AX591" s="18"/>
      <c r="AY591" s="18"/>
      <c r="AZ591" s="18"/>
      <c r="BA591" s="18"/>
      <c r="BB591" s="18"/>
      <c r="BC591" s="18"/>
      <c r="BD591" s="18"/>
      <c r="BE591" s="18"/>
      <c r="BF591" s="18"/>
      <c r="BG591" s="18"/>
      <c r="BH591" s="18"/>
      <c r="BI591" s="18"/>
      <c r="BJ591" s="18"/>
      <c r="BK591" s="18">
        <v>93</v>
      </c>
    </row>
    <row r="592" spans="14:63" x14ac:dyDescent="0.3">
      <c r="O592" t="s">
        <v>1121</v>
      </c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  <c r="AG592" s="18"/>
      <c r="AH592" s="18"/>
      <c r="AI592" s="18"/>
      <c r="AJ592" s="18"/>
      <c r="AK592" s="18"/>
      <c r="AL592" s="18"/>
      <c r="AM592" s="18"/>
      <c r="AN592" s="18"/>
      <c r="AO592" s="18"/>
      <c r="AP592" s="18"/>
      <c r="AQ592" s="18">
        <v>2024</v>
      </c>
      <c r="AR592" s="18"/>
      <c r="AS592" s="18"/>
      <c r="AT592" s="18"/>
      <c r="AU592" s="18"/>
      <c r="AV592" s="18"/>
      <c r="AW592" s="18">
        <v>2024</v>
      </c>
      <c r="AX592" s="18"/>
      <c r="AY592" s="18"/>
      <c r="AZ592" s="18"/>
      <c r="BA592" s="18"/>
      <c r="BB592" s="18"/>
      <c r="BC592" s="18"/>
      <c r="BD592" s="18"/>
      <c r="BE592" s="18"/>
      <c r="BF592" s="18"/>
      <c r="BG592" s="18"/>
      <c r="BH592" s="18"/>
      <c r="BI592" s="18"/>
      <c r="BJ592" s="18"/>
      <c r="BK592" s="18">
        <v>2024</v>
      </c>
    </row>
    <row r="593" spans="15:63" x14ac:dyDescent="0.3">
      <c r="O593" t="s">
        <v>1131</v>
      </c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  <c r="AF593" s="18"/>
      <c r="AG593" s="18"/>
      <c r="AH593" s="18"/>
      <c r="AI593" s="18"/>
      <c r="AJ593" s="18"/>
      <c r="AK593" s="18"/>
      <c r="AL593" s="18"/>
      <c r="AM593" s="18"/>
      <c r="AN593" s="18"/>
      <c r="AO593" s="18"/>
      <c r="AP593" s="18"/>
      <c r="AQ593" s="18">
        <v>50</v>
      </c>
      <c r="AR593" s="18"/>
      <c r="AS593" s="18"/>
      <c r="AT593" s="18"/>
      <c r="AU593" s="18"/>
      <c r="AV593" s="18"/>
      <c r="AW593" s="18">
        <v>50</v>
      </c>
      <c r="AX593" s="18"/>
      <c r="AY593" s="18"/>
      <c r="AZ593" s="18"/>
      <c r="BA593" s="18"/>
      <c r="BB593" s="18"/>
      <c r="BC593" s="18"/>
      <c r="BD593" s="18"/>
      <c r="BE593" s="18"/>
      <c r="BF593" s="18"/>
      <c r="BG593" s="18"/>
      <c r="BH593" s="18"/>
      <c r="BI593" s="18"/>
      <c r="BJ593" s="18"/>
      <c r="BK593" s="18">
        <v>50</v>
      </c>
    </row>
    <row r="594" spans="15:63" x14ac:dyDescent="0.3">
      <c r="O594" t="s">
        <v>1183</v>
      </c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  <c r="AF594" s="18"/>
      <c r="AG594" s="18"/>
      <c r="AH594" s="18"/>
      <c r="AI594" s="18"/>
      <c r="AJ594" s="18"/>
      <c r="AK594" s="18"/>
      <c r="AL594" s="18"/>
      <c r="AM594" s="18"/>
      <c r="AN594" s="18"/>
      <c r="AO594" s="18"/>
      <c r="AP594" s="18"/>
      <c r="AQ594" s="18"/>
      <c r="AR594" s="18"/>
      <c r="AS594" s="18"/>
      <c r="AT594" s="18"/>
      <c r="AU594" s="18"/>
      <c r="AV594" s="18"/>
      <c r="AW594" s="18"/>
      <c r="AX594" s="18"/>
      <c r="AY594" s="18"/>
      <c r="AZ594" s="18"/>
      <c r="BA594" s="18"/>
      <c r="BB594" s="18"/>
      <c r="BC594" s="18"/>
      <c r="BD594" s="18"/>
      <c r="BE594" s="18">
        <v>256</v>
      </c>
      <c r="BF594" s="18"/>
      <c r="BG594" s="18"/>
      <c r="BH594" s="18"/>
      <c r="BI594" s="18"/>
      <c r="BJ594" s="18">
        <v>256</v>
      </c>
      <c r="BK594" s="18">
        <v>256</v>
      </c>
    </row>
    <row r="595" spans="15:63" x14ac:dyDescent="0.3">
      <c r="O595" t="s">
        <v>1192</v>
      </c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  <c r="AE595" s="18"/>
      <c r="AF595" s="18"/>
      <c r="AG595" s="18"/>
      <c r="AH595" s="18"/>
      <c r="AI595" s="18"/>
      <c r="AJ595" s="18"/>
      <c r="AK595" s="18"/>
      <c r="AL595" s="18"/>
      <c r="AM595" s="18"/>
      <c r="AN595" s="18"/>
      <c r="AO595" s="18"/>
      <c r="AP595" s="18"/>
      <c r="AQ595" s="18"/>
      <c r="AR595" s="18"/>
      <c r="AS595" s="18"/>
      <c r="AT595" s="18"/>
      <c r="AU595" s="18"/>
      <c r="AV595" s="18"/>
      <c r="AW595" s="18"/>
      <c r="AX595" s="18"/>
      <c r="AY595" s="18"/>
      <c r="AZ595" s="18"/>
      <c r="BA595" s="18"/>
      <c r="BB595" s="18"/>
      <c r="BC595" s="18"/>
      <c r="BD595" s="18"/>
      <c r="BE595" s="18">
        <v>1936</v>
      </c>
      <c r="BF595" s="18"/>
      <c r="BG595" s="18"/>
      <c r="BH595" s="18"/>
      <c r="BI595" s="18"/>
      <c r="BJ595" s="18">
        <v>1936</v>
      </c>
      <c r="BK595" s="18">
        <v>1936</v>
      </c>
    </row>
    <row r="596" spans="15:63" x14ac:dyDescent="0.3">
      <c r="O596" t="s">
        <v>1206</v>
      </c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  <c r="AF596" s="18"/>
      <c r="AG596" s="18"/>
      <c r="AH596" s="18"/>
      <c r="AI596" s="18"/>
      <c r="AJ596" s="18"/>
      <c r="AK596" s="18"/>
      <c r="AL596" s="18"/>
      <c r="AM596" s="18"/>
      <c r="AN596" s="18"/>
      <c r="AO596" s="18"/>
      <c r="AP596" s="18"/>
      <c r="AQ596" s="18"/>
      <c r="AR596" s="18"/>
      <c r="AS596" s="18"/>
      <c r="AT596" s="18"/>
      <c r="AU596" s="18"/>
      <c r="AV596" s="18"/>
      <c r="AW596" s="18"/>
      <c r="AX596" s="18"/>
      <c r="AY596" s="18"/>
      <c r="AZ596" s="18"/>
      <c r="BA596" s="18"/>
      <c r="BB596" s="18"/>
      <c r="BC596" s="18"/>
      <c r="BD596" s="18"/>
      <c r="BE596" s="18">
        <v>570</v>
      </c>
      <c r="BF596" s="18"/>
      <c r="BG596" s="18"/>
      <c r="BH596" s="18"/>
      <c r="BI596" s="18"/>
      <c r="BJ596" s="18">
        <v>570</v>
      </c>
      <c r="BK596" s="18">
        <v>570</v>
      </c>
    </row>
    <row r="597" spans="15:63" x14ac:dyDescent="0.3">
      <c r="O597" t="s">
        <v>1240</v>
      </c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18"/>
      <c r="AE597" s="18"/>
      <c r="AF597" s="18"/>
      <c r="AG597" s="18"/>
      <c r="AH597" s="18"/>
      <c r="AI597" s="18"/>
      <c r="AJ597" s="18"/>
      <c r="AK597" s="18"/>
      <c r="AL597" s="18"/>
      <c r="AM597" s="18"/>
      <c r="AN597" s="18"/>
      <c r="AO597" s="18"/>
      <c r="AP597" s="18"/>
      <c r="AQ597" s="18"/>
      <c r="AR597" s="18"/>
      <c r="AS597" s="18"/>
      <c r="AT597" s="18"/>
      <c r="AU597" s="18"/>
      <c r="AV597" s="18"/>
      <c r="AW597" s="18"/>
      <c r="AX597" s="18"/>
      <c r="AY597" s="18"/>
      <c r="AZ597" s="18"/>
      <c r="BA597" s="18"/>
      <c r="BB597" s="18"/>
      <c r="BC597" s="18"/>
      <c r="BD597" s="18"/>
      <c r="BE597" s="18"/>
      <c r="BF597" s="18">
        <v>2956</v>
      </c>
      <c r="BG597" s="18"/>
      <c r="BH597" s="18"/>
      <c r="BI597" s="18"/>
      <c r="BJ597" s="18">
        <v>2956</v>
      </c>
      <c r="BK597" s="18">
        <v>2956</v>
      </c>
    </row>
    <row r="598" spans="15:63" x14ac:dyDescent="0.3">
      <c r="O598" t="s">
        <v>1249</v>
      </c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  <c r="AF598" s="18"/>
      <c r="AG598" s="18"/>
      <c r="AH598" s="18"/>
      <c r="AI598" s="18"/>
      <c r="AJ598" s="18"/>
      <c r="AK598" s="18"/>
      <c r="AL598" s="18"/>
      <c r="AM598" s="18"/>
      <c r="AN598" s="18"/>
      <c r="AO598" s="18"/>
      <c r="AP598" s="18"/>
      <c r="AQ598" s="18"/>
      <c r="AR598" s="18"/>
      <c r="AS598" s="18"/>
      <c r="AT598" s="18"/>
      <c r="AU598" s="18"/>
      <c r="AV598" s="18"/>
      <c r="AW598" s="18"/>
      <c r="AX598" s="18"/>
      <c r="AY598" s="18"/>
      <c r="AZ598" s="18"/>
      <c r="BA598" s="18"/>
      <c r="BB598" s="18"/>
      <c r="BC598" s="18"/>
      <c r="BD598" s="18"/>
      <c r="BE598" s="18"/>
      <c r="BF598" s="18">
        <v>110</v>
      </c>
      <c r="BG598" s="18"/>
      <c r="BH598" s="18"/>
      <c r="BI598" s="18"/>
      <c r="BJ598" s="18">
        <v>110</v>
      </c>
      <c r="BK598" s="18">
        <v>110</v>
      </c>
    </row>
    <row r="599" spans="15:63" x14ac:dyDescent="0.3">
      <c r="O599" t="s">
        <v>1269</v>
      </c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  <c r="AD599" s="18"/>
      <c r="AE599" s="18"/>
      <c r="AF599" s="18"/>
      <c r="AG599" s="18"/>
      <c r="AH599" s="18"/>
      <c r="AI599" s="18"/>
      <c r="AJ599" s="18"/>
      <c r="AK599" s="18"/>
      <c r="AL599" s="18"/>
      <c r="AM599" s="18"/>
      <c r="AN599" s="18"/>
      <c r="AO599" s="18"/>
      <c r="AP599" s="18"/>
      <c r="AQ599" s="18"/>
      <c r="AR599" s="18"/>
      <c r="AS599" s="18"/>
      <c r="AT599" s="18"/>
      <c r="AU599" s="18"/>
      <c r="AV599" s="18"/>
      <c r="AW599" s="18"/>
      <c r="AX599" s="18"/>
      <c r="AY599" s="18"/>
      <c r="AZ599" s="18"/>
      <c r="BA599" s="18"/>
      <c r="BB599" s="18"/>
      <c r="BC599" s="18"/>
      <c r="BD599" s="18"/>
      <c r="BE599" s="18"/>
      <c r="BF599" s="18">
        <v>202</v>
      </c>
      <c r="BG599" s="18"/>
      <c r="BH599" s="18"/>
      <c r="BI599" s="18"/>
      <c r="BJ599" s="18">
        <v>202</v>
      </c>
      <c r="BK599" s="18">
        <v>202</v>
      </c>
    </row>
    <row r="600" spans="15:63" x14ac:dyDescent="0.3">
      <c r="O600" t="s">
        <v>1283</v>
      </c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  <c r="AG600" s="18"/>
      <c r="AH600" s="18"/>
      <c r="AI600" s="18"/>
      <c r="AJ600" s="18"/>
      <c r="AK600" s="18"/>
      <c r="AL600" s="18"/>
      <c r="AM600" s="18"/>
      <c r="AN600" s="18"/>
      <c r="AO600" s="18"/>
      <c r="AP600" s="18"/>
      <c r="AQ600" s="18"/>
      <c r="AR600" s="18"/>
      <c r="AS600" s="18"/>
      <c r="AT600" s="18"/>
      <c r="AU600" s="18"/>
      <c r="AV600" s="18"/>
      <c r="AW600" s="18"/>
      <c r="AX600" s="18"/>
      <c r="AY600" s="18"/>
      <c r="AZ600" s="18"/>
      <c r="BA600" s="18"/>
      <c r="BB600" s="18"/>
      <c r="BC600" s="18"/>
      <c r="BD600" s="18"/>
      <c r="BE600" s="18"/>
      <c r="BF600" s="18"/>
      <c r="BG600" s="18">
        <v>1936</v>
      </c>
      <c r="BH600" s="18"/>
      <c r="BI600" s="18"/>
      <c r="BJ600" s="18">
        <v>1936</v>
      </c>
      <c r="BK600" s="18">
        <v>1936</v>
      </c>
    </row>
    <row r="601" spans="15:63" x14ac:dyDescent="0.3">
      <c r="O601" t="s">
        <v>1392</v>
      </c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  <c r="AD601" s="18"/>
      <c r="AE601" s="18"/>
      <c r="AF601" s="18"/>
      <c r="AG601" s="18"/>
      <c r="AH601" s="18"/>
      <c r="AI601" s="18"/>
      <c r="AJ601" s="18"/>
      <c r="AK601" s="18"/>
      <c r="AL601" s="18"/>
      <c r="AM601" s="18"/>
      <c r="AN601" s="18"/>
      <c r="AO601" s="18"/>
      <c r="AP601" s="18"/>
      <c r="AQ601" s="18"/>
      <c r="AR601" s="18"/>
      <c r="AS601" s="18"/>
      <c r="AT601" s="18"/>
      <c r="AU601" s="18"/>
      <c r="AV601" s="18"/>
      <c r="AW601" s="18"/>
      <c r="AX601" s="18"/>
      <c r="AY601" s="18"/>
      <c r="AZ601" s="18"/>
      <c r="BA601" s="18"/>
      <c r="BB601" s="18"/>
      <c r="BC601" s="18"/>
      <c r="BD601" s="18"/>
      <c r="BE601" s="18"/>
      <c r="BF601" s="18"/>
      <c r="BG601" s="18"/>
      <c r="BH601" s="18">
        <v>475.2</v>
      </c>
      <c r="BI601" s="18"/>
      <c r="BJ601" s="18">
        <v>475.2</v>
      </c>
      <c r="BK601" s="18">
        <v>475.2</v>
      </c>
    </row>
    <row r="602" spans="15:63" x14ac:dyDescent="0.3">
      <c r="O602" t="s">
        <v>1414</v>
      </c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  <c r="AG602" s="18"/>
      <c r="AH602" s="18"/>
      <c r="AI602" s="18"/>
      <c r="AJ602" s="18"/>
      <c r="AK602" s="18"/>
      <c r="AL602" s="18"/>
      <c r="AM602" s="18"/>
      <c r="AN602" s="18"/>
      <c r="AO602" s="18"/>
      <c r="AP602" s="18"/>
      <c r="AQ602" s="18"/>
      <c r="AR602" s="18"/>
      <c r="AS602" s="18"/>
      <c r="AT602" s="18"/>
      <c r="AU602" s="18"/>
      <c r="AV602" s="18"/>
      <c r="AW602" s="18"/>
      <c r="AX602" s="18"/>
      <c r="AY602" s="18"/>
      <c r="AZ602" s="18"/>
      <c r="BA602" s="18"/>
      <c r="BB602" s="18"/>
      <c r="BC602" s="18"/>
      <c r="BD602" s="18"/>
      <c r="BE602" s="18"/>
      <c r="BF602" s="18"/>
      <c r="BG602" s="18"/>
      <c r="BH602" s="18">
        <v>1892</v>
      </c>
      <c r="BI602" s="18"/>
      <c r="BJ602" s="18">
        <v>1892</v>
      </c>
      <c r="BK602" s="18">
        <v>1892</v>
      </c>
    </row>
    <row r="603" spans="15:63" x14ac:dyDescent="0.3">
      <c r="O603" t="s">
        <v>1433</v>
      </c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  <c r="AE603" s="18"/>
      <c r="AF603" s="18"/>
      <c r="AG603" s="18"/>
      <c r="AH603" s="18"/>
      <c r="AI603" s="18"/>
      <c r="AJ603" s="18"/>
      <c r="AK603" s="18"/>
      <c r="AL603" s="18"/>
      <c r="AM603" s="18"/>
      <c r="AN603" s="18"/>
      <c r="AO603" s="18"/>
      <c r="AP603" s="18"/>
      <c r="AQ603" s="18"/>
      <c r="AR603" s="18"/>
      <c r="AS603" s="18"/>
      <c r="AT603" s="18"/>
      <c r="AU603" s="18"/>
      <c r="AV603" s="18"/>
      <c r="AW603" s="18"/>
      <c r="AX603" s="18"/>
      <c r="AY603" s="18"/>
      <c r="AZ603" s="18"/>
      <c r="BA603" s="18"/>
      <c r="BB603" s="18"/>
      <c r="BC603" s="18"/>
      <c r="BD603" s="18"/>
      <c r="BE603" s="18"/>
      <c r="BF603" s="18"/>
      <c r="BG603" s="18"/>
      <c r="BH603" s="18">
        <v>2260</v>
      </c>
      <c r="BI603" s="18"/>
      <c r="BJ603" s="18">
        <v>2260</v>
      </c>
      <c r="BK603" s="18">
        <v>2260</v>
      </c>
    </row>
    <row r="604" spans="15:63" x14ac:dyDescent="0.3">
      <c r="O604" t="s">
        <v>1711</v>
      </c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  <c r="AE604" s="18"/>
      <c r="AF604" s="18"/>
      <c r="AG604" s="18"/>
      <c r="AH604" s="18"/>
      <c r="AI604" s="18"/>
      <c r="AJ604" s="18"/>
      <c r="AK604" s="18"/>
      <c r="AL604" s="18"/>
      <c r="AM604" s="18"/>
      <c r="AN604" s="18"/>
      <c r="AO604" s="18"/>
      <c r="AP604" s="18"/>
      <c r="AQ604" s="18"/>
      <c r="AR604" s="18"/>
      <c r="AS604" s="18"/>
      <c r="AT604" s="18"/>
      <c r="AU604" s="18"/>
      <c r="AV604" s="18"/>
      <c r="AW604" s="18"/>
      <c r="AX604" s="18"/>
      <c r="AY604" s="18">
        <v>100</v>
      </c>
      <c r="AZ604" s="18"/>
      <c r="BA604" s="18"/>
      <c r="BB604" s="18"/>
      <c r="BC604" s="18"/>
      <c r="BD604" s="18"/>
      <c r="BE604" s="18"/>
      <c r="BF604" s="18"/>
      <c r="BG604" s="18"/>
      <c r="BH604" s="18"/>
      <c r="BI604" s="18"/>
      <c r="BJ604" s="18">
        <v>100</v>
      </c>
      <c r="BK604" s="18">
        <v>100</v>
      </c>
    </row>
    <row r="605" spans="15:63" x14ac:dyDescent="0.3">
      <c r="O605" t="s">
        <v>1906</v>
      </c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  <c r="AE605" s="18"/>
      <c r="AF605" s="18"/>
      <c r="AG605" s="18"/>
      <c r="AH605" s="18"/>
      <c r="AI605" s="18"/>
      <c r="AJ605" s="18"/>
      <c r="AK605" s="18"/>
      <c r="AL605" s="18"/>
      <c r="AM605" s="18"/>
      <c r="AN605" s="18"/>
      <c r="AO605" s="18"/>
      <c r="AP605" s="18"/>
      <c r="AQ605" s="18"/>
      <c r="AR605" s="18"/>
      <c r="AS605" s="18"/>
      <c r="AT605" s="18"/>
      <c r="AU605" s="18"/>
      <c r="AV605" s="18"/>
      <c r="AW605" s="18"/>
      <c r="AX605" s="18"/>
      <c r="AY605" s="18"/>
      <c r="AZ605" s="18"/>
      <c r="BA605" s="18">
        <v>6699</v>
      </c>
      <c r="BB605" s="18"/>
      <c r="BC605" s="18"/>
      <c r="BD605" s="18"/>
      <c r="BE605" s="18"/>
      <c r="BF605" s="18"/>
      <c r="BG605" s="18"/>
      <c r="BH605" s="18"/>
      <c r="BI605" s="18"/>
      <c r="BJ605" s="18">
        <v>6699</v>
      </c>
      <c r="BK605" s="18">
        <v>6699</v>
      </c>
    </row>
    <row r="606" spans="15:63" x14ac:dyDescent="0.3">
      <c r="O606" t="s">
        <v>1998</v>
      </c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  <c r="AE606" s="18"/>
      <c r="AF606" s="18"/>
      <c r="AG606" s="18"/>
      <c r="AH606" s="18"/>
      <c r="AI606" s="18"/>
      <c r="AJ606" s="18"/>
      <c r="AK606" s="18"/>
      <c r="AL606" s="18"/>
      <c r="AM606" s="18"/>
      <c r="AN606" s="18"/>
      <c r="AO606" s="18"/>
      <c r="AP606" s="18"/>
      <c r="AQ606" s="18"/>
      <c r="AR606" s="18"/>
      <c r="AS606" s="18"/>
      <c r="AT606" s="18"/>
      <c r="AU606" s="18"/>
      <c r="AV606" s="18"/>
      <c r="AW606" s="18"/>
      <c r="AX606" s="18"/>
      <c r="AY606" s="18"/>
      <c r="AZ606" s="18"/>
      <c r="BA606" s="18"/>
      <c r="BB606" s="18">
        <v>4068</v>
      </c>
      <c r="BC606" s="18"/>
      <c r="BD606" s="18"/>
      <c r="BE606" s="18"/>
      <c r="BF606" s="18"/>
      <c r="BG606" s="18"/>
      <c r="BH606" s="18"/>
      <c r="BI606" s="18"/>
      <c r="BJ606" s="18">
        <v>4068</v>
      </c>
      <c r="BK606" s="18">
        <v>4068</v>
      </c>
    </row>
    <row r="607" spans="15:63" x14ac:dyDescent="0.3">
      <c r="O607" t="s">
        <v>2005</v>
      </c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  <c r="AG607" s="18"/>
      <c r="AH607" s="18"/>
      <c r="AI607" s="18"/>
      <c r="AJ607" s="18"/>
      <c r="AK607" s="18"/>
      <c r="AL607" s="18"/>
      <c r="AM607" s="18"/>
      <c r="AN607" s="18"/>
      <c r="AO607" s="18"/>
      <c r="AP607" s="18"/>
      <c r="AQ607" s="18"/>
      <c r="AR607" s="18"/>
      <c r="AS607" s="18"/>
      <c r="AT607" s="18"/>
      <c r="AU607" s="18"/>
      <c r="AV607" s="18"/>
      <c r="AW607" s="18"/>
      <c r="AX607" s="18"/>
      <c r="AY607" s="18"/>
      <c r="AZ607" s="18"/>
      <c r="BA607" s="18"/>
      <c r="BB607" s="18">
        <v>344</v>
      </c>
      <c r="BC607" s="18"/>
      <c r="BD607" s="18"/>
      <c r="BE607" s="18"/>
      <c r="BF607" s="18"/>
      <c r="BG607" s="18"/>
      <c r="BH607" s="18"/>
      <c r="BI607" s="18"/>
      <c r="BJ607" s="18">
        <v>344</v>
      </c>
      <c r="BK607" s="18">
        <v>344</v>
      </c>
    </row>
    <row r="608" spans="15:63" x14ac:dyDescent="0.3">
      <c r="O608" t="s">
        <v>2013</v>
      </c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  <c r="AE608" s="18"/>
      <c r="AF608" s="18"/>
      <c r="AG608" s="18"/>
      <c r="AH608" s="18"/>
      <c r="AI608" s="18"/>
      <c r="AJ608" s="18"/>
      <c r="AK608" s="18"/>
      <c r="AL608" s="18"/>
      <c r="AM608" s="18"/>
      <c r="AN608" s="18"/>
      <c r="AO608" s="18"/>
      <c r="AP608" s="18"/>
      <c r="AQ608" s="18"/>
      <c r="AR608" s="18"/>
      <c r="AS608" s="18"/>
      <c r="AT608" s="18"/>
      <c r="AU608" s="18"/>
      <c r="AV608" s="18"/>
      <c r="AW608" s="18"/>
      <c r="AX608" s="18"/>
      <c r="AY608" s="18"/>
      <c r="AZ608" s="18"/>
      <c r="BA608" s="18"/>
      <c r="BB608" s="18">
        <v>1738</v>
      </c>
      <c r="BC608" s="18"/>
      <c r="BD608" s="18"/>
      <c r="BE608" s="18"/>
      <c r="BF608" s="18"/>
      <c r="BG608" s="18"/>
      <c r="BH608" s="18"/>
      <c r="BI608" s="18"/>
      <c r="BJ608" s="18">
        <v>1738</v>
      </c>
      <c r="BK608" s="18">
        <v>1738</v>
      </c>
    </row>
    <row r="609" spans="14:63" x14ac:dyDescent="0.3">
      <c r="O609" t="s">
        <v>2171</v>
      </c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  <c r="AG609" s="18"/>
      <c r="AH609" s="18"/>
      <c r="AI609" s="18"/>
      <c r="AJ609" s="18"/>
      <c r="AK609" s="18"/>
      <c r="AL609" s="18"/>
      <c r="AM609" s="18"/>
      <c r="AN609" s="18"/>
      <c r="AO609" s="18"/>
      <c r="AP609" s="18"/>
      <c r="AQ609" s="18"/>
      <c r="AR609" s="18"/>
      <c r="AS609" s="18"/>
      <c r="AT609" s="18"/>
      <c r="AU609" s="18"/>
      <c r="AV609" s="18"/>
      <c r="AW609" s="18"/>
      <c r="AX609" s="18"/>
      <c r="AY609" s="18"/>
      <c r="AZ609" s="18"/>
      <c r="BA609" s="18"/>
      <c r="BB609" s="18"/>
      <c r="BC609" s="18"/>
      <c r="BD609" s="18">
        <v>250</v>
      </c>
      <c r="BE609" s="18"/>
      <c r="BF609" s="18"/>
      <c r="BG609" s="18"/>
      <c r="BH609" s="18"/>
      <c r="BI609" s="18"/>
      <c r="BJ609" s="18">
        <v>250</v>
      </c>
      <c r="BK609" s="18">
        <v>250</v>
      </c>
    </row>
    <row r="610" spans="14:63" x14ac:dyDescent="0.3">
      <c r="O610" t="s">
        <v>2172</v>
      </c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  <c r="AE610" s="18"/>
      <c r="AF610" s="18"/>
      <c r="AG610" s="18"/>
      <c r="AH610" s="18"/>
      <c r="AI610" s="18"/>
      <c r="AJ610" s="18"/>
      <c r="AK610" s="18"/>
      <c r="AL610" s="18"/>
      <c r="AM610" s="18"/>
      <c r="AN610" s="18"/>
      <c r="AO610" s="18"/>
      <c r="AP610" s="18"/>
      <c r="AQ610" s="18"/>
      <c r="AR610" s="18"/>
      <c r="AS610" s="18"/>
      <c r="AT610" s="18"/>
      <c r="AU610" s="18"/>
      <c r="AV610" s="18"/>
      <c r="AW610" s="18"/>
      <c r="AX610" s="18"/>
      <c r="AY610" s="18"/>
      <c r="AZ610" s="18"/>
      <c r="BA610" s="18"/>
      <c r="BB610" s="18"/>
      <c r="BC610" s="18"/>
      <c r="BD610" s="18">
        <v>4068</v>
      </c>
      <c r="BE610" s="18"/>
      <c r="BF610" s="18"/>
      <c r="BG610" s="18"/>
      <c r="BH610" s="18"/>
      <c r="BI610" s="18"/>
      <c r="BJ610" s="18">
        <v>4068</v>
      </c>
      <c r="BK610" s="18">
        <v>4068</v>
      </c>
    </row>
    <row r="611" spans="14:63" x14ac:dyDescent="0.3">
      <c r="O611" t="s">
        <v>2188</v>
      </c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  <c r="AE611" s="18"/>
      <c r="AF611" s="18"/>
      <c r="AG611" s="18"/>
      <c r="AH611" s="18"/>
      <c r="AI611" s="18"/>
      <c r="AJ611" s="18"/>
      <c r="AK611" s="18"/>
      <c r="AL611" s="18"/>
      <c r="AM611" s="18"/>
      <c r="AN611" s="18"/>
      <c r="AO611" s="18"/>
      <c r="AP611" s="18"/>
      <c r="AQ611" s="18"/>
      <c r="AR611" s="18"/>
      <c r="AS611" s="18"/>
      <c r="AT611" s="18"/>
      <c r="AU611" s="18"/>
      <c r="AV611" s="18"/>
      <c r="AW611" s="18"/>
      <c r="AX611" s="18"/>
      <c r="AY611" s="18"/>
      <c r="AZ611" s="18"/>
      <c r="BA611" s="18"/>
      <c r="BB611" s="18"/>
      <c r="BC611" s="18"/>
      <c r="BD611" s="18">
        <v>4700</v>
      </c>
      <c r="BE611" s="18"/>
      <c r="BF611" s="18"/>
      <c r="BG611" s="18"/>
      <c r="BH611" s="18"/>
      <c r="BI611" s="18"/>
      <c r="BJ611" s="18">
        <v>4700</v>
      </c>
      <c r="BK611" s="18">
        <v>4700</v>
      </c>
    </row>
    <row r="612" spans="14:63" x14ac:dyDescent="0.3">
      <c r="N612" s="17" t="s">
        <v>642</v>
      </c>
      <c r="O612" s="17"/>
      <c r="P612" s="19"/>
      <c r="Q612" s="19"/>
      <c r="R612" s="19"/>
      <c r="S612" s="19"/>
      <c r="T612" s="19"/>
      <c r="U612" s="19"/>
      <c r="V612" s="19"/>
      <c r="W612" s="19"/>
      <c r="X612" s="19"/>
      <c r="Y612" s="19"/>
      <c r="Z612" s="19"/>
      <c r="AA612" s="19"/>
      <c r="AB612" s="19"/>
      <c r="AC612" s="19"/>
      <c r="AD612" s="19"/>
      <c r="AE612" s="19"/>
      <c r="AF612" s="19"/>
      <c r="AG612" s="19"/>
      <c r="AH612" s="19"/>
      <c r="AI612" s="19"/>
      <c r="AJ612" s="19"/>
      <c r="AK612" s="19">
        <v>4224</v>
      </c>
      <c r="AL612" s="19"/>
      <c r="AM612" s="19"/>
      <c r="AN612" s="19">
        <v>3808.8</v>
      </c>
      <c r="AO612" s="19"/>
      <c r="AP612" s="19">
        <v>1316</v>
      </c>
      <c r="AQ612" s="19">
        <v>3022</v>
      </c>
      <c r="AR612" s="19"/>
      <c r="AS612" s="19"/>
      <c r="AT612" s="19">
        <v>5328</v>
      </c>
      <c r="AU612" s="19">
        <v>4070</v>
      </c>
      <c r="AV612" s="19">
        <v>4317.8999999999996</v>
      </c>
      <c r="AW612" s="19">
        <v>26086.7</v>
      </c>
      <c r="AX612" s="19"/>
      <c r="AY612" s="19">
        <v>100</v>
      </c>
      <c r="AZ612" s="19"/>
      <c r="BA612" s="19">
        <v>6699</v>
      </c>
      <c r="BB612" s="19">
        <v>6150</v>
      </c>
      <c r="BC612" s="19"/>
      <c r="BD612" s="19">
        <v>9018</v>
      </c>
      <c r="BE612" s="19">
        <v>2762</v>
      </c>
      <c r="BF612" s="19">
        <v>3268</v>
      </c>
      <c r="BG612" s="19">
        <v>1936</v>
      </c>
      <c r="BH612" s="19">
        <v>4627.2</v>
      </c>
      <c r="BI612" s="19"/>
      <c r="BJ612" s="19">
        <v>34560.199999999997</v>
      </c>
      <c r="BK612" s="19">
        <v>60646.899999999994</v>
      </c>
    </row>
    <row r="613" spans="14:63" x14ac:dyDescent="0.3">
      <c r="N613" t="s">
        <v>666</v>
      </c>
      <c r="O613" t="s">
        <v>664</v>
      </c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  <c r="AD613" s="18"/>
      <c r="AE613" s="18"/>
      <c r="AF613" s="18"/>
      <c r="AG613" s="18"/>
      <c r="AH613" s="18"/>
      <c r="AI613" s="18"/>
      <c r="AJ613" s="18"/>
      <c r="AK613" s="18"/>
      <c r="AL613" s="18"/>
      <c r="AM613" s="18"/>
      <c r="AN613" s="18"/>
      <c r="AO613" s="18"/>
      <c r="AP613" s="18"/>
      <c r="AQ613" s="18"/>
      <c r="AR613" s="18"/>
      <c r="AS613" s="18"/>
      <c r="AT613" s="18">
        <v>3555</v>
      </c>
      <c r="AU613" s="18"/>
      <c r="AV613" s="18"/>
      <c r="AW613" s="18">
        <v>3555</v>
      </c>
      <c r="AX613" s="18"/>
      <c r="AY613" s="18"/>
      <c r="AZ613" s="18"/>
      <c r="BA613" s="18"/>
      <c r="BB613" s="18"/>
      <c r="BC613" s="18"/>
      <c r="BD613" s="18"/>
      <c r="BE613" s="18"/>
      <c r="BF613" s="18"/>
      <c r="BG613" s="18"/>
      <c r="BH613" s="18"/>
      <c r="BI613" s="18"/>
      <c r="BJ613" s="18"/>
      <c r="BK613" s="18">
        <v>3555</v>
      </c>
    </row>
    <row r="614" spans="14:63" x14ac:dyDescent="0.3">
      <c r="O614" t="s">
        <v>698</v>
      </c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  <c r="AF614" s="18"/>
      <c r="AG614" s="18"/>
      <c r="AH614" s="18"/>
      <c r="AI614" s="18"/>
      <c r="AJ614" s="18"/>
      <c r="AK614" s="18"/>
      <c r="AL614" s="18"/>
      <c r="AM614" s="18"/>
      <c r="AN614" s="18"/>
      <c r="AO614" s="18"/>
      <c r="AP614" s="18"/>
      <c r="AQ614" s="18"/>
      <c r="AR614" s="18"/>
      <c r="AS614" s="18"/>
      <c r="AT614" s="18"/>
      <c r="AU614" s="18">
        <v>14088.5</v>
      </c>
      <c r="AV614" s="18"/>
      <c r="AW614" s="18">
        <v>14088.5</v>
      </c>
      <c r="AX614" s="18"/>
      <c r="AY614" s="18"/>
      <c r="AZ614" s="18"/>
      <c r="BA614" s="18"/>
      <c r="BB614" s="18"/>
      <c r="BC614" s="18"/>
      <c r="BD614" s="18"/>
      <c r="BE614" s="18"/>
      <c r="BF614" s="18"/>
      <c r="BG614" s="18"/>
      <c r="BH614" s="18"/>
      <c r="BI614" s="18"/>
      <c r="BJ614" s="18"/>
      <c r="BK614" s="18">
        <v>14088.5</v>
      </c>
    </row>
    <row r="615" spans="14:63" x14ac:dyDescent="0.3">
      <c r="O615" t="s">
        <v>721</v>
      </c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  <c r="AE615" s="18"/>
      <c r="AF615" s="18"/>
      <c r="AG615" s="18"/>
      <c r="AH615" s="18"/>
      <c r="AI615" s="18"/>
      <c r="AJ615" s="18"/>
      <c r="AK615" s="18"/>
      <c r="AL615" s="18"/>
      <c r="AM615" s="18"/>
      <c r="AN615" s="18"/>
      <c r="AO615" s="18"/>
      <c r="AP615" s="18"/>
      <c r="AQ615" s="18"/>
      <c r="AR615" s="18"/>
      <c r="AS615" s="18"/>
      <c r="AT615" s="18"/>
      <c r="AU615" s="18">
        <v>3799</v>
      </c>
      <c r="AV615" s="18"/>
      <c r="AW615" s="18">
        <v>3799</v>
      </c>
      <c r="AX615" s="18"/>
      <c r="AY615" s="18"/>
      <c r="AZ615" s="18"/>
      <c r="BA615" s="18"/>
      <c r="BB615" s="18"/>
      <c r="BC615" s="18"/>
      <c r="BD615" s="18"/>
      <c r="BE615" s="18"/>
      <c r="BF615" s="18"/>
      <c r="BG615" s="18"/>
      <c r="BH615" s="18"/>
      <c r="BI615" s="18"/>
      <c r="BJ615" s="18"/>
      <c r="BK615" s="18">
        <v>3799</v>
      </c>
    </row>
    <row r="616" spans="14:63" x14ac:dyDescent="0.3">
      <c r="O616" t="s">
        <v>729</v>
      </c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  <c r="AF616" s="18"/>
      <c r="AG616" s="18"/>
      <c r="AH616" s="18"/>
      <c r="AI616" s="18"/>
      <c r="AJ616" s="18"/>
      <c r="AK616" s="18"/>
      <c r="AL616" s="18"/>
      <c r="AM616" s="18"/>
      <c r="AN616" s="18"/>
      <c r="AO616" s="18"/>
      <c r="AP616" s="18"/>
      <c r="AQ616" s="18"/>
      <c r="AR616" s="18"/>
      <c r="AS616" s="18"/>
      <c r="AT616" s="18"/>
      <c r="AU616" s="18">
        <v>1350</v>
      </c>
      <c r="AV616" s="18"/>
      <c r="AW616" s="18">
        <v>1350</v>
      </c>
      <c r="AX616" s="18"/>
      <c r="AY616" s="18"/>
      <c r="AZ616" s="18"/>
      <c r="BA616" s="18"/>
      <c r="BB616" s="18"/>
      <c r="BC616" s="18"/>
      <c r="BD616" s="18"/>
      <c r="BE616" s="18"/>
      <c r="BF616" s="18"/>
      <c r="BG616" s="18"/>
      <c r="BH616" s="18"/>
      <c r="BI616" s="18"/>
      <c r="BJ616" s="18"/>
      <c r="BK616" s="18">
        <v>1350</v>
      </c>
    </row>
    <row r="617" spans="14:63" x14ac:dyDescent="0.3">
      <c r="O617" t="s">
        <v>764</v>
      </c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  <c r="AE617" s="18"/>
      <c r="AF617" s="18"/>
      <c r="AG617" s="18"/>
      <c r="AH617" s="18"/>
      <c r="AI617" s="18"/>
      <c r="AJ617" s="18"/>
      <c r="AK617" s="18"/>
      <c r="AL617" s="18"/>
      <c r="AM617" s="18"/>
      <c r="AN617" s="18"/>
      <c r="AO617" s="18"/>
      <c r="AP617" s="18"/>
      <c r="AQ617" s="18"/>
      <c r="AR617" s="18"/>
      <c r="AS617" s="18"/>
      <c r="AT617" s="18"/>
      <c r="AU617" s="18"/>
      <c r="AV617" s="18">
        <v>1350</v>
      </c>
      <c r="AW617" s="18">
        <v>1350</v>
      </c>
      <c r="AX617" s="18"/>
      <c r="AY617" s="18"/>
      <c r="AZ617" s="18"/>
      <c r="BA617" s="18"/>
      <c r="BB617" s="18"/>
      <c r="BC617" s="18"/>
      <c r="BD617" s="18"/>
      <c r="BE617" s="18"/>
      <c r="BF617" s="18"/>
      <c r="BG617" s="18"/>
      <c r="BH617" s="18"/>
      <c r="BI617" s="18"/>
      <c r="BJ617" s="18"/>
      <c r="BK617" s="18">
        <v>1350</v>
      </c>
    </row>
    <row r="618" spans="14:63" x14ac:dyDescent="0.3">
      <c r="O618" t="s">
        <v>836</v>
      </c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  <c r="AD618" s="18"/>
      <c r="AE618" s="18"/>
      <c r="AF618" s="18"/>
      <c r="AG618" s="18"/>
      <c r="AH618" s="18"/>
      <c r="AI618" s="18"/>
      <c r="AJ618" s="18"/>
      <c r="AK618" s="18">
        <v>2158</v>
      </c>
      <c r="AL618" s="18"/>
      <c r="AM618" s="18"/>
      <c r="AN618" s="18"/>
      <c r="AO618" s="18"/>
      <c r="AP618" s="18"/>
      <c r="AQ618" s="18"/>
      <c r="AR618" s="18"/>
      <c r="AS618" s="18"/>
      <c r="AT618" s="18"/>
      <c r="AU618" s="18"/>
      <c r="AV618" s="18"/>
      <c r="AW618" s="18">
        <v>2158</v>
      </c>
      <c r="AX618" s="18"/>
      <c r="AY618" s="18"/>
      <c r="AZ618" s="18"/>
      <c r="BA618" s="18"/>
      <c r="BB618" s="18"/>
      <c r="BC618" s="18"/>
      <c r="BD618" s="18"/>
      <c r="BE618" s="18"/>
      <c r="BF618" s="18"/>
      <c r="BG618" s="18"/>
      <c r="BH618" s="18"/>
      <c r="BI618" s="18"/>
      <c r="BJ618" s="18"/>
      <c r="BK618" s="18">
        <v>2158</v>
      </c>
    </row>
    <row r="619" spans="14:63" x14ac:dyDescent="0.3">
      <c r="O619" t="s">
        <v>1171</v>
      </c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  <c r="AD619" s="18"/>
      <c r="AE619" s="18"/>
      <c r="AF619" s="18"/>
      <c r="AG619" s="18"/>
      <c r="AH619" s="18"/>
      <c r="AI619" s="18"/>
      <c r="AJ619" s="18"/>
      <c r="AK619" s="18"/>
      <c r="AL619" s="18"/>
      <c r="AM619" s="18"/>
      <c r="AN619" s="18"/>
      <c r="AO619" s="18"/>
      <c r="AP619" s="18"/>
      <c r="AQ619" s="18"/>
      <c r="AR619" s="18"/>
      <c r="AS619" s="18"/>
      <c r="AT619" s="18"/>
      <c r="AU619" s="18"/>
      <c r="AV619" s="18"/>
      <c r="AW619" s="18"/>
      <c r="AX619" s="18"/>
      <c r="AY619" s="18"/>
      <c r="AZ619" s="18"/>
      <c r="BA619" s="18"/>
      <c r="BB619" s="18"/>
      <c r="BC619" s="18"/>
      <c r="BD619" s="18"/>
      <c r="BE619" s="18">
        <v>6380.5</v>
      </c>
      <c r="BF619" s="18"/>
      <c r="BG619" s="18"/>
      <c r="BH619" s="18"/>
      <c r="BI619" s="18"/>
      <c r="BJ619" s="18">
        <v>6380.5</v>
      </c>
      <c r="BK619" s="18">
        <v>6380.5</v>
      </c>
    </row>
    <row r="620" spans="14:63" x14ac:dyDescent="0.3">
      <c r="O620" t="s">
        <v>1174</v>
      </c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  <c r="AF620" s="18"/>
      <c r="AG620" s="18"/>
      <c r="AH620" s="18"/>
      <c r="AI620" s="18"/>
      <c r="AJ620" s="18"/>
      <c r="AK620" s="18"/>
      <c r="AL620" s="18"/>
      <c r="AM620" s="18"/>
      <c r="AN620" s="18"/>
      <c r="AO620" s="18"/>
      <c r="AP620" s="18"/>
      <c r="AQ620" s="18"/>
      <c r="AR620" s="18"/>
      <c r="AS620" s="18"/>
      <c r="AT620" s="18"/>
      <c r="AU620" s="18"/>
      <c r="AV620" s="18"/>
      <c r="AW620" s="18"/>
      <c r="AX620" s="18"/>
      <c r="AY620" s="18"/>
      <c r="AZ620" s="18"/>
      <c r="BA620" s="18"/>
      <c r="BB620" s="18"/>
      <c r="BC620" s="18"/>
      <c r="BD620" s="18"/>
      <c r="BE620" s="18">
        <v>2936.5</v>
      </c>
      <c r="BF620" s="18"/>
      <c r="BG620" s="18"/>
      <c r="BH620" s="18"/>
      <c r="BI620" s="18"/>
      <c r="BJ620" s="18">
        <v>2936.5</v>
      </c>
      <c r="BK620" s="18">
        <v>2936.5</v>
      </c>
    </row>
    <row r="621" spans="14:63" x14ac:dyDescent="0.3">
      <c r="O621" t="s">
        <v>1180</v>
      </c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  <c r="AE621" s="18"/>
      <c r="AF621" s="18"/>
      <c r="AG621" s="18"/>
      <c r="AH621" s="18"/>
      <c r="AI621" s="18"/>
      <c r="AJ621" s="18"/>
      <c r="AK621" s="18"/>
      <c r="AL621" s="18"/>
      <c r="AM621" s="18"/>
      <c r="AN621" s="18"/>
      <c r="AO621" s="18"/>
      <c r="AP621" s="18"/>
      <c r="AQ621" s="18"/>
      <c r="AR621" s="18"/>
      <c r="AS621" s="18"/>
      <c r="AT621" s="18"/>
      <c r="AU621" s="18"/>
      <c r="AV621" s="18"/>
      <c r="AW621" s="18"/>
      <c r="AX621" s="18"/>
      <c r="AY621" s="18"/>
      <c r="AZ621" s="18"/>
      <c r="BA621" s="18"/>
      <c r="BB621" s="18"/>
      <c r="BC621" s="18"/>
      <c r="BD621" s="18"/>
      <c r="BE621" s="18">
        <v>2440</v>
      </c>
      <c r="BF621" s="18"/>
      <c r="BG621" s="18"/>
      <c r="BH621" s="18"/>
      <c r="BI621" s="18"/>
      <c r="BJ621" s="18">
        <v>2440</v>
      </c>
      <c r="BK621" s="18">
        <v>2440</v>
      </c>
    </row>
    <row r="622" spans="14:63" x14ac:dyDescent="0.3">
      <c r="O622" t="s">
        <v>1184</v>
      </c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  <c r="AF622" s="18"/>
      <c r="AG622" s="18"/>
      <c r="AH622" s="18"/>
      <c r="AI622" s="18"/>
      <c r="AJ622" s="18"/>
      <c r="AK622" s="18"/>
      <c r="AL622" s="18"/>
      <c r="AM622" s="18"/>
      <c r="AN622" s="18"/>
      <c r="AO622" s="18"/>
      <c r="AP622" s="18"/>
      <c r="AQ622" s="18"/>
      <c r="AR622" s="18"/>
      <c r="AS622" s="18"/>
      <c r="AT622" s="18"/>
      <c r="AU622" s="18"/>
      <c r="AV622" s="18"/>
      <c r="AW622" s="18"/>
      <c r="AX622" s="18"/>
      <c r="AY622" s="18"/>
      <c r="AZ622" s="18"/>
      <c r="BA622" s="18"/>
      <c r="BB622" s="18"/>
      <c r="BC622" s="18"/>
      <c r="BD622" s="18"/>
      <c r="BE622" s="18">
        <v>1800.5</v>
      </c>
      <c r="BF622" s="18"/>
      <c r="BG622" s="18"/>
      <c r="BH622" s="18"/>
      <c r="BI622" s="18"/>
      <c r="BJ622" s="18">
        <v>1800.5</v>
      </c>
      <c r="BK622" s="18">
        <v>1800.5</v>
      </c>
    </row>
    <row r="623" spans="14:63" x14ac:dyDescent="0.3">
      <c r="O623" t="s">
        <v>1614</v>
      </c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  <c r="AJ623" s="18"/>
      <c r="AK623" s="18"/>
      <c r="AL623" s="18"/>
      <c r="AM623" s="18"/>
      <c r="AN623" s="18"/>
      <c r="AO623" s="18"/>
      <c r="AP623" s="18"/>
      <c r="AQ623" s="18"/>
      <c r="AR623" s="18"/>
      <c r="AS623" s="18"/>
      <c r="AT623" s="18"/>
      <c r="AU623" s="18"/>
      <c r="AV623" s="18"/>
      <c r="AW623" s="18"/>
      <c r="AX623" s="18">
        <v>3826.5</v>
      </c>
      <c r="AY623" s="18"/>
      <c r="AZ623" s="18"/>
      <c r="BA623" s="18"/>
      <c r="BB623" s="18"/>
      <c r="BC623" s="18"/>
      <c r="BD623" s="18"/>
      <c r="BE623" s="18"/>
      <c r="BF623" s="18"/>
      <c r="BG623" s="18"/>
      <c r="BH623" s="18"/>
      <c r="BI623" s="18"/>
      <c r="BJ623" s="18">
        <v>3826.5</v>
      </c>
      <c r="BK623" s="18">
        <v>3826.5</v>
      </c>
    </row>
    <row r="624" spans="14:63" x14ac:dyDescent="0.3">
      <c r="N624" s="17" t="s">
        <v>680</v>
      </c>
      <c r="O624" s="17"/>
      <c r="P624" s="19"/>
      <c r="Q624" s="19"/>
      <c r="R624" s="19"/>
      <c r="S624" s="19"/>
      <c r="T624" s="19"/>
      <c r="U624" s="19"/>
      <c r="V624" s="19"/>
      <c r="W624" s="19"/>
      <c r="X624" s="19"/>
      <c r="Y624" s="19"/>
      <c r="Z624" s="19"/>
      <c r="AA624" s="19"/>
      <c r="AB624" s="19"/>
      <c r="AC624" s="19"/>
      <c r="AD624" s="19"/>
      <c r="AE624" s="19"/>
      <c r="AF624" s="19"/>
      <c r="AG624" s="19"/>
      <c r="AH624" s="19"/>
      <c r="AI624" s="19"/>
      <c r="AJ624" s="19"/>
      <c r="AK624" s="19">
        <v>2158</v>
      </c>
      <c r="AL624" s="19"/>
      <c r="AM624" s="19"/>
      <c r="AN624" s="19"/>
      <c r="AO624" s="19"/>
      <c r="AP624" s="19"/>
      <c r="AQ624" s="19"/>
      <c r="AR624" s="19"/>
      <c r="AS624" s="19"/>
      <c r="AT624" s="19">
        <v>3555</v>
      </c>
      <c r="AU624" s="19">
        <v>19237.5</v>
      </c>
      <c r="AV624" s="19">
        <v>1350</v>
      </c>
      <c r="AW624" s="19">
        <v>26300.5</v>
      </c>
      <c r="AX624" s="19">
        <v>3826.5</v>
      </c>
      <c r="AY624" s="19"/>
      <c r="AZ624" s="19"/>
      <c r="BA624" s="19"/>
      <c r="BB624" s="19"/>
      <c r="BC624" s="19"/>
      <c r="BD624" s="19"/>
      <c r="BE624" s="19">
        <v>13557.5</v>
      </c>
      <c r="BF624" s="19"/>
      <c r="BG624" s="19"/>
      <c r="BH624" s="19"/>
      <c r="BI624" s="19"/>
      <c r="BJ624" s="19">
        <v>17384</v>
      </c>
      <c r="BK624" s="19">
        <v>43684.5</v>
      </c>
    </row>
    <row r="625" spans="14:63" x14ac:dyDescent="0.3">
      <c r="N625" t="s">
        <v>710</v>
      </c>
      <c r="O625" t="s">
        <v>700</v>
      </c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  <c r="AG625" s="18"/>
      <c r="AH625" s="18"/>
      <c r="AI625" s="18"/>
      <c r="AJ625" s="18"/>
      <c r="AK625" s="18"/>
      <c r="AL625" s="18"/>
      <c r="AM625" s="18"/>
      <c r="AN625" s="18"/>
      <c r="AO625" s="18"/>
      <c r="AP625" s="18"/>
      <c r="AQ625" s="18"/>
      <c r="AR625" s="18"/>
      <c r="AS625" s="18"/>
      <c r="AT625" s="18"/>
      <c r="AU625" s="18">
        <v>1170</v>
      </c>
      <c r="AV625" s="18"/>
      <c r="AW625" s="18">
        <v>1170</v>
      </c>
      <c r="AX625" s="18"/>
      <c r="AY625" s="18"/>
      <c r="AZ625" s="18"/>
      <c r="BA625" s="18"/>
      <c r="BB625" s="18"/>
      <c r="BC625" s="18"/>
      <c r="BD625" s="18"/>
      <c r="BE625" s="18"/>
      <c r="BF625" s="18"/>
      <c r="BG625" s="18"/>
      <c r="BH625" s="18"/>
      <c r="BI625" s="18"/>
      <c r="BJ625" s="18"/>
      <c r="BK625" s="18">
        <v>1170</v>
      </c>
    </row>
    <row r="626" spans="14:63" x14ac:dyDescent="0.3">
      <c r="O626" t="s">
        <v>702</v>
      </c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  <c r="AG626" s="18"/>
      <c r="AH626" s="18"/>
      <c r="AI626" s="18"/>
      <c r="AJ626" s="18"/>
      <c r="AK626" s="18"/>
      <c r="AL626" s="18"/>
      <c r="AM626" s="18"/>
      <c r="AN626" s="18"/>
      <c r="AO626" s="18"/>
      <c r="AP626" s="18"/>
      <c r="AQ626" s="18"/>
      <c r="AR626" s="18"/>
      <c r="AS626" s="18"/>
      <c r="AT626" s="18"/>
      <c r="AU626" s="18">
        <v>68</v>
      </c>
      <c r="AV626" s="18"/>
      <c r="AW626" s="18">
        <v>68</v>
      </c>
      <c r="AX626" s="18"/>
      <c r="AY626" s="18"/>
      <c r="AZ626" s="18"/>
      <c r="BA626" s="18"/>
      <c r="BB626" s="18"/>
      <c r="BC626" s="18"/>
      <c r="BD626" s="18"/>
      <c r="BE626" s="18"/>
      <c r="BF626" s="18"/>
      <c r="BG626" s="18"/>
      <c r="BH626" s="18"/>
      <c r="BI626" s="18"/>
      <c r="BJ626" s="18"/>
      <c r="BK626" s="18">
        <v>68</v>
      </c>
    </row>
    <row r="627" spans="14:63" x14ac:dyDescent="0.3">
      <c r="N627" s="17" t="s">
        <v>755</v>
      </c>
      <c r="O627" s="17"/>
      <c r="P627" s="19"/>
      <c r="Q627" s="19"/>
      <c r="R627" s="19"/>
      <c r="S627" s="19"/>
      <c r="T627" s="19"/>
      <c r="U627" s="19"/>
      <c r="V627" s="19"/>
      <c r="W627" s="19"/>
      <c r="X627" s="19"/>
      <c r="Y627" s="19"/>
      <c r="Z627" s="19"/>
      <c r="AA627" s="19"/>
      <c r="AB627" s="19"/>
      <c r="AC627" s="19"/>
      <c r="AD627" s="19"/>
      <c r="AE627" s="19"/>
      <c r="AF627" s="19"/>
      <c r="AG627" s="19"/>
      <c r="AH627" s="19"/>
      <c r="AI627" s="19"/>
      <c r="AJ627" s="19"/>
      <c r="AK627" s="19"/>
      <c r="AL627" s="19"/>
      <c r="AM627" s="19"/>
      <c r="AN627" s="19"/>
      <c r="AO627" s="19"/>
      <c r="AP627" s="19"/>
      <c r="AQ627" s="19"/>
      <c r="AR627" s="19"/>
      <c r="AS627" s="19"/>
      <c r="AT627" s="19"/>
      <c r="AU627" s="19">
        <v>1238</v>
      </c>
      <c r="AV627" s="19"/>
      <c r="AW627" s="19">
        <v>1238</v>
      </c>
      <c r="AX627" s="19"/>
      <c r="AY627" s="19"/>
      <c r="AZ627" s="19"/>
      <c r="BA627" s="19"/>
      <c r="BB627" s="19"/>
      <c r="BC627" s="19"/>
      <c r="BD627" s="19"/>
      <c r="BE627" s="19"/>
      <c r="BF627" s="19"/>
      <c r="BG627" s="19"/>
      <c r="BH627" s="19"/>
      <c r="BI627" s="19"/>
      <c r="BJ627" s="19"/>
      <c r="BK627" s="19">
        <v>1238</v>
      </c>
    </row>
    <row r="628" spans="14:63" x14ac:dyDescent="0.3">
      <c r="N628" t="s">
        <v>774</v>
      </c>
      <c r="O628" t="s">
        <v>691</v>
      </c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  <c r="AG628" s="18"/>
      <c r="AH628" s="18"/>
      <c r="AI628" s="18"/>
      <c r="AJ628" s="18"/>
      <c r="AK628" s="18"/>
      <c r="AL628" s="18"/>
      <c r="AM628" s="18"/>
      <c r="AN628" s="18"/>
      <c r="AO628" s="18"/>
      <c r="AP628" s="18"/>
      <c r="AQ628" s="18"/>
      <c r="AR628" s="18"/>
      <c r="AS628" s="18"/>
      <c r="AT628" s="18"/>
      <c r="AU628" s="18">
        <v>3881.5</v>
      </c>
      <c r="AV628" s="18"/>
      <c r="AW628" s="18">
        <v>3881.5</v>
      </c>
      <c r="AX628" s="18"/>
      <c r="AY628" s="18"/>
      <c r="AZ628" s="18"/>
      <c r="BA628" s="18"/>
      <c r="BB628" s="18"/>
      <c r="BC628" s="18"/>
      <c r="BD628" s="18"/>
      <c r="BE628" s="18"/>
      <c r="BF628" s="18"/>
      <c r="BG628" s="18"/>
      <c r="BH628" s="18"/>
      <c r="BI628" s="18"/>
      <c r="BJ628" s="18"/>
      <c r="BK628" s="18">
        <v>3881.5</v>
      </c>
    </row>
    <row r="629" spans="14:63" x14ac:dyDescent="0.3">
      <c r="O629" t="s">
        <v>693</v>
      </c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  <c r="AG629" s="18"/>
      <c r="AH629" s="18"/>
      <c r="AI629" s="18"/>
      <c r="AJ629" s="18"/>
      <c r="AK629" s="18"/>
      <c r="AL629" s="18"/>
      <c r="AM629" s="18"/>
      <c r="AN629" s="18"/>
      <c r="AO629" s="18"/>
      <c r="AP629" s="18"/>
      <c r="AQ629" s="18"/>
      <c r="AR629" s="18"/>
      <c r="AS629" s="18"/>
      <c r="AT629" s="18"/>
      <c r="AU629" s="18">
        <v>588</v>
      </c>
      <c r="AV629" s="18"/>
      <c r="AW629" s="18">
        <v>588</v>
      </c>
      <c r="AX629" s="18"/>
      <c r="AY629" s="18"/>
      <c r="AZ629" s="18"/>
      <c r="BA629" s="18"/>
      <c r="BB629" s="18"/>
      <c r="BC629" s="18"/>
      <c r="BD629" s="18"/>
      <c r="BE629" s="18"/>
      <c r="BF629" s="18"/>
      <c r="BG629" s="18"/>
      <c r="BH629" s="18"/>
      <c r="BI629" s="18"/>
      <c r="BJ629" s="18"/>
      <c r="BK629" s="18">
        <v>588</v>
      </c>
    </row>
    <row r="630" spans="14:63" x14ac:dyDescent="0.3">
      <c r="O630" t="s">
        <v>696</v>
      </c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  <c r="AG630" s="18"/>
      <c r="AH630" s="18"/>
      <c r="AI630" s="18"/>
      <c r="AJ630" s="18"/>
      <c r="AK630" s="18"/>
      <c r="AL630" s="18"/>
      <c r="AM630" s="18"/>
      <c r="AN630" s="18"/>
      <c r="AO630" s="18"/>
      <c r="AP630" s="18"/>
      <c r="AQ630" s="18"/>
      <c r="AR630" s="18"/>
      <c r="AS630" s="18"/>
      <c r="AT630" s="18"/>
      <c r="AU630" s="18">
        <v>2175</v>
      </c>
      <c r="AV630" s="18"/>
      <c r="AW630" s="18">
        <v>2175</v>
      </c>
      <c r="AX630" s="18"/>
      <c r="AY630" s="18"/>
      <c r="AZ630" s="18"/>
      <c r="BA630" s="18"/>
      <c r="BB630" s="18"/>
      <c r="BC630" s="18"/>
      <c r="BD630" s="18"/>
      <c r="BE630" s="18"/>
      <c r="BF630" s="18"/>
      <c r="BG630" s="18"/>
      <c r="BH630" s="18"/>
      <c r="BI630" s="18"/>
      <c r="BJ630" s="18"/>
      <c r="BK630" s="18">
        <v>2175</v>
      </c>
    </row>
    <row r="631" spans="14:63" x14ac:dyDescent="0.3">
      <c r="O631" t="s">
        <v>775</v>
      </c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  <c r="AG631" s="18"/>
      <c r="AH631" s="18"/>
      <c r="AI631" s="18"/>
      <c r="AJ631" s="18"/>
      <c r="AK631" s="18"/>
      <c r="AL631" s="18"/>
      <c r="AM631" s="18"/>
      <c r="AN631" s="18"/>
      <c r="AO631" s="18"/>
      <c r="AP631" s="18"/>
      <c r="AQ631" s="18"/>
      <c r="AR631" s="18"/>
      <c r="AS631" s="18"/>
      <c r="AT631" s="18"/>
      <c r="AU631" s="18"/>
      <c r="AV631" s="18">
        <v>8524.5</v>
      </c>
      <c r="AW631" s="18">
        <v>8524.5</v>
      </c>
      <c r="AX631" s="18"/>
      <c r="AY631" s="18"/>
      <c r="AZ631" s="18"/>
      <c r="BA631" s="18"/>
      <c r="BB631" s="18"/>
      <c r="BC631" s="18"/>
      <c r="BD631" s="18"/>
      <c r="BE631" s="18"/>
      <c r="BF631" s="18"/>
      <c r="BG631" s="18"/>
      <c r="BH631" s="18"/>
      <c r="BI631" s="18"/>
      <c r="BJ631" s="18"/>
      <c r="BK631" s="18">
        <v>8524.5</v>
      </c>
    </row>
    <row r="632" spans="14:63" x14ac:dyDescent="0.3">
      <c r="N632" s="17" t="s">
        <v>799</v>
      </c>
      <c r="O632" s="17"/>
      <c r="P632" s="19"/>
      <c r="Q632" s="19"/>
      <c r="R632" s="19"/>
      <c r="S632" s="19"/>
      <c r="T632" s="19"/>
      <c r="U632" s="19"/>
      <c r="V632" s="19"/>
      <c r="W632" s="19"/>
      <c r="X632" s="19"/>
      <c r="Y632" s="19"/>
      <c r="Z632" s="19"/>
      <c r="AA632" s="19"/>
      <c r="AB632" s="19"/>
      <c r="AC632" s="19"/>
      <c r="AD632" s="19"/>
      <c r="AE632" s="19"/>
      <c r="AF632" s="19"/>
      <c r="AG632" s="19"/>
      <c r="AH632" s="19"/>
      <c r="AI632" s="19"/>
      <c r="AJ632" s="19"/>
      <c r="AK632" s="19"/>
      <c r="AL632" s="19"/>
      <c r="AM632" s="19"/>
      <c r="AN632" s="19"/>
      <c r="AO632" s="19"/>
      <c r="AP632" s="19"/>
      <c r="AQ632" s="19"/>
      <c r="AR632" s="19"/>
      <c r="AS632" s="19"/>
      <c r="AT632" s="19"/>
      <c r="AU632" s="19">
        <v>6644.5</v>
      </c>
      <c r="AV632" s="19">
        <v>8524.5</v>
      </c>
      <c r="AW632" s="19">
        <v>15169</v>
      </c>
      <c r="AX632" s="19"/>
      <c r="AY632" s="19"/>
      <c r="AZ632" s="19"/>
      <c r="BA632" s="19"/>
      <c r="BB632" s="19"/>
      <c r="BC632" s="19"/>
      <c r="BD632" s="19"/>
      <c r="BE632" s="19"/>
      <c r="BF632" s="19"/>
      <c r="BG632" s="19"/>
      <c r="BH632" s="19"/>
      <c r="BI632" s="19"/>
      <c r="BJ632" s="19"/>
      <c r="BK632" s="19">
        <v>15169</v>
      </c>
    </row>
    <row r="633" spans="14:63" x14ac:dyDescent="0.3">
      <c r="N633" t="s">
        <v>785</v>
      </c>
      <c r="O633" t="s">
        <v>789</v>
      </c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  <c r="AF633" s="18"/>
      <c r="AG633" s="18"/>
      <c r="AH633" s="18"/>
      <c r="AI633" s="18"/>
      <c r="AJ633" s="18"/>
      <c r="AK633" s="18"/>
      <c r="AL633" s="18"/>
      <c r="AM633" s="18"/>
      <c r="AN633" s="18"/>
      <c r="AO633" s="18"/>
      <c r="AP633" s="18"/>
      <c r="AQ633" s="18"/>
      <c r="AR633" s="18"/>
      <c r="AS633" s="18"/>
      <c r="AT633" s="18"/>
      <c r="AU633" s="18"/>
      <c r="AV633" s="18">
        <v>1239.5999999999999</v>
      </c>
      <c r="AW633" s="18">
        <v>1239.5999999999999</v>
      </c>
      <c r="AX633" s="18"/>
      <c r="AY633" s="18"/>
      <c r="AZ633" s="18"/>
      <c r="BA633" s="18"/>
      <c r="BB633" s="18"/>
      <c r="BC633" s="18"/>
      <c r="BD633" s="18"/>
      <c r="BE633" s="18"/>
      <c r="BF633" s="18"/>
      <c r="BG633" s="18"/>
      <c r="BH633" s="18"/>
      <c r="BI633" s="18"/>
      <c r="BJ633" s="18"/>
      <c r="BK633" s="18">
        <v>1239.5999999999999</v>
      </c>
    </row>
    <row r="634" spans="14:63" x14ac:dyDescent="0.3">
      <c r="O634" t="s">
        <v>899</v>
      </c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  <c r="AG634" s="18"/>
      <c r="AH634" s="18"/>
      <c r="AI634" s="18"/>
      <c r="AJ634" s="18"/>
      <c r="AK634" s="18"/>
      <c r="AL634" s="18"/>
      <c r="AM634" s="18">
        <v>2068</v>
      </c>
      <c r="AN634" s="18"/>
      <c r="AO634" s="18"/>
      <c r="AP634" s="18"/>
      <c r="AQ634" s="18"/>
      <c r="AR634" s="18"/>
      <c r="AS634" s="18"/>
      <c r="AT634" s="18"/>
      <c r="AU634" s="18"/>
      <c r="AV634" s="18"/>
      <c r="AW634" s="18">
        <v>2068</v>
      </c>
      <c r="AX634" s="18"/>
      <c r="AY634" s="18"/>
      <c r="AZ634" s="18"/>
      <c r="BA634" s="18"/>
      <c r="BB634" s="18"/>
      <c r="BC634" s="18"/>
      <c r="BD634" s="18"/>
      <c r="BE634" s="18"/>
      <c r="BF634" s="18"/>
      <c r="BG634" s="18"/>
      <c r="BH634" s="18"/>
      <c r="BI634" s="18"/>
      <c r="BJ634" s="18"/>
      <c r="BK634" s="18">
        <v>2068</v>
      </c>
    </row>
    <row r="635" spans="14:63" x14ac:dyDescent="0.3">
      <c r="O635" t="s">
        <v>1005</v>
      </c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  <c r="AG635" s="18"/>
      <c r="AH635" s="18"/>
      <c r="AI635" s="18"/>
      <c r="AJ635" s="18"/>
      <c r="AK635" s="18"/>
      <c r="AL635" s="18"/>
      <c r="AM635" s="18"/>
      <c r="AN635" s="18"/>
      <c r="AO635" s="18">
        <v>3600</v>
      </c>
      <c r="AP635" s="18"/>
      <c r="AQ635" s="18"/>
      <c r="AR635" s="18"/>
      <c r="AS635" s="18"/>
      <c r="AT635" s="18"/>
      <c r="AU635" s="18"/>
      <c r="AV635" s="18"/>
      <c r="AW635" s="18">
        <v>3600</v>
      </c>
      <c r="AX635" s="18"/>
      <c r="AY635" s="18"/>
      <c r="AZ635" s="18"/>
      <c r="BA635" s="18"/>
      <c r="BB635" s="18"/>
      <c r="BC635" s="18"/>
      <c r="BD635" s="18"/>
      <c r="BE635" s="18"/>
      <c r="BF635" s="18"/>
      <c r="BG635" s="18"/>
      <c r="BH635" s="18"/>
      <c r="BI635" s="18"/>
      <c r="BJ635" s="18"/>
      <c r="BK635" s="18">
        <v>3600</v>
      </c>
    </row>
    <row r="636" spans="14:63" x14ac:dyDescent="0.3">
      <c r="O636" t="s">
        <v>1126</v>
      </c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  <c r="AG636" s="18"/>
      <c r="AH636" s="18"/>
      <c r="AI636" s="18"/>
      <c r="AJ636" s="18"/>
      <c r="AK636" s="18"/>
      <c r="AL636" s="18"/>
      <c r="AM636" s="18"/>
      <c r="AN636" s="18"/>
      <c r="AO636" s="18"/>
      <c r="AP636" s="18"/>
      <c r="AQ636" s="18">
        <v>2063</v>
      </c>
      <c r="AR636" s="18"/>
      <c r="AS636" s="18"/>
      <c r="AT636" s="18"/>
      <c r="AU636" s="18"/>
      <c r="AV636" s="18"/>
      <c r="AW636" s="18">
        <v>2063</v>
      </c>
      <c r="AX636" s="18"/>
      <c r="AY636" s="18"/>
      <c r="AZ636" s="18"/>
      <c r="BA636" s="18"/>
      <c r="BB636" s="18"/>
      <c r="BC636" s="18"/>
      <c r="BD636" s="18"/>
      <c r="BE636" s="18"/>
      <c r="BF636" s="18"/>
      <c r="BG636" s="18"/>
      <c r="BH636" s="18"/>
      <c r="BI636" s="18"/>
      <c r="BJ636" s="18"/>
      <c r="BK636" s="18">
        <v>2063</v>
      </c>
    </row>
    <row r="637" spans="14:63" x14ac:dyDescent="0.3">
      <c r="O637" t="s">
        <v>1359</v>
      </c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  <c r="AG637" s="18"/>
      <c r="AH637" s="18"/>
      <c r="AI637" s="18"/>
      <c r="AJ637" s="18"/>
      <c r="AK637" s="18"/>
      <c r="AL637" s="18"/>
      <c r="AM637" s="18"/>
      <c r="AN637" s="18"/>
      <c r="AO637" s="18"/>
      <c r="AP637" s="18"/>
      <c r="AQ637" s="18"/>
      <c r="AR637" s="18"/>
      <c r="AS637" s="18"/>
      <c r="AT637" s="18"/>
      <c r="AU637" s="18"/>
      <c r="AV637" s="18"/>
      <c r="AW637" s="18"/>
      <c r="AX637" s="18"/>
      <c r="AY637" s="18"/>
      <c r="AZ637" s="18"/>
      <c r="BA637" s="18"/>
      <c r="BB637" s="18"/>
      <c r="BC637" s="18"/>
      <c r="BD637" s="18"/>
      <c r="BE637" s="18"/>
      <c r="BF637" s="18"/>
      <c r="BG637" s="18">
        <v>3026.2</v>
      </c>
      <c r="BH637" s="18"/>
      <c r="BI637" s="18"/>
      <c r="BJ637" s="18">
        <v>3026.2</v>
      </c>
      <c r="BK637" s="18">
        <v>3026.2</v>
      </c>
    </row>
    <row r="638" spans="14:63" x14ac:dyDescent="0.3">
      <c r="O638" t="s">
        <v>2192</v>
      </c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  <c r="AG638" s="18"/>
      <c r="AH638" s="18"/>
      <c r="AI638" s="18"/>
      <c r="AJ638" s="18"/>
      <c r="AK638" s="18"/>
      <c r="AL638" s="18"/>
      <c r="AM638" s="18"/>
      <c r="AN638" s="18"/>
      <c r="AO638" s="18"/>
      <c r="AP638" s="18"/>
      <c r="AQ638" s="18"/>
      <c r="AR638" s="18"/>
      <c r="AS638" s="18"/>
      <c r="AT638" s="18"/>
      <c r="AU638" s="18"/>
      <c r="AV638" s="18"/>
      <c r="AW638" s="18"/>
      <c r="AX638" s="18"/>
      <c r="AY638" s="18"/>
      <c r="AZ638" s="18"/>
      <c r="BA638" s="18"/>
      <c r="BB638" s="18"/>
      <c r="BC638" s="18"/>
      <c r="BD638" s="18">
        <v>771.3</v>
      </c>
      <c r="BE638" s="18"/>
      <c r="BF638" s="18"/>
      <c r="BG638" s="18"/>
      <c r="BH638" s="18"/>
      <c r="BI638" s="18"/>
      <c r="BJ638" s="18">
        <v>771.3</v>
      </c>
      <c r="BK638" s="18">
        <v>771.3</v>
      </c>
    </row>
    <row r="639" spans="14:63" x14ac:dyDescent="0.3">
      <c r="O639" t="s">
        <v>2194</v>
      </c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  <c r="AG639" s="18"/>
      <c r="AH639" s="18"/>
      <c r="AI639" s="18"/>
      <c r="AJ639" s="18"/>
      <c r="AK639" s="18"/>
      <c r="AL639" s="18"/>
      <c r="AM639" s="18"/>
      <c r="AN639" s="18"/>
      <c r="AO639" s="18"/>
      <c r="AP639" s="18"/>
      <c r="AQ639" s="18"/>
      <c r="AR639" s="18"/>
      <c r="AS639" s="18"/>
      <c r="AT639" s="18"/>
      <c r="AU639" s="18"/>
      <c r="AV639" s="18"/>
      <c r="AW639" s="18"/>
      <c r="AX639" s="18"/>
      <c r="AY639" s="18"/>
      <c r="AZ639" s="18"/>
      <c r="BA639" s="18"/>
      <c r="BB639" s="18"/>
      <c r="BC639" s="18"/>
      <c r="BD639" s="18">
        <v>175</v>
      </c>
      <c r="BE639" s="18"/>
      <c r="BF639" s="18"/>
      <c r="BG639" s="18"/>
      <c r="BH639" s="18"/>
      <c r="BI639" s="18"/>
      <c r="BJ639" s="18">
        <v>175</v>
      </c>
      <c r="BK639" s="18">
        <v>175</v>
      </c>
    </row>
    <row r="640" spans="14:63" x14ac:dyDescent="0.3">
      <c r="N640" s="17" t="s">
        <v>800</v>
      </c>
      <c r="O640" s="17"/>
      <c r="P640" s="19"/>
      <c r="Q640" s="19"/>
      <c r="R640" s="19"/>
      <c r="S640" s="19"/>
      <c r="T640" s="19"/>
      <c r="U640" s="19"/>
      <c r="V640" s="19"/>
      <c r="W640" s="19"/>
      <c r="X640" s="19"/>
      <c r="Y640" s="19"/>
      <c r="Z640" s="19"/>
      <c r="AA640" s="19"/>
      <c r="AB640" s="19"/>
      <c r="AC640" s="19"/>
      <c r="AD640" s="19"/>
      <c r="AE640" s="19"/>
      <c r="AF640" s="19"/>
      <c r="AG640" s="19"/>
      <c r="AH640" s="19"/>
      <c r="AI640" s="19"/>
      <c r="AJ640" s="19"/>
      <c r="AK640" s="19"/>
      <c r="AL640" s="19"/>
      <c r="AM640" s="19">
        <v>2068</v>
      </c>
      <c r="AN640" s="19"/>
      <c r="AO640" s="19">
        <v>3600</v>
      </c>
      <c r="AP640" s="19"/>
      <c r="AQ640" s="19">
        <v>2063</v>
      </c>
      <c r="AR640" s="19"/>
      <c r="AS640" s="19"/>
      <c r="AT640" s="19"/>
      <c r="AU640" s="19"/>
      <c r="AV640" s="19">
        <v>1239.5999999999999</v>
      </c>
      <c r="AW640" s="19">
        <v>8970.6</v>
      </c>
      <c r="AX640" s="19"/>
      <c r="AY640" s="19"/>
      <c r="AZ640" s="19"/>
      <c r="BA640" s="19"/>
      <c r="BB640" s="19"/>
      <c r="BC640" s="19"/>
      <c r="BD640" s="19">
        <v>946.3</v>
      </c>
      <c r="BE640" s="19"/>
      <c r="BF640" s="19"/>
      <c r="BG640" s="19">
        <v>3026.2</v>
      </c>
      <c r="BH640" s="19"/>
      <c r="BI640" s="19"/>
      <c r="BJ640" s="19">
        <v>3972.5</v>
      </c>
      <c r="BK640" s="19">
        <v>12943.099999999999</v>
      </c>
    </row>
    <row r="641" spans="14:63" x14ac:dyDescent="0.3">
      <c r="N641" t="s">
        <v>860</v>
      </c>
      <c r="O641" t="s">
        <v>862</v>
      </c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  <c r="AF641" s="18"/>
      <c r="AG641" s="18"/>
      <c r="AH641" s="18"/>
      <c r="AI641" s="18"/>
      <c r="AJ641" s="18"/>
      <c r="AK641" s="18"/>
      <c r="AL641" s="18">
        <v>8568.2000000000007</v>
      </c>
      <c r="AM641" s="18"/>
      <c r="AN641" s="18"/>
      <c r="AO641" s="18"/>
      <c r="AP641" s="18"/>
      <c r="AQ641" s="18"/>
      <c r="AR641" s="18"/>
      <c r="AS641" s="18"/>
      <c r="AT641" s="18"/>
      <c r="AU641" s="18"/>
      <c r="AV641" s="18"/>
      <c r="AW641" s="18">
        <v>8568.2000000000007</v>
      </c>
      <c r="AX641" s="18"/>
      <c r="AY641" s="18"/>
      <c r="AZ641" s="18"/>
      <c r="BA641" s="18"/>
      <c r="BB641" s="18"/>
      <c r="BC641" s="18"/>
      <c r="BD641" s="18"/>
      <c r="BE641" s="18"/>
      <c r="BF641" s="18"/>
      <c r="BG641" s="18"/>
      <c r="BH641" s="18"/>
      <c r="BI641" s="18"/>
      <c r="BJ641" s="18"/>
      <c r="BK641" s="18">
        <v>8568.2000000000007</v>
      </c>
    </row>
    <row r="642" spans="14:63" x14ac:dyDescent="0.3">
      <c r="O642" t="s">
        <v>892</v>
      </c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  <c r="AG642" s="18"/>
      <c r="AH642" s="18"/>
      <c r="AI642" s="18"/>
      <c r="AJ642" s="18"/>
      <c r="AK642" s="18"/>
      <c r="AL642" s="18"/>
      <c r="AM642" s="18">
        <v>12643.2</v>
      </c>
      <c r="AN642" s="18"/>
      <c r="AO642" s="18"/>
      <c r="AP642" s="18"/>
      <c r="AQ642" s="18"/>
      <c r="AR642" s="18"/>
      <c r="AS642" s="18"/>
      <c r="AT642" s="18"/>
      <c r="AU642" s="18"/>
      <c r="AV642" s="18"/>
      <c r="AW642" s="18">
        <v>12643.2</v>
      </c>
      <c r="AX642" s="18"/>
      <c r="AY642" s="18"/>
      <c r="AZ642" s="18"/>
      <c r="BA642" s="18"/>
      <c r="BB642" s="18"/>
      <c r="BC642" s="18"/>
      <c r="BD642" s="18"/>
      <c r="BE642" s="18"/>
      <c r="BF642" s="18"/>
      <c r="BG642" s="18"/>
      <c r="BH642" s="18"/>
      <c r="BI642" s="18"/>
      <c r="BJ642" s="18"/>
      <c r="BK642" s="18">
        <v>12643.2</v>
      </c>
    </row>
    <row r="643" spans="14:63" x14ac:dyDescent="0.3">
      <c r="O643" t="s">
        <v>910</v>
      </c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  <c r="AG643" s="18"/>
      <c r="AH643" s="18"/>
      <c r="AI643" s="18"/>
      <c r="AJ643" s="18"/>
      <c r="AK643" s="18"/>
      <c r="AL643" s="18"/>
      <c r="AM643" s="18">
        <v>5840</v>
      </c>
      <c r="AN643" s="18"/>
      <c r="AO643" s="18"/>
      <c r="AP643" s="18"/>
      <c r="AQ643" s="18"/>
      <c r="AR643" s="18"/>
      <c r="AS643" s="18"/>
      <c r="AT643" s="18"/>
      <c r="AU643" s="18"/>
      <c r="AV643" s="18"/>
      <c r="AW643" s="18">
        <v>5840</v>
      </c>
      <c r="AX643" s="18"/>
      <c r="AY643" s="18"/>
      <c r="AZ643" s="18"/>
      <c r="BA643" s="18"/>
      <c r="BB643" s="18"/>
      <c r="BC643" s="18"/>
      <c r="BD643" s="18"/>
      <c r="BE643" s="18"/>
      <c r="BF643" s="18"/>
      <c r="BG643" s="18"/>
      <c r="BH643" s="18"/>
      <c r="BI643" s="18"/>
      <c r="BJ643" s="18"/>
      <c r="BK643" s="18">
        <v>5840</v>
      </c>
    </row>
    <row r="644" spans="14:63" x14ac:dyDescent="0.3">
      <c r="O644" t="s">
        <v>915</v>
      </c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  <c r="AH644" s="18"/>
      <c r="AI644" s="18"/>
      <c r="AJ644" s="18"/>
      <c r="AK644" s="18"/>
      <c r="AL644" s="18"/>
      <c r="AM644" s="18">
        <v>6006</v>
      </c>
      <c r="AN644" s="18"/>
      <c r="AO644" s="18"/>
      <c r="AP644" s="18"/>
      <c r="AQ644" s="18"/>
      <c r="AR644" s="18"/>
      <c r="AS644" s="18"/>
      <c r="AT644" s="18"/>
      <c r="AU644" s="18"/>
      <c r="AV644" s="18"/>
      <c r="AW644" s="18">
        <v>6006</v>
      </c>
      <c r="AX644" s="18"/>
      <c r="AY644" s="18"/>
      <c r="AZ644" s="18"/>
      <c r="BA644" s="18"/>
      <c r="BB644" s="18"/>
      <c r="BC644" s="18"/>
      <c r="BD644" s="18"/>
      <c r="BE644" s="18"/>
      <c r="BF644" s="18"/>
      <c r="BG644" s="18"/>
      <c r="BH644" s="18"/>
      <c r="BI644" s="18"/>
      <c r="BJ644" s="18"/>
      <c r="BK644" s="18">
        <v>6006</v>
      </c>
    </row>
    <row r="645" spans="14:63" x14ac:dyDescent="0.3">
      <c r="O645" t="s">
        <v>956</v>
      </c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  <c r="AG645" s="18"/>
      <c r="AH645" s="18"/>
      <c r="AI645" s="18"/>
      <c r="AJ645" s="18"/>
      <c r="AK645" s="18"/>
      <c r="AL645" s="18"/>
      <c r="AM645" s="18"/>
      <c r="AN645" s="18">
        <v>11266.800000000001</v>
      </c>
      <c r="AO645" s="18"/>
      <c r="AP645" s="18"/>
      <c r="AQ645" s="18"/>
      <c r="AR645" s="18"/>
      <c r="AS645" s="18"/>
      <c r="AT645" s="18"/>
      <c r="AU645" s="18"/>
      <c r="AV645" s="18"/>
      <c r="AW645" s="18">
        <v>11266.800000000001</v>
      </c>
      <c r="AX645" s="18"/>
      <c r="AY645" s="18"/>
      <c r="AZ645" s="18"/>
      <c r="BA645" s="18"/>
      <c r="BB645" s="18"/>
      <c r="BC645" s="18"/>
      <c r="BD645" s="18"/>
      <c r="BE645" s="18"/>
      <c r="BF645" s="18"/>
      <c r="BG645" s="18"/>
      <c r="BH645" s="18"/>
      <c r="BI645" s="18"/>
      <c r="BJ645" s="18"/>
      <c r="BK645" s="18">
        <v>11266.800000000001</v>
      </c>
    </row>
    <row r="646" spans="14:63" x14ac:dyDescent="0.3">
      <c r="O646" t="s">
        <v>1066</v>
      </c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  <c r="AG646" s="18"/>
      <c r="AH646" s="18"/>
      <c r="AI646" s="18"/>
      <c r="AJ646" s="18"/>
      <c r="AK646" s="18"/>
      <c r="AL646" s="18"/>
      <c r="AM646" s="18"/>
      <c r="AN646" s="18"/>
      <c r="AO646" s="18"/>
      <c r="AP646" s="18">
        <v>14564.6</v>
      </c>
      <c r="AQ646" s="18"/>
      <c r="AR646" s="18"/>
      <c r="AS646" s="18"/>
      <c r="AT646" s="18"/>
      <c r="AU646" s="18"/>
      <c r="AV646" s="18"/>
      <c r="AW646" s="18">
        <v>14564.6</v>
      </c>
      <c r="AX646" s="18"/>
      <c r="AY646" s="18"/>
      <c r="AZ646" s="18"/>
      <c r="BA646" s="18"/>
      <c r="BB646" s="18"/>
      <c r="BC646" s="18"/>
      <c r="BD646" s="18"/>
      <c r="BE646" s="18"/>
      <c r="BF646" s="18"/>
      <c r="BG646" s="18"/>
      <c r="BH646" s="18"/>
      <c r="BI646" s="18"/>
      <c r="BJ646" s="18"/>
      <c r="BK646" s="18">
        <v>14564.6</v>
      </c>
    </row>
    <row r="647" spans="14:63" x14ac:dyDescent="0.3">
      <c r="O647" t="s">
        <v>1277</v>
      </c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  <c r="AG647" s="18"/>
      <c r="AH647" s="18"/>
      <c r="AI647" s="18"/>
      <c r="AJ647" s="18"/>
      <c r="AK647" s="18"/>
      <c r="AL647" s="18"/>
      <c r="AM647" s="18"/>
      <c r="AN647" s="18"/>
      <c r="AO647" s="18"/>
      <c r="AP647" s="18"/>
      <c r="AQ647" s="18"/>
      <c r="AR647" s="18"/>
      <c r="AS647" s="18"/>
      <c r="AT647" s="18"/>
      <c r="AU647" s="18"/>
      <c r="AV647" s="18"/>
      <c r="AW647" s="18"/>
      <c r="AX647" s="18"/>
      <c r="AY647" s="18"/>
      <c r="AZ647" s="18"/>
      <c r="BA647" s="18"/>
      <c r="BB647" s="18"/>
      <c r="BC647" s="18"/>
      <c r="BD647" s="18"/>
      <c r="BE647" s="18"/>
      <c r="BF647" s="18">
        <v>1059.5</v>
      </c>
      <c r="BG647" s="18"/>
      <c r="BH647" s="18"/>
      <c r="BI647" s="18"/>
      <c r="BJ647" s="18">
        <v>1059.5</v>
      </c>
      <c r="BK647" s="18">
        <v>1059.5</v>
      </c>
    </row>
    <row r="648" spans="14:63" x14ac:dyDescent="0.3">
      <c r="O648" t="s">
        <v>1401</v>
      </c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  <c r="AG648" s="18"/>
      <c r="AH648" s="18"/>
      <c r="AI648" s="18"/>
      <c r="AJ648" s="18"/>
      <c r="AK648" s="18"/>
      <c r="AL648" s="18"/>
      <c r="AM648" s="18"/>
      <c r="AN648" s="18"/>
      <c r="AO648" s="18"/>
      <c r="AP648" s="18"/>
      <c r="AQ648" s="18"/>
      <c r="AR648" s="18"/>
      <c r="AS648" s="18"/>
      <c r="AT648" s="18"/>
      <c r="AU648" s="18"/>
      <c r="AV648" s="18"/>
      <c r="AW648" s="18"/>
      <c r="AX648" s="18"/>
      <c r="AY648" s="18"/>
      <c r="AZ648" s="18"/>
      <c r="BA648" s="18"/>
      <c r="BB648" s="18"/>
      <c r="BC648" s="18"/>
      <c r="BD648" s="18"/>
      <c r="BE648" s="18"/>
      <c r="BF648" s="18"/>
      <c r="BG648" s="18"/>
      <c r="BH648" s="18">
        <v>14999.1</v>
      </c>
      <c r="BI648" s="18"/>
      <c r="BJ648" s="18">
        <v>14999.1</v>
      </c>
      <c r="BK648" s="18">
        <v>14999.1</v>
      </c>
    </row>
    <row r="649" spans="14:63" x14ac:dyDescent="0.3">
      <c r="O649" t="s">
        <v>1535</v>
      </c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  <c r="AG649" s="18"/>
      <c r="AH649" s="18"/>
      <c r="AI649" s="18"/>
      <c r="AJ649" s="18"/>
      <c r="AK649" s="18"/>
      <c r="AL649" s="18"/>
      <c r="AM649" s="18"/>
      <c r="AN649" s="18"/>
      <c r="AO649" s="18"/>
      <c r="AP649" s="18"/>
      <c r="AQ649" s="18"/>
      <c r="AR649" s="18"/>
      <c r="AS649" s="18"/>
      <c r="AT649" s="18"/>
      <c r="AU649" s="18"/>
      <c r="AV649" s="18"/>
      <c r="AW649" s="18"/>
      <c r="AX649" s="18"/>
      <c r="AY649" s="18"/>
      <c r="AZ649" s="18"/>
      <c r="BA649" s="18"/>
      <c r="BB649" s="18"/>
      <c r="BC649" s="18"/>
      <c r="BD649" s="18"/>
      <c r="BE649" s="18"/>
      <c r="BF649" s="18"/>
      <c r="BG649" s="18"/>
      <c r="BH649" s="18"/>
      <c r="BI649" s="18">
        <v>3784</v>
      </c>
      <c r="BJ649" s="18">
        <v>3784</v>
      </c>
      <c r="BK649" s="18">
        <v>3784</v>
      </c>
    </row>
    <row r="650" spans="14:63" x14ac:dyDescent="0.3">
      <c r="O650" t="s">
        <v>1712</v>
      </c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  <c r="AG650" s="18"/>
      <c r="AH650" s="18"/>
      <c r="AI650" s="18"/>
      <c r="AJ650" s="18"/>
      <c r="AK650" s="18"/>
      <c r="AL650" s="18"/>
      <c r="AM650" s="18"/>
      <c r="AN650" s="18"/>
      <c r="AO650" s="18"/>
      <c r="AP650" s="18"/>
      <c r="AQ650" s="18"/>
      <c r="AR650" s="18"/>
      <c r="AS650" s="18"/>
      <c r="AT650" s="18"/>
      <c r="AU650" s="18"/>
      <c r="AV650" s="18"/>
      <c r="AW650" s="18"/>
      <c r="AX650" s="18"/>
      <c r="AY650" s="18">
        <v>2516</v>
      </c>
      <c r="AZ650" s="18"/>
      <c r="BA650" s="18"/>
      <c r="BB650" s="18"/>
      <c r="BC650" s="18"/>
      <c r="BD650" s="18"/>
      <c r="BE650" s="18"/>
      <c r="BF650" s="18"/>
      <c r="BG650" s="18"/>
      <c r="BH650" s="18"/>
      <c r="BI650" s="18"/>
      <c r="BJ650" s="18">
        <v>2516</v>
      </c>
      <c r="BK650" s="18">
        <v>2516</v>
      </c>
    </row>
    <row r="651" spans="14:63" x14ac:dyDescent="0.3">
      <c r="O651" t="s">
        <v>2126</v>
      </c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  <c r="AG651" s="18"/>
      <c r="AH651" s="18"/>
      <c r="AI651" s="18"/>
      <c r="AJ651" s="18"/>
      <c r="AK651" s="18"/>
      <c r="AL651" s="18"/>
      <c r="AM651" s="18"/>
      <c r="AN651" s="18"/>
      <c r="AO651" s="18"/>
      <c r="AP651" s="18"/>
      <c r="AQ651" s="18"/>
      <c r="AR651" s="18"/>
      <c r="AS651" s="18"/>
      <c r="AT651" s="18"/>
      <c r="AU651" s="18"/>
      <c r="AV651" s="18"/>
      <c r="AW651" s="18"/>
      <c r="AX651" s="18"/>
      <c r="AY651" s="18"/>
      <c r="AZ651" s="18"/>
      <c r="BA651" s="18"/>
      <c r="BB651" s="18"/>
      <c r="BC651" s="18">
        <v>4987.1000000000004</v>
      </c>
      <c r="BD651" s="18"/>
      <c r="BE651" s="18"/>
      <c r="BF651" s="18"/>
      <c r="BG651" s="18"/>
      <c r="BH651" s="18"/>
      <c r="BI651" s="18"/>
      <c r="BJ651" s="18">
        <v>4987.1000000000004</v>
      </c>
      <c r="BK651" s="18">
        <v>4987.1000000000004</v>
      </c>
    </row>
    <row r="652" spans="14:63" x14ac:dyDescent="0.3">
      <c r="N652" s="17" t="s">
        <v>875</v>
      </c>
      <c r="O652" s="17"/>
      <c r="P652" s="19"/>
      <c r="Q652" s="19"/>
      <c r="R652" s="19"/>
      <c r="S652" s="19"/>
      <c r="T652" s="19"/>
      <c r="U652" s="19"/>
      <c r="V652" s="19"/>
      <c r="W652" s="19"/>
      <c r="X652" s="19"/>
      <c r="Y652" s="19"/>
      <c r="Z652" s="19"/>
      <c r="AA652" s="19"/>
      <c r="AB652" s="19"/>
      <c r="AC652" s="19"/>
      <c r="AD652" s="19"/>
      <c r="AE652" s="19"/>
      <c r="AF652" s="19"/>
      <c r="AG652" s="19"/>
      <c r="AH652" s="19"/>
      <c r="AI652" s="19"/>
      <c r="AJ652" s="19"/>
      <c r="AK652" s="19"/>
      <c r="AL652" s="19">
        <v>8568.2000000000007</v>
      </c>
      <c r="AM652" s="19">
        <v>24489.200000000001</v>
      </c>
      <c r="AN652" s="19">
        <v>11266.800000000001</v>
      </c>
      <c r="AO652" s="19"/>
      <c r="AP652" s="19">
        <v>14564.6</v>
      </c>
      <c r="AQ652" s="19"/>
      <c r="AR652" s="19"/>
      <c r="AS652" s="19"/>
      <c r="AT652" s="19"/>
      <c r="AU652" s="19"/>
      <c r="AV652" s="19"/>
      <c r="AW652" s="19">
        <v>58888.800000000003</v>
      </c>
      <c r="AX652" s="19"/>
      <c r="AY652" s="19">
        <v>2516</v>
      </c>
      <c r="AZ652" s="19"/>
      <c r="BA652" s="19"/>
      <c r="BB652" s="19"/>
      <c r="BC652" s="19">
        <v>4987.1000000000004</v>
      </c>
      <c r="BD652" s="19"/>
      <c r="BE652" s="19"/>
      <c r="BF652" s="19">
        <v>1059.5</v>
      </c>
      <c r="BG652" s="19"/>
      <c r="BH652" s="19">
        <v>14999.1</v>
      </c>
      <c r="BI652" s="19">
        <v>3784</v>
      </c>
      <c r="BJ652" s="19">
        <v>27345.699999999997</v>
      </c>
      <c r="BK652" s="19">
        <v>86234.500000000015</v>
      </c>
    </row>
    <row r="653" spans="14:63" x14ac:dyDescent="0.3">
      <c r="N653" t="s">
        <v>959</v>
      </c>
      <c r="O653" t="s">
        <v>931</v>
      </c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  <c r="AH653" s="18"/>
      <c r="AI653" s="18"/>
      <c r="AJ653" s="18"/>
      <c r="AK653" s="18"/>
      <c r="AL653" s="18"/>
      <c r="AM653" s="18"/>
      <c r="AN653" s="18">
        <v>2452</v>
      </c>
      <c r="AO653" s="18"/>
      <c r="AP653" s="18"/>
      <c r="AQ653" s="18"/>
      <c r="AR653" s="18"/>
      <c r="AS653" s="18"/>
      <c r="AT653" s="18"/>
      <c r="AU653" s="18"/>
      <c r="AV653" s="18"/>
      <c r="AW653" s="18">
        <v>2452</v>
      </c>
      <c r="AX653" s="18"/>
      <c r="AY653" s="18"/>
      <c r="AZ653" s="18"/>
      <c r="BA653" s="18"/>
      <c r="BB653" s="18"/>
      <c r="BC653" s="18"/>
      <c r="BD653" s="18"/>
      <c r="BE653" s="18"/>
      <c r="BF653" s="18"/>
      <c r="BG653" s="18"/>
      <c r="BH653" s="18"/>
      <c r="BI653" s="18"/>
      <c r="BJ653" s="18"/>
      <c r="BK653" s="18">
        <v>2452</v>
      </c>
    </row>
    <row r="654" spans="14:63" x14ac:dyDescent="0.3">
      <c r="O654" t="s">
        <v>957</v>
      </c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  <c r="AB654" s="18"/>
      <c r="AC654" s="18"/>
      <c r="AD654" s="18"/>
      <c r="AE654" s="18"/>
      <c r="AF654" s="18"/>
      <c r="AG654" s="18"/>
      <c r="AH654" s="18"/>
      <c r="AI654" s="18"/>
      <c r="AJ654" s="18"/>
      <c r="AK654" s="18"/>
      <c r="AL654" s="18"/>
      <c r="AM654" s="18"/>
      <c r="AN654" s="18">
        <v>1995.5</v>
      </c>
      <c r="AO654" s="18"/>
      <c r="AP654" s="18"/>
      <c r="AQ654" s="18"/>
      <c r="AR654" s="18"/>
      <c r="AS654" s="18"/>
      <c r="AT654" s="18"/>
      <c r="AU654" s="18"/>
      <c r="AV654" s="18"/>
      <c r="AW654" s="18">
        <v>1995.5</v>
      </c>
      <c r="AX654" s="18"/>
      <c r="AY654" s="18"/>
      <c r="AZ654" s="18"/>
      <c r="BA654" s="18"/>
      <c r="BB654" s="18"/>
      <c r="BC654" s="18"/>
      <c r="BD654" s="18"/>
      <c r="BE654" s="18"/>
      <c r="BF654" s="18"/>
      <c r="BG654" s="18"/>
      <c r="BH654" s="18"/>
      <c r="BI654" s="18"/>
      <c r="BJ654" s="18"/>
      <c r="BK654" s="18">
        <v>1995.5</v>
      </c>
    </row>
    <row r="655" spans="14:63" x14ac:dyDescent="0.3">
      <c r="O655" t="s">
        <v>1189</v>
      </c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  <c r="AF655" s="18"/>
      <c r="AG655" s="18"/>
      <c r="AH655" s="18"/>
      <c r="AI655" s="18"/>
      <c r="AJ655" s="18"/>
      <c r="AK655" s="18"/>
      <c r="AL655" s="18"/>
      <c r="AM655" s="18"/>
      <c r="AN655" s="18"/>
      <c r="AO655" s="18"/>
      <c r="AP655" s="18"/>
      <c r="AQ655" s="18"/>
      <c r="AR655" s="18"/>
      <c r="AS655" s="18"/>
      <c r="AT655" s="18"/>
      <c r="AU655" s="18"/>
      <c r="AV655" s="18"/>
      <c r="AW655" s="18"/>
      <c r="AX655" s="18"/>
      <c r="AY655" s="18"/>
      <c r="AZ655" s="18"/>
      <c r="BA655" s="18"/>
      <c r="BB655" s="18"/>
      <c r="BC655" s="18"/>
      <c r="BD655" s="18"/>
      <c r="BE655" s="18">
        <v>250</v>
      </c>
      <c r="BF655" s="18"/>
      <c r="BG655" s="18"/>
      <c r="BH655" s="18"/>
      <c r="BI655" s="18"/>
      <c r="BJ655" s="18">
        <v>250</v>
      </c>
      <c r="BK655" s="18">
        <v>250</v>
      </c>
    </row>
    <row r="656" spans="14:63" x14ac:dyDescent="0.3">
      <c r="N656" s="17" t="s">
        <v>986</v>
      </c>
      <c r="O656" s="17"/>
      <c r="P656" s="19"/>
      <c r="Q656" s="19"/>
      <c r="R656" s="19"/>
      <c r="S656" s="19"/>
      <c r="T656" s="19"/>
      <c r="U656" s="19"/>
      <c r="V656" s="19"/>
      <c r="W656" s="19"/>
      <c r="X656" s="19"/>
      <c r="Y656" s="19"/>
      <c r="Z656" s="19"/>
      <c r="AA656" s="19"/>
      <c r="AB656" s="19"/>
      <c r="AC656" s="19"/>
      <c r="AD656" s="19"/>
      <c r="AE656" s="19"/>
      <c r="AF656" s="19"/>
      <c r="AG656" s="19"/>
      <c r="AH656" s="19"/>
      <c r="AI656" s="19"/>
      <c r="AJ656" s="19"/>
      <c r="AK656" s="19"/>
      <c r="AL656" s="19"/>
      <c r="AM656" s="19"/>
      <c r="AN656" s="19">
        <v>4447.5</v>
      </c>
      <c r="AO656" s="19"/>
      <c r="AP656" s="19"/>
      <c r="AQ656" s="19"/>
      <c r="AR656" s="19"/>
      <c r="AS656" s="19"/>
      <c r="AT656" s="19"/>
      <c r="AU656" s="19"/>
      <c r="AV656" s="19"/>
      <c r="AW656" s="19">
        <v>4447.5</v>
      </c>
      <c r="AX656" s="19"/>
      <c r="AY656" s="19"/>
      <c r="AZ656" s="19"/>
      <c r="BA656" s="19"/>
      <c r="BB656" s="19"/>
      <c r="BC656" s="19"/>
      <c r="BD656" s="19"/>
      <c r="BE656" s="19">
        <v>250</v>
      </c>
      <c r="BF656" s="19"/>
      <c r="BG656" s="19"/>
      <c r="BH656" s="19"/>
      <c r="BI656" s="19"/>
      <c r="BJ656" s="19">
        <v>250</v>
      </c>
      <c r="BK656" s="19">
        <v>4697.5</v>
      </c>
    </row>
    <row r="657" spans="14:63" x14ac:dyDescent="0.3">
      <c r="N657" t="s">
        <v>1045</v>
      </c>
      <c r="O657" t="s">
        <v>901</v>
      </c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  <c r="AG657" s="18"/>
      <c r="AH657" s="18"/>
      <c r="AI657" s="18"/>
      <c r="AJ657" s="18"/>
      <c r="AK657" s="18"/>
      <c r="AL657" s="18"/>
      <c r="AM657" s="18">
        <v>0</v>
      </c>
      <c r="AN657" s="18"/>
      <c r="AO657" s="18"/>
      <c r="AP657" s="18"/>
      <c r="AQ657" s="18"/>
      <c r="AR657" s="18"/>
      <c r="AS657" s="18"/>
      <c r="AT657" s="18"/>
      <c r="AU657" s="18"/>
      <c r="AV657" s="18"/>
      <c r="AW657" s="18">
        <v>0</v>
      </c>
      <c r="AX657" s="18"/>
      <c r="AY657" s="18"/>
      <c r="AZ657" s="18"/>
      <c r="BA657" s="18"/>
      <c r="BB657" s="18"/>
      <c r="BC657" s="18"/>
      <c r="BD657" s="18"/>
      <c r="BE657" s="18"/>
      <c r="BF657" s="18"/>
      <c r="BG657" s="18"/>
      <c r="BH657" s="18"/>
      <c r="BI657" s="18"/>
      <c r="BJ657" s="18"/>
      <c r="BK657" s="18">
        <v>0</v>
      </c>
    </row>
    <row r="658" spans="14:63" x14ac:dyDescent="0.3">
      <c r="O658" t="s">
        <v>2021</v>
      </c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  <c r="AG658" s="18"/>
      <c r="AH658" s="18"/>
      <c r="AI658" s="18"/>
      <c r="AJ658" s="18"/>
      <c r="AK658" s="18"/>
      <c r="AL658" s="18"/>
      <c r="AM658" s="18"/>
      <c r="AN658" s="18"/>
      <c r="AO658" s="18"/>
      <c r="AP658" s="18"/>
      <c r="AQ658" s="18"/>
      <c r="AR658" s="18"/>
      <c r="AS658" s="18"/>
      <c r="AT658" s="18"/>
      <c r="AU658" s="18"/>
      <c r="AV658" s="18"/>
      <c r="AW658" s="18"/>
      <c r="AX658" s="18"/>
      <c r="AY658" s="18"/>
      <c r="AZ658" s="18"/>
      <c r="BA658" s="18"/>
      <c r="BB658" s="18">
        <v>0</v>
      </c>
      <c r="BC658" s="18"/>
      <c r="BD658" s="18"/>
      <c r="BE658" s="18"/>
      <c r="BF658" s="18"/>
      <c r="BG658" s="18"/>
      <c r="BH658" s="18"/>
      <c r="BI658" s="18"/>
      <c r="BJ658" s="18">
        <v>0</v>
      </c>
      <c r="BK658" s="18">
        <v>0</v>
      </c>
    </row>
    <row r="659" spans="14:63" x14ac:dyDescent="0.3">
      <c r="N659" s="17" t="s">
        <v>1046</v>
      </c>
      <c r="O659" s="17"/>
      <c r="P659" s="19"/>
      <c r="Q659" s="19"/>
      <c r="R659" s="19"/>
      <c r="S659" s="19"/>
      <c r="T659" s="19"/>
      <c r="U659" s="19"/>
      <c r="V659" s="19"/>
      <c r="W659" s="19"/>
      <c r="X659" s="19"/>
      <c r="Y659" s="19"/>
      <c r="Z659" s="19"/>
      <c r="AA659" s="19"/>
      <c r="AB659" s="19"/>
      <c r="AC659" s="19"/>
      <c r="AD659" s="19"/>
      <c r="AE659" s="19"/>
      <c r="AF659" s="19"/>
      <c r="AG659" s="19"/>
      <c r="AH659" s="19"/>
      <c r="AI659" s="19"/>
      <c r="AJ659" s="19"/>
      <c r="AK659" s="19"/>
      <c r="AL659" s="19"/>
      <c r="AM659" s="19">
        <v>0</v>
      </c>
      <c r="AN659" s="19"/>
      <c r="AO659" s="19"/>
      <c r="AP659" s="19"/>
      <c r="AQ659" s="19"/>
      <c r="AR659" s="19"/>
      <c r="AS659" s="19"/>
      <c r="AT659" s="19"/>
      <c r="AU659" s="19"/>
      <c r="AV659" s="19"/>
      <c r="AW659" s="19">
        <v>0</v>
      </c>
      <c r="AX659" s="19"/>
      <c r="AY659" s="19"/>
      <c r="AZ659" s="19"/>
      <c r="BA659" s="19"/>
      <c r="BB659" s="19">
        <v>0</v>
      </c>
      <c r="BC659" s="19"/>
      <c r="BD659" s="19"/>
      <c r="BE659" s="19"/>
      <c r="BF659" s="19"/>
      <c r="BG659" s="19"/>
      <c r="BH659" s="19"/>
      <c r="BI659" s="19"/>
      <c r="BJ659" s="19">
        <v>0</v>
      </c>
      <c r="BK659" s="19">
        <v>0</v>
      </c>
    </row>
    <row r="660" spans="14:63" x14ac:dyDescent="0.3">
      <c r="N660" t="s">
        <v>1052</v>
      </c>
      <c r="O660" t="s">
        <v>1054</v>
      </c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  <c r="AG660" s="18"/>
      <c r="AH660" s="18"/>
      <c r="AI660" s="18"/>
      <c r="AJ660" s="18"/>
      <c r="AK660" s="18"/>
      <c r="AL660" s="18"/>
      <c r="AM660" s="18"/>
      <c r="AN660" s="18"/>
      <c r="AO660" s="18"/>
      <c r="AP660" s="18">
        <v>892.6</v>
      </c>
      <c r="AQ660" s="18"/>
      <c r="AR660" s="18"/>
      <c r="AS660" s="18"/>
      <c r="AT660" s="18"/>
      <c r="AU660" s="18"/>
      <c r="AV660" s="18"/>
      <c r="AW660" s="18">
        <v>892.6</v>
      </c>
      <c r="AX660" s="18"/>
      <c r="AY660" s="18"/>
      <c r="AZ660" s="18"/>
      <c r="BA660" s="18"/>
      <c r="BB660" s="18"/>
      <c r="BC660" s="18"/>
      <c r="BD660" s="18"/>
      <c r="BE660" s="18"/>
      <c r="BF660" s="18"/>
      <c r="BG660" s="18"/>
      <c r="BH660" s="18"/>
      <c r="BI660" s="18"/>
      <c r="BJ660" s="18"/>
      <c r="BK660" s="18">
        <v>892.6</v>
      </c>
    </row>
    <row r="661" spans="14:63" x14ac:dyDescent="0.3">
      <c r="O661" t="s">
        <v>1072</v>
      </c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  <c r="AG661" s="18"/>
      <c r="AH661" s="18"/>
      <c r="AI661" s="18"/>
      <c r="AJ661" s="18"/>
      <c r="AK661" s="18"/>
      <c r="AL661" s="18"/>
      <c r="AM661" s="18"/>
      <c r="AN661" s="18"/>
      <c r="AO661" s="18"/>
      <c r="AP661" s="18">
        <v>780</v>
      </c>
      <c r="AQ661" s="18"/>
      <c r="AR661" s="18"/>
      <c r="AS661" s="18"/>
      <c r="AT661" s="18"/>
      <c r="AU661" s="18"/>
      <c r="AV661" s="18"/>
      <c r="AW661" s="18">
        <v>780</v>
      </c>
      <c r="AX661" s="18"/>
      <c r="AY661" s="18"/>
      <c r="AZ661" s="18"/>
      <c r="BA661" s="18"/>
      <c r="BB661" s="18"/>
      <c r="BC661" s="18"/>
      <c r="BD661" s="18"/>
      <c r="BE661" s="18"/>
      <c r="BF661" s="18"/>
      <c r="BG661" s="18"/>
      <c r="BH661" s="18"/>
      <c r="BI661" s="18"/>
      <c r="BJ661" s="18"/>
      <c r="BK661" s="18">
        <v>780</v>
      </c>
    </row>
    <row r="662" spans="14:63" x14ac:dyDescent="0.3">
      <c r="O662" t="s">
        <v>1107</v>
      </c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  <c r="AG662" s="18"/>
      <c r="AH662" s="18"/>
      <c r="AI662" s="18"/>
      <c r="AJ662" s="18"/>
      <c r="AK662" s="18"/>
      <c r="AL662" s="18"/>
      <c r="AM662" s="18"/>
      <c r="AN662" s="18"/>
      <c r="AO662" s="18"/>
      <c r="AP662" s="18"/>
      <c r="AQ662" s="18">
        <v>60</v>
      </c>
      <c r="AR662" s="18"/>
      <c r="AS662" s="18"/>
      <c r="AT662" s="18"/>
      <c r="AU662" s="18"/>
      <c r="AV662" s="18"/>
      <c r="AW662" s="18">
        <v>60</v>
      </c>
      <c r="AX662" s="18"/>
      <c r="AY662" s="18"/>
      <c r="AZ662" s="18"/>
      <c r="BA662" s="18"/>
      <c r="BB662" s="18"/>
      <c r="BC662" s="18"/>
      <c r="BD662" s="18"/>
      <c r="BE662" s="18"/>
      <c r="BF662" s="18"/>
      <c r="BG662" s="18"/>
      <c r="BH662" s="18"/>
      <c r="BI662" s="18"/>
      <c r="BJ662" s="18"/>
      <c r="BK662" s="18">
        <v>60</v>
      </c>
    </row>
    <row r="663" spans="14:63" x14ac:dyDescent="0.3">
      <c r="N663" s="17" t="s">
        <v>1089</v>
      </c>
      <c r="O663" s="17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  <c r="AA663" s="19"/>
      <c r="AB663" s="19"/>
      <c r="AC663" s="19"/>
      <c r="AD663" s="19"/>
      <c r="AE663" s="19"/>
      <c r="AF663" s="19"/>
      <c r="AG663" s="19"/>
      <c r="AH663" s="19"/>
      <c r="AI663" s="19"/>
      <c r="AJ663" s="19"/>
      <c r="AK663" s="19"/>
      <c r="AL663" s="19"/>
      <c r="AM663" s="19"/>
      <c r="AN663" s="19"/>
      <c r="AO663" s="19"/>
      <c r="AP663" s="19">
        <v>1672.6</v>
      </c>
      <c r="AQ663" s="19">
        <v>60</v>
      </c>
      <c r="AR663" s="19"/>
      <c r="AS663" s="19"/>
      <c r="AT663" s="19"/>
      <c r="AU663" s="19"/>
      <c r="AV663" s="19"/>
      <c r="AW663" s="19">
        <v>1732.6</v>
      </c>
      <c r="AX663" s="19"/>
      <c r="AY663" s="19"/>
      <c r="AZ663" s="19"/>
      <c r="BA663" s="19"/>
      <c r="BB663" s="19"/>
      <c r="BC663" s="19"/>
      <c r="BD663" s="19"/>
      <c r="BE663" s="19"/>
      <c r="BF663" s="19"/>
      <c r="BG663" s="19"/>
      <c r="BH663" s="19"/>
      <c r="BI663" s="19"/>
      <c r="BJ663" s="19"/>
      <c r="BK663" s="19">
        <v>1732.6</v>
      </c>
    </row>
    <row r="664" spans="14:63" x14ac:dyDescent="0.3">
      <c r="N664" t="s">
        <v>1058</v>
      </c>
      <c r="O664" t="s">
        <v>1063</v>
      </c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  <c r="AG664" s="18"/>
      <c r="AH664" s="18"/>
      <c r="AI664" s="18"/>
      <c r="AJ664" s="18"/>
      <c r="AK664" s="18"/>
      <c r="AL664" s="18"/>
      <c r="AM664" s="18"/>
      <c r="AN664" s="18"/>
      <c r="AO664" s="18"/>
      <c r="AP664" s="18">
        <v>4373</v>
      </c>
      <c r="AQ664" s="18"/>
      <c r="AR664" s="18"/>
      <c r="AS664" s="18"/>
      <c r="AT664" s="18"/>
      <c r="AU664" s="18"/>
      <c r="AV664" s="18"/>
      <c r="AW664" s="18">
        <v>4373</v>
      </c>
      <c r="AX664" s="18"/>
      <c r="AY664" s="18"/>
      <c r="AZ664" s="18"/>
      <c r="BA664" s="18"/>
      <c r="BB664" s="18"/>
      <c r="BC664" s="18"/>
      <c r="BD664" s="18"/>
      <c r="BE664" s="18"/>
      <c r="BF664" s="18"/>
      <c r="BG664" s="18"/>
      <c r="BH664" s="18"/>
      <c r="BI664" s="18"/>
      <c r="BJ664" s="18"/>
      <c r="BK664" s="18">
        <v>4373</v>
      </c>
    </row>
    <row r="665" spans="14:63" x14ac:dyDescent="0.3">
      <c r="N665" s="17" t="s">
        <v>1090</v>
      </c>
      <c r="O665" s="17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  <c r="AA665" s="19"/>
      <c r="AB665" s="19"/>
      <c r="AC665" s="19"/>
      <c r="AD665" s="19"/>
      <c r="AE665" s="19"/>
      <c r="AF665" s="19"/>
      <c r="AG665" s="19"/>
      <c r="AH665" s="19"/>
      <c r="AI665" s="19"/>
      <c r="AJ665" s="19"/>
      <c r="AK665" s="19"/>
      <c r="AL665" s="19"/>
      <c r="AM665" s="19"/>
      <c r="AN665" s="19"/>
      <c r="AO665" s="19"/>
      <c r="AP665" s="19">
        <v>4373</v>
      </c>
      <c r="AQ665" s="19"/>
      <c r="AR665" s="19"/>
      <c r="AS665" s="19"/>
      <c r="AT665" s="19"/>
      <c r="AU665" s="19"/>
      <c r="AV665" s="19"/>
      <c r="AW665" s="19">
        <v>4373</v>
      </c>
      <c r="AX665" s="19"/>
      <c r="AY665" s="19"/>
      <c r="AZ665" s="19"/>
      <c r="BA665" s="19"/>
      <c r="BB665" s="19"/>
      <c r="BC665" s="19"/>
      <c r="BD665" s="19"/>
      <c r="BE665" s="19"/>
      <c r="BF665" s="19"/>
      <c r="BG665" s="19"/>
      <c r="BH665" s="19"/>
      <c r="BI665" s="19"/>
      <c r="BJ665" s="19"/>
      <c r="BK665" s="19">
        <v>4373</v>
      </c>
    </row>
    <row r="666" spans="14:63" x14ac:dyDescent="0.3">
      <c r="N666" t="s">
        <v>1102</v>
      </c>
      <c r="O666" t="s">
        <v>1097</v>
      </c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  <c r="AG666" s="18"/>
      <c r="AH666" s="18"/>
      <c r="AI666" s="18"/>
      <c r="AJ666" s="18"/>
      <c r="AK666" s="18"/>
      <c r="AL666" s="18"/>
      <c r="AM666" s="18"/>
      <c r="AN666" s="18"/>
      <c r="AO666" s="18"/>
      <c r="AP666" s="18">
        <v>260</v>
      </c>
      <c r="AQ666" s="18"/>
      <c r="AR666" s="18"/>
      <c r="AS666" s="18"/>
      <c r="AT666" s="18"/>
      <c r="AU666" s="18"/>
      <c r="AV666" s="18"/>
      <c r="AW666" s="18">
        <v>260</v>
      </c>
      <c r="AX666" s="18"/>
      <c r="AY666" s="18"/>
      <c r="AZ666" s="18"/>
      <c r="BA666" s="18"/>
      <c r="BB666" s="18"/>
      <c r="BC666" s="18"/>
      <c r="BD666" s="18"/>
      <c r="BE666" s="18"/>
      <c r="BF666" s="18"/>
      <c r="BG666" s="18"/>
      <c r="BH666" s="18"/>
      <c r="BI666" s="18"/>
      <c r="BJ666" s="18"/>
      <c r="BK666" s="18">
        <v>260</v>
      </c>
    </row>
    <row r="667" spans="14:63" x14ac:dyDescent="0.3">
      <c r="N667" s="17" t="s">
        <v>1105</v>
      </c>
      <c r="O667" s="17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  <c r="AA667" s="19"/>
      <c r="AB667" s="19"/>
      <c r="AC667" s="19"/>
      <c r="AD667" s="19"/>
      <c r="AE667" s="19"/>
      <c r="AF667" s="19"/>
      <c r="AG667" s="19"/>
      <c r="AH667" s="19"/>
      <c r="AI667" s="19"/>
      <c r="AJ667" s="19"/>
      <c r="AK667" s="19"/>
      <c r="AL667" s="19"/>
      <c r="AM667" s="19"/>
      <c r="AN667" s="19"/>
      <c r="AO667" s="19"/>
      <c r="AP667" s="19">
        <v>260</v>
      </c>
      <c r="AQ667" s="19"/>
      <c r="AR667" s="19"/>
      <c r="AS667" s="19"/>
      <c r="AT667" s="19"/>
      <c r="AU667" s="19"/>
      <c r="AV667" s="19"/>
      <c r="AW667" s="19">
        <v>260</v>
      </c>
      <c r="AX667" s="19"/>
      <c r="AY667" s="19"/>
      <c r="AZ667" s="19"/>
      <c r="BA667" s="19"/>
      <c r="BB667" s="19"/>
      <c r="BC667" s="19"/>
      <c r="BD667" s="19"/>
      <c r="BE667" s="19"/>
      <c r="BF667" s="19"/>
      <c r="BG667" s="19"/>
      <c r="BH667" s="19"/>
      <c r="BI667" s="19"/>
      <c r="BJ667" s="19"/>
      <c r="BK667" s="19">
        <v>260</v>
      </c>
    </row>
    <row r="668" spans="14:63" x14ac:dyDescent="0.3">
      <c r="N668" t="s">
        <v>1101</v>
      </c>
      <c r="O668" t="s">
        <v>1098</v>
      </c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  <c r="AD668" s="18"/>
      <c r="AE668" s="18"/>
      <c r="AF668" s="18"/>
      <c r="AG668" s="18"/>
      <c r="AH668" s="18"/>
      <c r="AI668" s="18"/>
      <c r="AJ668" s="18"/>
      <c r="AK668" s="18"/>
      <c r="AL668" s="18"/>
      <c r="AM668" s="18"/>
      <c r="AN668" s="18"/>
      <c r="AO668" s="18"/>
      <c r="AP668" s="18">
        <v>375</v>
      </c>
      <c r="AQ668" s="18"/>
      <c r="AR668" s="18"/>
      <c r="AS668" s="18"/>
      <c r="AT668" s="18"/>
      <c r="AU668" s="18"/>
      <c r="AV668" s="18"/>
      <c r="AW668" s="18">
        <v>375</v>
      </c>
      <c r="AX668" s="18"/>
      <c r="AY668" s="18"/>
      <c r="AZ668" s="18"/>
      <c r="BA668" s="18"/>
      <c r="BB668" s="18"/>
      <c r="BC668" s="18"/>
      <c r="BD668" s="18"/>
      <c r="BE668" s="18"/>
      <c r="BF668" s="18"/>
      <c r="BG668" s="18"/>
      <c r="BH668" s="18"/>
      <c r="BI668" s="18"/>
      <c r="BJ668" s="18"/>
      <c r="BK668" s="18">
        <v>375</v>
      </c>
    </row>
    <row r="669" spans="14:63" x14ac:dyDescent="0.3">
      <c r="N669" s="17" t="s">
        <v>1106</v>
      </c>
      <c r="O669" s="17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  <c r="AA669" s="19"/>
      <c r="AB669" s="19"/>
      <c r="AC669" s="19"/>
      <c r="AD669" s="19"/>
      <c r="AE669" s="19"/>
      <c r="AF669" s="19"/>
      <c r="AG669" s="19"/>
      <c r="AH669" s="19"/>
      <c r="AI669" s="19"/>
      <c r="AJ669" s="19"/>
      <c r="AK669" s="19"/>
      <c r="AL669" s="19"/>
      <c r="AM669" s="19"/>
      <c r="AN669" s="19"/>
      <c r="AO669" s="19"/>
      <c r="AP669" s="19">
        <v>375</v>
      </c>
      <c r="AQ669" s="19"/>
      <c r="AR669" s="19"/>
      <c r="AS669" s="19"/>
      <c r="AT669" s="19"/>
      <c r="AU669" s="19"/>
      <c r="AV669" s="19"/>
      <c r="AW669" s="19">
        <v>375</v>
      </c>
      <c r="AX669" s="19"/>
      <c r="AY669" s="19"/>
      <c r="AZ669" s="19"/>
      <c r="BA669" s="19"/>
      <c r="BB669" s="19"/>
      <c r="BC669" s="19"/>
      <c r="BD669" s="19"/>
      <c r="BE669" s="19"/>
      <c r="BF669" s="19"/>
      <c r="BG669" s="19"/>
      <c r="BH669" s="19"/>
      <c r="BI669" s="19"/>
      <c r="BJ669" s="19"/>
      <c r="BK669" s="19">
        <v>375</v>
      </c>
    </row>
    <row r="670" spans="14:63" x14ac:dyDescent="0.3">
      <c r="N670" t="s">
        <v>1197</v>
      </c>
      <c r="O670" t="s">
        <v>1204</v>
      </c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  <c r="AG670" s="18"/>
      <c r="AH670" s="18"/>
      <c r="AI670" s="18"/>
      <c r="AJ670" s="18"/>
      <c r="AK670" s="18"/>
      <c r="AL670" s="18"/>
      <c r="AM670" s="18"/>
      <c r="AN670" s="18"/>
      <c r="AO670" s="18"/>
      <c r="AP670" s="18"/>
      <c r="AQ670" s="18"/>
      <c r="AR670" s="18"/>
      <c r="AS670" s="18"/>
      <c r="AT670" s="18"/>
      <c r="AU670" s="18"/>
      <c r="AV670" s="18"/>
      <c r="AW670" s="18"/>
      <c r="AX670" s="18"/>
      <c r="AY670" s="18"/>
      <c r="AZ670" s="18"/>
      <c r="BA670" s="18"/>
      <c r="BB670" s="18"/>
      <c r="BC670" s="18"/>
      <c r="BD670" s="18"/>
      <c r="BE670" s="18">
        <v>2917.8</v>
      </c>
      <c r="BF670" s="18"/>
      <c r="BG670" s="18"/>
      <c r="BH670" s="18"/>
      <c r="BI670" s="18"/>
      <c r="BJ670" s="18">
        <v>2917.8</v>
      </c>
      <c r="BK670" s="18">
        <v>2917.8</v>
      </c>
    </row>
    <row r="671" spans="14:63" x14ac:dyDescent="0.3">
      <c r="O671" t="s">
        <v>1235</v>
      </c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  <c r="AE671" s="18"/>
      <c r="AF671" s="18"/>
      <c r="AG671" s="18"/>
      <c r="AH671" s="18"/>
      <c r="AI671" s="18"/>
      <c r="AJ671" s="18"/>
      <c r="AK671" s="18"/>
      <c r="AL671" s="18"/>
      <c r="AM671" s="18"/>
      <c r="AN671" s="18"/>
      <c r="AO671" s="18"/>
      <c r="AP671" s="18"/>
      <c r="AQ671" s="18"/>
      <c r="AR671" s="18"/>
      <c r="AS671" s="18"/>
      <c r="AT671" s="18"/>
      <c r="AU671" s="18"/>
      <c r="AV671" s="18"/>
      <c r="AW671" s="18"/>
      <c r="AX671" s="18"/>
      <c r="AY671" s="18"/>
      <c r="AZ671" s="18"/>
      <c r="BA671" s="18"/>
      <c r="BB671" s="18"/>
      <c r="BC671" s="18"/>
      <c r="BD671" s="18"/>
      <c r="BE671" s="18"/>
      <c r="BF671" s="18">
        <v>3555</v>
      </c>
      <c r="BG671" s="18"/>
      <c r="BH671" s="18"/>
      <c r="BI671" s="18"/>
      <c r="BJ671" s="18">
        <v>3555</v>
      </c>
      <c r="BK671" s="18">
        <v>3555</v>
      </c>
    </row>
    <row r="672" spans="14:63" x14ac:dyDescent="0.3">
      <c r="O672" t="s">
        <v>1245</v>
      </c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  <c r="AE672" s="18"/>
      <c r="AF672" s="18"/>
      <c r="AG672" s="18"/>
      <c r="AH672" s="18"/>
      <c r="AI672" s="18"/>
      <c r="AJ672" s="18"/>
      <c r="AK672" s="18"/>
      <c r="AL672" s="18"/>
      <c r="AM672" s="18"/>
      <c r="AN672" s="18"/>
      <c r="AO672" s="18"/>
      <c r="AP672" s="18"/>
      <c r="AQ672" s="18"/>
      <c r="AR672" s="18"/>
      <c r="AS672" s="18"/>
      <c r="AT672" s="18"/>
      <c r="AU672" s="18"/>
      <c r="AV672" s="18"/>
      <c r="AW672" s="18"/>
      <c r="AX672" s="18"/>
      <c r="AY672" s="18"/>
      <c r="AZ672" s="18"/>
      <c r="BA672" s="18"/>
      <c r="BB672" s="18"/>
      <c r="BC672" s="18"/>
      <c r="BD672" s="18"/>
      <c r="BE672" s="18"/>
      <c r="BF672" s="18">
        <v>6947</v>
      </c>
      <c r="BG672" s="18"/>
      <c r="BH672" s="18"/>
      <c r="BI672" s="18"/>
      <c r="BJ672" s="18">
        <v>6947</v>
      </c>
      <c r="BK672" s="18">
        <v>6947</v>
      </c>
    </row>
    <row r="673" spans="15:63" x14ac:dyDescent="0.3">
      <c r="O673" t="s">
        <v>1354</v>
      </c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  <c r="AE673" s="18"/>
      <c r="AF673" s="18"/>
      <c r="AG673" s="18"/>
      <c r="AH673" s="18"/>
      <c r="AI673" s="18"/>
      <c r="AJ673" s="18"/>
      <c r="AK673" s="18"/>
      <c r="AL673" s="18"/>
      <c r="AM673" s="18"/>
      <c r="AN673" s="18"/>
      <c r="AO673" s="18"/>
      <c r="AP673" s="18"/>
      <c r="AQ673" s="18"/>
      <c r="AR673" s="18"/>
      <c r="AS673" s="18"/>
      <c r="AT673" s="18"/>
      <c r="AU673" s="18"/>
      <c r="AV673" s="18"/>
      <c r="AW673" s="18"/>
      <c r="AX673" s="18"/>
      <c r="AY673" s="18"/>
      <c r="AZ673" s="18"/>
      <c r="BA673" s="18"/>
      <c r="BB673" s="18"/>
      <c r="BC673" s="18"/>
      <c r="BD673" s="18"/>
      <c r="BE673" s="18"/>
      <c r="BF673" s="18"/>
      <c r="BG673" s="18">
        <v>1575</v>
      </c>
      <c r="BH673" s="18"/>
      <c r="BI673" s="18"/>
      <c r="BJ673" s="18">
        <v>1575</v>
      </c>
      <c r="BK673" s="18">
        <v>1575</v>
      </c>
    </row>
    <row r="674" spans="15:63" x14ac:dyDescent="0.3">
      <c r="O674" t="s">
        <v>1355</v>
      </c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  <c r="AE674" s="18"/>
      <c r="AF674" s="18"/>
      <c r="AG674" s="18"/>
      <c r="AH674" s="18"/>
      <c r="AI674" s="18"/>
      <c r="AJ674" s="18"/>
      <c r="AK674" s="18"/>
      <c r="AL674" s="18"/>
      <c r="AM674" s="18"/>
      <c r="AN674" s="18"/>
      <c r="AO674" s="18"/>
      <c r="AP674" s="18"/>
      <c r="AQ674" s="18"/>
      <c r="AR674" s="18"/>
      <c r="AS674" s="18"/>
      <c r="AT674" s="18"/>
      <c r="AU674" s="18"/>
      <c r="AV674" s="18"/>
      <c r="AW674" s="18"/>
      <c r="AX674" s="18"/>
      <c r="AY674" s="18"/>
      <c r="AZ674" s="18"/>
      <c r="BA674" s="18"/>
      <c r="BB674" s="18"/>
      <c r="BC674" s="18"/>
      <c r="BD674" s="18"/>
      <c r="BE674" s="18"/>
      <c r="BF674" s="18"/>
      <c r="BG674" s="18">
        <v>4530</v>
      </c>
      <c r="BH674" s="18"/>
      <c r="BI674" s="18"/>
      <c r="BJ674" s="18">
        <v>4530</v>
      </c>
      <c r="BK674" s="18">
        <v>4530</v>
      </c>
    </row>
    <row r="675" spans="15:63" x14ac:dyDescent="0.3">
      <c r="O675" t="s">
        <v>1364</v>
      </c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  <c r="AE675" s="18"/>
      <c r="AF675" s="18"/>
      <c r="AG675" s="18"/>
      <c r="AH675" s="18"/>
      <c r="AI675" s="18"/>
      <c r="AJ675" s="18"/>
      <c r="AK675" s="18"/>
      <c r="AL675" s="18"/>
      <c r="AM675" s="18"/>
      <c r="AN675" s="18"/>
      <c r="AO675" s="18"/>
      <c r="AP675" s="18"/>
      <c r="AQ675" s="18"/>
      <c r="AR675" s="18"/>
      <c r="AS675" s="18"/>
      <c r="AT675" s="18"/>
      <c r="AU675" s="18"/>
      <c r="AV675" s="18"/>
      <c r="AW675" s="18"/>
      <c r="AX675" s="18"/>
      <c r="AY675" s="18"/>
      <c r="AZ675" s="18"/>
      <c r="BA675" s="18"/>
      <c r="BB675" s="18"/>
      <c r="BC675" s="18"/>
      <c r="BD675" s="18"/>
      <c r="BE675" s="18"/>
      <c r="BF675" s="18"/>
      <c r="BG675" s="18">
        <v>300</v>
      </c>
      <c r="BH675" s="18"/>
      <c r="BI675" s="18"/>
      <c r="BJ675" s="18">
        <v>300</v>
      </c>
      <c r="BK675" s="18">
        <v>300</v>
      </c>
    </row>
    <row r="676" spans="15:63" x14ac:dyDescent="0.3">
      <c r="O676" t="s">
        <v>1365</v>
      </c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  <c r="AE676" s="18"/>
      <c r="AF676" s="18"/>
      <c r="AG676" s="18"/>
      <c r="AH676" s="18"/>
      <c r="AI676" s="18"/>
      <c r="AJ676" s="18"/>
      <c r="AK676" s="18"/>
      <c r="AL676" s="18"/>
      <c r="AM676" s="18"/>
      <c r="AN676" s="18"/>
      <c r="AO676" s="18"/>
      <c r="AP676" s="18"/>
      <c r="AQ676" s="18"/>
      <c r="AR676" s="18"/>
      <c r="AS676" s="18"/>
      <c r="AT676" s="18"/>
      <c r="AU676" s="18"/>
      <c r="AV676" s="18"/>
      <c r="AW676" s="18"/>
      <c r="AX676" s="18"/>
      <c r="AY676" s="18"/>
      <c r="AZ676" s="18"/>
      <c r="BA676" s="18"/>
      <c r="BB676" s="18"/>
      <c r="BC676" s="18"/>
      <c r="BD676" s="18"/>
      <c r="BE676" s="18"/>
      <c r="BF676" s="18"/>
      <c r="BG676" s="18">
        <v>187.5</v>
      </c>
      <c r="BH676" s="18"/>
      <c r="BI676" s="18"/>
      <c r="BJ676" s="18">
        <v>187.5</v>
      </c>
      <c r="BK676" s="18">
        <v>187.5</v>
      </c>
    </row>
    <row r="677" spans="15:63" x14ac:dyDescent="0.3">
      <c r="O677" t="s">
        <v>1395</v>
      </c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  <c r="AG677" s="18"/>
      <c r="AH677" s="18"/>
      <c r="AI677" s="18"/>
      <c r="AJ677" s="18"/>
      <c r="AK677" s="18"/>
      <c r="AL677" s="18"/>
      <c r="AM677" s="18"/>
      <c r="AN677" s="18"/>
      <c r="AO677" s="18"/>
      <c r="AP677" s="18"/>
      <c r="AQ677" s="18"/>
      <c r="AR677" s="18"/>
      <c r="AS677" s="18"/>
      <c r="AT677" s="18"/>
      <c r="AU677" s="18"/>
      <c r="AV677" s="18"/>
      <c r="AW677" s="18"/>
      <c r="AX677" s="18"/>
      <c r="AY677" s="18"/>
      <c r="AZ677" s="18"/>
      <c r="BA677" s="18"/>
      <c r="BB677" s="18"/>
      <c r="BC677" s="18"/>
      <c r="BD677" s="18"/>
      <c r="BE677" s="18"/>
      <c r="BF677" s="18"/>
      <c r="BG677" s="18"/>
      <c r="BH677" s="18">
        <v>4440</v>
      </c>
      <c r="BI677" s="18"/>
      <c r="BJ677" s="18">
        <v>4440</v>
      </c>
      <c r="BK677" s="18">
        <v>4440</v>
      </c>
    </row>
    <row r="678" spans="15:63" x14ac:dyDescent="0.3">
      <c r="O678" t="s">
        <v>1417</v>
      </c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  <c r="AG678" s="18"/>
      <c r="AH678" s="18"/>
      <c r="AI678" s="18"/>
      <c r="AJ678" s="18"/>
      <c r="AK678" s="18"/>
      <c r="AL678" s="18"/>
      <c r="AM678" s="18"/>
      <c r="AN678" s="18"/>
      <c r="AO678" s="18"/>
      <c r="AP678" s="18"/>
      <c r="AQ678" s="18"/>
      <c r="AR678" s="18"/>
      <c r="AS678" s="18"/>
      <c r="AT678" s="18"/>
      <c r="AU678" s="18"/>
      <c r="AV678" s="18"/>
      <c r="AW678" s="18"/>
      <c r="AX678" s="18"/>
      <c r="AY678" s="18"/>
      <c r="AZ678" s="18"/>
      <c r="BA678" s="18"/>
      <c r="BB678" s="18"/>
      <c r="BC678" s="18"/>
      <c r="BD678" s="18"/>
      <c r="BE678" s="18"/>
      <c r="BF678" s="18"/>
      <c r="BG678" s="18"/>
      <c r="BH678" s="18">
        <v>5801</v>
      </c>
      <c r="BI678" s="18"/>
      <c r="BJ678" s="18">
        <v>5801</v>
      </c>
      <c r="BK678" s="18">
        <v>5801</v>
      </c>
    </row>
    <row r="679" spans="15:63" x14ac:dyDescent="0.3">
      <c r="O679" t="s">
        <v>1531</v>
      </c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  <c r="AG679" s="18"/>
      <c r="AH679" s="18"/>
      <c r="AI679" s="18"/>
      <c r="AJ679" s="18"/>
      <c r="AK679" s="18"/>
      <c r="AL679" s="18"/>
      <c r="AM679" s="18"/>
      <c r="AN679" s="18"/>
      <c r="AO679" s="18"/>
      <c r="AP679" s="18"/>
      <c r="AQ679" s="18"/>
      <c r="AR679" s="18"/>
      <c r="AS679" s="18"/>
      <c r="AT679" s="18"/>
      <c r="AU679" s="18"/>
      <c r="AV679" s="18"/>
      <c r="AW679" s="18"/>
      <c r="AX679" s="18"/>
      <c r="AY679" s="18"/>
      <c r="AZ679" s="18"/>
      <c r="BA679" s="18"/>
      <c r="BB679" s="18"/>
      <c r="BC679" s="18"/>
      <c r="BD679" s="18"/>
      <c r="BE679" s="18"/>
      <c r="BF679" s="18"/>
      <c r="BG679" s="18"/>
      <c r="BH679" s="18"/>
      <c r="BI679" s="18">
        <v>7908.5</v>
      </c>
      <c r="BJ679" s="18">
        <v>7908.5</v>
      </c>
      <c r="BK679" s="18">
        <v>7908.5</v>
      </c>
    </row>
    <row r="680" spans="15:63" x14ac:dyDescent="0.3">
      <c r="O680" t="s">
        <v>1536</v>
      </c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  <c r="AF680" s="18"/>
      <c r="AG680" s="18"/>
      <c r="AH680" s="18"/>
      <c r="AI680" s="18"/>
      <c r="AJ680" s="18"/>
      <c r="AK680" s="18"/>
      <c r="AL680" s="18"/>
      <c r="AM680" s="18"/>
      <c r="AN680" s="18"/>
      <c r="AO680" s="18"/>
      <c r="AP680" s="18"/>
      <c r="AQ680" s="18"/>
      <c r="AR680" s="18"/>
      <c r="AS680" s="18"/>
      <c r="AT680" s="18"/>
      <c r="AU680" s="18"/>
      <c r="AV680" s="18"/>
      <c r="AW680" s="18"/>
      <c r="AX680" s="18"/>
      <c r="AY680" s="18"/>
      <c r="AZ680" s="18"/>
      <c r="BA680" s="18"/>
      <c r="BB680" s="18"/>
      <c r="BC680" s="18"/>
      <c r="BD680" s="18"/>
      <c r="BE680" s="18"/>
      <c r="BF680" s="18"/>
      <c r="BG680" s="18"/>
      <c r="BH680" s="18"/>
      <c r="BI680" s="18">
        <v>2902.5</v>
      </c>
      <c r="BJ680" s="18">
        <v>2902.5</v>
      </c>
      <c r="BK680" s="18">
        <v>2902.5</v>
      </c>
    </row>
    <row r="681" spans="15:63" x14ac:dyDescent="0.3">
      <c r="O681" t="s">
        <v>1554</v>
      </c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  <c r="AF681" s="18"/>
      <c r="AG681" s="18"/>
      <c r="AH681" s="18"/>
      <c r="AI681" s="18"/>
      <c r="AJ681" s="18"/>
      <c r="AK681" s="18"/>
      <c r="AL681" s="18"/>
      <c r="AM681" s="18"/>
      <c r="AN681" s="18"/>
      <c r="AO681" s="18"/>
      <c r="AP681" s="18"/>
      <c r="AQ681" s="18"/>
      <c r="AR681" s="18"/>
      <c r="AS681" s="18"/>
      <c r="AT681" s="18"/>
      <c r="AU681" s="18"/>
      <c r="AV681" s="18"/>
      <c r="AW681" s="18"/>
      <c r="AX681" s="18"/>
      <c r="AY681" s="18"/>
      <c r="AZ681" s="18"/>
      <c r="BA681" s="18"/>
      <c r="BB681" s="18"/>
      <c r="BC681" s="18"/>
      <c r="BD681" s="18"/>
      <c r="BE681" s="18"/>
      <c r="BF681" s="18"/>
      <c r="BG681" s="18"/>
      <c r="BH681" s="18"/>
      <c r="BI681" s="18">
        <v>1174.5</v>
      </c>
      <c r="BJ681" s="18">
        <v>1174.5</v>
      </c>
      <c r="BK681" s="18">
        <v>1174.5</v>
      </c>
    </row>
    <row r="682" spans="15:63" x14ac:dyDescent="0.3">
      <c r="O682" t="s">
        <v>1555</v>
      </c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  <c r="AF682" s="18"/>
      <c r="AG682" s="18"/>
      <c r="AH682" s="18"/>
      <c r="AI682" s="18"/>
      <c r="AJ682" s="18"/>
      <c r="AK682" s="18"/>
      <c r="AL682" s="18"/>
      <c r="AM682" s="18"/>
      <c r="AN682" s="18"/>
      <c r="AO682" s="18"/>
      <c r="AP682" s="18"/>
      <c r="AQ682" s="18"/>
      <c r="AR682" s="18"/>
      <c r="AS682" s="18"/>
      <c r="AT682" s="18"/>
      <c r="AU682" s="18"/>
      <c r="AV682" s="18"/>
      <c r="AW682" s="18"/>
      <c r="AX682" s="18"/>
      <c r="AY682" s="18"/>
      <c r="AZ682" s="18"/>
      <c r="BA682" s="18"/>
      <c r="BB682" s="18"/>
      <c r="BC682" s="18"/>
      <c r="BD682" s="18"/>
      <c r="BE682" s="18"/>
      <c r="BF682" s="18"/>
      <c r="BG682" s="18"/>
      <c r="BH682" s="18"/>
      <c r="BI682" s="18">
        <v>1912.5</v>
      </c>
      <c r="BJ682" s="18">
        <v>1912.5</v>
      </c>
      <c r="BK682" s="18">
        <v>1912.5</v>
      </c>
    </row>
    <row r="683" spans="15:63" x14ac:dyDescent="0.3">
      <c r="O683" t="s">
        <v>1563</v>
      </c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  <c r="AF683" s="18"/>
      <c r="AG683" s="18"/>
      <c r="AH683" s="18"/>
      <c r="AI683" s="18"/>
      <c r="AJ683" s="18"/>
      <c r="AK683" s="18"/>
      <c r="AL683" s="18"/>
      <c r="AM683" s="18"/>
      <c r="AN683" s="18"/>
      <c r="AO683" s="18"/>
      <c r="AP683" s="18"/>
      <c r="AQ683" s="18"/>
      <c r="AR683" s="18"/>
      <c r="AS683" s="18"/>
      <c r="AT683" s="18"/>
      <c r="AU683" s="18"/>
      <c r="AV683" s="18"/>
      <c r="AW683" s="18"/>
      <c r="AX683" s="18"/>
      <c r="AY683" s="18"/>
      <c r="AZ683" s="18"/>
      <c r="BA683" s="18"/>
      <c r="BB683" s="18"/>
      <c r="BC683" s="18"/>
      <c r="BD683" s="18"/>
      <c r="BE683" s="18"/>
      <c r="BF683" s="18"/>
      <c r="BG683" s="18"/>
      <c r="BH683" s="18"/>
      <c r="BI683" s="18">
        <v>2195</v>
      </c>
      <c r="BJ683" s="18">
        <v>2195</v>
      </c>
      <c r="BK683" s="18">
        <v>2195</v>
      </c>
    </row>
    <row r="684" spans="15:63" x14ac:dyDescent="0.3">
      <c r="O684" t="s">
        <v>1610</v>
      </c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8"/>
      <c r="AG684" s="18"/>
      <c r="AH684" s="18"/>
      <c r="AI684" s="18"/>
      <c r="AJ684" s="18"/>
      <c r="AK684" s="18"/>
      <c r="AL684" s="18"/>
      <c r="AM684" s="18"/>
      <c r="AN684" s="18"/>
      <c r="AO684" s="18"/>
      <c r="AP684" s="18"/>
      <c r="AQ684" s="18"/>
      <c r="AR684" s="18"/>
      <c r="AS684" s="18"/>
      <c r="AT684" s="18"/>
      <c r="AU684" s="18"/>
      <c r="AV684" s="18"/>
      <c r="AW684" s="18"/>
      <c r="AX684" s="18">
        <v>4745</v>
      </c>
      <c r="AY684" s="18"/>
      <c r="AZ684" s="18"/>
      <c r="BA684" s="18"/>
      <c r="BB684" s="18"/>
      <c r="BC684" s="18"/>
      <c r="BD684" s="18"/>
      <c r="BE684" s="18"/>
      <c r="BF684" s="18"/>
      <c r="BG684" s="18"/>
      <c r="BH684" s="18"/>
      <c r="BI684" s="18"/>
      <c r="BJ684" s="18">
        <v>4745</v>
      </c>
      <c r="BK684" s="18">
        <v>4745</v>
      </c>
    </row>
    <row r="685" spans="15:63" x14ac:dyDescent="0.3">
      <c r="O685" t="s">
        <v>1623</v>
      </c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  <c r="AG685" s="18"/>
      <c r="AH685" s="18"/>
      <c r="AI685" s="18"/>
      <c r="AJ685" s="18"/>
      <c r="AK685" s="18"/>
      <c r="AL685" s="18"/>
      <c r="AM685" s="18"/>
      <c r="AN685" s="18"/>
      <c r="AO685" s="18"/>
      <c r="AP685" s="18"/>
      <c r="AQ685" s="18"/>
      <c r="AR685" s="18"/>
      <c r="AS685" s="18"/>
      <c r="AT685" s="18"/>
      <c r="AU685" s="18"/>
      <c r="AV685" s="18"/>
      <c r="AW685" s="18"/>
      <c r="AX685" s="18">
        <v>2792.8</v>
      </c>
      <c r="AY685" s="18"/>
      <c r="AZ685" s="18"/>
      <c r="BA685" s="18"/>
      <c r="BB685" s="18"/>
      <c r="BC685" s="18"/>
      <c r="BD685" s="18"/>
      <c r="BE685" s="18"/>
      <c r="BF685" s="18"/>
      <c r="BG685" s="18"/>
      <c r="BH685" s="18"/>
      <c r="BI685" s="18"/>
      <c r="BJ685" s="18">
        <v>2792.8</v>
      </c>
      <c r="BK685" s="18">
        <v>2792.8</v>
      </c>
    </row>
    <row r="686" spans="15:63" x14ac:dyDescent="0.3">
      <c r="O686" t="s">
        <v>1624</v>
      </c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  <c r="AG686" s="18"/>
      <c r="AH686" s="18"/>
      <c r="AI686" s="18"/>
      <c r="AJ686" s="18"/>
      <c r="AK686" s="18"/>
      <c r="AL686" s="18"/>
      <c r="AM686" s="18"/>
      <c r="AN686" s="18"/>
      <c r="AO686" s="18"/>
      <c r="AP686" s="18"/>
      <c r="AQ686" s="18"/>
      <c r="AR686" s="18"/>
      <c r="AS686" s="18"/>
      <c r="AT686" s="18"/>
      <c r="AU686" s="18"/>
      <c r="AV686" s="18"/>
      <c r="AW686" s="18"/>
      <c r="AX686" s="18">
        <v>4453.5</v>
      </c>
      <c r="AY686" s="18"/>
      <c r="AZ686" s="18"/>
      <c r="BA686" s="18"/>
      <c r="BB686" s="18"/>
      <c r="BC686" s="18"/>
      <c r="BD686" s="18"/>
      <c r="BE686" s="18"/>
      <c r="BF686" s="18"/>
      <c r="BG686" s="18"/>
      <c r="BH686" s="18"/>
      <c r="BI686" s="18"/>
      <c r="BJ686" s="18">
        <v>4453.5</v>
      </c>
      <c r="BK686" s="18">
        <v>4453.5</v>
      </c>
    </row>
    <row r="687" spans="15:63" x14ac:dyDescent="0.3">
      <c r="O687" t="s">
        <v>1633</v>
      </c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  <c r="AG687" s="18"/>
      <c r="AH687" s="18"/>
      <c r="AI687" s="18"/>
      <c r="AJ687" s="18"/>
      <c r="AK687" s="18"/>
      <c r="AL687" s="18"/>
      <c r="AM687" s="18"/>
      <c r="AN687" s="18"/>
      <c r="AO687" s="18"/>
      <c r="AP687" s="18"/>
      <c r="AQ687" s="18"/>
      <c r="AR687" s="18"/>
      <c r="AS687" s="18"/>
      <c r="AT687" s="18"/>
      <c r="AU687" s="18"/>
      <c r="AV687" s="18"/>
      <c r="AW687" s="18"/>
      <c r="AX687" s="18">
        <v>4133.5</v>
      </c>
      <c r="AY687" s="18"/>
      <c r="AZ687" s="18"/>
      <c r="BA687" s="18"/>
      <c r="BB687" s="18"/>
      <c r="BC687" s="18"/>
      <c r="BD687" s="18"/>
      <c r="BE687" s="18"/>
      <c r="BF687" s="18"/>
      <c r="BG687" s="18"/>
      <c r="BH687" s="18"/>
      <c r="BI687" s="18"/>
      <c r="BJ687" s="18">
        <v>4133.5</v>
      </c>
      <c r="BK687" s="18">
        <v>4133.5</v>
      </c>
    </row>
    <row r="688" spans="15:63" x14ac:dyDescent="0.3">
      <c r="O688" t="s">
        <v>1647</v>
      </c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  <c r="AH688" s="18"/>
      <c r="AI688" s="18"/>
      <c r="AJ688" s="18"/>
      <c r="AK688" s="18"/>
      <c r="AL688" s="18"/>
      <c r="AM688" s="18"/>
      <c r="AN688" s="18"/>
      <c r="AO688" s="18"/>
      <c r="AP688" s="18"/>
      <c r="AQ688" s="18"/>
      <c r="AR688" s="18"/>
      <c r="AS688" s="18"/>
      <c r="AT688" s="18"/>
      <c r="AU688" s="18"/>
      <c r="AV688" s="18"/>
      <c r="AW688" s="18"/>
      <c r="AX688" s="18">
        <v>3740</v>
      </c>
      <c r="AY688" s="18"/>
      <c r="AZ688" s="18"/>
      <c r="BA688" s="18"/>
      <c r="BB688" s="18"/>
      <c r="BC688" s="18"/>
      <c r="BD688" s="18"/>
      <c r="BE688" s="18"/>
      <c r="BF688" s="18"/>
      <c r="BG688" s="18"/>
      <c r="BH688" s="18"/>
      <c r="BI688" s="18"/>
      <c r="BJ688" s="18">
        <v>3740</v>
      </c>
      <c r="BK688" s="18">
        <v>3740</v>
      </c>
    </row>
    <row r="689" spans="15:63" x14ac:dyDescent="0.3">
      <c r="O689" t="s">
        <v>1645</v>
      </c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  <c r="AB689" s="18"/>
      <c r="AC689" s="18"/>
      <c r="AD689" s="18"/>
      <c r="AE689" s="18"/>
      <c r="AF689" s="18"/>
      <c r="AG689" s="18"/>
      <c r="AH689" s="18"/>
      <c r="AI689" s="18"/>
      <c r="AJ689" s="18"/>
      <c r="AK689" s="18"/>
      <c r="AL689" s="18"/>
      <c r="AM689" s="18"/>
      <c r="AN689" s="18"/>
      <c r="AO689" s="18"/>
      <c r="AP689" s="18"/>
      <c r="AQ689" s="18"/>
      <c r="AR689" s="18"/>
      <c r="AS689" s="18"/>
      <c r="AT689" s="18"/>
      <c r="AU689" s="18"/>
      <c r="AV689" s="18"/>
      <c r="AW689" s="18"/>
      <c r="AX689" s="18">
        <v>485</v>
      </c>
      <c r="AY689" s="18"/>
      <c r="AZ689" s="18"/>
      <c r="BA689" s="18"/>
      <c r="BB689" s="18"/>
      <c r="BC689" s="18"/>
      <c r="BD689" s="18"/>
      <c r="BE689" s="18"/>
      <c r="BF689" s="18"/>
      <c r="BG689" s="18"/>
      <c r="BH689" s="18"/>
      <c r="BI689" s="18"/>
      <c r="BJ689" s="18">
        <v>485</v>
      </c>
      <c r="BK689" s="18">
        <v>485</v>
      </c>
    </row>
    <row r="690" spans="15:63" x14ac:dyDescent="0.3">
      <c r="O690" t="s">
        <v>1650</v>
      </c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  <c r="AD690" s="18"/>
      <c r="AE690" s="18"/>
      <c r="AF690" s="18"/>
      <c r="AG690" s="18"/>
      <c r="AH690" s="18"/>
      <c r="AI690" s="18"/>
      <c r="AJ690" s="18"/>
      <c r="AK690" s="18"/>
      <c r="AL690" s="18"/>
      <c r="AM690" s="18"/>
      <c r="AN690" s="18"/>
      <c r="AO690" s="18"/>
      <c r="AP690" s="18"/>
      <c r="AQ690" s="18"/>
      <c r="AR690" s="18"/>
      <c r="AS690" s="18"/>
      <c r="AT690" s="18"/>
      <c r="AU690" s="18"/>
      <c r="AV690" s="18"/>
      <c r="AW690" s="18"/>
      <c r="AX690" s="18">
        <v>795</v>
      </c>
      <c r="AY690" s="18"/>
      <c r="AZ690" s="18"/>
      <c r="BA690" s="18"/>
      <c r="BB690" s="18"/>
      <c r="BC690" s="18"/>
      <c r="BD690" s="18"/>
      <c r="BE690" s="18"/>
      <c r="BF690" s="18"/>
      <c r="BG690" s="18"/>
      <c r="BH690" s="18"/>
      <c r="BI690" s="18"/>
      <c r="BJ690" s="18">
        <v>795</v>
      </c>
      <c r="BK690" s="18">
        <v>795</v>
      </c>
    </row>
    <row r="691" spans="15:63" x14ac:dyDescent="0.3">
      <c r="O691" t="s">
        <v>1663</v>
      </c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  <c r="AF691" s="18"/>
      <c r="AG691" s="18"/>
      <c r="AH691" s="18"/>
      <c r="AI691" s="18"/>
      <c r="AJ691" s="18"/>
      <c r="AK691" s="18"/>
      <c r="AL691" s="18"/>
      <c r="AM691" s="18"/>
      <c r="AN691" s="18"/>
      <c r="AO691" s="18"/>
      <c r="AP691" s="18"/>
      <c r="AQ691" s="18"/>
      <c r="AR691" s="18"/>
      <c r="AS691" s="18"/>
      <c r="AT691" s="18"/>
      <c r="AU691" s="18"/>
      <c r="AV691" s="18"/>
      <c r="AW691" s="18"/>
      <c r="AX691" s="18">
        <v>5133.5</v>
      </c>
      <c r="AY691" s="18"/>
      <c r="AZ691" s="18"/>
      <c r="BA691" s="18"/>
      <c r="BB691" s="18"/>
      <c r="BC691" s="18"/>
      <c r="BD691" s="18"/>
      <c r="BE691" s="18"/>
      <c r="BF691" s="18"/>
      <c r="BG691" s="18"/>
      <c r="BH691" s="18"/>
      <c r="BI691" s="18"/>
      <c r="BJ691" s="18">
        <v>5133.5</v>
      </c>
      <c r="BK691" s="18">
        <v>5133.5</v>
      </c>
    </row>
    <row r="692" spans="15:63" x14ac:dyDescent="0.3">
      <c r="O692" t="s">
        <v>1708</v>
      </c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  <c r="AE692" s="18"/>
      <c r="AF692" s="18"/>
      <c r="AG692" s="18"/>
      <c r="AH692" s="18"/>
      <c r="AI692" s="18"/>
      <c r="AJ692" s="18"/>
      <c r="AK692" s="18"/>
      <c r="AL692" s="18"/>
      <c r="AM692" s="18"/>
      <c r="AN692" s="18"/>
      <c r="AO692" s="18"/>
      <c r="AP692" s="18"/>
      <c r="AQ692" s="18"/>
      <c r="AR692" s="18"/>
      <c r="AS692" s="18"/>
      <c r="AT692" s="18"/>
      <c r="AU692" s="18"/>
      <c r="AV692" s="18"/>
      <c r="AW692" s="18"/>
      <c r="AX692" s="18"/>
      <c r="AY692" s="18">
        <v>4783</v>
      </c>
      <c r="AZ692" s="18"/>
      <c r="BA692" s="18"/>
      <c r="BB692" s="18"/>
      <c r="BC692" s="18"/>
      <c r="BD692" s="18"/>
      <c r="BE692" s="18"/>
      <c r="BF692" s="18"/>
      <c r="BG692" s="18"/>
      <c r="BH692" s="18"/>
      <c r="BI692" s="18"/>
      <c r="BJ692" s="18">
        <v>4783</v>
      </c>
      <c r="BK692" s="18">
        <v>4783</v>
      </c>
    </row>
    <row r="693" spans="15:63" x14ac:dyDescent="0.3">
      <c r="O693" t="s">
        <v>1710</v>
      </c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8"/>
      <c r="AG693" s="18"/>
      <c r="AH693" s="18"/>
      <c r="AI693" s="18"/>
      <c r="AJ693" s="18"/>
      <c r="AK693" s="18"/>
      <c r="AL693" s="18"/>
      <c r="AM693" s="18"/>
      <c r="AN693" s="18"/>
      <c r="AO693" s="18"/>
      <c r="AP693" s="18"/>
      <c r="AQ693" s="18"/>
      <c r="AR693" s="18"/>
      <c r="AS693" s="18"/>
      <c r="AT693" s="18"/>
      <c r="AU693" s="18"/>
      <c r="AV693" s="18"/>
      <c r="AW693" s="18"/>
      <c r="AX693" s="18"/>
      <c r="AY693" s="18">
        <v>100</v>
      </c>
      <c r="AZ693" s="18"/>
      <c r="BA693" s="18"/>
      <c r="BB693" s="18"/>
      <c r="BC693" s="18"/>
      <c r="BD693" s="18"/>
      <c r="BE693" s="18"/>
      <c r="BF693" s="18"/>
      <c r="BG693" s="18"/>
      <c r="BH693" s="18"/>
      <c r="BI693" s="18"/>
      <c r="BJ693" s="18">
        <v>100</v>
      </c>
      <c r="BK693" s="18">
        <v>100</v>
      </c>
    </row>
    <row r="694" spans="15:63" x14ac:dyDescent="0.3">
      <c r="O694" t="s">
        <v>1718</v>
      </c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  <c r="AE694" s="18"/>
      <c r="AF694" s="18"/>
      <c r="AG694" s="18"/>
      <c r="AH694" s="18"/>
      <c r="AI694" s="18"/>
      <c r="AJ694" s="18"/>
      <c r="AK694" s="18"/>
      <c r="AL694" s="18"/>
      <c r="AM694" s="18"/>
      <c r="AN694" s="18"/>
      <c r="AO694" s="18"/>
      <c r="AP694" s="18"/>
      <c r="AQ694" s="18"/>
      <c r="AR694" s="18"/>
      <c r="AS694" s="18"/>
      <c r="AT694" s="18"/>
      <c r="AU694" s="18"/>
      <c r="AV694" s="18"/>
      <c r="AW694" s="18"/>
      <c r="AX694" s="18"/>
      <c r="AY694" s="18">
        <v>1390</v>
      </c>
      <c r="AZ694" s="18"/>
      <c r="BA694" s="18"/>
      <c r="BB694" s="18"/>
      <c r="BC694" s="18"/>
      <c r="BD694" s="18"/>
      <c r="BE694" s="18"/>
      <c r="BF694" s="18"/>
      <c r="BG694" s="18"/>
      <c r="BH694" s="18"/>
      <c r="BI694" s="18"/>
      <c r="BJ694" s="18">
        <v>1390</v>
      </c>
      <c r="BK694" s="18">
        <v>1390</v>
      </c>
    </row>
    <row r="695" spans="15:63" x14ac:dyDescent="0.3">
      <c r="O695" t="s">
        <v>1721</v>
      </c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  <c r="AE695" s="18"/>
      <c r="AF695" s="18"/>
      <c r="AG695" s="18"/>
      <c r="AH695" s="18"/>
      <c r="AI695" s="18"/>
      <c r="AJ695" s="18"/>
      <c r="AK695" s="18"/>
      <c r="AL695" s="18"/>
      <c r="AM695" s="18"/>
      <c r="AN695" s="18"/>
      <c r="AO695" s="18"/>
      <c r="AP695" s="18"/>
      <c r="AQ695" s="18"/>
      <c r="AR695" s="18"/>
      <c r="AS695" s="18"/>
      <c r="AT695" s="18"/>
      <c r="AU695" s="18"/>
      <c r="AV695" s="18"/>
      <c r="AW695" s="18"/>
      <c r="AX695" s="18"/>
      <c r="AY695" s="18">
        <v>5573</v>
      </c>
      <c r="AZ695" s="18"/>
      <c r="BA695" s="18"/>
      <c r="BB695" s="18"/>
      <c r="BC695" s="18"/>
      <c r="BD695" s="18"/>
      <c r="BE695" s="18"/>
      <c r="BF695" s="18"/>
      <c r="BG695" s="18"/>
      <c r="BH695" s="18"/>
      <c r="BI695" s="18"/>
      <c r="BJ695" s="18">
        <v>5573</v>
      </c>
      <c r="BK695" s="18">
        <v>5573</v>
      </c>
    </row>
    <row r="696" spans="15:63" x14ac:dyDescent="0.3">
      <c r="O696" t="s">
        <v>1730</v>
      </c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8"/>
      <c r="AG696" s="18"/>
      <c r="AH696" s="18"/>
      <c r="AI696" s="18"/>
      <c r="AJ696" s="18"/>
      <c r="AK696" s="18"/>
      <c r="AL696" s="18"/>
      <c r="AM696" s="18"/>
      <c r="AN696" s="18"/>
      <c r="AO696" s="18"/>
      <c r="AP696" s="18"/>
      <c r="AQ696" s="18"/>
      <c r="AR696" s="18"/>
      <c r="AS696" s="18"/>
      <c r="AT696" s="18"/>
      <c r="AU696" s="18"/>
      <c r="AV696" s="18"/>
      <c r="AW696" s="18"/>
      <c r="AX696" s="18"/>
      <c r="AY696" s="18">
        <v>4940.5</v>
      </c>
      <c r="AZ696" s="18"/>
      <c r="BA696" s="18"/>
      <c r="BB696" s="18"/>
      <c r="BC696" s="18"/>
      <c r="BD696" s="18"/>
      <c r="BE696" s="18"/>
      <c r="BF696" s="18"/>
      <c r="BG696" s="18"/>
      <c r="BH696" s="18"/>
      <c r="BI696" s="18"/>
      <c r="BJ696" s="18">
        <v>4940.5</v>
      </c>
      <c r="BK696" s="18">
        <v>4940.5</v>
      </c>
    </row>
    <row r="697" spans="15:63" x14ac:dyDescent="0.3">
      <c r="O697" t="s">
        <v>1792</v>
      </c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8"/>
      <c r="AG697" s="18"/>
      <c r="AH697" s="18"/>
      <c r="AI697" s="18"/>
      <c r="AJ697" s="18"/>
      <c r="AK697" s="18"/>
      <c r="AL697" s="18"/>
      <c r="AM697" s="18"/>
      <c r="AN697" s="18"/>
      <c r="AO697" s="18"/>
      <c r="AP697" s="18"/>
      <c r="AQ697" s="18"/>
      <c r="AR697" s="18"/>
      <c r="AS697" s="18"/>
      <c r="AT697" s="18"/>
      <c r="AU697" s="18"/>
      <c r="AV697" s="18"/>
      <c r="AW697" s="18"/>
      <c r="AX697" s="18"/>
      <c r="AY697" s="18"/>
      <c r="AZ697" s="18">
        <v>805</v>
      </c>
      <c r="BA697" s="18"/>
      <c r="BB697" s="18"/>
      <c r="BC697" s="18"/>
      <c r="BD697" s="18"/>
      <c r="BE697" s="18"/>
      <c r="BF697" s="18"/>
      <c r="BG697" s="18"/>
      <c r="BH697" s="18"/>
      <c r="BI697" s="18"/>
      <c r="BJ697" s="18">
        <v>805</v>
      </c>
      <c r="BK697" s="18">
        <v>805</v>
      </c>
    </row>
    <row r="698" spans="15:63" x14ac:dyDescent="0.3">
      <c r="O698" t="s">
        <v>1808</v>
      </c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  <c r="AF698" s="18"/>
      <c r="AG698" s="18"/>
      <c r="AH698" s="18"/>
      <c r="AI698" s="18"/>
      <c r="AJ698" s="18"/>
      <c r="AK698" s="18"/>
      <c r="AL698" s="18"/>
      <c r="AM698" s="18"/>
      <c r="AN698" s="18"/>
      <c r="AO698" s="18"/>
      <c r="AP698" s="18"/>
      <c r="AQ698" s="18"/>
      <c r="AR698" s="18"/>
      <c r="AS698" s="18"/>
      <c r="AT698" s="18"/>
      <c r="AU698" s="18"/>
      <c r="AV698" s="18"/>
      <c r="AW698" s="18"/>
      <c r="AX698" s="18"/>
      <c r="AY698" s="18"/>
      <c r="AZ698" s="18">
        <v>920</v>
      </c>
      <c r="BA698" s="18"/>
      <c r="BB698" s="18"/>
      <c r="BC698" s="18"/>
      <c r="BD698" s="18"/>
      <c r="BE698" s="18"/>
      <c r="BF698" s="18"/>
      <c r="BG698" s="18"/>
      <c r="BH698" s="18"/>
      <c r="BI698" s="18"/>
      <c r="BJ698" s="18">
        <v>920</v>
      </c>
      <c r="BK698" s="18">
        <v>920</v>
      </c>
    </row>
    <row r="699" spans="15:63" x14ac:dyDescent="0.3">
      <c r="O699" t="s">
        <v>1811</v>
      </c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  <c r="AF699" s="18"/>
      <c r="AG699" s="18"/>
      <c r="AH699" s="18"/>
      <c r="AI699" s="18"/>
      <c r="AJ699" s="18"/>
      <c r="AK699" s="18"/>
      <c r="AL699" s="18"/>
      <c r="AM699" s="18"/>
      <c r="AN699" s="18"/>
      <c r="AO699" s="18"/>
      <c r="AP699" s="18"/>
      <c r="AQ699" s="18"/>
      <c r="AR699" s="18"/>
      <c r="AS699" s="18"/>
      <c r="AT699" s="18"/>
      <c r="AU699" s="18"/>
      <c r="AV699" s="18"/>
      <c r="AW699" s="18"/>
      <c r="AX699" s="18"/>
      <c r="AY699" s="18"/>
      <c r="AZ699" s="18">
        <v>984</v>
      </c>
      <c r="BA699" s="18"/>
      <c r="BB699" s="18"/>
      <c r="BC699" s="18"/>
      <c r="BD699" s="18"/>
      <c r="BE699" s="18"/>
      <c r="BF699" s="18"/>
      <c r="BG699" s="18"/>
      <c r="BH699" s="18"/>
      <c r="BI699" s="18"/>
      <c r="BJ699" s="18">
        <v>984</v>
      </c>
      <c r="BK699" s="18">
        <v>984</v>
      </c>
    </row>
    <row r="700" spans="15:63" x14ac:dyDescent="0.3">
      <c r="O700" t="s">
        <v>1817</v>
      </c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  <c r="AF700" s="18"/>
      <c r="AG700" s="18"/>
      <c r="AH700" s="18"/>
      <c r="AI700" s="18"/>
      <c r="AJ700" s="18"/>
      <c r="AK700" s="18"/>
      <c r="AL700" s="18"/>
      <c r="AM700" s="18"/>
      <c r="AN700" s="18"/>
      <c r="AO700" s="18"/>
      <c r="AP700" s="18"/>
      <c r="AQ700" s="18"/>
      <c r="AR700" s="18"/>
      <c r="AS700" s="18"/>
      <c r="AT700" s="18"/>
      <c r="AU700" s="18"/>
      <c r="AV700" s="18"/>
      <c r="AW700" s="18"/>
      <c r="AX700" s="18"/>
      <c r="AY700" s="18"/>
      <c r="AZ700" s="18">
        <v>7052.5</v>
      </c>
      <c r="BA700" s="18"/>
      <c r="BB700" s="18"/>
      <c r="BC700" s="18"/>
      <c r="BD700" s="18"/>
      <c r="BE700" s="18"/>
      <c r="BF700" s="18"/>
      <c r="BG700" s="18"/>
      <c r="BH700" s="18"/>
      <c r="BI700" s="18"/>
      <c r="BJ700" s="18">
        <v>7052.5</v>
      </c>
      <c r="BK700" s="18">
        <v>7052.5</v>
      </c>
    </row>
    <row r="701" spans="15:63" x14ac:dyDescent="0.3">
      <c r="O701" t="s">
        <v>1828</v>
      </c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  <c r="AB701" s="18"/>
      <c r="AC701" s="18"/>
      <c r="AD701" s="18"/>
      <c r="AE701" s="18"/>
      <c r="AF701" s="18"/>
      <c r="AG701" s="18"/>
      <c r="AH701" s="18"/>
      <c r="AI701" s="18"/>
      <c r="AJ701" s="18"/>
      <c r="AK701" s="18"/>
      <c r="AL701" s="18"/>
      <c r="AM701" s="18"/>
      <c r="AN701" s="18"/>
      <c r="AO701" s="18"/>
      <c r="AP701" s="18"/>
      <c r="AQ701" s="18"/>
      <c r="AR701" s="18"/>
      <c r="AS701" s="18"/>
      <c r="AT701" s="18"/>
      <c r="AU701" s="18"/>
      <c r="AV701" s="18"/>
      <c r="AW701" s="18"/>
      <c r="AX701" s="18"/>
      <c r="AY701" s="18"/>
      <c r="AZ701" s="18">
        <v>1738</v>
      </c>
      <c r="BA701" s="18"/>
      <c r="BB701" s="18"/>
      <c r="BC701" s="18"/>
      <c r="BD701" s="18"/>
      <c r="BE701" s="18"/>
      <c r="BF701" s="18"/>
      <c r="BG701" s="18"/>
      <c r="BH701" s="18"/>
      <c r="BI701" s="18"/>
      <c r="BJ701" s="18">
        <v>1738</v>
      </c>
      <c r="BK701" s="18">
        <v>1738</v>
      </c>
    </row>
    <row r="702" spans="15:63" x14ac:dyDescent="0.3">
      <c r="O702" t="s">
        <v>1829</v>
      </c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  <c r="AF702" s="18"/>
      <c r="AG702" s="18"/>
      <c r="AH702" s="18"/>
      <c r="AI702" s="18"/>
      <c r="AJ702" s="18"/>
      <c r="AK702" s="18"/>
      <c r="AL702" s="18"/>
      <c r="AM702" s="18"/>
      <c r="AN702" s="18"/>
      <c r="AO702" s="18"/>
      <c r="AP702" s="18"/>
      <c r="AQ702" s="18"/>
      <c r="AR702" s="18"/>
      <c r="AS702" s="18"/>
      <c r="AT702" s="18"/>
      <c r="AU702" s="18"/>
      <c r="AV702" s="18"/>
      <c r="AW702" s="18"/>
      <c r="AX702" s="18"/>
      <c r="AY702" s="18"/>
      <c r="AZ702" s="18">
        <v>2210</v>
      </c>
      <c r="BA702" s="18"/>
      <c r="BB702" s="18"/>
      <c r="BC702" s="18"/>
      <c r="BD702" s="18"/>
      <c r="BE702" s="18"/>
      <c r="BF702" s="18"/>
      <c r="BG702" s="18"/>
      <c r="BH702" s="18"/>
      <c r="BI702" s="18"/>
      <c r="BJ702" s="18">
        <v>2210</v>
      </c>
      <c r="BK702" s="18">
        <v>2210</v>
      </c>
    </row>
    <row r="703" spans="15:63" x14ac:dyDescent="0.3">
      <c r="O703" t="s">
        <v>1833</v>
      </c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  <c r="AF703" s="18"/>
      <c r="AG703" s="18"/>
      <c r="AH703" s="18"/>
      <c r="AI703" s="18"/>
      <c r="AJ703" s="18"/>
      <c r="AK703" s="18"/>
      <c r="AL703" s="18"/>
      <c r="AM703" s="18"/>
      <c r="AN703" s="18"/>
      <c r="AO703" s="18"/>
      <c r="AP703" s="18"/>
      <c r="AQ703" s="18"/>
      <c r="AR703" s="18"/>
      <c r="AS703" s="18"/>
      <c r="AT703" s="18"/>
      <c r="AU703" s="18"/>
      <c r="AV703" s="18"/>
      <c r="AW703" s="18"/>
      <c r="AX703" s="18"/>
      <c r="AY703" s="18"/>
      <c r="AZ703" s="18">
        <v>7605</v>
      </c>
      <c r="BA703" s="18"/>
      <c r="BB703" s="18"/>
      <c r="BC703" s="18"/>
      <c r="BD703" s="18"/>
      <c r="BE703" s="18"/>
      <c r="BF703" s="18"/>
      <c r="BG703" s="18"/>
      <c r="BH703" s="18"/>
      <c r="BI703" s="18"/>
      <c r="BJ703" s="18">
        <v>7605</v>
      </c>
      <c r="BK703" s="18">
        <v>7605</v>
      </c>
    </row>
    <row r="704" spans="15:63" x14ac:dyDescent="0.3">
      <c r="O704" t="s">
        <v>1880</v>
      </c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  <c r="AB704" s="18"/>
      <c r="AC704" s="18"/>
      <c r="AD704" s="18"/>
      <c r="AE704" s="18"/>
      <c r="AF704" s="18"/>
      <c r="AG704" s="18"/>
      <c r="AH704" s="18"/>
      <c r="AI704" s="18"/>
      <c r="AJ704" s="18"/>
      <c r="AK704" s="18"/>
      <c r="AL704" s="18"/>
      <c r="AM704" s="18"/>
      <c r="AN704" s="18"/>
      <c r="AO704" s="18"/>
      <c r="AP704" s="18"/>
      <c r="AQ704" s="18"/>
      <c r="AR704" s="18"/>
      <c r="AS704" s="18"/>
      <c r="AT704" s="18"/>
      <c r="AU704" s="18"/>
      <c r="AV704" s="18"/>
      <c r="AW704" s="18"/>
      <c r="AX704" s="18"/>
      <c r="AY704" s="18"/>
      <c r="AZ704" s="18"/>
      <c r="BA704" s="18">
        <v>1800.5</v>
      </c>
      <c r="BB704" s="18"/>
      <c r="BC704" s="18"/>
      <c r="BD704" s="18"/>
      <c r="BE704" s="18"/>
      <c r="BF704" s="18"/>
      <c r="BG704" s="18"/>
      <c r="BH704" s="18"/>
      <c r="BI704" s="18"/>
      <c r="BJ704" s="18">
        <v>1800.5</v>
      </c>
      <c r="BK704" s="18">
        <v>1800.5</v>
      </c>
    </row>
    <row r="705" spans="14:63" x14ac:dyDescent="0.3">
      <c r="O705" t="s">
        <v>1885</v>
      </c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  <c r="AF705" s="18"/>
      <c r="AG705" s="18"/>
      <c r="AH705" s="18"/>
      <c r="AI705" s="18"/>
      <c r="AJ705" s="18"/>
      <c r="AK705" s="18"/>
      <c r="AL705" s="18"/>
      <c r="AM705" s="18"/>
      <c r="AN705" s="18"/>
      <c r="AO705" s="18"/>
      <c r="AP705" s="18"/>
      <c r="AQ705" s="18"/>
      <c r="AR705" s="18"/>
      <c r="AS705" s="18"/>
      <c r="AT705" s="18"/>
      <c r="AU705" s="18"/>
      <c r="AV705" s="18"/>
      <c r="AW705" s="18"/>
      <c r="AX705" s="18"/>
      <c r="AY705" s="18"/>
      <c r="AZ705" s="18"/>
      <c r="BA705" s="18">
        <v>1738</v>
      </c>
      <c r="BB705" s="18"/>
      <c r="BC705" s="18"/>
      <c r="BD705" s="18"/>
      <c r="BE705" s="18"/>
      <c r="BF705" s="18"/>
      <c r="BG705" s="18"/>
      <c r="BH705" s="18"/>
      <c r="BI705" s="18"/>
      <c r="BJ705" s="18">
        <v>1738</v>
      </c>
      <c r="BK705" s="18">
        <v>1738</v>
      </c>
    </row>
    <row r="706" spans="14:63" x14ac:dyDescent="0.3">
      <c r="O706" t="s">
        <v>1898</v>
      </c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  <c r="AG706" s="18"/>
      <c r="AH706" s="18"/>
      <c r="AI706" s="18"/>
      <c r="AJ706" s="18"/>
      <c r="AK706" s="18"/>
      <c r="AL706" s="18"/>
      <c r="AM706" s="18"/>
      <c r="AN706" s="18"/>
      <c r="AO706" s="18"/>
      <c r="AP706" s="18"/>
      <c r="AQ706" s="18"/>
      <c r="AR706" s="18"/>
      <c r="AS706" s="18"/>
      <c r="AT706" s="18"/>
      <c r="AU706" s="18"/>
      <c r="AV706" s="18"/>
      <c r="AW706" s="18"/>
      <c r="AX706" s="18"/>
      <c r="AY706" s="18"/>
      <c r="AZ706" s="18"/>
      <c r="BA706" s="18">
        <v>3780</v>
      </c>
      <c r="BB706" s="18"/>
      <c r="BC706" s="18"/>
      <c r="BD706" s="18"/>
      <c r="BE706" s="18"/>
      <c r="BF706" s="18"/>
      <c r="BG706" s="18"/>
      <c r="BH706" s="18"/>
      <c r="BI706" s="18"/>
      <c r="BJ706" s="18">
        <v>3780</v>
      </c>
      <c r="BK706" s="18">
        <v>3780</v>
      </c>
    </row>
    <row r="707" spans="14:63" x14ac:dyDescent="0.3">
      <c r="O707" t="s">
        <v>1920</v>
      </c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  <c r="AF707" s="18"/>
      <c r="AG707" s="18"/>
      <c r="AH707" s="18"/>
      <c r="AI707" s="18"/>
      <c r="AJ707" s="18"/>
      <c r="AK707" s="18"/>
      <c r="AL707" s="18"/>
      <c r="AM707" s="18"/>
      <c r="AN707" s="18"/>
      <c r="AO707" s="18"/>
      <c r="AP707" s="18"/>
      <c r="AQ707" s="18"/>
      <c r="AR707" s="18"/>
      <c r="AS707" s="18"/>
      <c r="AT707" s="18"/>
      <c r="AU707" s="18"/>
      <c r="AV707" s="18"/>
      <c r="AW707" s="18"/>
      <c r="AX707" s="18"/>
      <c r="AY707" s="18"/>
      <c r="AZ707" s="18"/>
      <c r="BA707" s="18">
        <v>1235</v>
      </c>
      <c r="BB707" s="18"/>
      <c r="BC707" s="18"/>
      <c r="BD707" s="18"/>
      <c r="BE707" s="18"/>
      <c r="BF707" s="18"/>
      <c r="BG707" s="18"/>
      <c r="BH707" s="18"/>
      <c r="BI707" s="18"/>
      <c r="BJ707" s="18">
        <v>1235</v>
      </c>
      <c r="BK707" s="18">
        <v>1235</v>
      </c>
    </row>
    <row r="708" spans="14:63" x14ac:dyDescent="0.3">
      <c r="O708" t="s">
        <v>1925</v>
      </c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  <c r="AF708" s="18"/>
      <c r="AG708" s="18"/>
      <c r="AH708" s="18"/>
      <c r="AI708" s="18"/>
      <c r="AJ708" s="18"/>
      <c r="AK708" s="18"/>
      <c r="AL708" s="18"/>
      <c r="AM708" s="18"/>
      <c r="AN708" s="18"/>
      <c r="AO708" s="18"/>
      <c r="AP708" s="18"/>
      <c r="AQ708" s="18"/>
      <c r="AR708" s="18"/>
      <c r="AS708" s="18"/>
      <c r="AT708" s="18"/>
      <c r="AU708" s="18"/>
      <c r="AV708" s="18"/>
      <c r="AW708" s="18"/>
      <c r="AX708" s="18"/>
      <c r="AY708" s="18"/>
      <c r="AZ708" s="18"/>
      <c r="BA708" s="18">
        <v>250</v>
      </c>
      <c r="BB708" s="18"/>
      <c r="BC708" s="18"/>
      <c r="BD708" s="18"/>
      <c r="BE708" s="18"/>
      <c r="BF708" s="18"/>
      <c r="BG708" s="18"/>
      <c r="BH708" s="18"/>
      <c r="BI708" s="18"/>
      <c r="BJ708" s="18">
        <v>250</v>
      </c>
      <c r="BK708" s="18">
        <v>250</v>
      </c>
    </row>
    <row r="709" spans="14:63" x14ac:dyDescent="0.3">
      <c r="O709" t="s">
        <v>2009</v>
      </c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  <c r="AB709" s="18"/>
      <c r="AC709" s="18"/>
      <c r="AD709" s="18"/>
      <c r="AE709" s="18"/>
      <c r="AF709" s="18"/>
      <c r="AG709" s="18"/>
      <c r="AH709" s="18"/>
      <c r="AI709" s="18"/>
      <c r="AJ709" s="18"/>
      <c r="AK709" s="18"/>
      <c r="AL709" s="18"/>
      <c r="AM709" s="18"/>
      <c r="AN709" s="18"/>
      <c r="AO709" s="18"/>
      <c r="AP709" s="18"/>
      <c r="AQ709" s="18"/>
      <c r="AR709" s="18"/>
      <c r="AS709" s="18"/>
      <c r="AT709" s="18"/>
      <c r="AU709" s="18"/>
      <c r="AV709" s="18"/>
      <c r="AW709" s="18"/>
      <c r="AX709" s="18"/>
      <c r="AY709" s="18"/>
      <c r="AZ709" s="18"/>
      <c r="BA709" s="18"/>
      <c r="BB709" s="18">
        <v>2045</v>
      </c>
      <c r="BC709" s="18"/>
      <c r="BD709" s="18"/>
      <c r="BE709" s="18"/>
      <c r="BF709" s="18"/>
      <c r="BG709" s="18"/>
      <c r="BH709" s="18"/>
      <c r="BI709" s="18"/>
      <c r="BJ709" s="18">
        <v>2045</v>
      </c>
      <c r="BK709" s="18">
        <v>2045</v>
      </c>
    </row>
    <row r="710" spans="14:63" x14ac:dyDescent="0.3">
      <c r="O710" t="s">
        <v>2036</v>
      </c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  <c r="AE710" s="18"/>
      <c r="AF710" s="18"/>
      <c r="AG710" s="18"/>
      <c r="AH710" s="18"/>
      <c r="AI710" s="18"/>
      <c r="AJ710" s="18"/>
      <c r="AK710" s="18"/>
      <c r="AL710" s="18"/>
      <c r="AM710" s="18"/>
      <c r="AN710" s="18"/>
      <c r="AO710" s="18"/>
      <c r="AP710" s="18"/>
      <c r="AQ710" s="18"/>
      <c r="AR710" s="18"/>
      <c r="AS710" s="18"/>
      <c r="AT710" s="18"/>
      <c r="AU710" s="18"/>
      <c r="AV710" s="18"/>
      <c r="AW710" s="18"/>
      <c r="AX710" s="18"/>
      <c r="AY710" s="18"/>
      <c r="AZ710" s="18"/>
      <c r="BA710" s="18"/>
      <c r="BB710" s="18">
        <v>695</v>
      </c>
      <c r="BC710" s="18"/>
      <c r="BD710" s="18"/>
      <c r="BE710" s="18"/>
      <c r="BF710" s="18"/>
      <c r="BG710" s="18"/>
      <c r="BH710" s="18"/>
      <c r="BI710" s="18"/>
      <c r="BJ710" s="18">
        <v>695</v>
      </c>
      <c r="BK710" s="18">
        <v>695</v>
      </c>
    </row>
    <row r="711" spans="14:63" x14ac:dyDescent="0.3">
      <c r="O711" t="s">
        <v>2100</v>
      </c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8"/>
      <c r="AF711" s="18"/>
      <c r="AG711" s="18"/>
      <c r="AH711" s="18"/>
      <c r="AI711" s="18"/>
      <c r="AJ711" s="18"/>
      <c r="AK711" s="18"/>
      <c r="AL711" s="18"/>
      <c r="AM711" s="18"/>
      <c r="AN711" s="18"/>
      <c r="AO711" s="18"/>
      <c r="AP711" s="18"/>
      <c r="AQ711" s="18"/>
      <c r="AR711" s="18"/>
      <c r="AS711" s="18"/>
      <c r="AT711" s="18"/>
      <c r="AU711" s="18"/>
      <c r="AV711" s="18"/>
      <c r="AW711" s="18"/>
      <c r="AX711" s="18"/>
      <c r="AY711" s="18"/>
      <c r="AZ711" s="18"/>
      <c r="BA711" s="18"/>
      <c r="BB711" s="18"/>
      <c r="BC711" s="18">
        <v>3078</v>
      </c>
      <c r="BD711" s="18"/>
      <c r="BE711" s="18"/>
      <c r="BF711" s="18"/>
      <c r="BG711" s="18"/>
      <c r="BH711" s="18"/>
      <c r="BI711" s="18"/>
      <c r="BJ711" s="18">
        <v>3078</v>
      </c>
      <c r="BK711" s="18">
        <v>3078</v>
      </c>
    </row>
    <row r="712" spans="14:63" x14ac:dyDescent="0.3">
      <c r="N712" s="17" t="s">
        <v>1233</v>
      </c>
      <c r="O712" s="17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  <c r="AA712" s="19"/>
      <c r="AB712" s="19"/>
      <c r="AC712" s="19"/>
      <c r="AD712" s="19"/>
      <c r="AE712" s="19"/>
      <c r="AF712" s="19"/>
      <c r="AG712" s="19"/>
      <c r="AH712" s="19"/>
      <c r="AI712" s="19"/>
      <c r="AJ712" s="19"/>
      <c r="AK712" s="19"/>
      <c r="AL712" s="19"/>
      <c r="AM712" s="19"/>
      <c r="AN712" s="19"/>
      <c r="AO712" s="19"/>
      <c r="AP712" s="19"/>
      <c r="AQ712" s="19"/>
      <c r="AR712" s="19"/>
      <c r="AS712" s="19"/>
      <c r="AT712" s="19"/>
      <c r="AU712" s="19"/>
      <c r="AV712" s="19"/>
      <c r="AW712" s="19"/>
      <c r="AX712" s="19">
        <v>26278.3</v>
      </c>
      <c r="AY712" s="19">
        <v>16786.5</v>
      </c>
      <c r="AZ712" s="19">
        <v>21314.5</v>
      </c>
      <c r="BA712" s="19">
        <v>8803.5</v>
      </c>
      <c r="BB712" s="19">
        <v>2740</v>
      </c>
      <c r="BC712" s="19">
        <v>3078</v>
      </c>
      <c r="BD712" s="19"/>
      <c r="BE712" s="19">
        <v>2917.8</v>
      </c>
      <c r="BF712" s="19">
        <v>10502</v>
      </c>
      <c r="BG712" s="19">
        <v>6592.5</v>
      </c>
      <c r="BH712" s="19">
        <v>10241</v>
      </c>
      <c r="BI712" s="19">
        <v>16093</v>
      </c>
      <c r="BJ712" s="19">
        <v>125347.1</v>
      </c>
      <c r="BK712" s="19">
        <v>125347.1</v>
      </c>
    </row>
    <row r="713" spans="14:63" x14ac:dyDescent="0.3">
      <c r="N713" t="s">
        <v>1454</v>
      </c>
      <c r="O713" t="s">
        <v>227</v>
      </c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  <c r="AE713" s="18">
        <v>10399</v>
      </c>
      <c r="AF713" s="18"/>
      <c r="AG713" s="18"/>
      <c r="AH713" s="18"/>
      <c r="AI713" s="18"/>
      <c r="AJ713" s="18">
        <v>10399</v>
      </c>
      <c r="AK713" s="18"/>
      <c r="AL713" s="18"/>
      <c r="AM713" s="18"/>
      <c r="AN713" s="18"/>
      <c r="AO713" s="18"/>
      <c r="AP713" s="18"/>
      <c r="AQ713" s="18"/>
      <c r="AR713" s="18"/>
      <c r="AS713" s="18"/>
      <c r="AT713" s="18"/>
      <c r="AU713" s="18"/>
      <c r="AV713" s="18"/>
      <c r="AW713" s="18"/>
      <c r="AX713" s="18"/>
      <c r="AY713" s="18"/>
      <c r="AZ713" s="18"/>
      <c r="BA713" s="18"/>
      <c r="BB713" s="18"/>
      <c r="BC713" s="18"/>
      <c r="BD713" s="18"/>
      <c r="BE713" s="18"/>
      <c r="BF713" s="18"/>
      <c r="BG713" s="18"/>
      <c r="BH713" s="18"/>
      <c r="BI713" s="18"/>
      <c r="BJ713" s="18"/>
      <c r="BK713" s="18">
        <v>10399</v>
      </c>
    </row>
    <row r="714" spans="14:63" x14ac:dyDescent="0.3">
      <c r="O714" t="s">
        <v>243</v>
      </c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  <c r="AD714" s="18"/>
      <c r="AE714" s="18">
        <v>49</v>
      </c>
      <c r="AF714" s="18"/>
      <c r="AG714" s="18"/>
      <c r="AH714" s="18"/>
      <c r="AI714" s="18"/>
      <c r="AJ714" s="18">
        <v>49</v>
      </c>
      <c r="AK714" s="18"/>
      <c r="AL714" s="18"/>
      <c r="AM714" s="18"/>
      <c r="AN714" s="18"/>
      <c r="AO714" s="18"/>
      <c r="AP714" s="18"/>
      <c r="AQ714" s="18"/>
      <c r="AR714" s="18"/>
      <c r="AS714" s="18"/>
      <c r="AT714" s="18"/>
      <c r="AU714" s="18"/>
      <c r="AV714" s="18"/>
      <c r="AW714" s="18"/>
      <c r="AX714" s="18"/>
      <c r="AY714" s="18"/>
      <c r="AZ714" s="18"/>
      <c r="BA714" s="18"/>
      <c r="BB714" s="18"/>
      <c r="BC714" s="18"/>
      <c r="BD714" s="18"/>
      <c r="BE714" s="18"/>
      <c r="BF714" s="18"/>
      <c r="BG714" s="18"/>
      <c r="BH714" s="18"/>
      <c r="BI714" s="18"/>
      <c r="BJ714" s="18"/>
      <c r="BK714" s="18">
        <v>49</v>
      </c>
    </row>
    <row r="715" spans="14:63" x14ac:dyDescent="0.3">
      <c r="O715" t="s">
        <v>247</v>
      </c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  <c r="AD715" s="18"/>
      <c r="AE715" s="18">
        <v>3408</v>
      </c>
      <c r="AF715" s="18"/>
      <c r="AG715" s="18"/>
      <c r="AH715" s="18"/>
      <c r="AI715" s="18"/>
      <c r="AJ715" s="18">
        <v>3408</v>
      </c>
      <c r="AK715" s="18"/>
      <c r="AL715" s="18"/>
      <c r="AM715" s="18"/>
      <c r="AN715" s="18"/>
      <c r="AO715" s="18"/>
      <c r="AP715" s="18"/>
      <c r="AQ715" s="18"/>
      <c r="AR715" s="18"/>
      <c r="AS715" s="18"/>
      <c r="AT715" s="18"/>
      <c r="AU715" s="18"/>
      <c r="AV715" s="18"/>
      <c r="AW715" s="18"/>
      <c r="AX715" s="18"/>
      <c r="AY715" s="18"/>
      <c r="AZ715" s="18"/>
      <c r="BA715" s="18"/>
      <c r="BB715" s="18"/>
      <c r="BC715" s="18"/>
      <c r="BD715" s="18"/>
      <c r="BE715" s="18"/>
      <c r="BF715" s="18"/>
      <c r="BG715" s="18"/>
      <c r="BH715" s="18"/>
      <c r="BI715" s="18"/>
      <c r="BJ715" s="18"/>
      <c r="BK715" s="18">
        <v>3408</v>
      </c>
    </row>
    <row r="716" spans="14:63" x14ac:dyDescent="0.3">
      <c r="O716" t="s">
        <v>266</v>
      </c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  <c r="AE716" s="18"/>
      <c r="AF716" s="18">
        <v>3198</v>
      </c>
      <c r="AG716" s="18"/>
      <c r="AH716" s="18"/>
      <c r="AI716" s="18"/>
      <c r="AJ716" s="18">
        <v>3198</v>
      </c>
      <c r="AK716" s="18"/>
      <c r="AL716" s="18"/>
      <c r="AM716" s="18"/>
      <c r="AN716" s="18"/>
      <c r="AO716" s="18"/>
      <c r="AP716" s="18"/>
      <c r="AQ716" s="18"/>
      <c r="AR716" s="18"/>
      <c r="AS716" s="18"/>
      <c r="AT716" s="18"/>
      <c r="AU716" s="18"/>
      <c r="AV716" s="18"/>
      <c r="AW716" s="18"/>
      <c r="AX716" s="18"/>
      <c r="AY716" s="18"/>
      <c r="AZ716" s="18"/>
      <c r="BA716" s="18"/>
      <c r="BB716" s="18"/>
      <c r="BC716" s="18"/>
      <c r="BD716" s="18"/>
      <c r="BE716" s="18"/>
      <c r="BF716" s="18"/>
      <c r="BG716" s="18"/>
      <c r="BH716" s="18"/>
      <c r="BI716" s="18"/>
      <c r="BJ716" s="18"/>
      <c r="BK716" s="18">
        <v>3198</v>
      </c>
    </row>
    <row r="717" spans="14:63" x14ac:dyDescent="0.3">
      <c r="O717" t="s">
        <v>318</v>
      </c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  <c r="AE717" s="18"/>
      <c r="AF717" s="18"/>
      <c r="AG717" s="18"/>
      <c r="AH717" s="18"/>
      <c r="AI717" s="18">
        <v>3959</v>
      </c>
      <c r="AJ717" s="18">
        <v>3959</v>
      </c>
      <c r="AK717" s="18"/>
      <c r="AL717" s="18"/>
      <c r="AM717" s="18"/>
      <c r="AN717" s="18"/>
      <c r="AO717" s="18"/>
      <c r="AP717" s="18"/>
      <c r="AQ717" s="18"/>
      <c r="AR717" s="18"/>
      <c r="AS717" s="18"/>
      <c r="AT717" s="18"/>
      <c r="AU717" s="18"/>
      <c r="AV717" s="18"/>
      <c r="AW717" s="18"/>
      <c r="AX717" s="18"/>
      <c r="AY717" s="18"/>
      <c r="AZ717" s="18"/>
      <c r="BA717" s="18"/>
      <c r="BB717" s="18"/>
      <c r="BC717" s="18"/>
      <c r="BD717" s="18"/>
      <c r="BE717" s="18"/>
      <c r="BF717" s="18"/>
      <c r="BG717" s="18"/>
      <c r="BH717" s="18"/>
      <c r="BI717" s="18"/>
      <c r="BJ717" s="18"/>
      <c r="BK717" s="18">
        <v>3959</v>
      </c>
    </row>
    <row r="718" spans="14:63" x14ac:dyDescent="0.3">
      <c r="O718" t="s">
        <v>411</v>
      </c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>
        <v>205</v>
      </c>
      <c r="AC718" s="18"/>
      <c r="AD718" s="18"/>
      <c r="AE718" s="18"/>
      <c r="AF718" s="18"/>
      <c r="AG718" s="18"/>
      <c r="AH718" s="18"/>
      <c r="AI718" s="18"/>
      <c r="AJ718" s="18">
        <v>205</v>
      </c>
      <c r="AK718" s="18"/>
      <c r="AL718" s="18"/>
      <c r="AM718" s="18"/>
      <c r="AN718" s="18"/>
      <c r="AO718" s="18"/>
      <c r="AP718" s="18"/>
      <c r="AQ718" s="18"/>
      <c r="AR718" s="18"/>
      <c r="AS718" s="18"/>
      <c r="AT718" s="18"/>
      <c r="AU718" s="18"/>
      <c r="AV718" s="18"/>
      <c r="AW718" s="18"/>
      <c r="AX718" s="18"/>
      <c r="AY718" s="18"/>
      <c r="AZ718" s="18"/>
      <c r="BA718" s="18"/>
      <c r="BB718" s="18"/>
      <c r="BC718" s="18"/>
      <c r="BD718" s="18"/>
      <c r="BE718" s="18"/>
      <c r="BF718" s="18"/>
      <c r="BG718" s="18"/>
      <c r="BH718" s="18"/>
      <c r="BI718" s="18"/>
      <c r="BJ718" s="18"/>
      <c r="BK718" s="18">
        <v>205</v>
      </c>
    </row>
    <row r="719" spans="14:63" x14ac:dyDescent="0.3">
      <c r="O719" t="s">
        <v>503</v>
      </c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  <c r="AD719" s="18">
        <v>5175.3999999999996</v>
      </c>
      <c r="AE719" s="18"/>
      <c r="AF719" s="18"/>
      <c r="AG719" s="18"/>
      <c r="AH719" s="18"/>
      <c r="AI719" s="18"/>
      <c r="AJ719" s="18">
        <v>5175.3999999999996</v>
      </c>
      <c r="AK719" s="18"/>
      <c r="AL719" s="18"/>
      <c r="AM719" s="18"/>
      <c r="AN719" s="18"/>
      <c r="AO719" s="18"/>
      <c r="AP719" s="18"/>
      <c r="AQ719" s="18"/>
      <c r="AR719" s="18"/>
      <c r="AS719" s="18"/>
      <c r="AT719" s="18"/>
      <c r="AU719" s="18"/>
      <c r="AV719" s="18"/>
      <c r="AW719" s="18"/>
      <c r="AX719" s="18"/>
      <c r="AY719" s="18"/>
      <c r="AZ719" s="18"/>
      <c r="BA719" s="18"/>
      <c r="BB719" s="18"/>
      <c r="BC719" s="18"/>
      <c r="BD719" s="18"/>
      <c r="BE719" s="18"/>
      <c r="BF719" s="18"/>
      <c r="BG719" s="18"/>
      <c r="BH719" s="18"/>
      <c r="BI719" s="18"/>
      <c r="BJ719" s="18"/>
      <c r="BK719" s="18">
        <v>5175.3999999999996</v>
      </c>
    </row>
    <row r="720" spans="14:63" x14ac:dyDescent="0.3">
      <c r="O720" t="s">
        <v>1455</v>
      </c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  <c r="AE720" s="18"/>
      <c r="AF720" s="18"/>
      <c r="AG720" s="18"/>
      <c r="AH720" s="18"/>
      <c r="AI720" s="18"/>
      <c r="AJ720" s="18"/>
      <c r="AK720" s="18"/>
      <c r="AL720" s="18"/>
      <c r="AM720" s="18"/>
      <c r="AN720" s="18"/>
      <c r="AO720" s="18"/>
      <c r="AP720" s="18"/>
      <c r="AQ720" s="18"/>
      <c r="AR720" s="18"/>
      <c r="AS720" s="18"/>
      <c r="AT720" s="18"/>
      <c r="AU720" s="18"/>
      <c r="AV720" s="18"/>
      <c r="AW720" s="18"/>
      <c r="AX720" s="18"/>
      <c r="AY720" s="18"/>
      <c r="AZ720" s="18"/>
      <c r="BA720" s="18"/>
      <c r="BB720" s="18"/>
      <c r="BC720" s="18"/>
      <c r="BD720" s="18"/>
      <c r="BE720" s="18"/>
      <c r="BF720" s="18"/>
      <c r="BG720" s="18"/>
      <c r="BH720" s="18">
        <v>14279.599999999999</v>
      </c>
      <c r="BI720" s="18"/>
      <c r="BJ720" s="18">
        <v>14279.599999999999</v>
      </c>
      <c r="BK720" s="18">
        <v>14279.599999999999</v>
      </c>
    </row>
    <row r="721" spans="14:63" x14ac:dyDescent="0.3">
      <c r="O721" t="s">
        <v>1552</v>
      </c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  <c r="AE721" s="18"/>
      <c r="AF721" s="18"/>
      <c r="AG721" s="18"/>
      <c r="AH721" s="18"/>
      <c r="AI721" s="18"/>
      <c r="AJ721" s="18"/>
      <c r="AK721" s="18"/>
      <c r="AL721" s="18"/>
      <c r="AM721" s="18"/>
      <c r="AN721" s="18"/>
      <c r="AO721" s="18"/>
      <c r="AP721" s="18"/>
      <c r="AQ721" s="18"/>
      <c r="AR721" s="18"/>
      <c r="AS721" s="18"/>
      <c r="AT721" s="18"/>
      <c r="AU721" s="18"/>
      <c r="AV721" s="18"/>
      <c r="AW721" s="18"/>
      <c r="AX721" s="18"/>
      <c r="AY721" s="18"/>
      <c r="AZ721" s="18"/>
      <c r="BA721" s="18"/>
      <c r="BB721" s="18"/>
      <c r="BC721" s="18"/>
      <c r="BD721" s="18"/>
      <c r="BE721" s="18"/>
      <c r="BF721" s="18"/>
      <c r="BG721" s="18"/>
      <c r="BH721" s="18"/>
      <c r="BI721" s="18">
        <v>15706.8</v>
      </c>
      <c r="BJ721" s="18">
        <v>15706.8</v>
      </c>
      <c r="BK721" s="18">
        <v>15706.8</v>
      </c>
    </row>
    <row r="722" spans="14:63" x14ac:dyDescent="0.3">
      <c r="O722" t="s">
        <v>1636</v>
      </c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  <c r="AE722" s="18"/>
      <c r="AF722" s="18"/>
      <c r="AG722" s="18"/>
      <c r="AH722" s="18"/>
      <c r="AI722" s="18"/>
      <c r="AJ722" s="18"/>
      <c r="AK722" s="18"/>
      <c r="AL722" s="18"/>
      <c r="AM722" s="18"/>
      <c r="AN722" s="18"/>
      <c r="AO722" s="18"/>
      <c r="AP722" s="18"/>
      <c r="AQ722" s="18"/>
      <c r="AR722" s="18"/>
      <c r="AS722" s="18"/>
      <c r="AT722" s="18"/>
      <c r="AU722" s="18"/>
      <c r="AV722" s="18"/>
      <c r="AW722" s="18"/>
      <c r="AX722" s="18">
        <v>35991.4</v>
      </c>
      <c r="AY722" s="18"/>
      <c r="AZ722" s="18"/>
      <c r="BA722" s="18"/>
      <c r="BB722" s="18"/>
      <c r="BC722" s="18"/>
      <c r="BD722" s="18"/>
      <c r="BE722" s="18"/>
      <c r="BF722" s="18"/>
      <c r="BG722" s="18"/>
      <c r="BH722" s="18"/>
      <c r="BI722" s="18"/>
      <c r="BJ722" s="18">
        <v>35991.4</v>
      </c>
      <c r="BK722" s="18">
        <v>35991.4</v>
      </c>
    </row>
    <row r="723" spans="14:63" x14ac:dyDescent="0.3">
      <c r="O723" t="s">
        <v>1653</v>
      </c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  <c r="AC723" s="18"/>
      <c r="AD723" s="18"/>
      <c r="AE723" s="18"/>
      <c r="AF723" s="18"/>
      <c r="AG723" s="18"/>
      <c r="AH723" s="18"/>
      <c r="AI723" s="18"/>
      <c r="AJ723" s="18"/>
      <c r="AK723" s="18"/>
      <c r="AL723" s="18"/>
      <c r="AM723" s="18"/>
      <c r="AN723" s="18"/>
      <c r="AO723" s="18"/>
      <c r="AP723" s="18"/>
      <c r="AQ723" s="18"/>
      <c r="AR723" s="18"/>
      <c r="AS723" s="18"/>
      <c r="AT723" s="18"/>
      <c r="AU723" s="18"/>
      <c r="AV723" s="18"/>
      <c r="AW723" s="18"/>
      <c r="AX723" s="18">
        <v>2820.5</v>
      </c>
      <c r="AY723" s="18"/>
      <c r="AZ723" s="18"/>
      <c r="BA723" s="18"/>
      <c r="BB723" s="18"/>
      <c r="BC723" s="18"/>
      <c r="BD723" s="18"/>
      <c r="BE723" s="18"/>
      <c r="BF723" s="18"/>
      <c r="BG723" s="18"/>
      <c r="BH723" s="18"/>
      <c r="BI723" s="18"/>
      <c r="BJ723" s="18">
        <v>2820.5</v>
      </c>
      <c r="BK723" s="18">
        <v>2820.5</v>
      </c>
    </row>
    <row r="724" spans="14:63" x14ac:dyDescent="0.3">
      <c r="O724" t="s">
        <v>1748</v>
      </c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  <c r="AE724" s="18"/>
      <c r="AF724" s="18"/>
      <c r="AG724" s="18"/>
      <c r="AH724" s="18"/>
      <c r="AI724" s="18"/>
      <c r="AJ724" s="18"/>
      <c r="AK724" s="18"/>
      <c r="AL724" s="18"/>
      <c r="AM724" s="18"/>
      <c r="AN724" s="18"/>
      <c r="AO724" s="18"/>
      <c r="AP724" s="18"/>
      <c r="AQ724" s="18"/>
      <c r="AR724" s="18"/>
      <c r="AS724" s="18"/>
      <c r="AT724" s="18"/>
      <c r="AU724" s="18"/>
      <c r="AV724" s="18"/>
      <c r="AW724" s="18"/>
      <c r="AX724" s="18"/>
      <c r="AY724" s="18">
        <v>20583.400000000001</v>
      </c>
      <c r="AZ724" s="18"/>
      <c r="BA724" s="18"/>
      <c r="BB724" s="18"/>
      <c r="BC724" s="18"/>
      <c r="BD724" s="18"/>
      <c r="BE724" s="18"/>
      <c r="BF724" s="18"/>
      <c r="BG724" s="18"/>
      <c r="BH724" s="18"/>
      <c r="BI724" s="18"/>
      <c r="BJ724" s="18">
        <v>20583.400000000001</v>
      </c>
      <c r="BK724" s="18">
        <v>20583.400000000001</v>
      </c>
    </row>
    <row r="725" spans="14:63" x14ac:dyDescent="0.3">
      <c r="O725" t="s">
        <v>1881</v>
      </c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  <c r="AG725" s="18"/>
      <c r="AH725" s="18"/>
      <c r="AI725" s="18"/>
      <c r="AJ725" s="18"/>
      <c r="AK725" s="18"/>
      <c r="AL725" s="18"/>
      <c r="AM725" s="18"/>
      <c r="AN725" s="18"/>
      <c r="AO725" s="18"/>
      <c r="AP725" s="18"/>
      <c r="AQ725" s="18"/>
      <c r="AR725" s="18"/>
      <c r="AS725" s="18"/>
      <c r="AT725" s="18"/>
      <c r="AU725" s="18"/>
      <c r="AV725" s="18"/>
      <c r="AW725" s="18"/>
      <c r="AX725" s="18"/>
      <c r="AY725" s="18"/>
      <c r="AZ725" s="18"/>
      <c r="BA725" s="18">
        <v>15781.400000000001</v>
      </c>
      <c r="BB725" s="18"/>
      <c r="BC725" s="18"/>
      <c r="BD725" s="18"/>
      <c r="BE725" s="18"/>
      <c r="BF725" s="18"/>
      <c r="BG725" s="18"/>
      <c r="BH725" s="18"/>
      <c r="BI725" s="18"/>
      <c r="BJ725" s="18">
        <v>15781.400000000001</v>
      </c>
      <c r="BK725" s="18">
        <v>15781.400000000001</v>
      </c>
    </row>
    <row r="726" spans="14:63" x14ac:dyDescent="0.3">
      <c r="O726" t="s">
        <v>1910</v>
      </c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  <c r="AE726" s="18"/>
      <c r="AF726" s="18"/>
      <c r="AG726" s="18"/>
      <c r="AH726" s="18"/>
      <c r="AI726" s="18"/>
      <c r="AJ726" s="18"/>
      <c r="AK726" s="18"/>
      <c r="AL726" s="18"/>
      <c r="AM726" s="18"/>
      <c r="AN726" s="18"/>
      <c r="AO726" s="18"/>
      <c r="AP726" s="18"/>
      <c r="AQ726" s="18"/>
      <c r="AR726" s="18"/>
      <c r="AS726" s="18"/>
      <c r="AT726" s="18"/>
      <c r="AU726" s="18"/>
      <c r="AV726" s="18"/>
      <c r="AW726" s="18"/>
      <c r="AX726" s="18"/>
      <c r="AY726" s="18"/>
      <c r="AZ726" s="18"/>
      <c r="BA726" s="18">
        <v>560</v>
      </c>
      <c r="BB726" s="18"/>
      <c r="BC726" s="18"/>
      <c r="BD726" s="18"/>
      <c r="BE726" s="18"/>
      <c r="BF726" s="18"/>
      <c r="BG726" s="18"/>
      <c r="BH726" s="18"/>
      <c r="BI726" s="18"/>
      <c r="BJ726" s="18">
        <v>560</v>
      </c>
      <c r="BK726" s="18">
        <v>560</v>
      </c>
    </row>
    <row r="727" spans="14:63" x14ac:dyDescent="0.3">
      <c r="O727" t="s">
        <v>1992</v>
      </c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  <c r="AE727" s="18"/>
      <c r="AF727" s="18"/>
      <c r="AG727" s="18"/>
      <c r="AH727" s="18"/>
      <c r="AI727" s="18"/>
      <c r="AJ727" s="18"/>
      <c r="AK727" s="18"/>
      <c r="AL727" s="18"/>
      <c r="AM727" s="18"/>
      <c r="AN727" s="18"/>
      <c r="AO727" s="18"/>
      <c r="AP727" s="18"/>
      <c r="AQ727" s="18"/>
      <c r="AR727" s="18"/>
      <c r="AS727" s="18"/>
      <c r="AT727" s="18"/>
      <c r="AU727" s="18"/>
      <c r="AV727" s="18"/>
      <c r="AW727" s="18"/>
      <c r="AX727" s="18"/>
      <c r="AY727" s="18"/>
      <c r="AZ727" s="18"/>
      <c r="BA727" s="18"/>
      <c r="BB727" s="18">
        <v>1612</v>
      </c>
      <c r="BC727" s="18"/>
      <c r="BD727" s="18"/>
      <c r="BE727" s="18"/>
      <c r="BF727" s="18"/>
      <c r="BG727" s="18"/>
      <c r="BH727" s="18"/>
      <c r="BI727" s="18"/>
      <c r="BJ727" s="18">
        <v>1612</v>
      </c>
      <c r="BK727" s="18">
        <v>1612</v>
      </c>
    </row>
    <row r="728" spans="14:63" x14ac:dyDescent="0.3">
      <c r="O728" t="s">
        <v>2097</v>
      </c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  <c r="AG728" s="18"/>
      <c r="AH728" s="18"/>
      <c r="AI728" s="18"/>
      <c r="AJ728" s="18"/>
      <c r="AK728" s="18"/>
      <c r="AL728" s="18"/>
      <c r="AM728" s="18"/>
      <c r="AN728" s="18"/>
      <c r="AO728" s="18"/>
      <c r="AP728" s="18"/>
      <c r="AQ728" s="18"/>
      <c r="AR728" s="18"/>
      <c r="AS728" s="18"/>
      <c r="AT728" s="18"/>
      <c r="AU728" s="18"/>
      <c r="AV728" s="18"/>
      <c r="AW728" s="18"/>
      <c r="AX728" s="18"/>
      <c r="AY728" s="18"/>
      <c r="AZ728" s="18"/>
      <c r="BA728" s="18"/>
      <c r="BB728" s="18"/>
      <c r="BC728" s="18">
        <v>3731.7999999999997</v>
      </c>
      <c r="BD728" s="18"/>
      <c r="BE728" s="18"/>
      <c r="BF728" s="18"/>
      <c r="BG728" s="18"/>
      <c r="BH728" s="18"/>
      <c r="BI728" s="18"/>
      <c r="BJ728" s="18">
        <v>3731.7999999999997</v>
      </c>
      <c r="BK728" s="18">
        <v>3731.7999999999997</v>
      </c>
    </row>
    <row r="729" spans="14:63" x14ac:dyDescent="0.3">
      <c r="N729" s="17" t="s">
        <v>1529</v>
      </c>
      <c r="O729" s="17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  <c r="AA729" s="19"/>
      <c r="AB729" s="19">
        <v>205</v>
      </c>
      <c r="AC729" s="19"/>
      <c r="AD729" s="19">
        <v>5175.3999999999996</v>
      </c>
      <c r="AE729" s="19">
        <v>13856</v>
      </c>
      <c r="AF729" s="19">
        <v>3198</v>
      </c>
      <c r="AG729" s="19"/>
      <c r="AH729" s="19"/>
      <c r="AI729" s="19">
        <v>3959</v>
      </c>
      <c r="AJ729" s="19">
        <v>26393.4</v>
      </c>
      <c r="AK729" s="19"/>
      <c r="AL729" s="19"/>
      <c r="AM729" s="19"/>
      <c r="AN729" s="19"/>
      <c r="AO729" s="19"/>
      <c r="AP729" s="19"/>
      <c r="AQ729" s="19"/>
      <c r="AR729" s="19"/>
      <c r="AS729" s="19"/>
      <c r="AT729" s="19"/>
      <c r="AU729" s="19"/>
      <c r="AV729" s="19"/>
      <c r="AW729" s="19"/>
      <c r="AX729" s="19">
        <v>38811.9</v>
      </c>
      <c r="AY729" s="19">
        <v>20583.400000000001</v>
      </c>
      <c r="AZ729" s="19"/>
      <c r="BA729" s="19">
        <v>16341.400000000001</v>
      </c>
      <c r="BB729" s="19">
        <v>1612</v>
      </c>
      <c r="BC729" s="19">
        <v>3731.7999999999997</v>
      </c>
      <c r="BD729" s="19"/>
      <c r="BE729" s="19"/>
      <c r="BF729" s="19"/>
      <c r="BG729" s="19"/>
      <c r="BH729" s="19">
        <v>14279.599999999999</v>
      </c>
      <c r="BI729" s="19">
        <v>15706.8</v>
      </c>
      <c r="BJ729" s="19">
        <v>111066.90000000001</v>
      </c>
      <c r="BK729" s="19">
        <v>137460.29999999999</v>
      </c>
    </row>
    <row r="730" spans="14:63" x14ac:dyDescent="0.3">
      <c r="N730" t="s">
        <v>1698</v>
      </c>
      <c r="O730" t="s">
        <v>364</v>
      </c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>
        <v>855</v>
      </c>
      <c r="AB730" s="18"/>
      <c r="AC730" s="18"/>
      <c r="AD730" s="18"/>
      <c r="AE730" s="18"/>
      <c r="AF730" s="18"/>
      <c r="AG730" s="18"/>
      <c r="AH730" s="18"/>
      <c r="AI730" s="18"/>
      <c r="AJ730" s="18">
        <v>855</v>
      </c>
      <c r="AK730" s="18"/>
      <c r="AL730" s="18"/>
      <c r="AM730" s="18"/>
      <c r="AN730" s="18"/>
      <c r="AO730" s="18"/>
      <c r="AP730" s="18"/>
      <c r="AQ730" s="18"/>
      <c r="AR730" s="18"/>
      <c r="AS730" s="18"/>
      <c r="AT730" s="18"/>
      <c r="AU730" s="18"/>
      <c r="AV730" s="18"/>
      <c r="AW730" s="18"/>
      <c r="AX730" s="18"/>
      <c r="AY730" s="18"/>
      <c r="AZ730" s="18"/>
      <c r="BA730" s="18"/>
      <c r="BB730" s="18"/>
      <c r="BC730" s="18"/>
      <c r="BD730" s="18"/>
      <c r="BE730" s="18"/>
      <c r="BF730" s="18"/>
      <c r="BG730" s="18"/>
      <c r="BH730" s="18"/>
      <c r="BI730" s="18"/>
      <c r="BJ730" s="18"/>
      <c r="BK730" s="18">
        <v>855</v>
      </c>
    </row>
    <row r="731" spans="14:63" x14ac:dyDescent="0.3">
      <c r="N731" s="17" t="s">
        <v>1790</v>
      </c>
      <c r="O731" s="17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  <c r="AA731" s="19">
        <v>855</v>
      </c>
      <c r="AB731" s="19"/>
      <c r="AC731" s="19"/>
      <c r="AD731" s="19"/>
      <c r="AE731" s="19"/>
      <c r="AF731" s="19"/>
      <c r="AG731" s="19"/>
      <c r="AH731" s="19"/>
      <c r="AI731" s="19"/>
      <c r="AJ731" s="19">
        <v>855</v>
      </c>
      <c r="AK731" s="19"/>
      <c r="AL731" s="19"/>
      <c r="AM731" s="19"/>
      <c r="AN731" s="19"/>
      <c r="AO731" s="19"/>
      <c r="AP731" s="19"/>
      <c r="AQ731" s="19"/>
      <c r="AR731" s="19"/>
      <c r="AS731" s="19"/>
      <c r="AT731" s="19"/>
      <c r="AU731" s="19"/>
      <c r="AV731" s="19"/>
      <c r="AW731" s="19"/>
      <c r="AX731" s="19"/>
      <c r="AY731" s="19"/>
      <c r="AZ731" s="19"/>
      <c r="BA731" s="19"/>
      <c r="BB731" s="19"/>
      <c r="BC731" s="19"/>
      <c r="BD731" s="19"/>
      <c r="BE731" s="19"/>
      <c r="BF731" s="19"/>
      <c r="BG731" s="19"/>
      <c r="BH731" s="19"/>
      <c r="BI731" s="19"/>
      <c r="BJ731" s="19"/>
      <c r="BK731" s="19">
        <v>855</v>
      </c>
    </row>
    <row r="732" spans="14:63" x14ac:dyDescent="0.3">
      <c r="N732" t="s">
        <v>1258</v>
      </c>
      <c r="O732" t="s">
        <v>1263</v>
      </c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  <c r="AF732" s="18"/>
      <c r="AG732" s="18"/>
      <c r="AH732" s="18"/>
      <c r="AI732" s="18"/>
      <c r="AJ732" s="18"/>
      <c r="AK732" s="18"/>
      <c r="AL732" s="18"/>
      <c r="AM732" s="18"/>
      <c r="AN732" s="18"/>
      <c r="AO732" s="18"/>
      <c r="AP732" s="18"/>
      <c r="AQ732" s="18"/>
      <c r="AR732" s="18"/>
      <c r="AS732" s="18"/>
      <c r="AT732" s="18"/>
      <c r="AU732" s="18"/>
      <c r="AV732" s="18"/>
      <c r="AW732" s="18"/>
      <c r="AX732" s="18"/>
      <c r="AY732" s="18"/>
      <c r="AZ732" s="18"/>
      <c r="BA732" s="18"/>
      <c r="BB732" s="18"/>
      <c r="BC732" s="18"/>
      <c r="BD732" s="18"/>
      <c r="BE732" s="18"/>
      <c r="BF732" s="18">
        <v>861</v>
      </c>
      <c r="BG732" s="18"/>
      <c r="BH732" s="18"/>
      <c r="BI732" s="18"/>
      <c r="BJ732" s="18">
        <v>861</v>
      </c>
      <c r="BK732" s="18">
        <v>861</v>
      </c>
    </row>
    <row r="733" spans="14:63" x14ac:dyDescent="0.3">
      <c r="O733" t="s">
        <v>1396</v>
      </c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  <c r="AG733" s="18"/>
      <c r="AH733" s="18"/>
      <c r="AI733" s="18"/>
      <c r="AJ733" s="18"/>
      <c r="AK733" s="18"/>
      <c r="AL733" s="18"/>
      <c r="AM733" s="18"/>
      <c r="AN733" s="18"/>
      <c r="AO733" s="18"/>
      <c r="AP733" s="18"/>
      <c r="AQ733" s="18"/>
      <c r="AR733" s="18"/>
      <c r="AS733" s="18"/>
      <c r="AT733" s="18"/>
      <c r="AU733" s="18"/>
      <c r="AV733" s="18"/>
      <c r="AW733" s="18"/>
      <c r="AX733" s="18"/>
      <c r="AY733" s="18"/>
      <c r="AZ733" s="18"/>
      <c r="BA733" s="18"/>
      <c r="BB733" s="18"/>
      <c r="BC733" s="18"/>
      <c r="BD733" s="18"/>
      <c r="BE733" s="18"/>
      <c r="BF733" s="18"/>
      <c r="BG733" s="18"/>
      <c r="BH733" s="18">
        <v>452</v>
      </c>
      <c r="BI733" s="18"/>
      <c r="BJ733" s="18">
        <v>452</v>
      </c>
      <c r="BK733" s="18">
        <v>452</v>
      </c>
    </row>
    <row r="734" spans="14:63" x14ac:dyDescent="0.3">
      <c r="N734" s="17" t="s">
        <v>1388</v>
      </c>
      <c r="O734" s="17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  <c r="AA734" s="19"/>
      <c r="AB734" s="19"/>
      <c r="AC734" s="19"/>
      <c r="AD734" s="19"/>
      <c r="AE734" s="19"/>
      <c r="AF734" s="19"/>
      <c r="AG734" s="19"/>
      <c r="AH734" s="19"/>
      <c r="AI734" s="19"/>
      <c r="AJ734" s="19"/>
      <c r="AK734" s="19"/>
      <c r="AL734" s="19"/>
      <c r="AM734" s="19"/>
      <c r="AN734" s="19"/>
      <c r="AO734" s="19"/>
      <c r="AP734" s="19"/>
      <c r="AQ734" s="19"/>
      <c r="AR734" s="19"/>
      <c r="AS734" s="19"/>
      <c r="AT734" s="19"/>
      <c r="AU734" s="19"/>
      <c r="AV734" s="19"/>
      <c r="AW734" s="19"/>
      <c r="AX734" s="19"/>
      <c r="AY734" s="19"/>
      <c r="AZ734" s="19"/>
      <c r="BA734" s="19"/>
      <c r="BB734" s="19"/>
      <c r="BC734" s="19"/>
      <c r="BD734" s="19"/>
      <c r="BE734" s="19"/>
      <c r="BF734" s="19">
        <v>861</v>
      </c>
      <c r="BG734" s="19"/>
      <c r="BH734" s="19">
        <v>452</v>
      </c>
      <c r="BI734" s="19"/>
      <c r="BJ734" s="19">
        <v>1313</v>
      </c>
      <c r="BK734" s="19">
        <v>1313</v>
      </c>
    </row>
    <row r="735" spans="14:63" x14ac:dyDescent="0.3">
      <c r="N735" t="s">
        <v>1305</v>
      </c>
      <c r="O735" t="s">
        <v>1307</v>
      </c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G735" s="18"/>
      <c r="AH735" s="18"/>
      <c r="AI735" s="18"/>
      <c r="AJ735" s="18"/>
      <c r="AK735" s="18"/>
      <c r="AL735" s="18"/>
      <c r="AM735" s="18"/>
      <c r="AN735" s="18"/>
      <c r="AO735" s="18"/>
      <c r="AP735" s="18"/>
      <c r="AQ735" s="18"/>
      <c r="AR735" s="18"/>
      <c r="AS735" s="18"/>
      <c r="AT735" s="18"/>
      <c r="AU735" s="18"/>
      <c r="AV735" s="18"/>
      <c r="AW735" s="18"/>
      <c r="AX735" s="18"/>
      <c r="AY735" s="18"/>
      <c r="AZ735" s="18"/>
      <c r="BA735" s="18"/>
      <c r="BB735" s="18"/>
      <c r="BC735" s="18"/>
      <c r="BD735" s="18"/>
      <c r="BE735" s="18"/>
      <c r="BF735" s="18"/>
      <c r="BG735" s="18">
        <v>366</v>
      </c>
      <c r="BH735" s="18"/>
      <c r="BI735" s="18"/>
      <c r="BJ735" s="18">
        <v>366</v>
      </c>
      <c r="BK735" s="18">
        <v>366</v>
      </c>
    </row>
    <row r="736" spans="14:63" x14ac:dyDescent="0.3">
      <c r="O736" t="s">
        <v>1314</v>
      </c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  <c r="AF736" s="18"/>
      <c r="AG736" s="18"/>
      <c r="AH736" s="18"/>
      <c r="AI736" s="18"/>
      <c r="AJ736" s="18"/>
      <c r="AK736" s="18"/>
      <c r="AL736" s="18"/>
      <c r="AM736" s="18"/>
      <c r="AN736" s="18"/>
      <c r="AO736" s="18"/>
      <c r="AP736" s="18"/>
      <c r="AQ736" s="18"/>
      <c r="AR736" s="18"/>
      <c r="AS736" s="18"/>
      <c r="AT736" s="18"/>
      <c r="AU736" s="18"/>
      <c r="AV736" s="18"/>
      <c r="AW736" s="18"/>
      <c r="AX736" s="18"/>
      <c r="AY736" s="18"/>
      <c r="AZ736" s="18"/>
      <c r="BA736" s="18"/>
      <c r="BB736" s="18"/>
      <c r="BC736" s="18"/>
      <c r="BD736" s="18"/>
      <c r="BE736" s="18"/>
      <c r="BF736" s="18"/>
      <c r="BG736" s="18">
        <v>1425</v>
      </c>
      <c r="BH736" s="18"/>
      <c r="BI736" s="18"/>
      <c r="BJ736" s="18">
        <v>1425</v>
      </c>
      <c r="BK736" s="18">
        <v>1425</v>
      </c>
    </row>
    <row r="737" spans="14:63" x14ac:dyDescent="0.3">
      <c r="N737" s="17" t="s">
        <v>1389</v>
      </c>
      <c r="O737" s="17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  <c r="AA737" s="19"/>
      <c r="AB737" s="19"/>
      <c r="AC737" s="19"/>
      <c r="AD737" s="19"/>
      <c r="AE737" s="19"/>
      <c r="AF737" s="19"/>
      <c r="AG737" s="19"/>
      <c r="AH737" s="19"/>
      <c r="AI737" s="19"/>
      <c r="AJ737" s="19"/>
      <c r="AK737" s="19"/>
      <c r="AL737" s="19"/>
      <c r="AM737" s="19"/>
      <c r="AN737" s="19"/>
      <c r="AO737" s="19"/>
      <c r="AP737" s="19"/>
      <c r="AQ737" s="19"/>
      <c r="AR737" s="19"/>
      <c r="AS737" s="19"/>
      <c r="AT737" s="19"/>
      <c r="AU737" s="19"/>
      <c r="AV737" s="19"/>
      <c r="AW737" s="19"/>
      <c r="AX737" s="19"/>
      <c r="AY737" s="19"/>
      <c r="AZ737" s="19"/>
      <c r="BA737" s="19"/>
      <c r="BB737" s="19"/>
      <c r="BC737" s="19"/>
      <c r="BD737" s="19"/>
      <c r="BE737" s="19"/>
      <c r="BF737" s="19"/>
      <c r="BG737" s="19">
        <v>1791</v>
      </c>
      <c r="BH737" s="19"/>
      <c r="BI737" s="19"/>
      <c r="BJ737" s="19">
        <v>1791</v>
      </c>
      <c r="BK737" s="19">
        <v>1791</v>
      </c>
    </row>
    <row r="738" spans="14:63" x14ac:dyDescent="0.3">
      <c r="N738" t="s">
        <v>1310</v>
      </c>
      <c r="O738" t="s">
        <v>1313</v>
      </c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  <c r="AF738" s="18"/>
      <c r="AG738" s="18"/>
      <c r="AH738" s="18"/>
      <c r="AI738" s="18"/>
      <c r="AJ738" s="18"/>
      <c r="AK738" s="18"/>
      <c r="AL738" s="18"/>
      <c r="AM738" s="18"/>
      <c r="AN738" s="18"/>
      <c r="AO738" s="18"/>
      <c r="AP738" s="18"/>
      <c r="AQ738" s="18"/>
      <c r="AR738" s="18"/>
      <c r="AS738" s="18"/>
      <c r="AT738" s="18"/>
      <c r="AU738" s="18"/>
      <c r="AV738" s="18"/>
      <c r="AW738" s="18"/>
      <c r="AX738" s="18"/>
      <c r="AY738" s="18"/>
      <c r="AZ738" s="18"/>
      <c r="BA738" s="18"/>
      <c r="BB738" s="18"/>
      <c r="BC738" s="18"/>
      <c r="BD738" s="18"/>
      <c r="BE738" s="18"/>
      <c r="BF738" s="18"/>
      <c r="BG738" s="18">
        <v>4784.3999999999996</v>
      </c>
      <c r="BH738" s="18"/>
      <c r="BI738" s="18"/>
      <c r="BJ738" s="18">
        <v>4784.3999999999996</v>
      </c>
      <c r="BK738" s="18">
        <v>4784.3999999999996</v>
      </c>
    </row>
    <row r="739" spans="14:63" x14ac:dyDescent="0.3">
      <c r="O739" t="s">
        <v>1345</v>
      </c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  <c r="AB739" s="18"/>
      <c r="AC739" s="18"/>
      <c r="AD739" s="18"/>
      <c r="AE739" s="18"/>
      <c r="AF739" s="18"/>
      <c r="AG739" s="18"/>
      <c r="AH739" s="18"/>
      <c r="AI739" s="18"/>
      <c r="AJ739" s="18"/>
      <c r="AK739" s="18"/>
      <c r="AL739" s="18"/>
      <c r="AM739" s="18"/>
      <c r="AN739" s="18"/>
      <c r="AO739" s="18"/>
      <c r="AP739" s="18"/>
      <c r="AQ739" s="18"/>
      <c r="AR739" s="18"/>
      <c r="AS739" s="18"/>
      <c r="AT739" s="18"/>
      <c r="AU739" s="18"/>
      <c r="AV739" s="18"/>
      <c r="AW739" s="18"/>
      <c r="AX739" s="18"/>
      <c r="AY739" s="18"/>
      <c r="AZ739" s="18"/>
      <c r="BA739" s="18"/>
      <c r="BB739" s="18"/>
      <c r="BC739" s="18"/>
      <c r="BD739" s="18"/>
      <c r="BE739" s="18"/>
      <c r="BF739" s="18"/>
      <c r="BG739" s="18">
        <v>4450.3999999999996</v>
      </c>
      <c r="BH739" s="18"/>
      <c r="BI739" s="18"/>
      <c r="BJ739" s="18">
        <v>4450.3999999999996</v>
      </c>
      <c r="BK739" s="18">
        <v>4450.3999999999996</v>
      </c>
    </row>
    <row r="740" spans="14:63" x14ac:dyDescent="0.3">
      <c r="O740" t="s">
        <v>1362</v>
      </c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  <c r="AF740" s="18"/>
      <c r="AG740" s="18"/>
      <c r="AH740" s="18"/>
      <c r="AI740" s="18"/>
      <c r="AJ740" s="18"/>
      <c r="AK740" s="18"/>
      <c r="AL740" s="18"/>
      <c r="AM740" s="18"/>
      <c r="AN740" s="18"/>
      <c r="AO740" s="18"/>
      <c r="AP740" s="18"/>
      <c r="AQ740" s="18"/>
      <c r="AR740" s="18"/>
      <c r="AS740" s="18"/>
      <c r="AT740" s="18"/>
      <c r="AU740" s="18"/>
      <c r="AV740" s="18"/>
      <c r="AW740" s="18"/>
      <c r="AX740" s="18"/>
      <c r="AY740" s="18"/>
      <c r="AZ740" s="18"/>
      <c r="BA740" s="18"/>
      <c r="BB740" s="18"/>
      <c r="BC740" s="18"/>
      <c r="BD740" s="18"/>
      <c r="BE740" s="18"/>
      <c r="BF740" s="18"/>
      <c r="BG740" s="18">
        <v>6644.1</v>
      </c>
      <c r="BH740" s="18"/>
      <c r="BI740" s="18"/>
      <c r="BJ740" s="18">
        <v>6644.1</v>
      </c>
      <c r="BK740" s="18">
        <v>6644.1</v>
      </c>
    </row>
    <row r="741" spans="14:63" x14ac:dyDescent="0.3">
      <c r="O741" t="s">
        <v>1430</v>
      </c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  <c r="AG741" s="18"/>
      <c r="AH741" s="18"/>
      <c r="AI741" s="18"/>
      <c r="AJ741" s="18"/>
      <c r="AK741" s="18"/>
      <c r="AL741" s="18"/>
      <c r="AM741" s="18"/>
      <c r="AN741" s="18"/>
      <c r="AO741" s="18"/>
      <c r="AP741" s="18"/>
      <c r="AQ741" s="18"/>
      <c r="AR741" s="18"/>
      <c r="AS741" s="18"/>
      <c r="AT741" s="18"/>
      <c r="AU741" s="18"/>
      <c r="AV741" s="18"/>
      <c r="AW741" s="18"/>
      <c r="AX741" s="18"/>
      <c r="AY741" s="18"/>
      <c r="AZ741" s="18"/>
      <c r="BA741" s="18"/>
      <c r="BB741" s="18"/>
      <c r="BC741" s="18"/>
      <c r="BD741" s="18"/>
      <c r="BE741" s="18"/>
      <c r="BF741" s="18"/>
      <c r="BG741" s="18"/>
      <c r="BH741" s="18">
        <v>4959.6000000000004</v>
      </c>
      <c r="BI741" s="18"/>
      <c r="BJ741" s="18">
        <v>4959.6000000000004</v>
      </c>
      <c r="BK741" s="18">
        <v>4959.6000000000004</v>
      </c>
    </row>
    <row r="742" spans="14:63" x14ac:dyDescent="0.3">
      <c r="O742" t="s">
        <v>1530</v>
      </c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  <c r="AF742" s="18"/>
      <c r="AG742" s="18"/>
      <c r="AH742" s="18"/>
      <c r="AI742" s="18"/>
      <c r="AJ742" s="18"/>
      <c r="AK742" s="18"/>
      <c r="AL742" s="18"/>
      <c r="AM742" s="18"/>
      <c r="AN742" s="18"/>
      <c r="AO742" s="18"/>
      <c r="AP742" s="18"/>
      <c r="AQ742" s="18"/>
      <c r="AR742" s="18"/>
      <c r="AS742" s="18"/>
      <c r="AT742" s="18"/>
      <c r="AU742" s="18"/>
      <c r="AV742" s="18"/>
      <c r="AW742" s="18"/>
      <c r="AX742" s="18"/>
      <c r="AY742" s="18"/>
      <c r="AZ742" s="18"/>
      <c r="BA742" s="18"/>
      <c r="BB742" s="18"/>
      <c r="BC742" s="18"/>
      <c r="BD742" s="18"/>
      <c r="BE742" s="18"/>
      <c r="BF742" s="18"/>
      <c r="BG742" s="18"/>
      <c r="BH742" s="18"/>
      <c r="BI742" s="18">
        <v>2856.4</v>
      </c>
      <c r="BJ742" s="18">
        <v>2856.4</v>
      </c>
      <c r="BK742" s="18">
        <v>2856.4</v>
      </c>
    </row>
    <row r="743" spans="14:63" x14ac:dyDescent="0.3">
      <c r="O743" t="s">
        <v>1545</v>
      </c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  <c r="AB743" s="18"/>
      <c r="AC743" s="18"/>
      <c r="AD743" s="18"/>
      <c r="AE743" s="18"/>
      <c r="AF743" s="18"/>
      <c r="AG743" s="18"/>
      <c r="AH743" s="18"/>
      <c r="AI743" s="18"/>
      <c r="AJ743" s="18"/>
      <c r="AK743" s="18"/>
      <c r="AL743" s="18"/>
      <c r="AM743" s="18"/>
      <c r="AN743" s="18"/>
      <c r="AO743" s="18"/>
      <c r="AP743" s="18"/>
      <c r="AQ743" s="18"/>
      <c r="AR743" s="18"/>
      <c r="AS743" s="18"/>
      <c r="AT743" s="18"/>
      <c r="AU743" s="18"/>
      <c r="AV743" s="18"/>
      <c r="AW743" s="18"/>
      <c r="AX743" s="18"/>
      <c r="AY743" s="18"/>
      <c r="AZ743" s="18"/>
      <c r="BA743" s="18"/>
      <c r="BB743" s="18"/>
      <c r="BC743" s="18"/>
      <c r="BD743" s="18"/>
      <c r="BE743" s="18"/>
      <c r="BF743" s="18"/>
      <c r="BG743" s="18"/>
      <c r="BH743" s="18"/>
      <c r="BI743" s="18">
        <v>13214.5</v>
      </c>
      <c r="BJ743" s="18">
        <v>13214.5</v>
      </c>
      <c r="BK743" s="18">
        <v>13214.5</v>
      </c>
    </row>
    <row r="744" spans="14:63" x14ac:dyDescent="0.3">
      <c r="O744" t="s">
        <v>1642</v>
      </c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G744" s="18"/>
      <c r="AH744" s="18"/>
      <c r="AI744" s="18"/>
      <c r="AJ744" s="18"/>
      <c r="AK744" s="18"/>
      <c r="AL744" s="18"/>
      <c r="AM744" s="18"/>
      <c r="AN744" s="18"/>
      <c r="AO744" s="18"/>
      <c r="AP744" s="18"/>
      <c r="AQ744" s="18"/>
      <c r="AR744" s="18"/>
      <c r="AS744" s="18"/>
      <c r="AT744" s="18"/>
      <c r="AU744" s="18"/>
      <c r="AV744" s="18"/>
      <c r="AW744" s="18"/>
      <c r="AX744" s="18">
        <v>11760.300000000001</v>
      </c>
      <c r="AY744" s="18"/>
      <c r="AZ744" s="18"/>
      <c r="BA744" s="18"/>
      <c r="BB744" s="18"/>
      <c r="BC744" s="18"/>
      <c r="BD744" s="18"/>
      <c r="BE744" s="18"/>
      <c r="BF744" s="18"/>
      <c r="BG744" s="18"/>
      <c r="BH744" s="18"/>
      <c r="BI744" s="18"/>
      <c r="BJ744" s="18">
        <v>11760.300000000001</v>
      </c>
      <c r="BK744" s="18">
        <v>11760.300000000001</v>
      </c>
    </row>
    <row r="745" spans="14:63" x14ac:dyDescent="0.3">
      <c r="O745" t="s">
        <v>1648</v>
      </c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  <c r="AG745" s="18"/>
      <c r="AH745" s="18"/>
      <c r="AI745" s="18"/>
      <c r="AJ745" s="18"/>
      <c r="AK745" s="18"/>
      <c r="AL745" s="18"/>
      <c r="AM745" s="18"/>
      <c r="AN745" s="18"/>
      <c r="AO745" s="18"/>
      <c r="AP745" s="18"/>
      <c r="AQ745" s="18"/>
      <c r="AR745" s="18"/>
      <c r="AS745" s="18"/>
      <c r="AT745" s="18"/>
      <c r="AU745" s="18"/>
      <c r="AV745" s="18"/>
      <c r="AW745" s="18"/>
      <c r="AX745" s="18">
        <v>390</v>
      </c>
      <c r="AY745" s="18"/>
      <c r="AZ745" s="18"/>
      <c r="BA745" s="18"/>
      <c r="BB745" s="18"/>
      <c r="BC745" s="18"/>
      <c r="BD745" s="18"/>
      <c r="BE745" s="18"/>
      <c r="BF745" s="18"/>
      <c r="BG745" s="18"/>
      <c r="BH745" s="18"/>
      <c r="BI745" s="18"/>
      <c r="BJ745" s="18">
        <v>390</v>
      </c>
      <c r="BK745" s="18">
        <v>390</v>
      </c>
    </row>
    <row r="746" spans="14:63" x14ac:dyDescent="0.3">
      <c r="O746" t="s">
        <v>1720</v>
      </c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  <c r="AB746" s="18"/>
      <c r="AC746" s="18"/>
      <c r="AD746" s="18"/>
      <c r="AE746" s="18"/>
      <c r="AF746" s="18"/>
      <c r="AG746" s="18"/>
      <c r="AH746" s="18"/>
      <c r="AI746" s="18"/>
      <c r="AJ746" s="18"/>
      <c r="AK746" s="18"/>
      <c r="AL746" s="18"/>
      <c r="AM746" s="18"/>
      <c r="AN746" s="18"/>
      <c r="AO746" s="18"/>
      <c r="AP746" s="18"/>
      <c r="AQ746" s="18"/>
      <c r="AR746" s="18"/>
      <c r="AS746" s="18"/>
      <c r="AT746" s="18"/>
      <c r="AU746" s="18"/>
      <c r="AV746" s="18"/>
      <c r="AW746" s="18"/>
      <c r="AX746" s="18"/>
      <c r="AY746" s="18">
        <v>144</v>
      </c>
      <c r="AZ746" s="18"/>
      <c r="BA746" s="18"/>
      <c r="BB746" s="18"/>
      <c r="BC746" s="18"/>
      <c r="BD746" s="18"/>
      <c r="BE746" s="18"/>
      <c r="BF746" s="18"/>
      <c r="BG746" s="18"/>
      <c r="BH746" s="18"/>
      <c r="BI746" s="18"/>
      <c r="BJ746" s="18">
        <v>144</v>
      </c>
      <c r="BK746" s="18">
        <v>144</v>
      </c>
    </row>
    <row r="747" spans="14:63" x14ac:dyDescent="0.3">
      <c r="O747" t="s">
        <v>1729</v>
      </c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  <c r="AF747" s="18"/>
      <c r="AG747" s="18"/>
      <c r="AH747" s="18"/>
      <c r="AI747" s="18"/>
      <c r="AJ747" s="18"/>
      <c r="AK747" s="18"/>
      <c r="AL747" s="18"/>
      <c r="AM747" s="18"/>
      <c r="AN747" s="18"/>
      <c r="AO747" s="18"/>
      <c r="AP747" s="18"/>
      <c r="AQ747" s="18"/>
      <c r="AR747" s="18"/>
      <c r="AS747" s="18"/>
      <c r="AT747" s="18"/>
      <c r="AU747" s="18"/>
      <c r="AV747" s="18"/>
      <c r="AW747" s="18"/>
      <c r="AX747" s="18"/>
      <c r="AY747" s="18">
        <v>11342.5</v>
      </c>
      <c r="AZ747" s="18"/>
      <c r="BA747" s="18"/>
      <c r="BB747" s="18"/>
      <c r="BC747" s="18"/>
      <c r="BD747" s="18"/>
      <c r="BE747" s="18"/>
      <c r="BF747" s="18"/>
      <c r="BG747" s="18"/>
      <c r="BH747" s="18"/>
      <c r="BI747" s="18"/>
      <c r="BJ747" s="18">
        <v>11342.5</v>
      </c>
      <c r="BK747" s="18">
        <v>11342.5</v>
      </c>
    </row>
    <row r="748" spans="14:63" x14ac:dyDescent="0.3">
      <c r="O748" t="s">
        <v>1809</v>
      </c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G748" s="18"/>
      <c r="AH748" s="18"/>
      <c r="AI748" s="18"/>
      <c r="AJ748" s="18"/>
      <c r="AK748" s="18"/>
      <c r="AL748" s="18"/>
      <c r="AM748" s="18"/>
      <c r="AN748" s="18"/>
      <c r="AO748" s="18"/>
      <c r="AP748" s="18"/>
      <c r="AQ748" s="18"/>
      <c r="AR748" s="18"/>
      <c r="AS748" s="18"/>
      <c r="AT748" s="18"/>
      <c r="AU748" s="18"/>
      <c r="AV748" s="18"/>
      <c r="AW748" s="18"/>
      <c r="AX748" s="18"/>
      <c r="AY748" s="18"/>
      <c r="AZ748" s="18">
        <v>565.20000000000005</v>
      </c>
      <c r="BA748" s="18"/>
      <c r="BB748" s="18"/>
      <c r="BC748" s="18"/>
      <c r="BD748" s="18"/>
      <c r="BE748" s="18"/>
      <c r="BF748" s="18"/>
      <c r="BG748" s="18"/>
      <c r="BH748" s="18"/>
      <c r="BI748" s="18"/>
      <c r="BJ748" s="18">
        <v>565.20000000000005</v>
      </c>
      <c r="BK748" s="18">
        <v>565.20000000000005</v>
      </c>
    </row>
    <row r="749" spans="14:63" x14ac:dyDescent="0.3">
      <c r="O749" t="s">
        <v>1824</v>
      </c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  <c r="AF749" s="18"/>
      <c r="AG749" s="18"/>
      <c r="AH749" s="18"/>
      <c r="AI749" s="18"/>
      <c r="AJ749" s="18"/>
      <c r="AK749" s="18"/>
      <c r="AL749" s="18"/>
      <c r="AM749" s="18"/>
      <c r="AN749" s="18"/>
      <c r="AO749" s="18"/>
      <c r="AP749" s="18"/>
      <c r="AQ749" s="18"/>
      <c r="AR749" s="18"/>
      <c r="AS749" s="18"/>
      <c r="AT749" s="18"/>
      <c r="AU749" s="18"/>
      <c r="AV749" s="18"/>
      <c r="AW749" s="18"/>
      <c r="AX749" s="18"/>
      <c r="AY749" s="18"/>
      <c r="AZ749" s="18">
        <v>10969.5</v>
      </c>
      <c r="BA749" s="18"/>
      <c r="BB749" s="18"/>
      <c r="BC749" s="18"/>
      <c r="BD749" s="18"/>
      <c r="BE749" s="18"/>
      <c r="BF749" s="18"/>
      <c r="BG749" s="18"/>
      <c r="BH749" s="18"/>
      <c r="BI749" s="18"/>
      <c r="BJ749" s="18">
        <v>10969.5</v>
      </c>
      <c r="BK749" s="18">
        <v>10969.5</v>
      </c>
    </row>
    <row r="750" spans="14:63" x14ac:dyDescent="0.3">
      <c r="O750" t="s">
        <v>1914</v>
      </c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  <c r="AB750" s="18"/>
      <c r="AC750" s="18"/>
      <c r="AD750" s="18"/>
      <c r="AE750" s="18"/>
      <c r="AF750" s="18"/>
      <c r="AG750" s="18"/>
      <c r="AH750" s="18"/>
      <c r="AI750" s="18"/>
      <c r="AJ750" s="18"/>
      <c r="AK750" s="18"/>
      <c r="AL750" s="18"/>
      <c r="AM750" s="18"/>
      <c r="AN750" s="18"/>
      <c r="AO750" s="18"/>
      <c r="AP750" s="18"/>
      <c r="AQ750" s="18"/>
      <c r="AR750" s="18"/>
      <c r="AS750" s="18"/>
      <c r="AT750" s="18"/>
      <c r="AU750" s="18"/>
      <c r="AV750" s="18"/>
      <c r="AW750" s="18"/>
      <c r="AX750" s="18"/>
      <c r="AY750" s="18"/>
      <c r="AZ750" s="18"/>
      <c r="BA750" s="18">
        <v>15616.9</v>
      </c>
      <c r="BB750" s="18"/>
      <c r="BC750" s="18"/>
      <c r="BD750" s="18"/>
      <c r="BE750" s="18"/>
      <c r="BF750" s="18"/>
      <c r="BG750" s="18"/>
      <c r="BH750" s="18"/>
      <c r="BI750" s="18"/>
      <c r="BJ750" s="18">
        <v>15616.9</v>
      </c>
      <c r="BK750" s="18">
        <v>15616.9</v>
      </c>
    </row>
    <row r="751" spans="14:63" x14ac:dyDescent="0.3">
      <c r="O751" t="s">
        <v>2039</v>
      </c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G751" s="18"/>
      <c r="AH751" s="18"/>
      <c r="AI751" s="18"/>
      <c r="AJ751" s="18"/>
      <c r="AK751" s="18"/>
      <c r="AL751" s="18"/>
      <c r="AM751" s="18"/>
      <c r="AN751" s="18"/>
      <c r="AO751" s="18"/>
      <c r="AP751" s="18"/>
      <c r="AQ751" s="18"/>
      <c r="AR751" s="18"/>
      <c r="AS751" s="18"/>
      <c r="AT751" s="18"/>
      <c r="AU751" s="18"/>
      <c r="AV751" s="18"/>
      <c r="AW751" s="18"/>
      <c r="AX751" s="18"/>
      <c r="AY751" s="18"/>
      <c r="AZ751" s="18"/>
      <c r="BA751" s="18"/>
      <c r="BB751" s="18">
        <v>15463.4</v>
      </c>
      <c r="BC751" s="18"/>
      <c r="BD751" s="18"/>
      <c r="BE751" s="18"/>
      <c r="BF751" s="18"/>
      <c r="BG751" s="18"/>
      <c r="BH751" s="18"/>
      <c r="BI751" s="18"/>
      <c r="BJ751" s="18">
        <v>15463.4</v>
      </c>
      <c r="BK751" s="18">
        <v>15463.4</v>
      </c>
    </row>
    <row r="752" spans="14:63" x14ac:dyDescent="0.3">
      <c r="O752" t="s">
        <v>2189</v>
      </c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  <c r="AB752" s="18"/>
      <c r="AC752" s="18"/>
      <c r="AD752" s="18"/>
      <c r="AE752" s="18"/>
      <c r="AF752" s="18"/>
      <c r="AG752" s="18"/>
      <c r="AH752" s="18"/>
      <c r="AI752" s="18"/>
      <c r="AJ752" s="18"/>
      <c r="AK752" s="18"/>
      <c r="AL752" s="18"/>
      <c r="AM752" s="18"/>
      <c r="AN752" s="18"/>
      <c r="AO752" s="18"/>
      <c r="AP752" s="18"/>
      <c r="AQ752" s="18"/>
      <c r="AR752" s="18"/>
      <c r="AS752" s="18"/>
      <c r="AT752" s="18"/>
      <c r="AU752" s="18"/>
      <c r="AV752" s="18"/>
      <c r="AW752" s="18"/>
      <c r="AX752" s="18"/>
      <c r="AY752" s="18"/>
      <c r="AZ752" s="18"/>
      <c r="BA752" s="18"/>
      <c r="BB752" s="18"/>
      <c r="BC752" s="18"/>
      <c r="BD752" s="18">
        <v>11904.5</v>
      </c>
      <c r="BE752" s="18"/>
      <c r="BF752" s="18"/>
      <c r="BG752" s="18"/>
      <c r="BH752" s="18"/>
      <c r="BI752" s="18"/>
      <c r="BJ752" s="18">
        <v>11904.5</v>
      </c>
      <c r="BK752" s="18">
        <v>11904.5</v>
      </c>
    </row>
    <row r="753" spans="14:63" x14ac:dyDescent="0.3">
      <c r="N753" s="17" t="s">
        <v>1390</v>
      </c>
      <c r="O753" s="17"/>
      <c r="P753" s="19"/>
      <c r="Q753" s="19"/>
      <c r="R753" s="19"/>
      <c r="S753" s="19"/>
      <c r="T753" s="19"/>
      <c r="U753" s="19"/>
      <c r="V753" s="19"/>
      <c r="W753" s="19"/>
      <c r="X753" s="19"/>
      <c r="Y753" s="19"/>
      <c r="Z753" s="19"/>
      <c r="AA753" s="19"/>
      <c r="AB753" s="19"/>
      <c r="AC753" s="19"/>
      <c r="AD753" s="19"/>
      <c r="AE753" s="19"/>
      <c r="AF753" s="19"/>
      <c r="AG753" s="19"/>
      <c r="AH753" s="19"/>
      <c r="AI753" s="19"/>
      <c r="AJ753" s="19"/>
      <c r="AK753" s="19"/>
      <c r="AL753" s="19"/>
      <c r="AM753" s="19"/>
      <c r="AN753" s="19"/>
      <c r="AO753" s="19"/>
      <c r="AP753" s="19"/>
      <c r="AQ753" s="19"/>
      <c r="AR753" s="19"/>
      <c r="AS753" s="19"/>
      <c r="AT753" s="19"/>
      <c r="AU753" s="19"/>
      <c r="AV753" s="19"/>
      <c r="AW753" s="19"/>
      <c r="AX753" s="19">
        <v>12150.300000000001</v>
      </c>
      <c r="AY753" s="19">
        <v>11486.5</v>
      </c>
      <c r="AZ753" s="19">
        <v>11534.7</v>
      </c>
      <c r="BA753" s="19">
        <v>15616.9</v>
      </c>
      <c r="BB753" s="19">
        <v>15463.4</v>
      </c>
      <c r="BC753" s="19"/>
      <c r="BD753" s="19">
        <v>11904.5</v>
      </c>
      <c r="BE753" s="19"/>
      <c r="BF753" s="19"/>
      <c r="BG753" s="19">
        <v>15878.9</v>
      </c>
      <c r="BH753" s="19">
        <v>4959.6000000000004</v>
      </c>
      <c r="BI753" s="19">
        <v>16070.9</v>
      </c>
      <c r="BJ753" s="19">
        <v>115065.69999999998</v>
      </c>
      <c r="BK753" s="19">
        <v>115065.69999999998</v>
      </c>
    </row>
    <row r="754" spans="14:63" x14ac:dyDescent="0.3">
      <c r="N754" t="s">
        <v>1421</v>
      </c>
      <c r="O754" t="s">
        <v>1423</v>
      </c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  <c r="AB754" s="18"/>
      <c r="AC754" s="18"/>
      <c r="AD754" s="18"/>
      <c r="AE754" s="18"/>
      <c r="AF754" s="18"/>
      <c r="AG754" s="18"/>
      <c r="AH754" s="18"/>
      <c r="AI754" s="18"/>
      <c r="AJ754" s="18"/>
      <c r="AK754" s="18"/>
      <c r="AL754" s="18"/>
      <c r="AM754" s="18"/>
      <c r="AN754" s="18"/>
      <c r="AO754" s="18"/>
      <c r="AP754" s="18"/>
      <c r="AQ754" s="18"/>
      <c r="AR754" s="18"/>
      <c r="AS754" s="18"/>
      <c r="AT754" s="18"/>
      <c r="AU754" s="18"/>
      <c r="AV754" s="18"/>
      <c r="AW754" s="18"/>
      <c r="AX754" s="18"/>
      <c r="AY754" s="18"/>
      <c r="AZ754" s="18"/>
      <c r="BA754" s="18"/>
      <c r="BB754" s="18"/>
      <c r="BC754" s="18"/>
      <c r="BD754" s="18"/>
      <c r="BE754" s="18"/>
      <c r="BF754" s="18"/>
      <c r="BG754" s="18"/>
      <c r="BH754" s="18">
        <v>670</v>
      </c>
      <c r="BI754" s="18"/>
      <c r="BJ754" s="18">
        <v>670</v>
      </c>
      <c r="BK754" s="18">
        <v>670</v>
      </c>
    </row>
    <row r="755" spans="14:63" x14ac:dyDescent="0.3">
      <c r="O755" t="s">
        <v>1549</v>
      </c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  <c r="AG755" s="18"/>
      <c r="AH755" s="18"/>
      <c r="AI755" s="18"/>
      <c r="AJ755" s="18"/>
      <c r="AK755" s="18"/>
      <c r="AL755" s="18"/>
      <c r="AM755" s="18"/>
      <c r="AN755" s="18"/>
      <c r="AO755" s="18"/>
      <c r="AP755" s="18"/>
      <c r="AQ755" s="18"/>
      <c r="AR755" s="18"/>
      <c r="AS755" s="18"/>
      <c r="AT755" s="18"/>
      <c r="AU755" s="18"/>
      <c r="AV755" s="18"/>
      <c r="AW755" s="18"/>
      <c r="AX755" s="18"/>
      <c r="AY755" s="18"/>
      <c r="AZ755" s="18"/>
      <c r="BA755" s="18"/>
      <c r="BB755" s="18"/>
      <c r="BC755" s="18"/>
      <c r="BD755" s="18"/>
      <c r="BE755" s="18"/>
      <c r="BF755" s="18"/>
      <c r="BG755" s="18"/>
      <c r="BH755" s="18"/>
      <c r="BI755" s="18">
        <v>698</v>
      </c>
      <c r="BJ755" s="18">
        <v>698</v>
      </c>
      <c r="BK755" s="18">
        <v>698</v>
      </c>
    </row>
    <row r="756" spans="14:63" x14ac:dyDescent="0.3">
      <c r="O756" t="s">
        <v>1559</v>
      </c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  <c r="AB756" s="18"/>
      <c r="AC756" s="18"/>
      <c r="AD756" s="18"/>
      <c r="AE756" s="18"/>
      <c r="AF756" s="18"/>
      <c r="AG756" s="18"/>
      <c r="AH756" s="18"/>
      <c r="AI756" s="18"/>
      <c r="AJ756" s="18"/>
      <c r="AK756" s="18"/>
      <c r="AL756" s="18"/>
      <c r="AM756" s="18"/>
      <c r="AN756" s="18"/>
      <c r="AO756" s="18"/>
      <c r="AP756" s="18"/>
      <c r="AQ756" s="18"/>
      <c r="AR756" s="18"/>
      <c r="AS756" s="18"/>
      <c r="AT756" s="18"/>
      <c r="AU756" s="18"/>
      <c r="AV756" s="18"/>
      <c r="AW756" s="18"/>
      <c r="AX756" s="18"/>
      <c r="AY756" s="18"/>
      <c r="AZ756" s="18"/>
      <c r="BA756" s="18"/>
      <c r="BB756" s="18"/>
      <c r="BC756" s="18"/>
      <c r="BD756" s="18"/>
      <c r="BE756" s="18"/>
      <c r="BF756" s="18"/>
      <c r="BG756" s="18"/>
      <c r="BH756" s="18"/>
      <c r="BI756" s="18">
        <v>350</v>
      </c>
      <c r="BJ756" s="18">
        <v>350</v>
      </c>
      <c r="BK756" s="18">
        <v>350</v>
      </c>
    </row>
    <row r="757" spans="14:63" x14ac:dyDescent="0.3">
      <c r="O757" t="s">
        <v>1607</v>
      </c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  <c r="AH757" s="18"/>
      <c r="AI757" s="18"/>
      <c r="AJ757" s="18"/>
      <c r="AK757" s="18"/>
      <c r="AL757" s="18"/>
      <c r="AM757" s="18"/>
      <c r="AN757" s="18"/>
      <c r="AO757" s="18"/>
      <c r="AP757" s="18"/>
      <c r="AQ757" s="18"/>
      <c r="AR757" s="18"/>
      <c r="AS757" s="18"/>
      <c r="AT757" s="18"/>
      <c r="AU757" s="18"/>
      <c r="AV757" s="18"/>
      <c r="AW757" s="18"/>
      <c r="AX757" s="18">
        <v>350</v>
      </c>
      <c r="AY757" s="18"/>
      <c r="AZ757" s="18"/>
      <c r="BA757" s="18"/>
      <c r="BB757" s="18"/>
      <c r="BC757" s="18"/>
      <c r="BD757" s="18"/>
      <c r="BE757" s="18"/>
      <c r="BF757" s="18"/>
      <c r="BG757" s="18"/>
      <c r="BH757" s="18"/>
      <c r="BI757" s="18"/>
      <c r="BJ757" s="18">
        <v>350</v>
      </c>
      <c r="BK757" s="18">
        <v>350</v>
      </c>
    </row>
    <row r="758" spans="14:63" x14ac:dyDescent="0.3">
      <c r="O758" t="s">
        <v>1630</v>
      </c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  <c r="AG758" s="18"/>
      <c r="AH758" s="18"/>
      <c r="AI758" s="18"/>
      <c r="AJ758" s="18"/>
      <c r="AK758" s="18"/>
      <c r="AL758" s="18"/>
      <c r="AM758" s="18"/>
      <c r="AN758" s="18"/>
      <c r="AO758" s="18"/>
      <c r="AP758" s="18"/>
      <c r="AQ758" s="18"/>
      <c r="AR758" s="18"/>
      <c r="AS758" s="18"/>
      <c r="AT758" s="18"/>
      <c r="AU758" s="18"/>
      <c r="AV758" s="18"/>
      <c r="AW758" s="18"/>
      <c r="AX758" s="18">
        <v>590</v>
      </c>
      <c r="AY758" s="18"/>
      <c r="AZ758" s="18"/>
      <c r="BA758" s="18"/>
      <c r="BB758" s="18"/>
      <c r="BC758" s="18"/>
      <c r="BD758" s="18"/>
      <c r="BE758" s="18"/>
      <c r="BF758" s="18"/>
      <c r="BG758" s="18"/>
      <c r="BH758" s="18"/>
      <c r="BI758" s="18"/>
      <c r="BJ758" s="18">
        <v>590</v>
      </c>
      <c r="BK758" s="18">
        <v>590</v>
      </c>
    </row>
    <row r="759" spans="14:63" x14ac:dyDescent="0.3">
      <c r="O759" t="s">
        <v>1731</v>
      </c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  <c r="AG759" s="18"/>
      <c r="AH759" s="18"/>
      <c r="AI759" s="18"/>
      <c r="AJ759" s="18"/>
      <c r="AK759" s="18"/>
      <c r="AL759" s="18"/>
      <c r="AM759" s="18"/>
      <c r="AN759" s="18"/>
      <c r="AO759" s="18"/>
      <c r="AP759" s="18"/>
      <c r="AQ759" s="18"/>
      <c r="AR759" s="18"/>
      <c r="AS759" s="18"/>
      <c r="AT759" s="18"/>
      <c r="AU759" s="18"/>
      <c r="AV759" s="18"/>
      <c r="AW759" s="18"/>
      <c r="AX759" s="18"/>
      <c r="AY759" s="18">
        <v>405</v>
      </c>
      <c r="AZ759" s="18"/>
      <c r="BA759" s="18"/>
      <c r="BB759" s="18"/>
      <c r="BC759" s="18"/>
      <c r="BD759" s="18"/>
      <c r="BE759" s="18"/>
      <c r="BF759" s="18"/>
      <c r="BG759" s="18"/>
      <c r="BH759" s="18"/>
      <c r="BI759" s="18"/>
      <c r="BJ759" s="18">
        <v>405</v>
      </c>
      <c r="BK759" s="18">
        <v>405</v>
      </c>
    </row>
    <row r="760" spans="14:63" x14ac:dyDescent="0.3">
      <c r="N760" s="17" t="s">
        <v>1437</v>
      </c>
      <c r="O760" s="17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19"/>
      <c r="AA760" s="19"/>
      <c r="AB760" s="19"/>
      <c r="AC760" s="19"/>
      <c r="AD760" s="19"/>
      <c r="AE760" s="19"/>
      <c r="AF760" s="19"/>
      <c r="AG760" s="19"/>
      <c r="AH760" s="19"/>
      <c r="AI760" s="19"/>
      <c r="AJ760" s="19"/>
      <c r="AK760" s="19"/>
      <c r="AL760" s="19"/>
      <c r="AM760" s="19"/>
      <c r="AN760" s="19"/>
      <c r="AO760" s="19"/>
      <c r="AP760" s="19"/>
      <c r="AQ760" s="19"/>
      <c r="AR760" s="19"/>
      <c r="AS760" s="19"/>
      <c r="AT760" s="19"/>
      <c r="AU760" s="19"/>
      <c r="AV760" s="19"/>
      <c r="AW760" s="19"/>
      <c r="AX760" s="19">
        <v>940</v>
      </c>
      <c r="AY760" s="19">
        <v>405</v>
      </c>
      <c r="AZ760" s="19"/>
      <c r="BA760" s="19"/>
      <c r="BB760" s="19"/>
      <c r="BC760" s="19"/>
      <c r="BD760" s="19"/>
      <c r="BE760" s="19"/>
      <c r="BF760" s="19"/>
      <c r="BG760" s="19"/>
      <c r="BH760" s="19">
        <v>670</v>
      </c>
      <c r="BI760" s="19">
        <v>1048</v>
      </c>
      <c r="BJ760" s="19">
        <v>3063</v>
      </c>
      <c r="BK760" s="19">
        <v>3063</v>
      </c>
    </row>
    <row r="761" spans="14:63" x14ac:dyDescent="0.3">
      <c r="N761" t="s">
        <v>1621</v>
      </c>
      <c r="O761" t="s">
        <v>1619</v>
      </c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  <c r="AF761" s="18"/>
      <c r="AG761" s="18"/>
      <c r="AH761" s="18"/>
      <c r="AI761" s="18"/>
      <c r="AJ761" s="18"/>
      <c r="AK761" s="18"/>
      <c r="AL761" s="18"/>
      <c r="AM761" s="18"/>
      <c r="AN761" s="18"/>
      <c r="AO761" s="18"/>
      <c r="AP761" s="18"/>
      <c r="AQ761" s="18"/>
      <c r="AR761" s="18"/>
      <c r="AS761" s="18"/>
      <c r="AT761" s="18"/>
      <c r="AU761" s="18"/>
      <c r="AV761" s="18"/>
      <c r="AW761" s="18"/>
      <c r="AX761" s="18">
        <v>2968.5</v>
      </c>
      <c r="AY761" s="18"/>
      <c r="AZ761" s="18"/>
      <c r="BA761" s="18"/>
      <c r="BB761" s="18"/>
      <c r="BC761" s="18"/>
      <c r="BD761" s="18"/>
      <c r="BE761" s="18"/>
      <c r="BF761" s="18"/>
      <c r="BG761" s="18"/>
      <c r="BH761" s="18"/>
      <c r="BI761" s="18"/>
      <c r="BJ761" s="18">
        <v>2968.5</v>
      </c>
      <c r="BK761" s="18">
        <v>2968.5</v>
      </c>
    </row>
    <row r="762" spans="14:63" x14ac:dyDescent="0.3">
      <c r="O762" t="s">
        <v>1812</v>
      </c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  <c r="AF762" s="18"/>
      <c r="AG762" s="18"/>
      <c r="AH762" s="18"/>
      <c r="AI762" s="18"/>
      <c r="AJ762" s="18"/>
      <c r="AK762" s="18"/>
      <c r="AL762" s="18"/>
      <c r="AM762" s="18"/>
      <c r="AN762" s="18"/>
      <c r="AO762" s="18"/>
      <c r="AP762" s="18"/>
      <c r="AQ762" s="18"/>
      <c r="AR762" s="18"/>
      <c r="AS762" s="18"/>
      <c r="AT762" s="18"/>
      <c r="AU762" s="18"/>
      <c r="AV762" s="18"/>
      <c r="AW762" s="18"/>
      <c r="AX762" s="18"/>
      <c r="AY762" s="18"/>
      <c r="AZ762" s="18">
        <v>2382.5</v>
      </c>
      <c r="BA762" s="18"/>
      <c r="BB762" s="18"/>
      <c r="BC762" s="18"/>
      <c r="BD762" s="18"/>
      <c r="BE762" s="18"/>
      <c r="BF762" s="18"/>
      <c r="BG762" s="18"/>
      <c r="BH762" s="18"/>
      <c r="BI762" s="18"/>
      <c r="BJ762" s="18">
        <v>2382.5</v>
      </c>
      <c r="BK762" s="18">
        <v>2382.5</v>
      </c>
    </row>
    <row r="763" spans="14:63" x14ac:dyDescent="0.3">
      <c r="N763" s="17" t="s">
        <v>1791</v>
      </c>
      <c r="O763" s="17"/>
      <c r="P763" s="19"/>
      <c r="Q763" s="19"/>
      <c r="R763" s="19"/>
      <c r="S763" s="19"/>
      <c r="T763" s="19"/>
      <c r="U763" s="19"/>
      <c r="V763" s="19"/>
      <c r="W763" s="19"/>
      <c r="X763" s="19"/>
      <c r="Y763" s="19"/>
      <c r="Z763" s="19"/>
      <c r="AA763" s="19"/>
      <c r="AB763" s="19"/>
      <c r="AC763" s="19"/>
      <c r="AD763" s="19"/>
      <c r="AE763" s="19"/>
      <c r="AF763" s="19"/>
      <c r="AG763" s="19"/>
      <c r="AH763" s="19"/>
      <c r="AI763" s="19"/>
      <c r="AJ763" s="19"/>
      <c r="AK763" s="19"/>
      <c r="AL763" s="19"/>
      <c r="AM763" s="19"/>
      <c r="AN763" s="19"/>
      <c r="AO763" s="19"/>
      <c r="AP763" s="19"/>
      <c r="AQ763" s="19"/>
      <c r="AR763" s="19"/>
      <c r="AS763" s="19"/>
      <c r="AT763" s="19"/>
      <c r="AU763" s="19"/>
      <c r="AV763" s="19"/>
      <c r="AW763" s="19"/>
      <c r="AX763" s="19">
        <v>2968.5</v>
      </c>
      <c r="AY763" s="19"/>
      <c r="AZ763" s="19">
        <v>2382.5</v>
      </c>
      <c r="BA763" s="19"/>
      <c r="BB763" s="19"/>
      <c r="BC763" s="19"/>
      <c r="BD763" s="19"/>
      <c r="BE763" s="19"/>
      <c r="BF763" s="19"/>
      <c r="BG763" s="19"/>
      <c r="BH763" s="19"/>
      <c r="BI763" s="19"/>
      <c r="BJ763" s="19">
        <v>5351</v>
      </c>
      <c r="BK763" s="19">
        <v>5351</v>
      </c>
    </row>
    <row r="764" spans="14:63" x14ac:dyDescent="0.3">
      <c r="N764" t="s">
        <v>1703</v>
      </c>
      <c r="O764" t="s">
        <v>1894</v>
      </c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  <c r="AF764" s="18"/>
      <c r="AG764" s="18"/>
      <c r="AH764" s="18"/>
      <c r="AI764" s="18"/>
      <c r="AJ764" s="18"/>
      <c r="AK764" s="18"/>
      <c r="AL764" s="18"/>
      <c r="AM764" s="18"/>
      <c r="AN764" s="18"/>
      <c r="AO764" s="18"/>
      <c r="AP764" s="18"/>
      <c r="AQ764" s="18"/>
      <c r="AR764" s="18"/>
      <c r="AS764" s="18"/>
      <c r="AT764" s="18"/>
      <c r="AU764" s="18"/>
      <c r="AV764" s="18"/>
      <c r="AW764" s="18"/>
      <c r="AX764" s="18"/>
      <c r="AY764" s="18"/>
      <c r="AZ764" s="18"/>
      <c r="BA764" s="18">
        <v>48</v>
      </c>
      <c r="BB764" s="18"/>
      <c r="BC764" s="18"/>
      <c r="BD764" s="18"/>
      <c r="BE764" s="18"/>
      <c r="BF764" s="18"/>
      <c r="BG764" s="18"/>
      <c r="BH764" s="18"/>
      <c r="BI764" s="18"/>
      <c r="BJ764" s="18">
        <v>48</v>
      </c>
      <c r="BK764" s="18">
        <v>48</v>
      </c>
    </row>
    <row r="765" spans="14:63" x14ac:dyDescent="0.3">
      <c r="N765" s="17" t="s">
        <v>1987</v>
      </c>
      <c r="O765" s="17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9"/>
      <c r="AA765" s="19"/>
      <c r="AB765" s="19"/>
      <c r="AC765" s="19"/>
      <c r="AD765" s="19"/>
      <c r="AE765" s="19"/>
      <c r="AF765" s="19"/>
      <c r="AG765" s="19"/>
      <c r="AH765" s="19"/>
      <c r="AI765" s="19"/>
      <c r="AJ765" s="19"/>
      <c r="AK765" s="19"/>
      <c r="AL765" s="19"/>
      <c r="AM765" s="19"/>
      <c r="AN765" s="19"/>
      <c r="AO765" s="19"/>
      <c r="AP765" s="19"/>
      <c r="AQ765" s="19"/>
      <c r="AR765" s="19"/>
      <c r="AS765" s="19"/>
      <c r="AT765" s="19"/>
      <c r="AU765" s="19"/>
      <c r="AV765" s="19"/>
      <c r="AW765" s="19"/>
      <c r="AX765" s="19"/>
      <c r="AY765" s="19"/>
      <c r="AZ765" s="19"/>
      <c r="BA765" s="19">
        <v>48</v>
      </c>
      <c r="BB765" s="19"/>
      <c r="BC765" s="19"/>
      <c r="BD765" s="19"/>
      <c r="BE765" s="19"/>
      <c r="BF765" s="19"/>
      <c r="BG765" s="19"/>
      <c r="BH765" s="19"/>
      <c r="BI765" s="19"/>
      <c r="BJ765" s="19">
        <v>48</v>
      </c>
      <c r="BK765" s="19">
        <v>48</v>
      </c>
    </row>
    <row r="766" spans="14:63" x14ac:dyDescent="0.3">
      <c r="N766" t="s">
        <v>1705</v>
      </c>
      <c r="O766" t="s">
        <v>1897</v>
      </c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  <c r="AG766" s="18"/>
      <c r="AH766" s="18"/>
      <c r="AI766" s="18"/>
      <c r="AJ766" s="18"/>
      <c r="AK766" s="18"/>
      <c r="AL766" s="18"/>
      <c r="AM766" s="18"/>
      <c r="AN766" s="18"/>
      <c r="AO766" s="18"/>
      <c r="AP766" s="18"/>
      <c r="AQ766" s="18"/>
      <c r="AR766" s="18"/>
      <c r="AS766" s="18"/>
      <c r="AT766" s="18"/>
      <c r="AU766" s="18"/>
      <c r="AV766" s="18"/>
      <c r="AW766" s="18"/>
      <c r="AX766" s="18"/>
      <c r="AY766" s="18"/>
      <c r="AZ766" s="18"/>
      <c r="BA766" s="18">
        <v>2126</v>
      </c>
      <c r="BB766" s="18"/>
      <c r="BC766" s="18"/>
      <c r="BD766" s="18"/>
      <c r="BE766" s="18"/>
      <c r="BF766" s="18"/>
      <c r="BG766" s="18"/>
      <c r="BH766" s="18"/>
      <c r="BI766" s="18"/>
      <c r="BJ766" s="18">
        <v>2126</v>
      </c>
      <c r="BK766" s="18">
        <v>2126</v>
      </c>
    </row>
    <row r="767" spans="14:63" x14ac:dyDescent="0.3">
      <c r="O767" t="s">
        <v>2165</v>
      </c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  <c r="AG767" s="18"/>
      <c r="AH767" s="18"/>
      <c r="AI767" s="18"/>
      <c r="AJ767" s="18"/>
      <c r="AK767" s="18"/>
      <c r="AL767" s="18"/>
      <c r="AM767" s="18"/>
      <c r="AN767" s="18"/>
      <c r="AO767" s="18"/>
      <c r="AP767" s="18"/>
      <c r="AQ767" s="18"/>
      <c r="AR767" s="18"/>
      <c r="AS767" s="18"/>
      <c r="AT767" s="18"/>
      <c r="AU767" s="18"/>
      <c r="AV767" s="18"/>
      <c r="AW767" s="18"/>
      <c r="AX767" s="18"/>
      <c r="AY767" s="18"/>
      <c r="AZ767" s="18"/>
      <c r="BA767" s="18"/>
      <c r="BB767" s="18"/>
      <c r="BC767" s="18"/>
      <c r="BD767" s="18">
        <v>237</v>
      </c>
      <c r="BE767" s="18"/>
      <c r="BF767" s="18"/>
      <c r="BG767" s="18"/>
      <c r="BH767" s="18"/>
      <c r="BI767" s="18"/>
      <c r="BJ767" s="18">
        <v>237</v>
      </c>
      <c r="BK767" s="18">
        <v>237</v>
      </c>
    </row>
    <row r="768" spans="14:63" x14ac:dyDescent="0.3">
      <c r="N768" s="17" t="s">
        <v>1988</v>
      </c>
      <c r="O768" s="17"/>
      <c r="P768" s="19"/>
      <c r="Q768" s="19"/>
      <c r="R768" s="19"/>
      <c r="S768" s="19"/>
      <c r="T768" s="19"/>
      <c r="U768" s="19"/>
      <c r="V768" s="19"/>
      <c r="W768" s="19"/>
      <c r="X768" s="19"/>
      <c r="Y768" s="19"/>
      <c r="Z768" s="19"/>
      <c r="AA768" s="19"/>
      <c r="AB768" s="19"/>
      <c r="AC768" s="19"/>
      <c r="AD768" s="19"/>
      <c r="AE768" s="19"/>
      <c r="AF768" s="19"/>
      <c r="AG768" s="19"/>
      <c r="AH768" s="19"/>
      <c r="AI768" s="19"/>
      <c r="AJ768" s="19"/>
      <c r="AK768" s="19"/>
      <c r="AL768" s="19"/>
      <c r="AM768" s="19"/>
      <c r="AN768" s="19"/>
      <c r="AO768" s="19"/>
      <c r="AP768" s="19"/>
      <c r="AQ768" s="19"/>
      <c r="AR768" s="19"/>
      <c r="AS768" s="19"/>
      <c r="AT768" s="19"/>
      <c r="AU768" s="19"/>
      <c r="AV768" s="19"/>
      <c r="AW768" s="19"/>
      <c r="AX768" s="19"/>
      <c r="AY768" s="19"/>
      <c r="AZ768" s="19"/>
      <c r="BA768" s="19">
        <v>2126</v>
      </c>
      <c r="BB768" s="19"/>
      <c r="BC768" s="19"/>
      <c r="BD768" s="19">
        <v>237</v>
      </c>
      <c r="BE768" s="19"/>
      <c r="BF768" s="19"/>
      <c r="BG768" s="19"/>
      <c r="BH768" s="19"/>
      <c r="BI768" s="19"/>
      <c r="BJ768" s="19">
        <v>2363</v>
      </c>
      <c r="BK768" s="19">
        <v>2363</v>
      </c>
    </row>
    <row r="769" spans="14:63" x14ac:dyDescent="0.3">
      <c r="N769" t="s">
        <v>2014</v>
      </c>
      <c r="O769" t="s">
        <v>2015</v>
      </c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  <c r="AG769" s="18"/>
      <c r="AH769" s="18"/>
      <c r="AI769" s="18"/>
      <c r="AJ769" s="18"/>
      <c r="AK769" s="18"/>
      <c r="AL769" s="18"/>
      <c r="AM769" s="18"/>
      <c r="AN769" s="18"/>
      <c r="AO769" s="18"/>
      <c r="AP769" s="18"/>
      <c r="AQ769" s="18"/>
      <c r="AR769" s="18"/>
      <c r="AS769" s="18"/>
      <c r="AT769" s="18"/>
      <c r="AU769" s="18"/>
      <c r="AV769" s="18"/>
      <c r="AW769" s="18"/>
      <c r="AX769" s="18"/>
      <c r="AY769" s="18"/>
      <c r="AZ769" s="18"/>
      <c r="BA769" s="18"/>
      <c r="BB769" s="18">
        <v>312.5</v>
      </c>
      <c r="BC769" s="18"/>
      <c r="BD769" s="18"/>
      <c r="BE769" s="18"/>
      <c r="BF769" s="18"/>
      <c r="BG769" s="18"/>
      <c r="BH769" s="18"/>
      <c r="BI769" s="18"/>
      <c r="BJ769" s="18">
        <v>312.5</v>
      </c>
      <c r="BK769" s="18">
        <v>312.5</v>
      </c>
    </row>
    <row r="770" spans="14:63" x14ac:dyDescent="0.3">
      <c r="O770" t="s">
        <v>2016</v>
      </c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  <c r="AG770" s="18"/>
      <c r="AH770" s="18"/>
      <c r="AI770" s="18"/>
      <c r="AJ770" s="18"/>
      <c r="AK770" s="18"/>
      <c r="AL770" s="18"/>
      <c r="AM770" s="18"/>
      <c r="AN770" s="18"/>
      <c r="AO770" s="18"/>
      <c r="AP770" s="18"/>
      <c r="AQ770" s="18"/>
      <c r="AR770" s="18"/>
      <c r="AS770" s="18"/>
      <c r="AT770" s="18"/>
      <c r="AU770" s="18"/>
      <c r="AV770" s="18"/>
      <c r="AW770" s="18"/>
      <c r="AX770" s="18"/>
      <c r="AY770" s="18"/>
      <c r="AZ770" s="18"/>
      <c r="BA770" s="18"/>
      <c r="BB770" s="18">
        <v>14658</v>
      </c>
      <c r="BC770" s="18"/>
      <c r="BD770" s="18"/>
      <c r="BE770" s="18"/>
      <c r="BF770" s="18"/>
      <c r="BG770" s="18"/>
      <c r="BH770" s="18"/>
      <c r="BI770" s="18"/>
      <c r="BJ770" s="18">
        <v>14658</v>
      </c>
      <c r="BK770" s="18">
        <v>14658</v>
      </c>
    </row>
    <row r="771" spans="14:63" x14ac:dyDescent="0.3">
      <c r="O771" t="s">
        <v>2019</v>
      </c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  <c r="AG771" s="18"/>
      <c r="AH771" s="18"/>
      <c r="AI771" s="18"/>
      <c r="AJ771" s="18"/>
      <c r="AK771" s="18"/>
      <c r="AL771" s="18"/>
      <c r="AM771" s="18"/>
      <c r="AN771" s="18"/>
      <c r="AO771" s="18"/>
      <c r="AP771" s="18"/>
      <c r="AQ771" s="18"/>
      <c r="AR771" s="18"/>
      <c r="AS771" s="18"/>
      <c r="AT771" s="18"/>
      <c r="AU771" s="18"/>
      <c r="AV771" s="18"/>
      <c r="AW771" s="18"/>
      <c r="AX771" s="18"/>
      <c r="AY771" s="18"/>
      <c r="AZ771" s="18"/>
      <c r="BA771" s="18"/>
      <c r="BB771" s="18">
        <v>2700</v>
      </c>
      <c r="BC771" s="18"/>
      <c r="BD771" s="18"/>
      <c r="BE771" s="18"/>
      <c r="BF771" s="18"/>
      <c r="BG771" s="18"/>
      <c r="BH771" s="18"/>
      <c r="BI771" s="18"/>
      <c r="BJ771" s="18">
        <v>2700</v>
      </c>
      <c r="BK771" s="18">
        <v>2700</v>
      </c>
    </row>
    <row r="772" spans="14:63" x14ac:dyDescent="0.3">
      <c r="O772" t="s">
        <v>2022</v>
      </c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  <c r="AG772" s="18"/>
      <c r="AH772" s="18"/>
      <c r="AI772" s="18"/>
      <c r="AJ772" s="18"/>
      <c r="AK772" s="18"/>
      <c r="AL772" s="18"/>
      <c r="AM772" s="18"/>
      <c r="AN772" s="18"/>
      <c r="AO772" s="18"/>
      <c r="AP772" s="18"/>
      <c r="AQ772" s="18"/>
      <c r="AR772" s="18"/>
      <c r="AS772" s="18"/>
      <c r="AT772" s="18"/>
      <c r="AU772" s="18"/>
      <c r="AV772" s="18"/>
      <c r="AW772" s="18"/>
      <c r="AX772" s="18"/>
      <c r="AY772" s="18"/>
      <c r="AZ772" s="18"/>
      <c r="BA772" s="18"/>
      <c r="BB772" s="18">
        <v>250</v>
      </c>
      <c r="BC772" s="18"/>
      <c r="BD772" s="18"/>
      <c r="BE772" s="18"/>
      <c r="BF772" s="18"/>
      <c r="BG772" s="18"/>
      <c r="BH772" s="18"/>
      <c r="BI772" s="18"/>
      <c r="BJ772" s="18">
        <v>250</v>
      </c>
      <c r="BK772" s="18">
        <v>250</v>
      </c>
    </row>
    <row r="773" spans="14:63" x14ac:dyDescent="0.3">
      <c r="O773" t="s">
        <v>2023</v>
      </c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  <c r="AG773" s="18"/>
      <c r="AH773" s="18"/>
      <c r="AI773" s="18"/>
      <c r="AJ773" s="18"/>
      <c r="AK773" s="18"/>
      <c r="AL773" s="18"/>
      <c r="AM773" s="18"/>
      <c r="AN773" s="18"/>
      <c r="AO773" s="18"/>
      <c r="AP773" s="18"/>
      <c r="AQ773" s="18"/>
      <c r="AR773" s="18"/>
      <c r="AS773" s="18"/>
      <c r="AT773" s="18"/>
      <c r="AU773" s="18"/>
      <c r="AV773" s="18"/>
      <c r="AW773" s="18"/>
      <c r="AX773" s="18"/>
      <c r="AY773" s="18"/>
      <c r="AZ773" s="18"/>
      <c r="BA773" s="18"/>
      <c r="BB773" s="18">
        <v>7916</v>
      </c>
      <c r="BC773" s="18"/>
      <c r="BD773" s="18"/>
      <c r="BE773" s="18"/>
      <c r="BF773" s="18"/>
      <c r="BG773" s="18"/>
      <c r="BH773" s="18"/>
      <c r="BI773" s="18"/>
      <c r="BJ773" s="18">
        <v>7916</v>
      </c>
      <c r="BK773" s="18">
        <v>7916</v>
      </c>
    </row>
    <row r="774" spans="14:63" x14ac:dyDescent="0.3">
      <c r="O774" t="s">
        <v>2034</v>
      </c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  <c r="AG774" s="18"/>
      <c r="AH774" s="18"/>
      <c r="AI774" s="18"/>
      <c r="AJ774" s="18"/>
      <c r="AK774" s="18"/>
      <c r="AL774" s="18"/>
      <c r="AM774" s="18"/>
      <c r="AN774" s="18"/>
      <c r="AO774" s="18"/>
      <c r="AP774" s="18"/>
      <c r="AQ774" s="18"/>
      <c r="AR774" s="18"/>
      <c r="AS774" s="18"/>
      <c r="AT774" s="18"/>
      <c r="AU774" s="18"/>
      <c r="AV774" s="18"/>
      <c r="AW774" s="18"/>
      <c r="AX774" s="18"/>
      <c r="AY774" s="18"/>
      <c r="AZ774" s="18"/>
      <c r="BA774" s="18"/>
      <c r="BB774" s="18">
        <v>1000</v>
      </c>
      <c r="BC774" s="18"/>
      <c r="BD774" s="18"/>
      <c r="BE774" s="18"/>
      <c r="BF774" s="18"/>
      <c r="BG774" s="18"/>
      <c r="BH774" s="18"/>
      <c r="BI774" s="18"/>
      <c r="BJ774" s="18">
        <v>1000</v>
      </c>
      <c r="BK774" s="18">
        <v>1000</v>
      </c>
    </row>
    <row r="775" spans="14:63" x14ac:dyDescent="0.3">
      <c r="O775" t="s">
        <v>2037</v>
      </c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  <c r="AG775" s="18"/>
      <c r="AH775" s="18"/>
      <c r="AI775" s="18"/>
      <c r="AJ775" s="18"/>
      <c r="AK775" s="18"/>
      <c r="AL775" s="18"/>
      <c r="AM775" s="18"/>
      <c r="AN775" s="18"/>
      <c r="AO775" s="18"/>
      <c r="AP775" s="18"/>
      <c r="AQ775" s="18"/>
      <c r="AR775" s="18"/>
      <c r="AS775" s="18"/>
      <c r="AT775" s="18"/>
      <c r="AU775" s="18"/>
      <c r="AV775" s="18"/>
      <c r="AW775" s="18"/>
      <c r="AX775" s="18"/>
      <c r="AY775" s="18"/>
      <c r="AZ775" s="18"/>
      <c r="BA775" s="18"/>
      <c r="BB775" s="18">
        <v>187.5</v>
      </c>
      <c r="BC775" s="18"/>
      <c r="BD775" s="18"/>
      <c r="BE775" s="18"/>
      <c r="BF775" s="18"/>
      <c r="BG775" s="18"/>
      <c r="BH775" s="18"/>
      <c r="BI775" s="18"/>
      <c r="BJ775" s="18">
        <v>187.5</v>
      </c>
      <c r="BK775" s="18">
        <v>187.5</v>
      </c>
    </row>
    <row r="776" spans="14:63" x14ac:dyDescent="0.3">
      <c r="O776" t="s">
        <v>2038</v>
      </c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  <c r="AG776" s="18"/>
      <c r="AH776" s="18"/>
      <c r="AI776" s="18"/>
      <c r="AJ776" s="18"/>
      <c r="AK776" s="18"/>
      <c r="AL776" s="18"/>
      <c r="AM776" s="18"/>
      <c r="AN776" s="18"/>
      <c r="AO776" s="18"/>
      <c r="AP776" s="18"/>
      <c r="AQ776" s="18"/>
      <c r="AR776" s="18"/>
      <c r="AS776" s="18"/>
      <c r="AT776" s="18"/>
      <c r="AU776" s="18"/>
      <c r="AV776" s="18"/>
      <c r="AW776" s="18"/>
      <c r="AX776" s="18"/>
      <c r="AY776" s="18"/>
      <c r="AZ776" s="18"/>
      <c r="BA776" s="18"/>
      <c r="BB776" s="18">
        <v>7440</v>
      </c>
      <c r="BC776" s="18"/>
      <c r="BD776" s="18"/>
      <c r="BE776" s="18"/>
      <c r="BF776" s="18"/>
      <c r="BG776" s="18"/>
      <c r="BH776" s="18"/>
      <c r="BI776" s="18"/>
      <c r="BJ776" s="18">
        <v>7440</v>
      </c>
      <c r="BK776" s="18">
        <v>7440</v>
      </c>
    </row>
    <row r="777" spans="14:63" x14ac:dyDescent="0.3">
      <c r="O777" t="s">
        <v>2096</v>
      </c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  <c r="AG777" s="18"/>
      <c r="AH777" s="18"/>
      <c r="AI777" s="18"/>
      <c r="AJ777" s="18"/>
      <c r="AK777" s="18"/>
      <c r="AL777" s="18"/>
      <c r="AM777" s="18"/>
      <c r="AN777" s="18"/>
      <c r="AO777" s="18"/>
      <c r="AP777" s="18"/>
      <c r="AQ777" s="18"/>
      <c r="AR777" s="18"/>
      <c r="AS777" s="18"/>
      <c r="AT777" s="18"/>
      <c r="AU777" s="18"/>
      <c r="AV777" s="18"/>
      <c r="AW777" s="18"/>
      <c r="AX777" s="18"/>
      <c r="AY777" s="18"/>
      <c r="AZ777" s="18"/>
      <c r="BA777" s="18"/>
      <c r="BB777" s="18">
        <v>1000</v>
      </c>
      <c r="BC777" s="18"/>
      <c r="BD777" s="18"/>
      <c r="BE777" s="18"/>
      <c r="BF777" s="18"/>
      <c r="BG777" s="18"/>
      <c r="BH777" s="18"/>
      <c r="BI777" s="18"/>
      <c r="BJ777" s="18">
        <v>1000</v>
      </c>
      <c r="BK777" s="18">
        <v>1000</v>
      </c>
    </row>
    <row r="778" spans="14:63" x14ac:dyDescent="0.3">
      <c r="O778" t="s">
        <v>2101</v>
      </c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  <c r="AK778" s="18"/>
      <c r="AL778" s="18"/>
      <c r="AM778" s="18"/>
      <c r="AN778" s="18"/>
      <c r="AO778" s="18"/>
      <c r="AP778" s="18"/>
      <c r="AQ778" s="18"/>
      <c r="AR778" s="18"/>
      <c r="AS778" s="18"/>
      <c r="AT778" s="18"/>
      <c r="AU778" s="18"/>
      <c r="AV778" s="18"/>
      <c r="AW778" s="18"/>
      <c r="AX778" s="18"/>
      <c r="AY778" s="18"/>
      <c r="AZ778" s="18"/>
      <c r="BA778" s="18"/>
      <c r="BB778" s="18"/>
      <c r="BC778" s="18">
        <v>437.5</v>
      </c>
      <c r="BD778" s="18"/>
      <c r="BE778" s="18"/>
      <c r="BF778" s="18"/>
      <c r="BG778" s="18"/>
      <c r="BH778" s="18"/>
      <c r="BI778" s="18"/>
      <c r="BJ778" s="18">
        <v>437.5</v>
      </c>
      <c r="BK778" s="18">
        <v>437.5</v>
      </c>
    </row>
    <row r="779" spans="14:63" x14ac:dyDescent="0.3">
      <c r="O779" t="s">
        <v>2102</v>
      </c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  <c r="AJ779" s="18"/>
      <c r="AK779" s="18"/>
      <c r="AL779" s="18"/>
      <c r="AM779" s="18"/>
      <c r="AN779" s="18"/>
      <c r="AO779" s="18"/>
      <c r="AP779" s="18"/>
      <c r="AQ779" s="18"/>
      <c r="AR779" s="18"/>
      <c r="AS779" s="18"/>
      <c r="AT779" s="18"/>
      <c r="AU779" s="18"/>
      <c r="AV779" s="18"/>
      <c r="AW779" s="18"/>
      <c r="AX779" s="18"/>
      <c r="AY779" s="18"/>
      <c r="AZ779" s="18"/>
      <c r="BA779" s="18"/>
      <c r="BB779" s="18"/>
      <c r="BC779" s="18">
        <v>19024</v>
      </c>
      <c r="BD779" s="18"/>
      <c r="BE779" s="18"/>
      <c r="BF779" s="18"/>
      <c r="BG779" s="18"/>
      <c r="BH779" s="18"/>
      <c r="BI779" s="18"/>
      <c r="BJ779" s="18">
        <v>19024</v>
      </c>
      <c r="BK779" s="18">
        <v>19024</v>
      </c>
    </row>
    <row r="780" spans="14:63" x14ac:dyDescent="0.3">
      <c r="O780" t="s">
        <v>2107</v>
      </c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  <c r="AG780" s="18"/>
      <c r="AH780" s="18"/>
      <c r="AI780" s="18"/>
      <c r="AJ780" s="18"/>
      <c r="AK780" s="18"/>
      <c r="AL780" s="18"/>
      <c r="AM780" s="18"/>
      <c r="AN780" s="18"/>
      <c r="AO780" s="18"/>
      <c r="AP780" s="18"/>
      <c r="AQ780" s="18"/>
      <c r="AR780" s="18"/>
      <c r="AS780" s="18"/>
      <c r="AT780" s="18"/>
      <c r="AU780" s="18"/>
      <c r="AV780" s="18"/>
      <c r="AW780" s="18"/>
      <c r="AX780" s="18"/>
      <c r="AY780" s="18"/>
      <c r="AZ780" s="18"/>
      <c r="BA780" s="18"/>
      <c r="BB780" s="18"/>
      <c r="BC780" s="18">
        <v>1000</v>
      </c>
      <c r="BD780" s="18"/>
      <c r="BE780" s="18"/>
      <c r="BF780" s="18"/>
      <c r="BG780" s="18"/>
      <c r="BH780" s="18"/>
      <c r="BI780" s="18"/>
      <c r="BJ780" s="18">
        <v>1000</v>
      </c>
      <c r="BK780" s="18">
        <v>1000</v>
      </c>
    </row>
    <row r="781" spans="14:63" x14ac:dyDescent="0.3">
      <c r="O781" t="s">
        <v>2108</v>
      </c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  <c r="AF781" s="18"/>
      <c r="AG781" s="18"/>
      <c r="AH781" s="18"/>
      <c r="AI781" s="18"/>
      <c r="AJ781" s="18"/>
      <c r="AK781" s="18"/>
      <c r="AL781" s="18"/>
      <c r="AM781" s="18"/>
      <c r="AN781" s="18"/>
      <c r="AO781" s="18"/>
      <c r="AP781" s="18"/>
      <c r="AQ781" s="18"/>
      <c r="AR781" s="18"/>
      <c r="AS781" s="18"/>
      <c r="AT781" s="18"/>
      <c r="AU781" s="18"/>
      <c r="AV781" s="18"/>
      <c r="AW781" s="18"/>
      <c r="AX781" s="18"/>
      <c r="AY781" s="18"/>
      <c r="AZ781" s="18"/>
      <c r="BA781" s="18"/>
      <c r="BB781" s="18"/>
      <c r="BC781" s="18">
        <v>125</v>
      </c>
      <c r="BD781" s="18"/>
      <c r="BE781" s="18"/>
      <c r="BF781" s="18"/>
      <c r="BG781" s="18"/>
      <c r="BH781" s="18"/>
      <c r="BI781" s="18"/>
      <c r="BJ781" s="18">
        <v>125</v>
      </c>
      <c r="BK781" s="18">
        <v>125</v>
      </c>
    </row>
    <row r="782" spans="14:63" x14ac:dyDescent="0.3">
      <c r="O782" t="s">
        <v>2109</v>
      </c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  <c r="AF782" s="18"/>
      <c r="AG782" s="18"/>
      <c r="AH782" s="18"/>
      <c r="AI782" s="18"/>
      <c r="AJ782" s="18"/>
      <c r="AK782" s="18"/>
      <c r="AL782" s="18"/>
      <c r="AM782" s="18"/>
      <c r="AN782" s="18"/>
      <c r="AO782" s="18"/>
      <c r="AP782" s="18"/>
      <c r="AQ782" s="18"/>
      <c r="AR782" s="18"/>
      <c r="AS782" s="18"/>
      <c r="AT782" s="18"/>
      <c r="AU782" s="18"/>
      <c r="AV782" s="18"/>
      <c r="AW782" s="18"/>
      <c r="AX782" s="18"/>
      <c r="AY782" s="18"/>
      <c r="AZ782" s="18"/>
      <c r="BA782" s="18"/>
      <c r="BB782" s="18"/>
      <c r="BC782" s="18">
        <v>6201.6</v>
      </c>
      <c r="BD782" s="18"/>
      <c r="BE782" s="18"/>
      <c r="BF782" s="18"/>
      <c r="BG782" s="18"/>
      <c r="BH782" s="18"/>
      <c r="BI782" s="18"/>
      <c r="BJ782" s="18">
        <v>6201.6</v>
      </c>
      <c r="BK782" s="18">
        <v>6201.6</v>
      </c>
    </row>
    <row r="783" spans="14:63" x14ac:dyDescent="0.3">
      <c r="O783" t="s">
        <v>2117</v>
      </c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  <c r="AG783" s="18"/>
      <c r="AH783" s="18"/>
      <c r="AI783" s="18"/>
      <c r="AJ783" s="18"/>
      <c r="AK783" s="18"/>
      <c r="AL783" s="18"/>
      <c r="AM783" s="18"/>
      <c r="AN783" s="18"/>
      <c r="AO783" s="18"/>
      <c r="AP783" s="18"/>
      <c r="AQ783" s="18"/>
      <c r="AR783" s="18"/>
      <c r="AS783" s="18"/>
      <c r="AT783" s="18"/>
      <c r="AU783" s="18"/>
      <c r="AV783" s="18"/>
      <c r="AW783" s="18"/>
      <c r="AX783" s="18"/>
      <c r="AY783" s="18"/>
      <c r="AZ783" s="18"/>
      <c r="BA783" s="18"/>
      <c r="BB783" s="18"/>
      <c r="BC783" s="18">
        <v>62.5</v>
      </c>
      <c r="BD783" s="18"/>
      <c r="BE783" s="18"/>
      <c r="BF783" s="18"/>
      <c r="BG783" s="18"/>
      <c r="BH783" s="18"/>
      <c r="BI783" s="18"/>
      <c r="BJ783" s="18">
        <v>62.5</v>
      </c>
      <c r="BK783" s="18">
        <v>62.5</v>
      </c>
    </row>
    <row r="784" spans="14:63" x14ac:dyDescent="0.3">
      <c r="O784" t="s">
        <v>2118</v>
      </c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  <c r="AH784" s="18"/>
      <c r="AI784" s="18"/>
      <c r="AJ784" s="18"/>
      <c r="AK784" s="18"/>
      <c r="AL784" s="18"/>
      <c r="AM784" s="18"/>
      <c r="AN784" s="18"/>
      <c r="AO784" s="18"/>
      <c r="AP784" s="18"/>
      <c r="AQ784" s="18"/>
      <c r="AR784" s="18"/>
      <c r="AS784" s="18"/>
      <c r="AT784" s="18"/>
      <c r="AU784" s="18"/>
      <c r="AV784" s="18"/>
      <c r="AW784" s="18"/>
      <c r="AX784" s="18"/>
      <c r="AY784" s="18"/>
      <c r="AZ784" s="18"/>
      <c r="BA784" s="18"/>
      <c r="BB784" s="18"/>
      <c r="BC784" s="18">
        <v>2717.8</v>
      </c>
      <c r="BD784" s="18"/>
      <c r="BE784" s="18"/>
      <c r="BF784" s="18"/>
      <c r="BG784" s="18"/>
      <c r="BH784" s="18"/>
      <c r="BI784" s="18"/>
      <c r="BJ784" s="18">
        <v>2717.8</v>
      </c>
      <c r="BK784" s="18">
        <v>2717.8</v>
      </c>
    </row>
    <row r="785" spans="15:63" x14ac:dyDescent="0.3">
      <c r="O785" t="s">
        <v>2120</v>
      </c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  <c r="AG785" s="18"/>
      <c r="AH785" s="18"/>
      <c r="AI785" s="18"/>
      <c r="AJ785" s="18"/>
      <c r="AK785" s="18"/>
      <c r="AL785" s="18"/>
      <c r="AM785" s="18"/>
      <c r="AN785" s="18"/>
      <c r="AO785" s="18"/>
      <c r="AP785" s="18"/>
      <c r="AQ785" s="18"/>
      <c r="AR785" s="18"/>
      <c r="AS785" s="18"/>
      <c r="AT785" s="18"/>
      <c r="AU785" s="18"/>
      <c r="AV785" s="18"/>
      <c r="AW785" s="18"/>
      <c r="AX785" s="18"/>
      <c r="AY785" s="18"/>
      <c r="AZ785" s="18"/>
      <c r="BA785" s="18"/>
      <c r="BB785" s="18"/>
      <c r="BC785" s="18">
        <v>125</v>
      </c>
      <c r="BD785" s="18"/>
      <c r="BE785" s="18"/>
      <c r="BF785" s="18"/>
      <c r="BG785" s="18"/>
      <c r="BH785" s="18"/>
      <c r="BI785" s="18"/>
      <c r="BJ785" s="18">
        <v>125</v>
      </c>
      <c r="BK785" s="18">
        <v>125</v>
      </c>
    </row>
    <row r="786" spans="15:63" x14ac:dyDescent="0.3">
      <c r="O786" t="s">
        <v>2121</v>
      </c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  <c r="AG786" s="18"/>
      <c r="AH786" s="18"/>
      <c r="AI786" s="18"/>
      <c r="AJ786" s="18"/>
      <c r="AK786" s="18"/>
      <c r="AL786" s="18"/>
      <c r="AM786" s="18"/>
      <c r="AN786" s="18"/>
      <c r="AO786" s="18"/>
      <c r="AP786" s="18"/>
      <c r="AQ786" s="18"/>
      <c r="AR786" s="18"/>
      <c r="AS786" s="18"/>
      <c r="AT786" s="18"/>
      <c r="AU786" s="18"/>
      <c r="AV786" s="18"/>
      <c r="AW786" s="18"/>
      <c r="AX786" s="18"/>
      <c r="AY786" s="18"/>
      <c r="AZ786" s="18"/>
      <c r="BA786" s="18"/>
      <c r="BB786" s="18"/>
      <c r="BC786" s="18">
        <v>3212</v>
      </c>
      <c r="BD786" s="18"/>
      <c r="BE786" s="18"/>
      <c r="BF786" s="18"/>
      <c r="BG786" s="18"/>
      <c r="BH786" s="18"/>
      <c r="BI786" s="18"/>
      <c r="BJ786" s="18">
        <v>3212</v>
      </c>
      <c r="BK786" s="18">
        <v>3212</v>
      </c>
    </row>
    <row r="787" spans="15:63" x14ac:dyDescent="0.3">
      <c r="O787" t="s">
        <v>2123</v>
      </c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  <c r="AG787" s="18"/>
      <c r="AH787" s="18"/>
      <c r="AI787" s="18"/>
      <c r="AJ787" s="18"/>
      <c r="AK787" s="18"/>
      <c r="AL787" s="18"/>
      <c r="AM787" s="18"/>
      <c r="AN787" s="18"/>
      <c r="AO787" s="18"/>
      <c r="AP787" s="18"/>
      <c r="AQ787" s="18"/>
      <c r="AR787" s="18"/>
      <c r="AS787" s="18"/>
      <c r="AT787" s="18"/>
      <c r="AU787" s="18"/>
      <c r="AV787" s="18"/>
      <c r="AW787" s="18"/>
      <c r="AX787" s="18"/>
      <c r="AY787" s="18"/>
      <c r="AZ787" s="18"/>
      <c r="BA787" s="18"/>
      <c r="BB787" s="18"/>
      <c r="BC787" s="18">
        <v>187.5</v>
      </c>
      <c r="BD787" s="18"/>
      <c r="BE787" s="18"/>
      <c r="BF787" s="18"/>
      <c r="BG787" s="18"/>
      <c r="BH787" s="18"/>
      <c r="BI787" s="18"/>
      <c r="BJ787" s="18">
        <v>187.5</v>
      </c>
      <c r="BK787" s="18">
        <v>187.5</v>
      </c>
    </row>
    <row r="788" spans="15:63" x14ac:dyDescent="0.3">
      <c r="O788" t="s">
        <v>2124</v>
      </c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  <c r="AG788" s="18"/>
      <c r="AH788" s="18"/>
      <c r="AI788" s="18"/>
      <c r="AJ788" s="18"/>
      <c r="AK788" s="18"/>
      <c r="AL788" s="18"/>
      <c r="AM788" s="18"/>
      <c r="AN788" s="18"/>
      <c r="AO788" s="18"/>
      <c r="AP788" s="18"/>
      <c r="AQ788" s="18"/>
      <c r="AR788" s="18"/>
      <c r="AS788" s="18"/>
      <c r="AT788" s="18"/>
      <c r="AU788" s="18"/>
      <c r="AV788" s="18"/>
      <c r="AW788" s="18"/>
      <c r="AX788" s="18"/>
      <c r="AY788" s="18"/>
      <c r="AZ788" s="18"/>
      <c r="BA788" s="18"/>
      <c r="BB788" s="18"/>
      <c r="BC788" s="18">
        <v>8685.4</v>
      </c>
      <c r="BD788" s="18"/>
      <c r="BE788" s="18"/>
      <c r="BF788" s="18"/>
      <c r="BG788" s="18"/>
      <c r="BH788" s="18"/>
      <c r="BI788" s="18"/>
      <c r="BJ788" s="18">
        <v>8685.4</v>
      </c>
      <c r="BK788" s="18">
        <v>8685.4</v>
      </c>
    </row>
    <row r="789" spans="15:63" x14ac:dyDescent="0.3">
      <c r="O789" t="s">
        <v>2127</v>
      </c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  <c r="AG789" s="18"/>
      <c r="AH789" s="18"/>
      <c r="AI789" s="18"/>
      <c r="AJ789" s="18"/>
      <c r="AK789" s="18"/>
      <c r="AL789" s="18"/>
      <c r="AM789" s="18"/>
      <c r="AN789" s="18"/>
      <c r="AO789" s="18"/>
      <c r="AP789" s="18"/>
      <c r="AQ789" s="18"/>
      <c r="AR789" s="18"/>
      <c r="AS789" s="18"/>
      <c r="AT789" s="18"/>
      <c r="AU789" s="18"/>
      <c r="AV789" s="18"/>
      <c r="AW789" s="18"/>
      <c r="AX789" s="18"/>
      <c r="AY789" s="18"/>
      <c r="AZ789" s="18"/>
      <c r="BA789" s="18"/>
      <c r="BB789" s="18"/>
      <c r="BC789" s="18">
        <v>187.5</v>
      </c>
      <c r="BD789" s="18"/>
      <c r="BE789" s="18"/>
      <c r="BF789" s="18"/>
      <c r="BG789" s="18"/>
      <c r="BH789" s="18"/>
      <c r="BI789" s="18"/>
      <c r="BJ789" s="18">
        <v>187.5</v>
      </c>
      <c r="BK789" s="18">
        <v>187.5</v>
      </c>
    </row>
    <row r="790" spans="15:63" x14ac:dyDescent="0.3">
      <c r="O790" t="s">
        <v>2128</v>
      </c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  <c r="AF790" s="18"/>
      <c r="AG790" s="18"/>
      <c r="AH790" s="18"/>
      <c r="AI790" s="18"/>
      <c r="AJ790" s="18"/>
      <c r="AK790" s="18"/>
      <c r="AL790" s="18"/>
      <c r="AM790" s="18"/>
      <c r="AN790" s="18"/>
      <c r="AO790" s="18"/>
      <c r="AP790" s="18"/>
      <c r="AQ790" s="18"/>
      <c r="AR790" s="18"/>
      <c r="AS790" s="18"/>
      <c r="AT790" s="18"/>
      <c r="AU790" s="18"/>
      <c r="AV790" s="18"/>
      <c r="AW790" s="18"/>
      <c r="AX790" s="18"/>
      <c r="AY790" s="18"/>
      <c r="AZ790" s="18"/>
      <c r="BA790" s="18"/>
      <c r="BB790" s="18"/>
      <c r="BC790" s="18">
        <v>8065.4</v>
      </c>
      <c r="BD790" s="18"/>
      <c r="BE790" s="18"/>
      <c r="BF790" s="18"/>
      <c r="BG790" s="18"/>
      <c r="BH790" s="18"/>
      <c r="BI790" s="18"/>
      <c r="BJ790" s="18">
        <v>8065.4</v>
      </c>
      <c r="BK790" s="18">
        <v>8065.4</v>
      </c>
    </row>
    <row r="791" spans="15:63" x14ac:dyDescent="0.3">
      <c r="O791" t="s">
        <v>2163</v>
      </c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G791" s="18"/>
      <c r="AH791" s="18"/>
      <c r="AI791" s="18"/>
      <c r="AJ791" s="18"/>
      <c r="AK791" s="18"/>
      <c r="AL791" s="18"/>
      <c r="AM791" s="18"/>
      <c r="AN791" s="18"/>
      <c r="AO791" s="18"/>
      <c r="AP791" s="18"/>
      <c r="AQ791" s="18"/>
      <c r="AR791" s="18"/>
      <c r="AS791" s="18"/>
      <c r="AT791" s="18"/>
      <c r="AU791" s="18"/>
      <c r="AV791" s="18"/>
      <c r="AW791" s="18"/>
      <c r="AX791" s="18"/>
      <c r="AY791" s="18"/>
      <c r="AZ791" s="18"/>
      <c r="BA791" s="18"/>
      <c r="BB791" s="18"/>
      <c r="BC791" s="18"/>
      <c r="BD791" s="18">
        <v>125</v>
      </c>
      <c r="BE791" s="18"/>
      <c r="BF791" s="18"/>
      <c r="BG791" s="18"/>
      <c r="BH791" s="18"/>
      <c r="BI791" s="18"/>
      <c r="BJ791" s="18">
        <v>125</v>
      </c>
      <c r="BK791" s="18">
        <v>125</v>
      </c>
    </row>
    <row r="792" spans="15:63" x14ac:dyDescent="0.3">
      <c r="O792" t="s">
        <v>2164</v>
      </c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  <c r="AG792" s="18"/>
      <c r="AH792" s="18"/>
      <c r="AI792" s="18"/>
      <c r="AJ792" s="18"/>
      <c r="AK792" s="18"/>
      <c r="AL792" s="18"/>
      <c r="AM792" s="18"/>
      <c r="AN792" s="18"/>
      <c r="AO792" s="18"/>
      <c r="AP792" s="18"/>
      <c r="AQ792" s="18"/>
      <c r="AR792" s="18"/>
      <c r="AS792" s="18"/>
      <c r="AT792" s="18"/>
      <c r="AU792" s="18"/>
      <c r="AV792" s="18"/>
      <c r="AW792" s="18"/>
      <c r="AX792" s="18"/>
      <c r="AY792" s="18"/>
      <c r="AZ792" s="18"/>
      <c r="BA792" s="18"/>
      <c r="BB792" s="18"/>
      <c r="BC792" s="18"/>
      <c r="BD792" s="18">
        <v>4784</v>
      </c>
      <c r="BE792" s="18"/>
      <c r="BF792" s="18"/>
      <c r="BG792" s="18"/>
      <c r="BH792" s="18"/>
      <c r="BI792" s="18"/>
      <c r="BJ792" s="18">
        <v>4784</v>
      </c>
      <c r="BK792" s="18">
        <v>4784</v>
      </c>
    </row>
    <row r="793" spans="15:63" x14ac:dyDescent="0.3">
      <c r="O793" t="s">
        <v>2168</v>
      </c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  <c r="AF793" s="18"/>
      <c r="AG793" s="18"/>
      <c r="AH793" s="18"/>
      <c r="AI793" s="18"/>
      <c r="AJ793" s="18"/>
      <c r="AK793" s="18"/>
      <c r="AL793" s="18"/>
      <c r="AM793" s="18"/>
      <c r="AN793" s="18"/>
      <c r="AO793" s="18"/>
      <c r="AP793" s="18"/>
      <c r="AQ793" s="18"/>
      <c r="AR793" s="18"/>
      <c r="AS793" s="18"/>
      <c r="AT793" s="18"/>
      <c r="AU793" s="18"/>
      <c r="AV793" s="18"/>
      <c r="AW793" s="18"/>
      <c r="AX793" s="18"/>
      <c r="AY793" s="18"/>
      <c r="AZ793" s="18"/>
      <c r="BA793" s="18"/>
      <c r="BB793" s="18"/>
      <c r="BC793" s="18"/>
      <c r="BD793" s="18">
        <v>250</v>
      </c>
      <c r="BE793" s="18"/>
      <c r="BF793" s="18"/>
      <c r="BG793" s="18"/>
      <c r="BH793" s="18"/>
      <c r="BI793" s="18"/>
      <c r="BJ793" s="18">
        <v>250</v>
      </c>
      <c r="BK793" s="18">
        <v>250</v>
      </c>
    </row>
    <row r="794" spans="15:63" x14ac:dyDescent="0.3">
      <c r="O794" t="s">
        <v>2169</v>
      </c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  <c r="AG794" s="18"/>
      <c r="AH794" s="18"/>
      <c r="AI794" s="18"/>
      <c r="AJ794" s="18"/>
      <c r="AK794" s="18"/>
      <c r="AL794" s="18"/>
      <c r="AM794" s="18"/>
      <c r="AN794" s="18"/>
      <c r="AO794" s="18"/>
      <c r="AP794" s="18"/>
      <c r="AQ794" s="18"/>
      <c r="AR794" s="18"/>
      <c r="AS794" s="18"/>
      <c r="AT794" s="18"/>
      <c r="AU794" s="18"/>
      <c r="AV794" s="18"/>
      <c r="AW794" s="18"/>
      <c r="AX794" s="18"/>
      <c r="AY794" s="18"/>
      <c r="AZ794" s="18"/>
      <c r="BA794" s="18"/>
      <c r="BB794" s="18"/>
      <c r="BC794" s="18"/>
      <c r="BD794" s="18">
        <v>9682</v>
      </c>
      <c r="BE794" s="18"/>
      <c r="BF794" s="18"/>
      <c r="BG794" s="18"/>
      <c r="BH794" s="18"/>
      <c r="BI794" s="18"/>
      <c r="BJ794" s="18">
        <v>9682</v>
      </c>
      <c r="BK794" s="18">
        <v>9682</v>
      </c>
    </row>
    <row r="795" spans="15:63" x14ac:dyDescent="0.3">
      <c r="O795" t="s">
        <v>2174</v>
      </c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  <c r="AG795" s="18"/>
      <c r="AH795" s="18"/>
      <c r="AI795" s="18"/>
      <c r="AJ795" s="18"/>
      <c r="AK795" s="18"/>
      <c r="AL795" s="18"/>
      <c r="AM795" s="18"/>
      <c r="AN795" s="18"/>
      <c r="AO795" s="18"/>
      <c r="AP795" s="18"/>
      <c r="AQ795" s="18"/>
      <c r="AR795" s="18"/>
      <c r="AS795" s="18"/>
      <c r="AT795" s="18"/>
      <c r="AU795" s="18"/>
      <c r="AV795" s="18"/>
      <c r="AW795" s="18"/>
      <c r="AX795" s="18"/>
      <c r="AY795" s="18"/>
      <c r="AZ795" s="18"/>
      <c r="BA795" s="18"/>
      <c r="BB795" s="18"/>
      <c r="BC795" s="18"/>
      <c r="BD795" s="18">
        <v>250</v>
      </c>
      <c r="BE795" s="18"/>
      <c r="BF795" s="18"/>
      <c r="BG795" s="18"/>
      <c r="BH795" s="18"/>
      <c r="BI795" s="18"/>
      <c r="BJ795" s="18">
        <v>250</v>
      </c>
      <c r="BK795" s="18">
        <v>250</v>
      </c>
    </row>
    <row r="796" spans="15:63" x14ac:dyDescent="0.3">
      <c r="O796" t="s">
        <v>2175</v>
      </c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  <c r="AG796" s="18"/>
      <c r="AH796" s="18"/>
      <c r="AI796" s="18"/>
      <c r="AJ796" s="18"/>
      <c r="AK796" s="18"/>
      <c r="AL796" s="18"/>
      <c r="AM796" s="18"/>
      <c r="AN796" s="18"/>
      <c r="AO796" s="18"/>
      <c r="AP796" s="18"/>
      <c r="AQ796" s="18"/>
      <c r="AR796" s="18"/>
      <c r="AS796" s="18"/>
      <c r="AT796" s="18"/>
      <c r="AU796" s="18"/>
      <c r="AV796" s="18"/>
      <c r="AW796" s="18"/>
      <c r="AX796" s="18"/>
      <c r="AY796" s="18"/>
      <c r="AZ796" s="18"/>
      <c r="BA796" s="18"/>
      <c r="BB796" s="18"/>
      <c r="BC796" s="18"/>
      <c r="BD796" s="18">
        <v>10725</v>
      </c>
      <c r="BE796" s="18"/>
      <c r="BF796" s="18"/>
      <c r="BG796" s="18"/>
      <c r="BH796" s="18"/>
      <c r="BI796" s="18"/>
      <c r="BJ796" s="18">
        <v>10725</v>
      </c>
      <c r="BK796" s="18">
        <v>10725</v>
      </c>
    </row>
    <row r="797" spans="15:63" x14ac:dyDescent="0.3">
      <c r="O797" t="s">
        <v>2177</v>
      </c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  <c r="AG797" s="18"/>
      <c r="AH797" s="18"/>
      <c r="AI797" s="18"/>
      <c r="AJ797" s="18"/>
      <c r="AK797" s="18"/>
      <c r="AL797" s="18"/>
      <c r="AM797" s="18"/>
      <c r="AN797" s="18"/>
      <c r="AO797" s="18"/>
      <c r="AP797" s="18"/>
      <c r="AQ797" s="18"/>
      <c r="AR797" s="18"/>
      <c r="AS797" s="18"/>
      <c r="AT797" s="18"/>
      <c r="AU797" s="18"/>
      <c r="AV797" s="18"/>
      <c r="AW797" s="18"/>
      <c r="AX797" s="18"/>
      <c r="AY797" s="18"/>
      <c r="AZ797" s="18"/>
      <c r="BA797" s="18"/>
      <c r="BB797" s="18"/>
      <c r="BC797" s="18"/>
      <c r="BD797" s="18">
        <v>125</v>
      </c>
      <c r="BE797" s="18"/>
      <c r="BF797" s="18"/>
      <c r="BG797" s="18"/>
      <c r="BH797" s="18"/>
      <c r="BI797" s="18"/>
      <c r="BJ797" s="18">
        <v>125</v>
      </c>
      <c r="BK797" s="18">
        <v>125</v>
      </c>
    </row>
    <row r="798" spans="15:63" x14ac:dyDescent="0.3">
      <c r="O798" t="s">
        <v>2178</v>
      </c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  <c r="AG798" s="18"/>
      <c r="AH798" s="18"/>
      <c r="AI798" s="18"/>
      <c r="AJ798" s="18"/>
      <c r="AK798" s="18"/>
      <c r="AL798" s="18"/>
      <c r="AM798" s="18"/>
      <c r="AN798" s="18"/>
      <c r="AO798" s="18"/>
      <c r="AP798" s="18"/>
      <c r="AQ798" s="18"/>
      <c r="AR798" s="18"/>
      <c r="AS798" s="18"/>
      <c r="AT798" s="18"/>
      <c r="AU798" s="18"/>
      <c r="AV798" s="18"/>
      <c r="AW798" s="18"/>
      <c r="AX798" s="18"/>
      <c r="AY798" s="18"/>
      <c r="AZ798" s="18"/>
      <c r="BA798" s="18"/>
      <c r="BB798" s="18"/>
      <c r="BC798" s="18"/>
      <c r="BD798" s="18">
        <v>6650.2</v>
      </c>
      <c r="BE798" s="18"/>
      <c r="BF798" s="18"/>
      <c r="BG798" s="18"/>
      <c r="BH798" s="18"/>
      <c r="BI798" s="18"/>
      <c r="BJ798" s="18">
        <v>6650.2</v>
      </c>
      <c r="BK798" s="18">
        <v>6650.2</v>
      </c>
    </row>
    <row r="799" spans="15:63" x14ac:dyDescent="0.3">
      <c r="O799" t="s">
        <v>2183</v>
      </c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  <c r="AB799" s="18"/>
      <c r="AC799" s="18"/>
      <c r="AD799" s="18"/>
      <c r="AE799" s="18"/>
      <c r="AF799" s="18"/>
      <c r="AG799" s="18"/>
      <c r="AH799" s="18"/>
      <c r="AI799" s="18"/>
      <c r="AJ799" s="18"/>
      <c r="AK799" s="18"/>
      <c r="AL799" s="18"/>
      <c r="AM799" s="18"/>
      <c r="AN799" s="18"/>
      <c r="AO799" s="18"/>
      <c r="AP799" s="18"/>
      <c r="AQ799" s="18"/>
      <c r="AR799" s="18"/>
      <c r="AS799" s="18"/>
      <c r="AT799" s="18"/>
      <c r="AU799" s="18"/>
      <c r="AV799" s="18"/>
      <c r="AW799" s="18"/>
      <c r="AX799" s="18"/>
      <c r="AY799" s="18"/>
      <c r="AZ799" s="18"/>
      <c r="BA799" s="18"/>
      <c r="BB799" s="18"/>
      <c r="BC799" s="18"/>
      <c r="BD799" s="18">
        <v>250</v>
      </c>
      <c r="BE799" s="18"/>
      <c r="BF799" s="18"/>
      <c r="BG799" s="18"/>
      <c r="BH799" s="18"/>
      <c r="BI799" s="18"/>
      <c r="BJ799" s="18">
        <v>250</v>
      </c>
      <c r="BK799" s="18">
        <v>250</v>
      </c>
    </row>
    <row r="800" spans="15:63" x14ac:dyDescent="0.3">
      <c r="O800" t="s">
        <v>2184</v>
      </c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/>
      <c r="AF800" s="18"/>
      <c r="AG800" s="18"/>
      <c r="AH800" s="18"/>
      <c r="AI800" s="18"/>
      <c r="AJ800" s="18"/>
      <c r="AK800" s="18"/>
      <c r="AL800" s="18"/>
      <c r="AM800" s="18"/>
      <c r="AN800" s="18"/>
      <c r="AO800" s="18"/>
      <c r="AP800" s="18"/>
      <c r="AQ800" s="18"/>
      <c r="AR800" s="18"/>
      <c r="AS800" s="18"/>
      <c r="AT800" s="18"/>
      <c r="AU800" s="18"/>
      <c r="AV800" s="18"/>
      <c r="AW800" s="18"/>
      <c r="AX800" s="18"/>
      <c r="AY800" s="18"/>
      <c r="AZ800" s="18"/>
      <c r="BA800" s="18"/>
      <c r="BB800" s="18"/>
      <c r="BC800" s="18"/>
      <c r="BD800" s="18">
        <v>10539.6</v>
      </c>
      <c r="BE800" s="18"/>
      <c r="BF800" s="18"/>
      <c r="BG800" s="18"/>
      <c r="BH800" s="18"/>
      <c r="BI800" s="18"/>
      <c r="BJ800" s="18">
        <v>10539.6</v>
      </c>
      <c r="BK800" s="18">
        <v>10539.6</v>
      </c>
    </row>
    <row r="801" spans="14:63" x14ac:dyDescent="0.3">
      <c r="O801" t="s">
        <v>2190</v>
      </c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/>
      <c r="AF801" s="18"/>
      <c r="AG801" s="18"/>
      <c r="AH801" s="18"/>
      <c r="AI801" s="18"/>
      <c r="AJ801" s="18"/>
      <c r="AK801" s="18"/>
      <c r="AL801" s="18"/>
      <c r="AM801" s="18"/>
      <c r="AN801" s="18"/>
      <c r="AO801" s="18"/>
      <c r="AP801" s="18"/>
      <c r="AQ801" s="18"/>
      <c r="AR801" s="18"/>
      <c r="AS801" s="18"/>
      <c r="AT801" s="18"/>
      <c r="AU801" s="18"/>
      <c r="AV801" s="18"/>
      <c r="AW801" s="18"/>
      <c r="AX801" s="18"/>
      <c r="AY801" s="18"/>
      <c r="AZ801" s="18"/>
      <c r="BA801" s="18"/>
      <c r="BB801" s="18"/>
      <c r="BC801" s="18"/>
      <c r="BD801" s="18">
        <v>250</v>
      </c>
      <c r="BE801" s="18"/>
      <c r="BF801" s="18"/>
      <c r="BG801" s="18"/>
      <c r="BH801" s="18"/>
      <c r="BI801" s="18"/>
      <c r="BJ801" s="18">
        <v>250</v>
      </c>
      <c r="BK801" s="18">
        <v>250</v>
      </c>
    </row>
    <row r="802" spans="14:63" x14ac:dyDescent="0.3">
      <c r="O802" t="s">
        <v>2191</v>
      </c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/>
      <c r="AF802" s="18"/>
      <c r="AG802" s="18"/>
      <c r="AH802" s="18"/>
      <c r="AI802" s="18"/>
      <c r="AJ802" s="18"/>
      <c r="AK802" s="18"/>
      <c r="AL802" s="18"/>
      <c r="AM802" s="18"/>
      <c r="AN802" s="18"/>
      <c r="AO802" s="18"/>
      <c r="AP802" s="18"/>
      <c r="AQ802" s="18"/>
      <c r="AR802" s="18"/>
      <c r="AS802" s="18"/>
      <c r="AT802" s="18"/>
      <c r="AU802" s="18"/>
      <c r="AV802" s="18"/>
      <c r="AW802" s="18"/>
      <c r="AX802" s="18"/>
      <c r="AY802" s="18"/>
      <c r="AZ802" s="18"/>
      <c r="BA802" s="18"/>
      <c r="BB802" s="18"/>
      <c r="BC802" s="18"/>
      <c r="BD802" s="18">
        <v>11783.2</v>
      </c>
      <c r="BE802" s="18"/>
      <c r="BF802" s="18"/>
      <c r="BG802" s="18"/>
      <c r="BH802" s="18"/>
      <c r="BI802" s="18"/>
      <c r="BJ802" s="18">
        <v>11783.2</v>
      </c>
      <c r="BK802" s="18">
        <v>11783.2</v>
      </c>
    </row>
    <row r="803" spans="14:63" x14ac:dyDescent="0.3">
      <c r="O803" t="s">
        <v>2196</v>
      </c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/>
      <c r="AG803" s="18"/>
      <c r="AH803" s="18"/>
      <c r="AI803" s="18"/>
      <c r="AJ803" s="18"/>
      <c r="AK803" s="18"/>
      <c r="AL803" s="18"/>
      <c r="AM803" s="18"/>
      <c r="AN803" s="18"/>
      <c r="AO803" s="18"/>
      <c r="AP803" s="18"/>
      <c r="AQ803" s="18"/>
      <c r="AR803" s="18"/>
      <c r="AS803" s="18"/>
      <c r="AT803" s="18"/>
      <c r="AU803" s="18"/>
      <c r="AV803" s="18"/>
      <c r="AW803" s="18"/>
      <c r="AX803" s="18"/>
      <c r="AY803" s="18"/>
      <c r="AZ803" s="18"/>
      <c r="BA803" s="18"/>
      <c r="BB803" s="18"/>
      <c r="BC803" s="18"/>
      <c r="BD803" s="18">
        <v>312.5</v>
      </c>
      <c r="BE803" s="18"/>
      <c r="BF803" s="18"/>
      <c r="BG803" s="18"/>
      <c r="BH803" s="18"/>
      <c r="BI803" s="18"/>
      <c r="BJ803" s="18">
        <v>312.5</v>
      </c>
      <c r="BK803" s="18">
        <v>312.5</v>
      </c>
    </row>
    <row r="804" spans="14:63" x14ac:dyDescent="0.3">
      <c r="O804" t="s">
        <v>2197</v>
      </c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  <c r="AG804" s="18"/>
      <c r="AH804" s="18"/>
      <c r="AI804" s="18"/>
      <c r="AJ804" s="18"/>
      <c r="AK804" s="18"/>
      <c r="AL804" s="18"/>
      <c r="AM804" s="18"/>
      <c r="AN804" s="18"/>
      <c r="AO804" s="18"/>
      <c r="AP804" s="18"/>
      <c r="AQ804" s="18"/>
      <c r="AR804" s="18"/>
      <c r="AS804" s="18"/>
      <c r="AT804" s="18"/>
      <c r="AU804" s="18"/>
      <c r="AV804" s="18"/>
      <c r="AW804" s="18"/>
      <c r="AX804" s="18"/>
      <c r="AY804" s="18"/>
      <c r="AZ804" s="18"/>
      <c r="BA804" s="18"/>
      <c r="BB804" s="18"/>
      <c r="BC804" s="18"/>
      <c r="BD804" s="18">
        <v>12348</v>
      </c>
      <c r="BE804" s="18"/>
      <c r="BF804" s="18"/>
      <c r="BG804" s="18"/>
      <c r="BH804" s="18"/>
      <c r="BI804" s="18"/>
      <c r="BJ804" s="18">
        <v>12348</v>
      </c>
      <c r="BK804" s="18">
        <v>12348</v>
      </c>
    </row>
    <row r="805" spans="14:63" x14ac:dyDescent="0.3">
      <c r="O805" t="s">
        <v>2198</v>
      </c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/>
      <c r="AC805" s="18"/>
      <c r="AD805" s="18"/>
      <c r="AE805" s="18"/>
      <c r="AF805" s="18"/>
      <c r="AG805" s="18"/>
      <c r="AH805" s="18"/>
      <c r="AI805" s="18"/>
      <c r="AJ805" s="18"/>
      <c r="AK805" s="18"/>
      <c r="AL805" s="18"/>
      <c r="AM805" s="18"/>
      <c r="AN805" s="18"/>
      <c r="AO805" s="18"/>
      <c r="AP805" s="18"/>
      <c r="AQ805" s="18"/>
      <c r="AR805" s="18"/>
      <c r="AS805" s="18"/>
      <c r="AT805" s="18"/>
      <c r="AU805" s="18"/>
      <c r="AV805" s="18"/>
      <c r="AW805" s="18"/>
      <c r="AX805" s="18"/>
      <c r="AY805" s="18"/>
      <c r="AZ805" s="18"/>
      <c r="BA805" s="18"/>
      <c r="BB805" s="18"/>
      <c r="BC805" s="18"/>
      <c r="BD805" s="18">
        <v>625</v>
      </c>
      <c r="BE805" s="18"/>
      <c r="BF805" s="18"/>
      <c r="BG805" s="18"/>
      <c r="BH805" s="18"/>
      <c r="BI805" s="18"/>
      <c r="BJ805" s="18">
        <v>625</v>
      </c>
      <c r="BK805" s="18">
        <v>625</v>
      </c>
    </row>
    <row r="806" spans="14:63" x14ac:dyDescent="0.3">
      <c r="O806" t="s">
        <v>2199</v>
      </c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/>
      <c r="AE806" s="18"/>
      <c r="AF806" s="18"/>
      <c r="AG806" s="18"/>
      <c r="AH806" s="18"/>
      <c r="AI806" s="18"/>
      <c r="AJ806" s="18"/>
      <c r="AK806" s="18"/>
      <c r="AL806" s="18"/>
      <c r="AM806" s="18"/>
      <c r="AN806" s="18"/>
      <c r="AO806" s="18"/>
      <c r="AP806" s="18"/>
      <c r="AQ806" s="18"/>
      <c r="AR806" s="18"/>
      <c r="AS806" s="18"/>
      <c r="AT806" s="18"/>
      <c r="AU806" s="18"/>
      <c r="AV806" s="18"/>
      <c r="AW806" s="18"/>
      <c r="AX806" s="18"/>
      <c r="AY806" s="18"/>
      <c r="AZ806" s="18"/>
      <c r="BA806" s="18"/>
      <c r="BB806" s="18"/>
      <c r="BC806" s="18"/>
      <c r="BD806" s="18">
        <v>14334</v>
      </c>
      <c r="BE806" s="18"/>
      <c r="BF806" s="18"/>
      <c r="BG806" s="18"/>
      <c r="BH806" s="18"/>
      <c r="BI806" s="18"/>
      <c r="BJ806" s="18">
        <v>14334</v>
      </c>
      <c r="BK806" s="18">
        <v>14334</v>
      </c>
    </row>
    <row r="807" spans="14:63" x14ac:dyDescent="0.3">
      <c r="N807" s="17" t="s">
        <v>2040</v>
      </c>
      <c r="O807" s="17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19"/>
      <c r="AA807" s="19"/>
      <c r="AB807" s="19"/>
      <c r="AC807" s="19"/>
      <c r="AD807" s="19"/>
      <c r="AE807" s="19"/>
      <c r="AF807" s="19"/>
      <c r="AG807" s="19"/>
      <c r="AH807" s="19"/>
      <c r="AI807" s="19"/>
      <c r="AJ807" s="19"/>
      <c r="AK807" s="19"/>
      <c r="AL807" s="19"/>
      <c r="AM807" s="19"/>
      <c r="AN807" s="19"/>
      <c r="AO807" s="19"/>
      <c r="AP807" s="19"/>
      <c r="AQ807" s="19"/>
      <c r="AR807" s="19"/>
      <c r="AS807" s="19"/>
      <c r="AT807" s="19"/>
      <c r="AU807" s="19"/>
      <c r="AV807" s="19"/>
      <c r="AW807" s="19"/>
      <c r="AX807" s="19"/>
      <c r="AY807" s="19"/>
      <c r="AZ807" s="19"/>
      <c r="BA807" s="19"/>
      <c r="BB807" s="19">
        <v>35464</v>
      </c>
      <c r="BC807" s="19">
        <v>50031.199999999997</v>
      </c>
      <c r="BD807" s="19">
        <v>83033.5</v>
      </c>
      <c r="BE807" s="19"/>
      <c r="BF807" s="19"/>
      <c r="BG807" s="19"/>
      <c r="BH807" s="19"/>
      <c r="BI807" s="19"/>
      <c r="BJ807" s="19">
        <v>168528.69999999998</v>
      </c>
      <c r="BK807" s="19">
        <v>168528.69999999998</v>
      </c>
    </row>
    <row r="808" spans="14:63" x14ac:dyDescent="0.3">
      <c r="N808" t="s">
        <v>2024</v>
      </c>
      <c r="O808" t="s">
        <v>2030</v>
      </c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  <c r="AF808" s="18"/>
      <c r="AG808" s="18"/>
      <c r="AH808" s="18"/>
      <c r="AI808" s="18"/>
      <c r="AJ808" s="18"/>
      <c r="AK808" s="18"/>
      <c r="AL808" s="18"/>
      <c r="AM808" s="18"/>
      <c r="AN808" s="18"/>
      <c r="AO808" s="18"/>
      <c r="AP808" s="18"/>
      <c r="AQ808" s="18"/>
      <c r="AR808" s="18"/>
      <c r="AS808" s="18"/>
      <c r="AT808" s="18"/>
      <c r="AU808" s="18"/>
      <c r="AV808" s="18"/>
      <c r="AW808" s="18"/>
      <c r="AX808" s="18"/>
      <c r="AY808" s="18"/>
      <c r="AZ808" s="18"/>
      <c r="BA808" s="18"/>
      <c r="BB808" s="18">
        <v>3535.2</v>
      </c>
      <c r="BC808" s="18"/>
      <c r="BD808" s="18"/>
      <c r="BE808" s="18"/>
      <c r="BF808" s="18"/>
      <c r="BG808" s="18"/>
      <c r="BH808" s="18"/>
      <c r="BI808" s="18"/>
      <c r="BJ808" s="18">
        <v>3535.2</v>
      </c>
      <c r="BK808" s="18">
        <v>3535.2</v>
      </c>
    </row>
    <row r="809" spans="14:63" x14ac:dyDescent="0.3">
      <c r="O809" t="s">
        <v>2098</v>
      </c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  <c r="AF809" s="18"/>
      <c r="AG809" s="18"/>
      <c r="AH809" s="18"/>
      <c r="AI809" s="18"/>
      <c r="AJ809" s="18"/>
      <c r="AK809" s="18"/>
      <c r="AL809" s="18"/>
      <c r="AM809" s="18"/>
      <c r="AN809" s="18"/>
      <c r="AO809" s="18"/>
      <c r="AP809" s="18"/>
      <c r="AQ809" s="18"/>
      <c r="AR809" s="18"/>
      <c r="AS809" s="18"/>
      <c r="AT809" s="18"/>
      <c r="AU809" s="18"/>
      <c r="AV809" s="18"/>
      <c r="AW809" s="18"/>
      <c r="AX809" s="18"/>
      <c r="AY809" s="18"/>
      <c r="AZ809" s="18"/>
      <c r="BA809" s="18"/>
      <c r="BB809" s="18"/>
      <c r="BC809" s="18">
        <v>1174</v>
      </c>
      <c r="BD809" s="18"/>
      <c r="BE809" s="18"/>
      <c r="BF809" s="18"/>
      <c r="BG809" s="18"/>
      <c r="BH809" s="18"/>
      <c r="BI809" s="18"/>
      <c r="BJ809" s="18">
        <v>1174</v>
      </c>
      <c r="BK809" s="18">
        <v>1174</v>
      </c>
    </row>
    <row r="810" spans="14:63" x14ac:dyDescent="0.3">
      <c r="N810" s="17" t="s">
        <v>2041</v>
      </c>
      <c r="O810" s="17"/>
      <c r="P810" s="19"/>
      <c r="Q810" s="19"/>
      <c r="R810" s="19"/>
      <c r="S810" s="19"/>
      <c r="T810" s="19"/>
      <c r="U810" s="19"/>
      <c r="V810" s="19"/>
      <c r="W810" s="19"/>
      <c r="X810" s="19"/>
      <c r="Y810" s="19"/>
      <c r="Z810" s="19"/>
      <c r="AA810" s="19"/>
      <c r="AB810" s="19"/>
      <c r="AC810" s="19"/>
      <c r="AD810" s="19"/>
      <c r="AE810" s="19"/>
      <c r="AF810" s="19"/>
      <c r="AG810" s="19"/>
      <c r="AH810" s="19"/>
      <c r="AI810" s="19"/>
      <c r="AJ810" s="19"/>
      <c r="AK810" s="19"/>
      <c r="AL810" s="19"/>
      <c r="AM810" s="19"/>
      <c r="AN810" s="19"/>
      <c r="AO810" s="19"/>
      <c r="AP810" s="19"/>
      <c r="AQ810" s="19"/>
      <c r="AR810" s="19"/>
      <c r="AS810" s="19"/>
      <c r="AT810" s="19"/>
      <c r="AU810" s="19"/>
      <c r="AV810" s="19"/>
      <c r="AW810" s="19"/>
      <c r="AX810" s="19"/>
      <c r="AY810" s="19"/>
      <c r="AZ810" s="19"/>
      <c r="BA810" s="19"/>
      <c r="BB810" s="19">
        <v>3535.2</v>
      </c>
      <c r="BC810" s="19">
        <v>1174</v>
      </c>
      <c r="BD810" s="19"/>
      <c r="BE810" s="19"/>
      <c r="BF810" s="19"/>
      <c r="BG810" s="19"/>
      <c r="BH810" s="19"/>
      <c r="BI810" s="19"/>
      <c r="BJ810" s="19">
        <v>4709.2</v>
      </c>
      <c r="BK810" s="19">
        <v>4709.2</v>
      </c>
    </row>
    <row r="811" spans="14:63" x14ac:dyDescent="0.3">
      <c r="N811" t="s">
        <v>2207</v>
      </c>
      <c r="O811" t="s">
        <v>2180</v>
      </c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  <c r="AF811" s="18"/>
      <c r="AG811" s="18"/>
      <c r="AH811" s="18"/>
      <c r="AI811" s="18"/>
      <c r="AJ811" s="18"/>
      <c r="AK811" s="18"/>
      <c r="AL811" s="18"/>
      <c r="AM811" s="18"/>
      <c r="AN811" s="18"/>
      <c r="AO811" s="18"/>
      <c r="AP811" s="18"/>
      <c r="AQ811" s="18"/>
      <c r="AR811" s="18"/>
      <c r="AS811" s="18"/>
      <c r="AT811" s="18"/>
      <c r="AU811" s="18"/>
      <c r="AV811" s="18"/>
      <c r="AW811" s="18"/>
      <c r="AX811" s="18"/>
      <c r="AY811" s="18"/>
      <c r="AZ811" s="18"/>
      <c r="BA811" s="18"/>
      <c r="BB811" s="18"/>
      <c r="BC811" s="18"/>
      <c r="BD811" s="18">
        <v>4925.8</v>
      </c>
      <c r="BE811" s="18"/>
      <c r="BF811" s="18"/>
      <c r="BG811" s="18"/>
      <c r="BH811" s="18"/>
      <c r="BI811" s="18"/>
      <c r="BJ811" s="18">
        <v>4925.8</v>
      </c>
      <c r="BK811" s="18">
        <v>4925.8</v>
      </c>
    </row>
    <row r="812" spans="14:63" x14ac:dyDescent="0.3">
      <c r="O812" t="s">
        <v>2193</v>
      </c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  <c r="AG812" s="18"/>
      <c r="AH812" s="18"/>
      <c r="AI812" s="18"/>
      <c r="AJ812" s="18"/>
      <c r="AK812" s="18"/>
      <c r="AL812" s="18"/>
      <c r="AM812" s="18"/>
      <c r="AN812" s="18"/>
      <c r="AO812" s="18"/>
      <c r="AP812" s="18"/>
      <c r="AQ812" s="18"/>
      <c r="AR812" s="18"/>
      <c r="AS812" s="18"/>
      <c r="AT812" s="18"/>
      <c r="AU812" s="18"/>
      <c r="AV812" s="18"/>
      <c r="AW812" s="18"/>
      <c r="AX812" s="18"/>
      <c r="AY812" s="18"/>
      <c r="AZ812" s="18"/>
      <c r="BA812" s="18"/>
      <c r="BB812" s="18"/>
      <c r="BC812" s="18"/>
      <c r="BD812" s="18">
        <v>4728</v>
      </c>
      <c r="BE812" s="18"/>
      <c r="BF812" s="18"/>
      <c r="BG812" s="18"/>
      <c r="BH812" s="18"/>
      <c r="BI812" s="18"/>
      <c r="BJ812" s="18">
        <v>4728</v>
      </c>
      <c r="BK812" s="18">
        <v>4728</v>
      </c>
    </row>
    <row r="813" spans="14:63" x14ac:dyDescent="0.3">
      <c r="N813" s="17" t="s">
        <v>2222</v>
      </c>
      <c r="O813" s="17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19"/>
      <c r="AA813" s="19"/>
      <c r="AB813" s="19"/>
      <c r="AC813" s="19"/>
      <c r="AD813" s="19"/>
      <c r="AE813" s="19"/>
      <c r="AF813" s="19"/>
      <c r="AG813" s="19"/>
      <c r="AH813" s="19"/>
      <c r="AI813" s="19"/>
      <c r="AJ813" s="19"/>
      <c r="AK813" s="19"/>
      <c r="AL813" s="19"/>
      <c r="AM813" s="19"/>
      <c r="AN813" s="19"/>
      <c r="AO813" s="19"/>
      <c r="AP813" s="19"/>
      <c r="AQ813" s="19"/>
      <c r="AR813" s="19"/>
      <c r="AS813" s="19"/>
      <c r="AT813" s="19"/>
      <c r="AU813" s="19"/>
      <c r="AV813" s="19"/>
      <c r="AW813" s="19"/>
      <c r="AX813" s="19"/>
      <c r="AY813" s="19"/>
      <c r="AZ813" s="19"/>
      <c r="BA813" s="19"/>
      <c r="BB813" s="19"/>
      <c r="BC813" s="19"/>
      <c r="BD813" s="19">
        <v>9653.7999999999993</v>
      </c>
      <c r="BE813" s="19"/>
      <c r="BF813" s="19"/>
      <c r="BG813" s="19"/>
      <c r="BH813" s="19"/>
      <c r="BI813" s="19"/>
      <c r="BJ813" s="19">
        <v>9653.7999999999993</v>
      </c>
      <c r="BK813" s="19">
        <v>9653.7999999999993</v>
      </c>
    </row>
    <row r="814" spans="14:63" x14ac:dyDescent="0.3">
      <c r="N814" t="s">
        <v>2213</v>
      </c>
      <c r="O814" t="s">
        <v>2182</v>
      </c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  <c r="AG814" s="18"/>
      <c r="AH814" s="18"/>
      <c r="AI814" s="18"/>
      <c r="AJ814" s="18"/>
      <c r="AK814" s="18"/>
      <c r="AL814" s="18"/>
      <c r="AM814" s="18"/>
      <c r="AN814" s="18"/>
      <c r="AO814" s="18"/>
      <c r="AP814" s="18"/>
      <c r="AQ814" s="18"/>
      <c r="AR814" s="18"/>
      <c r="AS814" s="18"/>
      <c r="AT814" s="18"/>
      <c r="AU814" s="18"/>
      <c r="AV814" s="18"/>
      <c r="AW814" s="18"/>
      <c r="AX814" s="18"/>
      <c r="AY814" s="18"/>
      <c r="AZ814" s="18"/>
      <c r="BA814" s="18"/>
      <c r="BB814" s="18"/>
      <c r="BC814" s="18"/>
      <c r="BD814" s="18">
        <v>2131</v>
      </c>
      <c r="BE814" s="18"/>
      <c r="BF814" s="18"/>
      <c r="BG814" s="18"/>
      <c r="BH814" s="18"/>
      <c r="BI814" s="18"/>
      <c r="BJ814" s="18">
        <v>2131</v>
      </c>
      <c r="BK814" s="18">
        <v>2131</v>
      </c>
    </row>
    <row r="815" spans="14:63" x14ac:dyDescent="0.3">
      <c r="N815" s="17" t="s">
        <v>2223</v>
      </c>
      <c r="O815" s="17"/>
      <c r="P815" s="19"/>
      <c r="Q815" s="19"/>
      <c r="R815" s="19"/>
      <c r="S815" s="19"/>
      <c r="T815" s="19"/>
      <c r="U815" s="19"/>
      <c r="V815" s="19"/>
      <c r="W815" s="19"/>
      <c r="X815" s="19"/>
      <c r="Y815" s="19"/>
      <c r="Z815" s="19"/>
      <c r="AA815" s="19"/>
      <c r="AB815" s="19"/>
      <c r="AC815" s="19"/>
      <c r="AD815" s="19"/>
      <c r="AE815" s="19"/>
      <c r="AF815" s="19"/>
      <c r="AG815" s="19"/>
      <c r="AH815" s="19"/>
      <c r="AI815" s="19"/>
      <c r="AJ815" s="19"/>
      <c r="AK815" s="19"/>
      <c r="AL815" s="19"/>
      <c r="AM815" s="19"/>
      <c r="AN815" s="19"/>
      <c r="AO815" s="19"/>
      <c r="AP815" s="19"/>
      <c r="AQ815" s="19"/>
      <c r="AR815" s="19"/>
      <c r="AS815" s="19"/>
      <c r="AT815" s="19"/>
      <c r="AU815" s="19"/>
      <c r="AV815" s="19"/>
      <c r="AW815" s="19"/>
      <c r="AX815" s="19"/>
      <c r="AY815" s="19"/>
      <c r="AZ815" s="19"/>
      <c r="BA815" s="19"/>
      <c r="BB815" s="19"/>
      <c r="BC815" s="19"/>
      <c r="BD815" s="19">
        <v>2131</v>
      </c>
      <c r="BE815" s="19"/>
      <c r="BF815" s="19"/>
      <c r="BG815" s="19"/>
      <c r="BH815" s="19"/>
      <c r="BI815" s="19"/>
      <c r="BJ815" s="19">
        <v>2131</v>
      </c>
      <c r="BK815" s="19">
        <v>2131</v>
      </c>
    </row>
    <row r="816" spans="14:63" x14ac:dyDescent="0.3">
      <c r="N816" t="s">
        <v>131</v>
      </c>
      <c r="P816" s="18">
        <v>2973</v>
      </c>
      <c r="Q816" s="18">
        <v>2973</v>
      </c>
      <c r="R816" s="18">
        <v>6809.5</v>
      </c>
      <c r="S816" s="18">
        <v>5134</v>
      </c>
      <c r="T816" s="18">
        <v>33380.199999999997</v>
      </c>
      <c r="U816" s="18">
        <v>43516.800000000003</v>
      </c>
      <c r="V816" s="18">
        <v>52514.8</v>
      </c>
      <c r="W816" s="18">
        <v>37692</v>
      </c>
      <c r="X816" s="18">
        <v>22115.200000000001</v>
      </c>
      <c r="Y816" s="18">
        <v>201162.5</v>
      </c>
      <c r="Z816" s="18">
        <v>12397</v>
      </c>
      <c r="AA816" s="18">
        <v>59043.4</v>
      </c>
      <c r="AB816" s="18">
        <v>133782.79999999999</v>
      </c>
      <c r="AC816" s="18">
        <v>116851</v>
      </c>
      <c r="AD816" s="18">
        <v>124011.9</v>
      </c>
      <c r="AE816" s="18">
        <v>33259</v>
      </c>
      <c r="AF816" s="18">
        <v>24686.2</v>
      </c>
      <c r="AG816" s="18">
        <v>57798.65</v>
      </c>
      <c r="AH816" s="18">
        <v>40624.6</v>
      </c>
      <c r="AI816" s="18">
        <v>31091.8</v>
      </c>
      <c r="AJ816" s="18">
        <v>633546.35000000009</v>
      </c>
      <c r="AK816" s="18">
        <v>98244.6</v>
      </c>
      <c r="AL816" s="18">
        <v>69163.3</v>
      </c>
      <c r="AM816" s="18">
        <v>93927.3</v>
      </c>
      <c r="AN816" s="18">
        <v>97650.500000000015</v>
      </c>
      <c r="AO816" s="18">
        <v>186455.5</v>
      </c>
      <c r="AP816" s="18">
        <v>110702.6</v>
      </c>
      <c r="AQ816" s="18">
        <v>177546.5</v>
      </c>
      <c r="AR816" s="18">
        <v>135957.90000000002</v>
      </c>
      <c r="AS816" s="18">
        <v>58446.700000000004</v>
      </c>
      <c r="AT816" s="18">
        <v>120284.9</v>
      </c>
      <c r="AU816" s="18">
        <v>192796.7</v>
      </c>
      <c r="AV816" s="18">
        <v>161862.6</v>
      </c>
      <c r="AW816" s="18">
        <v>1503039.1000000003</v>
      </c>
      <c r="AX816" s="18">
        <v>143241.1</v>
      </c>
      <c r="AY816" s="18">
        <v>116038.20000000001</v>
      </c>
      <c r="AZ816" s="18">
        <v>108877.7</v>
      </c>
      <c r="BA816" s="18">
        <v>164083.59999999998</v>
      </c>
      <c r="BB816" s="18">
        <v>116845</v>
      </c>
      <c r="BC816" s="18">
        <v>105889.90000000001</v>
      </c>
      <c r="BD816" s="18">
        <v>172448.6</v>
      </c>
      <c r="BE816" s="18">
        <v>173211.69999999998</v>
      </c>
      <c r="BF816" s="18">
        <v>141278.9</v>
      </c>
      <c r="BG816" s="18">
        <v>175188.80000000002</v>
      </c>
      <c r="BH816" s="18">
        <v>152064.40000000002</v>
      </c>
      <c r="BI816" s="18">
        <v>172492.29999999996</v>
      </c>
      <c r="BJ816" s="18">
        <v>1741660.2000000002</v>
      </c>
      <c r="BK816" s="18">
        <v>4082381.1499999985</v>
      </c>
    </row>
  </sheetData>
  <pageMargins left="0.39370078740157483" right="0.19685039370078741" top="0.39370078740157483" bottom="0.59055118110236227" header="0.31496062992125984" footer="0.31496062992125984"/>
  <pageSetup scale="65" orientation="portrait" r:id="rId3"/>
  <headerFooter>
    <oddFooter>&amp;R&amp;F&amp;A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B41"/>
  <sheetViews>
    <sheetView topLeftCell="A22" workbookViewId="0">
      <selection activeCell="B42" sqref="B42"/>
    </sheetView>
  </sheetViews>
  <sheetFormatPr defaultRowHeight="14.4" x14ac:dyDescent="0.3"/>
  <cols>
    <col min="1" max="1" width="38.88671875" bestFit="1" customWidth="1"/>
    <col min="2" max="2" width="7.109375" bestFit="1" customWidth="1"/>
    <col min="3" max="4" width="10.77734375" bestFit="1" customWidth="1"/>
    <col min="5" max="7" width="14.44140625" bestFit="1" customWidth="1"/>
    <col min="8" max="8" width="9.5546875" bestFit="1" customWidth="1"/>
    <col min="9" max="9" width="10.77734375" bestFit="1" customWidth="1"/>
    <col min="10" max="11" width="14.44140625" bestFit="1" customWidth="1"/>
    <col min="12" max="12" width="9.5546875" bestFit="1" customWidth="1"/>
    <col min="13" max="13" width="6" bestFit="1" customWidth="1"/>
    <col min="14" max="19" width="6.77734375" bestFit="1" customWidth="1"/>
    <col min="20" max="20" width="9.5546875" bestFit="1" customWidth="1"/>
    <col min="21" max="21" width="6" bestFit="1" customWidth="1"/>
  </cols>
  <sheetData>
    <row r="1" spans="1:2" x14ac:dyDescent="0.3">
      <c r="A1" s="14" t="s">
        <v>226</v>
      </c>
      <c r="B1" s="92">
        <v>2022</v>
      </c>
    </row>
    <row r="2" spans="1:2" x14ac:dyDescent="0.3">
      <c r="A2" s="26" t="s">
        <v>163</v>
      </c>
      <c r="B2" s="92">
        <v>12</v>
      </c>
    </row>
    <row r="4" spans="1:2" x14ac:dyDescent="0.3">
      <c r="A4" s="14" t="s">
        <v>170</v>
      </c>
    </row>
    <row r="5" spans="1:2" x14ac:dyDescent="0.3">
      <c r="A5" s="14" t="s">
        <v>8</v>
      </c>
      <c r="B5" s="25" t="s">
        <v>310</v>
      </c>
    </row>
    <row r="6" spans="1:2" x14ac:dyDescent="0.3">
      <c r="A6" t="s">
        <v>17</v>
      </c>
      <c r="B6">
        <v>11</v>
      </c>
    </row>
    <row r="7" spans="1:2" x14ac:dyDescent="0.3">
      <c r="A7" t="s">
        <v>95</v>
      </c>
      <c r="B7">
        <v>8</v>
      </c>
    </row>
    <row r="8" spans="1:2" x14ac:dyDescent="0.3">
      <c r="A8" t="s">
        <v>54</v>
      </c>
      <c r="B8">
        <v>50</v>
      </c>
    </row>
    <row r="9" spans="1:2" x14ac:dyDescent="0.3">
      <c r="A9" t="s">
        <v>293</v>
      </c>
      <c r="B9">
        <v>1</v>
      </c>
    </row>
    <row r="10" spans="1:2" x14ac:dyDescent="0.3">
      <c r="A10" t="s">
        <v>567</v>
      </c>
      <c r="B10">
        <v>2</v>
      </c>
    </row>
    <row r="11" spans="1:2" x14ac:dyDescent="0.3">
      <c r="A11" t="s">
        <v>617</v>
      </c>
      <c r="B11">
        <v>1</v>
      </c>
    </row>
    <row r="12" spans="1:2" x14ac:dyDescent="0.3">
      <c r="A12" t="s">
        <v>655</v>
      </c>
      <c r="B12">
        <v>9</v>
      </c>
    </row>
    <row r="13" spans="1:2" x14ac:dyDescent="0.3">
      <c r="A13" t="s">
        <v>708</v>
      </c>
      <c r="B13">
        <v>2</v>
      </c>
    </row>
    <row r="14" spans="1:2" x14ac:dyDescent="0.3">
      <c r="A14" t="s">
        <v>717</v>
      </c>
      <c r="B14">
        <v>23</v>
      </c>
    </row>
    <row r="15" spans="1:2" x14ac:dyDescent="0.3">
      <c r="A15" t="s">
        <v>720</v>
      </c>
      <c r="B15">
        <v>21</v>
      </c>
    </row>
    <row r="16" spans="1:2" x14ac:dyDescent="0.3">
      <c r="A16" t="s">
        <v>723</v>
      </c>
      <c r="B16">
        <v>6</v>
      </c>
    </row>
    <row r="17" spans="1:2" x14ac:dyDescent="0.3">
      <c r="A17" t="s">
        <v>769</v>
      </c>
      <c r="B17">
        <v>1</v>
      </c>
    </row>
    <row r="18" spans="1:2" x14ac:dyDescent="0.3">
      <c r="A18" t="s">
        <v>788</v>
      </c>
      <c r="B18">
        <v>1</v>
      </c>
    </row>
    <row r="19" spans="1:2" x14ac:dyDescent="0.3">
      <c r="A19" t="s">
        <v>792</v>
      </c>
      <c r="B19">
        <v>6</v>
      </c>
    </row>
    <row r="20" spans="1:2" x14ac:dyDescent="0.3">
      <c r="A20" t="s">
        <v>801</v>
      </c>
      <c r="B20">
        <v>1</v>
      </c>
    </row>
    <row r="21" spans="1:2" x14ac:dyDescent="0.3">
      <c r="A21" t="s">
        <v>914</v>
      </c>
      <c r="B21">
        <v>10</v>
      </c>
    </row>
    <row r="22" spans="1:2" x14ac:dyDescent="0.3">
      <c r="A22" t="s">
        <v>946</v>
      </c>
      <c r="B22">
        <v>13</v>
      </c>
    </row>
    <row r="23" spans="1:2" x14ac:dyDescent="0.3">
      <c r="A23" t="s">
        <v>950</v>
      </c>
      <c r="B23">
        <v>1</v>
      </c>
    </row>
    <row r="24" spans="1:2" x14ac:dyDescent="0.3">
      <c r="A24" t="s">
        <v>989</v>
      </c>
      <c r="B24">
        <v>110</v>
      </c>
    </row>
    <row r="25" spans="1:2" x14ac:dyDescent="0.3">
      <c r="A25" t="s">
        <v>990</v>
      </c>
      <c r="B25">
        <v>2</v>
      </c>
    </row>
    <row r="26" spans="1:2" x14ac:dyDescent="0.3">
      <c r="A26" t="s">
        <v>991</v>
      </c>
      <c r="B26">
        <v>7</v>
      </c>
    </row>
    <row r="27" spans="1:2" x14ac:dyDescent="0.3">
      <c r="A27" t="s">
        <v>1014</v>
      </c>
      <c r="B27">
        <v>4</v>
      </c>
    </row>
    <row r="28" spans="1:2" x14ac:dyDescent="0.3">
      <c r="A28" t="s">
        <v>1073</v>
      </c>
      <c r="B28">
        <v>49</v>
      </c>
    </row>
    <row r="29" spans="1:2" x14ac:dyDescent="0.3">
      <c r="A29" t="s">
        <v>1075</v>
      </c>
      <c r="B29">
        <v>6</v>
      </c>
    </row>
    <row r="30" spans="1:2" x14ac:dyDescent="0.3">
      <c r="A30" t="s">
        <v>1094</v>
      </c>
      <c r="B30">
        <v>4</v>
      </c>
    </row>
    <row r="31" spans="1:2" x14ac:dyDescent="0.3">
      <c r="A31" t="s">
        <v>1108</v>
      </c>
      <c r="B31">
        <v>3</v>
      </c>
    </row>
    <row r="32" spans="1:2" x14ac:dyDescent="0.3">
      <c r="A32" t="s">
        <v>1113</v>
      </c>
      <c r="B32">
        <v>1</v>
      </c>
    </row>
    <row r="33" spans="1:2" x14ac:dyDescent="0.3">
      <c r="A33" t="s">
        <v>1118</v>
      </c>
      <c r="B33">
        <v>1</v>
      </c>
    </row>
    <row r="34" spans="1:2" x14ac:dyDescent="0.3">
      <c r="A34" t="s">
        <v>1119</v>
      </c>
      <c r="B34">
        <v>1</v>
      </c>
    </row>
    <row r="35" spans="1:2" x14ac:dyDescent="0.3">
      <c r="A35" t="s">
        <v>1127</v>
      </c>
      <c r="B35">
        <v>1</v>
      </c>
    </row>
    <row r="36" spans="1:2" x14ac:dyDescent="0.3">
      <c r="A36" t="s">
        <v>1130</v>
      </c>
      <c r="B36">
        <v>1</v>
      </c>
    </row>
    <row r="37" spans="1:2" x14ac:dyDescent="0.3">
      <c r="A37" t="s">
        <v>1132</v>
      </c>
      <c r="B37">
        <v>2</v>
      </c>
    </row>
    <row r="38" spans="1:2" x14ac:dyDescent="0.3">
      <c r="A38" t="s">
        <v>1133</v>
      </c>
      <c r="B38">
        <v>1</v>
      </c>
    </row>
    <row r="39" spans="1:2" x14ac:dyDescent="0.3">
      <c r="A39" t="s">
        <v>1137</v>
      </c>
      <c r="B39">
        <v>1</v>
      </c>
    </row>
    <row r="40" spans="1:2" x14ac:dyDescent="0.3">
      <c r="A40" t="s">
        <v>1141</v>
      </c>
      <c r="B40">
        <v>20</v>
      </c>
    </row>
    <row r="41" spans="1:2" x14ac:dyDescent="0.3">
      <c r="A41" t="s">
        <v>131</v>
      </c>
      <c r="B41">
        <v>381</v>
      </c>
    </row>
  </sheetData>
  <pageMargins left="0.39370078740157483" right="0" top="0.39370078740157483" bottom="0" header="0.31496062992125984" footer="0.31496062992125984"/>
  <pageSetup scale="72" orientation="portrait" r:id="rId2"/>
  <headerFooter>
    <oddFooter>&amp;R&amp;F&amp;A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3:G815"/>
  <sheetViews>
    <sheetView topLeftCell="A798" workbookViewId="0">
      <selection activeCell="G816" sqref="G816"/>
    </sheetView>
  </sheetViews>
  <sheetFormatPr defaultRowHeight="14.4" x14ac:dyDescent="0.3"/>
  <cols>
    <col min="1" max="1" width="14.44140625" customWidth="1"/>
    <col min="2" max="2" width="19" customWidth="1"/>
    <col min="3" max="3" width="37.88671875" bestFit="1" customWidth="1"/>
    <col min="4" max="4" width="38.33203125" bestFit="1" customWidth="1"/>
    <col min="5" max="5" width="19.77734375" bestFit="1" customWidth="1"/>
    <col min="6" max="6" width="15.44140625" bestFit="1" customWidth="1"/>
    <col min="7" max="7" width="17.6640625" bestFit="1" customWidth="1"/>
  </cols>
  <sheetData>
    <row r="3" spans="1:7" x14ac:dyDescent="0.3">
      <c r="E3" s="14" t="s">
        <v>206</v>
      </c>
    </row>
    <row r="4" spans="1:7" x14ac:dyDescent="0.3">
      <c r="A4" s="14" t="s">
        <v>226</v>
      </c>
      <c r="B4" s="14" t="s">
        <v>163</v>
      </c>
      <c r="C4" s="14" t="s">
        <v>2</v>
      </c>
      <c r="D4" s="14" t="s">
        <v>1</v>
      </c>
      <c r="E4" t="s">
        <v>209</v>
      </c>
      <c r="F4" t="s">
        <v>208</v>
      </c>
      <c r="G4" t="s">
        <v>200</v>
      </c>
    </row>
    <row r="5" spans="1:7" x14ac:dyDescent="0.3">
      <c r="A5">
        <v>2019</v>
      </c>
      <c r="B5">
        <v>12</v>
      </c>
      <c r="C5" t="s">
        <v>312</v>
      </c>
      <c r="D5" t="s">
        <v>7</v>
      </c>
      <c r="E5" s="18">
        <v>2973</v>
      </c>
      <c r="F5" s="38">
        <v>-2973</v>
      </c>
      <c r="G5" s="18">
        <v>0</v>
      </c>
    </row>
    <row r="6" spans="1:7" x14ac:dyDescent="0.3">
      <c r="B6" s="17" t="s">
        <v>223</v>
      </c>
      <c r="C6" s="17"/>
      <c r="D6" s="17"/>
      <c r="E6" s="19">
        <v>2973</v>
      </c>
      <c r="F6" s="39">
        <v>-2973</v>
      </c>
      <c r="G6" s="19">
        <v>0</v>
      </c>
    </row>
    <row r="7" spans="1:7" x14ac:dyDescent="0.3">
      <c r="A7" s="81" t="s">
        <v>350</v>
      </c>
      <c r="B7" s="81"/>
      <c r="C7" s="81"/>
      <c r="D7" s="81"/>
      <c r="E7" s="82">
        <v>2973</v>
      </c>
      <c r="F7" s="83">
        <v>-2973</v>
      </c>
      <c r="G7" s="82">
        <v>0</v>
      </c>
    </row>
    <row r="8" spans="1:7" x14ac:dyDescent="0.3">
      <c r="A8">
        <v>2020</v>
      </c>
      <c r="B8">
        <v>6</v>
      </c>
      <c r="C8" t="s">
        <v>10</v>
      </c>
      <c r="D8" t="s">
        <v>7</v>
      </c>
      <c r="E8" s="18">
        <v>480</v>
      </c>
      <c r="F8" s="38">
        <v>-480</v>
      </c>
      <c r="G8" s="18">
        <v>0</v>
      </c>
    </row>
    <row r="9" spans="1:7" x14ac:dyDescent="0.3">
      <c r="C9" t="s">
        <v>11</v>
      </c>
      <c r="D9" t="s">
        <v>14</v>
      </c>
      <c r="E9" s="18">
        <v>2067</v>
      </c>
      <c r="F9" s="38">
        <v>-2067</v>
      </c>
      <c r="G9" s="18">
        <v>0</v>
      </c>
    </row>
    <row r="10" spans="1:7" x14ac:dyDescent="0.3">
      <c r="C10" t="s">
        <v>12</v>
      </c>
      <c r="D10" t="s">
        <v>7</v>
      </c>
      <c r="E10" s="18">
        <v>2435</v>
      </c>
      <c r="F10" s="38">
        <v>-2435</v>
      </c>
      <c r="G10" s="18">
        <v>0</v>
      </c>
    </row>
    <row r="11" spans="1:7" x14ac:dyDescent="0.3">
      <c r="C11" t="s">
        <v>18</v>
      </c>
      <c r="D11" t="s">
        <v>20</v>
      </c>
      <c r="E11" s="18">
        <v>1827.5</v>
      </c>
      <c r="F11" s="38">
        <v>-1827.5</v>
      </c>
      <c r="G11" s="18">
        <v>0</v>
      </c>
    </row>
    <row r="12" spans="1:7" x14ac:dyDescent="0.3">
      <c r="B12" s="17" t="s">
        <v>141</v>
      </c>
      <c r="C12" s="17"/>
      <c r="D12" s="17"/>
      <c r="E12" s="19">
        <v>6809.5</v>
      </c>
      <c r="F12" s="39">
        <v>-6809.5</v>
      </c>
      <c r="G12" s="19">
        <v>0</v>
      </c>
    </row>
    <row r="13" spans="1:7" x14ac:dyDescent="0.3">
      <c r="B13">
        <v>7</v>
      </c>
      <c r="C13" t="s">
        <v>21</v>
      </c>
      <c r="D13" t="s">
        <v>23</v>
      </c>
      <c r="E13" s="18">
        <v>1836</v>
      </c>
      <c r="F13" s="38">
        <v>-1836</v>
      </c>
      <c r="G13" s="18">
        <v>0</v>
      </c>
    </row>
    <row r="14" spans="1:7" x14ac:dyDescent="0.3">
      <c r="C14" t="s">
        <v>26</v>
      </c>
      <c r="D14" t="s">
        <v>20</v>
      </c>
      <c r="E14" s="18">
        <v>1200</v>
      </c>
      <c r="F14" s="38">
        <v>-1200</v>
      </c>
      <c r="G14" s="18">
        <v>0</v>
      </c>
    </row>
    <row r="15" spans="1:7" x14ac:dyDescent="0.3">
      <c r="C15" t="s">
        <v>27</v>
      </c>
      <c r="D15" t="s">
        <v>7</v>
      </c>
      <c r="E15" s="18">
        <v>2098</v>
      </c>
      <c r="F15" s="38">
        <v>-2098</v>
      </c>
      <c r="G15" s="18">
        <v>0</v>
      </c>
    </row>
    <row r="16" spans="1:7" x14ac:dyDescent="0.3">
      <c r="B16" s="17" t="s">
        <v>142</v>
      </c>
      <c r="C16" s="17"/>
      <c r="D16" s="17"/>
      <c r="E16" s="19">
        <v>5134</v>
      </c>
      <c r="F16" s="39">
        <v>-5134</v>
      </c>
      <c r="G16" s="19">
        <v>0</v>
      </c>
    </row>
    <row r="17" spans="2:7" x14ac:dyDescent="0.3">
      <c r="B17">
        <v>8</v>
      </c>
      <c r="C17" t="s">
        <v>30</v>
      </c>
      <c r="D17" t="s">
        <v>23</v>
      </c>
      <c r="E17" s="18">
        <v>2508</v>
      </c>
      <c r="F17" s="38">
        <v>-2508</v>
      </c>
      <c r="G17" s="18">
        <v>0</v>
      </c>
    </row>
    <row r="18" spans="2:7" x14ac:dyDescent="0.3">
      <c r="C18" t="s">
        <v>31</v>
      </c>
      <c r="D18" t="s">
        <v>23</v>
      </c>
      <c r="E18" s="18">
        <v>2508</v>
      </c>
      <c r="F18" s="38">
        <v>-2508</v>
      </c>
      <c r="G18" s="18">
        <v>0</v>
      </c>
    </row>
    <row r="19" spans="2:7" x14ac:dyDescent="0.3">
      <c r="C19" t="s">
        <v>32</v>
      </c>
      <c r="D19" t="s">
        <v>23</v>
      </c>
      <c r="E19" s="18">
        <v>324</v>
      </c>
      <c r="F19" s="38">
        <v>-324</v>
      </c>
      <c r="G19" s="18">
        <v>0</v>
      </c>
    </row>
    <row r="20" spans="2:7" x14ac:dyDescent="0.3">
      <c r="C20" t="s">
        <v>33</v>
      </c>
      <c r="D20" t="s">
        <v>35</v>
      </c>
      <c r="E20" s="18">
        <v>1586</v>
      </c>
      <c r="F20" s="38">
        <v>-1586</v>
      </c>
      <c r="G20" s="18">
        <v>0</v>
      </c>
    </row>
    <row r="21" spans="2:7" x14ac:dyDescent="0.3">
      <c r="C21" t="s">
        <v>36</v>
      </c>
      <c r="D21" t="s">
        <v>20</v>
      </c>
      <c r="E21" s="18">
        <v>3406</v>
      </c>
      <c r="F21" s="38">
        <v>-3406</v>
      </c>
      <c r="G21" s="18">
        <v>0</v>
      </c>
    </row>
    <row r="22" spans="2:7" x14ac:dyDescent="0.3">
      <c r="C22" t="s">
        <v>37</v>
      </c>
      <c r="D22" t="s">
        <v>7</v>
      </c>
      <c r="E22" s="18">
        <v>2922</v>
      </c>
      <c r="F22" s="38">
        <v>-2922</v>
      </c>
      <c r="G22" s="18">
        <v>0</v>
      </c>
    </row>
    <row r="23" spans="2:7" x14ac:dyDescent="0.3">
      <c r="C23" t="s">
        <v>38</v>
      </c>
      <c r="D23" t="s">
        <v>7</v>
      </c>
      <c r="E23" s="18">
        <v>960</v>
      </c>
      <c r="F23" s="38">
        <v>-960</v>
      </c>
      <c r="G23" s="18">
        <v>0</v>
      </c>
    </row>
    <row r="24" spans="2:7" x14ac:dyDescent="0.3">
      <c r="C24" t="s">
        <v>40</v>
      </c>
      <c r="D24" t="s">
        <v>20</v>
      </c>
      <c r="E24" s="18">
        <v>367.2</v>
      </c>
      <c r="F24" s="38">
        <v>-367.2</v>
      </c>
      <c r="G24" s="18">
        <v>0</v>
      </c>
    </row>
    <row r="25" spans="2:7" x14ac:dyDescent="0.3">
      <c r="C25" t="s">
        <v>41</v>
      </c>
      <c r="D25" t="s">
        <v>43</v>
      </c>
      <c r="E25" s="18">
        <v>1706</v>
      </c>
      <c r="F25" s="38">
        <v>-1706</v>
      </c>
      <c r="G25" s="18">
        <v>0</v>
      </c>
    </row>
    <row r="26" spans="2:7" x14ac:dyDescent="0.3">
      <c r="C26" t="s">
        <v>49</v>
      </c>
      <c r="D26" t="s">
        <v>47</v>
      </c>
      <c r="E26" s="18">
        <v>2956</v>
      </c>
      <c r="F26" s="38">
        <v>-2956</v>
      </c>
      <c r="G26" s="18">
        <v>0</v>
      </c>
    </row>
    <row r="27" spans="2:7" x14ac:dyDescent="0.3">
      <c r="C27" t="s">
        <v>50</v>
      </c>
      <c r="D27" t="s">
        <v>52</v>
      </c>
      <c r="E27" s="18">
        <v>1452</v>
      </c>
      <c r="F27" s="38">
        <v>-1452</v>
      </c>
      <c r="G27" s="18">
        <v>0</v>
      </c>
    </row>
    <row r="28" spans="2:7" x14ac:dyDescent="0.3">
      <c r="C28" t="s">
        <v>53</v>
      </c>
      <c r="D28" t="s">
        <v>20</v>
      </c>
      <c r="E28" s="18">
        <v>1903</v>
      </c>
      <c r="F28" s="38">
        <v>-1903</v>
      </c>
      <c r="G28" s="18">
        <v>0</v>
      </c>
    </row>
    <row r="29" spans="2:7" x14ac:dyDescent="0.3">
      <c r="C29" t="s">
        <v>55</v>
      </c>
      <c r="D29" t="s">
        <v>58</v>
      </c>
      <c r="E29" s="18">
        <v>2552</v>
      </c>
      <c r="F29" s="38">
        <v>-2552</v>
      </c>
      <c r="G29" s="18">
        <v>0</v>
      </c>
    </row>
    <row r="30" spans="2:7" x14ac:dyDescent="0.3">
      <c r="C30" t="s">
        <v>56</v>
      </c>
      <c r="D30" t="s">
        <v>7</v>
      </c>
      <c r="E30" s="18">
        <v>1496</v>
      </c>
      <c r="F30" s="38">
        <v>-1496</v>
      </c>
      <c r="G30" s="18">
        <v>0</v>
      </c>
    </row>
    <row r="31" spans="2:7" x14ac:dyDescent="0.3">
      <c r="C31" t="s">
        <v>60</v>
      </c>
      <c r="D31" t="s">
        <v>62</v>
      </c>
      <c r="E31" s="18">
        <v>6734</v>
      </c>
      <c r="F31" s="38">
        <v>-6734</v>
      </c>
      <c r="G31" s="18">
        <v>0</v>
      </c>
    </row>
    <row r="32" spans="2:7" x14ac:dyDescent="0.3">
      <c r="B32" s="17" t="s">
        <v>143</v>
      </c>
      <c r="C32" s="17"/>
      <c r="D32" s="17"/>
      <c r="E32" s="19">
        <v>33380.199999999997</v>
      </c>
      <c r="F32" s="39">
        <v>-33380.199999999997</v>
      </c>
      <c r="G32" s="19">
        <v>0</v>
      </c>
    </row>
    <row r="33" spans="2:7" x14ac:dyDescent="0.3">
      <c r="B33">
        <v>9</v>
      </c>
      <c r="C33" t="s">
        <v>66</v>
      </c>
      <c r="D33" t="s">
        <v>52</v>
      </c>
      <c r="E33" s="18">
        <v>3968</v>
      </c>
      <c r="F33" s="38">
        <v>-3968</v>
      </c>
      <c r="G33" s="18">
        <v>0</v>
      </c>
    </row>
    <row r="34" spans="2:7" x14ac:dyDescent="0.3">
      <c r="C34" t="s">
        <v>68</v>
      </c>
      <c r="D34" t="s">
        <v>7</v>
      </c>
      <c r="E34" s="18">
        <v>1250</v>
      </c>
      <c r="F34" s="38">
        <v>-1250</v>
      </c>
      <c r="G34" s="18">
        <v>0</v>
      </c>
    </row>
    <row r="35" spans="2:7" x14ac:dyDescent="0.3">
      <c r="C35" t="s">
        <v>91</v>
      </c>
      <c r="D35" t="s">
        <v>7</v>
      </c>
      <c r="E35" s="18">
        <v>2458</v>
      </c>
      <c r="F35" s="38">
        <v>-2458</v>
      </c>
      <c r="G35" s="18">
        <v>0</v>
      </c>
    </row>
    <row r="36" spans="2:7" x14ac:dyDescent="0.3">
      <c r="C36" t="s">
        <v>99</v>
      </c>
      <c r="D36" t="s">
        <v>23</v>
      </c>
      <c r="E36" s="18">
        <v>11247.599999999999</v>
      </c>
      <c r="F36" s="38">
        <v>-11247.599999999999</v>
      </c>
      <c r="G36" s="18">
        <v>0</v>
      </c>
    </row>
    <row r="37" spans="2:7" x14ac:dyDescent="0.3">
      <c r="C37" t="s">
        <v>100</v>
      </c>
      <c r="D37" t="s">
        <v>7</v>
      </c>
      <c r="E37" s="18">
        <v>1977</v>
      </c>
      <c r="F37" s="38">
        <v>-1977</v>
      </c>
      <c r="G37" s="18">
        <v>0</v>
      </c>
    </row>
    <row r="38" spans="2:7" x14ac:dyDescent="0.3">
      <c r="C38" t="s">
        <v>101</v>
      </c>
      <c r="D38" t="s">
        <v>23</v>
      </c>
      <c r="E38" s="18">
        <v>11605.2</v>
      </c>
      <c r="F38" s="38">
        <v>-11605.2</v>
      </c>
      <c r="G38" s="18">
        <v>0</v>
      </c>
    </row>
    <row r="39" spans="2:7" x14ac:dyDescent="0.3">
      <c r="C39" t="s">
        <v>102</v>
      </c>
      <c r="D39" t="s">
        <v>62</v>
      </c>
      <c r="E39" s="18">
        <v>8123</v>
      </c>
      <c r="F39" s="38">
        <v>-8123</v>
      </c>
      <c r="G39" s="18">
        <v>0</v>
      </c>
    </row>
    <row r="40" spans="2:7" x14ac:dyDescent="0.3">
      <c r="C40" t="s">
        <v>103</v>
      </c>
      <c r="D40" t="s">
        <v>7</v>
      </c>
      <c r="E40" s="18">
        <v>1392</v>
      </c>
      <c r="F40" s="38">
        <v>-1392</v>
      </c>
      <c r="G40" s="18">
        <v>0</v>
      </c>
    </row>
    <row r="41" spans="2:7" x14ac:dyDescent="0.3">
      <c r="C41" t="s">
        <v>105</v>
      </c>
      <c r="D41" t="s">
        <v>7</v>
      </c>
      <c r="E41" s="18">
        <v>1496</v>
      </c>
      <c r="F41" s="38">
        <v>-1496</v>
      </c>
      <c r="G41" s="18">
        <v>0</v>
      </c>
    </row>
    <row r="42" spans="2:7" x14ac:dyDescent="0.3">
      <c r="B42" s="17" t="s">
        <v>144</v>
      </c>
      <c r="C42" s="17"/>
      <c r="D42" s="17"/>
      <c r="E42" s="19">
        <v>43516.800000000003</v>
      </c>
      <c r="F42" s="39">
        <v>-43516.800000000003</v>
      </c>
      <c r="G42" s="19">
        <v>0</v>
      </c>
    </row>
    <row r="43" spans="2:7" x14ac:dyDescent="0.3">
      <c r="B43">
        <v>10</v>
      </c>
      <c r="C43" t="s">
        <v>106</v>
      </c>
      <c r="D43" t="s">
        <v>35</v>
      </c>
      <c r="E43" s="18">
        <v>1496</v>
      </c>
      <c r="F43" s="38">
        <v>-1496</v>
      </c>
      <c r="G43" s="18">
        <v>0</v>
      </c>
    </row>
    <row r="44" spans="2:7" x14ac:dyDescent="0.3">
      <c r="C44" t="s">
        <v>109</v>
      </c>
      <c r="D44" t="s">
        <v>20</v>
      </c>
      <c r="E44" s="18">
        <v>5713</v>
      </c>
      <c r="F44" s="38">
        <v>-5713</v>
      </c>
      <c r="G44" s="18">
        <v>0</v>
      </c>
    </row>
    <row r="45" spans="2:7" x14ac:dyDescent="0.3">
      <c r="C45" t="s">
        <v>110</v>
      </c>
      <c r="D45" t="s">
        <v>23</v>
      </c>
      <c r="E45" s="18">
        <v>10618.8</v>
      </c>
      <c r="F45" s="38">
        <v>-10618.8</v>
      </c>
      <c r="G45" s="18">
        <v>0</v>
      </c>
    </row>
    <row r="46" spans="2:7" x14ac:dyDescent="0.3">
      <c r="C46" t="s">
        <v>112</v>
      </c>
      <c r="D46" t="s">
        <v>23</v>
      </c>
      <c r="E46" s="18">
        <v>8778</v>
      </c>
      <c r="F46" s="38">
        <v>-8778</v>
      </c>
      <c r="G46" s="18">
        <v>0</v>
      </c>
    </row>
    <row r="47" spans="2:7" x14ac:dyDescent="0.3">
      <c r="C47" t="s">
        <v>116</v>
      </c>
      <c r="D47" t="s">
        <v>7</v>
      </c>
      <c r="E47" s="18">
        <v>2458</v>
      </c>
      <c r="F47" s="38">
        <v>-2458</v>
      </c>
      <c r="G47" s="18">
        <v>0</v>
      </c>
    </row>
    <row r="48" spans="2:7" x14ac:dyDescent="0.3">
      <c r="C48" t="s">
        <v>117</v>
      </c>
      <c r="D48" t="s">
        <v>47</v>
      </c>
      <c r="E48" s="18">
        <v>2650</v>
      </c>
      <c r="F48" s="38">
        <v>-2650</v>
      </c>
      <c r="G48" s="18">
        <v>0</v>
      </c>
    </row>
    <row r="49" spans="2:7" x14ac:dyDescent="0.3">
      <c r="C49" t="s">
        <v>118</v>
      </c>
      <c r="D49" t="s">
        <v>20</v>
      </c>
      <c r="E49" s="18">
        <v>180</v>
      </c>
      <c r="F49" s="38">
        <v>-180</v>
      </c>
      <c r="G49" s="18">
        <v>0</v>
      </c>
    </row>
    <row r="50" spans="2:7" x14ac:dyDescent="0.3">
      <c r="C50" t="s">
        <v>120</v>
      </c>
      <c r="D50" t="s">
        <v>20</v>
      </c>
      <c r="E50" s="18">
        <v>204</v>
      </c>
      <c r="F50" s="38">
        <v>-204</v>
      </c>
      <c r="G50" s="18">
        <v>0</v>
      </c>
    </row>
    <row r="51" spans="2:7" x14ac:dyDescent="0.3">
      <c r="C51" t="s">
        <v>122</v>
      </c>
      <c r="D51" t="s">
        <v>7</v>
      </c>
      <c r="E51" s="18">
        <v>1645</v>
      </c>
      <c r="F51" s="38">
        <v>-1645</v>
      </c>
      <c r="G51" s="18">
        <v>0</v>
      </c>
    </row>
    <row r="52" spans="2:7" x14ac:dyDescent="0.3">
      <c r="C52" t="s">
        <v>123</v>
      </c>
      <c r="D52" t="s">
        <v>35</v>
      </c>
      <c r="E52" s="18">
        <v>90</v>
      </c>
      <c r="F52" s="38">
        <v>-90</v>
      </c>
      <c r="G52" s="18">
        <v>0</v>
      </c>
    </row>
    <row r="53" spans="2:7" x14ac:dyDescent="0.3">
      <c r="C53" t="s">
        <v>126</v>
      </c>
      <c r="D53" t="s">
        <v>35</v>
      </c>
      <c r="E53" s="18">
        <v>1496</v>
      </c>
      <c r="F53" s="38">
        <v>-1496</v>
      </c>
      <c r="G53" s="18">
        <v>0</v>
      </c>
    </row>
    <row r="54" spans="2:7" x14ac:dyDescent="0.3">
      <c r="C54" t="s">
        <v>127</v>
      </c>
      <c r="D54" t="s">
        <v>62</v>
      </c>
      <c r="E54" s="18">
        <v>8123</v>
      </c>
      <c r="F54" s="38">
        <v>-8123</v>
      </c>
      <c r="G54" s="18">
        <v>0</v>
      </c>
    </row>
    <row r="55" spans="2:7" x14ac:dyDescent="0.3">
      <c r="C55" t="s">
        <v>130</v>
      </c>
      <c r="D55" t="s">
        <v>20</v>
      </c>
      <c r="E55" s="18">
        <v>5109</v>
      </c>
      <c r="F55" s="38">
        <v>-5109</v>
      </c>
      <c r="G55" s="18">
        <v>0</v>
      </c>
    </row>
    <row r="56" spans="2:7" x14ac:dyDescent="0.3">
      <c r="C56" t="s">
        <v>148</v>
      </c>
      <c r="D56" t="s">
        <v>7</v>
      </c>
      <c r="E56" s="18">
        <v>2458</v>
      </c>
      <c r="F56" s="38">
        <v>-2458</v>
      </c>
      <c r="G56" s="18">
        <v>0</v>
      </c>
    </row>
    <row r="57" spans="2:7" x14ac:dyDescent="0.3">
      <c r="C57" t="s">
        <v>149</v>
      </c>
      <c r="D57" t="s">
        <v>35</v>
      </c>
      <c r="E57" s="18">
        <v>1496</v>
      </c>
      <c r="F57" s="38">
        <v>-1496</v>
      </c>
      <c r="G57" s="18">
        <v>0</v>
      </c>
    </row>
    <row r="58" spans="2:7" x14ac:dyDescent="0.3">
      <c r="B58" s="17" t="s">
        <v>145</v>
      </c>
      <c r="C58" s="17"/>
      <c r="D58" s="17"/>
      <c r="E58" s="19">
        <v>52514.8</v>
      </c>
      <c r="F58" s="39">
        <v>-52514.8</v>
      </c>
      <c r="G58" s="19">
        <v>0</v>
      </c>
    </row>
    <row r="59" spans="2:7" x14ac:dyDescent="0.3">
      <c r="B59">
        <v>11</v>
      </c>
      <c r="C59" t="s">
        <v>152</v>
      </c>
      <c r="D59" t="s">
        <v>43</v>
      </c>
      <c r="E59" s="18">
        <v>2302</v>
      </c>
      <c r="F59" s="38">
        <v>-2302</v>
      </c>
      <c r="G59" s="18">
        <v>0</v>
      </c>
    </row>
    <row r="60" spans="2:7" x14ac:dyDescent="0.3">
      <c r="C60" t="s">
        <v>154</v>
      </c>
      <c r="D60" t="s">
        <v>7</v>
      </c>
      <c r="E60" s="18">
        <v>1954</v>
      </c>
      <c r="F60" s="38">
        <v>-1954</v>
      </c>
      <c r="G60" s="18">
        <v>0</v>
      </c>
    </row>
    <row r="61" spans="2:7" x14ac:dyDescent="0.3">
      <c r="C61" t="s">
        <v>155</v>
      </c>
      <c r="D61" t="s">
        <v>35</v>
      </c>
      <c r="E61" s="18">
        <v>1630</v>
      </c>
      <c r="F61" s="38">
        <v>-1630</v>
      </c>
      <c r="G61" s="18">
        <v>0</v>
      </c>
    </row>
    <row r="62" spans="2:7" x14ac:dyDescent="0.3">
      <c r="C62" t="s">
        <v>156</v>
      </c>
      <c r="D62" t="s">
        <v>58</v>
      </c>
      <c r="E62" s="18">
        <v>1231.2</v>
      </c>
      <c r="F62" s="38">
        <v>-1231.2</v>
      </c>
      <c r="G62" s="18">
        <v>0</v>
      </c>
    </row>
    <row r="63" spans="2:7" x14ac:dyDescent="0.3">
      <c r="C63" t="s">
        <v>166</v>
      </c>
      <c r="D63" t="s">
        <v>7</v>
      </c>
      <c r="E63" s="18">
        <v>1584</v>
      </c>
      <c r="F63" s="38">
        <v>-1584</v>
      </c>
      <c r="G63" s="18">
        <v>0</v>
      </c>
    </row>
    <row r="64" spans="2:7" x14ac:dyDescent="0.3">
      <c r="C64" t="s">
        <v>167</v>
      </c>
      <c r="D64" t="s">
        <v>7</v>
      </c>
      <c r="E64" s="18">
        <v>520</v>
      </c>
      <c r="F64" s="38">
        <v>-520</v>
      </c>
      <c r="G64" s="18">
        <v>0</v>
      </c>
    </row>
    <row r="65" spans="2:7" x14ac:dyDescent="0.3">
      <c r="C65" t="s">
        <v>168</v>
      </c>
      <c r="D65" t="s">
        <v>62</v>
      </c>
      <c r="E65" s="18">
        <v>9296</v>
      </c>
      <c r="F65" s="38">
        <v>-9296</v>
      </c>
      <c r="G65" s="18">
        <v>0</v>
      </c>
    </row>
    <row r="66" spans="2:7" x14ac:dyDescent="0.3">
      <c r="C66" t="s">
        <v>171</v>
      </c>
      <c r="D66" t="s">
        <v>52</v>
      </c>
      <c r="E66" s="18">
        <v>2612</v>
      </c>
      <c r="F66" s="38">
        <v>-2612</v>
      </c>
      <c r="G66" s="18">
        <v>0</v>
      </c>
    </row>
    <row r="67" spans="2:7" x14ac:dyDescent="0.3">
      <c r="C67" t="s">
        <v>173</v>
      </c>
      <c r="D67" t="s">
        <v>35</v>
      </c>
      <c r="E67" s="18">
        <v>1540</v>
      </c>
      <c r="F67" s="38">
        <v>-1540</v>
      </c>
      <c r="G67" s="18">
        <v>0</v>
      </c>
    </row>
    <row r="68" spans="2:7" x14ac:dyDescent="0.3">
      <c r="C68" t="s">
        <v>176</v>
      </c>
      <c r="D68" t="s">
        <v>174</v>
      </c>
      <c r="E68" s="18">
        <v>1082.8000000000002</v>
      </c>
      <c r="F68" s="38">
        <v>-1082.8000000000002</v>
      </c>
      <c r="G68" s="18">
        <v>0</v>
      </c>
    </row>
    <row r="69" spans="2:7" x14ac:dyDescent="0.3">
      <c r="C69" t="s">
        <v>180</v>
      </c>
      <c r="D69" t="s">
        <v>20</v>
      </c>
      <c r="E69" s="18">
        <v>2008</v>
      </c>
      <c r="F69" s="38">
        <v>-2008</v>
      </c>
      <c r="G69" s="18">
        <v>0</v>
      </c>
    </row>
    <row r="70" spans="2:7" x14ac:dyDescent="0.3">
      <c r="C70" t="s">
        <v>182</v>
      </c>
      <c r="D70" t="s">
        <v>7</v>
      </c>
      <c r="E70" s="18">
        <v>2424</v>
      </c>
      <c r="F70" s="38">
        <v>-2424</v>
      </c>
      <c r="G70" s="18">
        <v>0</v>
      </c>
    </row>
    <row r="71" spans="2:7" x14ac:dyDescent="0.3">
      <c r="C71" t="s">
        <v>183</v>
      </c>
      <c r="D71" t="s">
        <v>58</v>
      </c>
      <c r="E71" s="18">
        <v>408</v>
      </c>
      <c r="F71" s="38">
        <v>-408</v>
      </c>
      <c r="G71" s="18">
        <v>0</v>
      </c>
    </row>
    <row r="72" spans="2:7" x14ac:dyDescent="0.3">
      <c r="C72" t="s">
        <v>184</v>
      </c>
      <c r="D72" t="s">
        <v>52</v>
      </c>
      <c r="E72" s="18">
        <v>1050</v>
      </c>
      <c r="F72" s="38">
        <v>-1050</v>
      </c>
      <c r="G72" s="18">
        <v>0</v>
      </c>
    </row>
    <row r="73" spans="2:7" x14ac:dyDescent="0.3">
      <c r="C73" t="s">
        <v>185</v>
      </c>
      <c r="D73" t="s">
        <v>62</v>
      </c>
      <c r="E73" s="18">
        <v>7775</v>
      </c>
      <c r="F73" s="38">
        <v>-7775</v>
      </c>
      <c r="G73" s="18">
        <v>0</v>
      </c>
    </row>
    <row r="74" spans="2:7" x14ac:dyDescent="0.3">
      <c r="C74" t="s">
        <v>201</v>
      </c>
      <c r="D74" t="s">
        <v>62</v>
      </c>
      <c r="E74" s="18">
        <v>275</v>
      </c>
      <c r="F74" s="38">
        <v>-275</v>
      </c>
      <c r="G74" s="18">
        <v>0</v>
      </c>
    </row>
    <row r="75" spans="2:7" x14ac:dyDescent="0.3">
      <c r="B75" s="17" t="s">
        <v>161</v>
      </c>
      <c r="C75" s="17"/>
      <c r="D75" s="17"/>
      <c r="E75" s="19">
        <v>37692</v>
      </c>
      <c r="F75" s="39">
        <v>-37692</v>
      </c>
      <c r="G75" s="19">
        <v>0</v>
      </c>
    </row>
    <row r="76" spans="2:7" x14ac:dyDescent="0.3">
      <c r="B76">
        <v>12</v>
      </c>
      <c r="C76" t="s">
        <v>210</v>
      </c>
      <c r="D76" t="s">
        <v>224</v>
      </c>
      <c r="E76" s="18">
        <v>799.2</v>
      </c>
      <c r="F76" s="38">
        <v>-799.2</v>
      </c>
      <c r="G76" s="18">
        <v>0</v>
      </c>
    </row>
    <row r="77" spans="2:7" x14ac:dyDescent="0.3">
      <c r="C77" t="s">
        <v>211</v>
      </c>
      <c r="D77" t="s">
        <v>7</v>
      </c>
      <c r="E77" s="18">
        <v>2228</v>
      </c>
      <c r="F77" s="38">
        <v>-2228</v>
      </c>
      <c r="G77" s="18">
        <v>0</v>
      </c>
    </row>
    <row r="78" spans="2:7" x14ac:dyDescent="0.3">
      <c r="C78" t="s">
        <v>212</v>
      </c>
      <c r="D78" t="s">
        <v>23</v>
      </c>
      <c r="E78" s="18">
        <v>2860</v>
      </c>
      <c r="F78" s="38">
        <v>-2860</v>
      </c>
      <c r="G78" s="18">
        <v>0</v>
      </c>
    </row>
    <row r="79" spans="2:7" x14ac:dyDescent="0.3">
      <c r="C79" t="s">
        <v>217</v>
      </c>
      <c r="D79" t="s">
        <v>20</v>
      </c>
      <c r="E79" s="18">
        <v>6108</v>
      </c>
      <c r="F79" s="38">
        <v>-6108</v>
      </c>
      <c r="G79" s="18">
        <v>0</v>
      </c>
    </row>
    <row r="80" spans="2:7" x14ac:dyDescent="0.3">
      <c r="C80" t="s">
        <v>218</v>
      </c>
      <c r="D80" t="s">
        <v>62</v>
      </c>
      <c r="E80" s="18">
        <v>10120</v>
      </c>
      <c r="F80" s="38">
        <v>-10120</v>
      </c>
      <c r="G80" s="18">
        <v>0</v>
      </c>
    </row>
    <row r="81" spans="1:7" x14ac:dyDescent="0.3">
      <c r="B81" s="17" t="s">
        <v>223</v>
      </c>
      <c r="C81" s="17"/>
      <c r="D81" s="17"/>
      <c r="E81" s="19">
        <v>22115.200000000001</v>
      </c>
      <c r="F81" s="39">
        <v>-22115.200000000001</v>
      </c>
      <c r="G81" s="19">
        <v>0</v>
      </c>
    </row>
    <row r="82" spans="1:7" x14ac:dyDescent="0.3">
      <c r="A82" s="81" t="s">
        <v>351</v>
      </c>
      <c r="B82" s="81"/>
      <c r="C82" s="81"/>
      <c r="D82" s="81"/>
      <c r="E82" s="82">
        <v>201162.5</v>
      </c>
      <c r="F82" s="83">
        <v>-201162.5</v>
      </c>
      <c r="G82" s="82">
        <v>0</v>
      </c>
    </row>
    <row r="83" spans="1:7" x14ac:dyDescent="0.3">
      <c r="A83">
        <v>2021</v>
      </c>
      <c r="B83">
        <v>1</v>
      </c>
      <c r="C83" t="s">
        <v>227</v>
      </c>
      <c r="D83" t="s">
        <v>1454</v>
      </c>
      <c r="E83" s="18">
        <v>10399</v>
      </c>
      <c r="F83" s="38">
        <v>-10399</v>
      </c>
      <c r="G83" s="18">
        <v>0</v>
      </c>
    </row>
    <row r="84" spans="1:7" x14ac:dyDescent="0.3">
      <c r="C84" t="s">
        <v>240</v>
      </c>
      <c r="D84" t="s">
        <v>62</v>
      </c>
      <c r="E84" s="18">
        <v>0</v>
      </c>
      <c r="F84" s="38">
        <v>0</v>
      </c>
      <c r="G84" s="18">
        <v>0</v>
      </c>
    </row>
    <row r="85" spans="1:7" x14ac:dyDescent="0.3">
      <c r="C85" t="s">
        <v>243</v>
      </c>
      <c r="D85" t="s">
        <v>1454</v>
      </c>
      <c r="E85" s="18">
        <v>49</v>
      </c>
      <c r="F85" s="38">
        <v>-49</v>
      </c>
      <c r="G85" s="18">
        <v>0</v>
      </c>
    </row>
    <row r="86" spans="1:7" x14ac:dyDescent="0.3">
      <c r="C86" t="s">
        <v>245</v>
      </c>
      <c r="D86" t="s">
        <v>20</v>
      </c>
      <c r="E86" s="18">
        <v>340</v>
      </c>
      <c r="F86" s="38">
        <v>-340</v>
      </c>
      <c r="G86" s="18">
        <v>0</v>
      </c>
    </row>
    <row r="87" spans="1:7" x14ac:dyDescent="0.3">
      <c r="C87" t="s">
        <v>247</v>
      </c>
      <c r="D87" t="s">
        <v>1454</v>
      </c>
      <c r="E87" s="18">
        <v>3408</v>
      </c>
      <c r="F87" s="38">
        <v>-3408</v>
      </c>
      <c r="G87" s="18">
        <v>0</v>
      </c>
    </row>
    <row r="88" spans="1:7" x14ac:dyDescent="0.3">
      <c r="C88" t="s">
        <v>251</v>
      </c>
      <c r="D88" t="s">
        <v>20</v>
      </c>
      <c r="E88" s="18">
        <v>5887</v>
      </c>
      <c r="F88" s="38">
        <v>-5887</v>
      </c>
      <c r="G88" s="18">
        <v>0</v>
      </c>
    </row>
    <row r="89" spans="1:7" x14ac:dyDescent="0.3">
      <c r="C89" t="s">
        <v>253</v>
      </c>
      <c r="D89" t="s">
        <v>7</v>
      </c>
      <c r="E89" s="18">
        <v>2866</v>
      </c>
      <c r="F89" s="38">
        <v>-2866</v>
      </c>
      <c r="G89" s="18">
        <v>0</v>
      </c>
    </row>
    <row r="90" spans="1:7" x14ac:dyDescent="0.3">
      <c r="C90" t="s">
        <v>254</v>
      </c>
      <c r="D90" t="s">
        <v>62</v>
      </c>
      <c r="E90" s="18">
        <v>10310</v>
      </c>
      <c r="F90" s="38">
        <v>-10310</v>
      </c>
      <c r="G90" s="18">
        <v>0</v>
      </c>
    </row>
    <row r="91" spans="1:7" x14ac:dyDescent="0.3">
      <c r="B91" s="17" t="s">
        <v>255</v>
      </c>
      <c r="C91" s="17"/>
      <c r="D91" s="17"/>
      <c r="E91" s="19">
        <v>33259</v>
      </c>
      <c r="F91" s="39">
        <v>-33259</v>
      </c>
      <c r="G91" s="19">
        <v>0</v>
      </c>
    </row>
    <row r="92" spans="1:7" x14ac:dyDescent="0.3">
      <c r="B92">
        <v>2</v>
      </c>
      <c r="C92" t="s">
        <v>257</v>
      </c>
      <c r="D92" t="s">
        <v>263</v>
      </c>
      <c r="E92" s="18">
        <v>5356</v>
      </c>
      <c r="F92" s="38">
        <v>-5356</v>
      </c>
      <c r="G92" s="18">
        <v>0</v>
      </c>
    </row>
    <row r="93" spans="1:7" x14ac:dyDescent="0.3">
      <c r="C93" t="s">
        <v>261</v>
      </c>
      <c r="D93" t="s">
        <v>35</v>
      </c>
      <c r="E93" s="18">
        <v>1750</v>
      </c>
      <c r="F93" s="38">
        <v>-1750</v>
      </c>
      <c r="G93" s="18">
        <v>0</v>
      </c>
    </row>
    <row r="94" spans="1:7" x14ac:dyDescent="0.3">
      <c r="C94" t="s">
        <v>262</v>
      </c>
      <c r="D94" t="s">
        <v>263</v>
      </c>
      <c r="E94" s="18">
        <v>130</v>
      </c>
      <c r="F94" s="38">
        <v>-130</v>
      </c>
      <c r="G94" s="18">
        <v>0</v>
      </c>
    </row>
    <row r="95" spans="1:7" x14ac:dyDescent="0.3">
      <c r="C95" t="s">
        <v>266</v>
      </c>
      <c r="D95" t="s">
        <v>1454</v>
      </c>
      <c r="E95" s="18">
        <v>3198</v>
      </c>
      <c r="F95" s="38">
        <v>-3198</v>
      </c>
      <c r="G95" s="18">
        <v>0</v>
      </c>
    </row>
    <row r="96" spans="1:7" x14ac:dyDescent="0.3">
      <c r="C96" t="s">
        <v>267</v>
      </c>
      <c r="D96" t="s">
        <v>35</v>
      </c>
      <c r="E96" s="18">
        <v>225</v>
      </c>
      <c r="F96" s="38">
        <v>-225</v>
      </c>
      <c r="G96" s="18">
        <v>0</v>
      </c>
    </row>
    <row r="97" spans="2:7" x14ac:dyDescent="0.3">
      <c r="C97" t="s">
        <v>274</v>
      </c>
      <c r="D97" t="s">
        <v>7</v>
      </c>
      <c r="E97" s="18">
        <v>1694</v>
      </c>
      <c r="F97" s="38">
        <v>-1694</v>
      </c>
      <c r="G97" s="18">
        <v>0</v>
      </c>
    </row>
    <row r="98" spans="2:7" x14ac:dyDescent="0.3">
      <c r="C98" t="s">
        <v>275</v>
      </c>
      <c r="D98" t="s">
        <v>23</v>
      </c>
      <c r="E98" s="18">
        <v>9111.2000000000007</v>
      </c>
      <c r="F98" s="38">
        <v>-9111.2000000000007</v>
      </c>
      <c r="G98" s="18">
        <v>0</v>
      </c>
    </row>
    <row r="99" spans="2:7" x14ac:dyDescent="0.3">
      <c r="C99" t="s">
        <v>276</v>
      </c>
      <c r="D99" t="s">
        <v>52</v>
      </c>
      <c r="E99" s="18">
        <v>1200</v>
      </c>
      <c r="F99" s="38">
        <v>-1200</v>
      </c>
      <c r="G99" s="18">
        <v>0</v>
      </c>
    </row>
    <row r="100" spans="2:7" x14ac:dyDescent="0.3">
      <c r="C100" t="s">
        <v>279</v>
      </c>
      <c r="D100" t="s">
        <v>281</v>
      </c>
      <c r="E100" s="18">
        <v>2022</v>
      </c>
      <c r="F100" s="38">
        <v>-2022</v>
      </c>
      <c r="G100" s="18">
        <v>0</v>
      </c>
    </row>
    <row r="101" spans="2:7" x14ac:dyDescent="0.3">
      <c r="B101" s="17" t="s">
        <v>273</v>
      </c>
      <c r="C101" s="17"/>
      <c r="D101" s="17"/>
      <c r="E101" s="19">
        <v>24686.2</v>
      </c>
      <c r="F101" s="39">
        <v>-24686.2</v>
      </c>
      <c r="G101" s="19">
        <v>0</v>
      </c>
    </row>
    <row r="102" spans="2:7" x14ac:dyDescent="0.3">
      <c r="B102">
        <v>3</v>
      </c>
      <c r="C102" t="s">
        <v>286</v>
      </c>
      <c r="D102" t="s">
        <v>23</v>
      </c>
      <c r="E102" s="18">
        <v>14813.6</v>
      </c>
      <c r="F102" s="38">
        <v>-14813.6</v>
      </c>
      <c r="G102" s="18">
        <v>0</v>
      </c>
    </row>
    <row r="103" spans="2:7" x14ac:dyDescent="0.3">
      <c r="C103" t="s">
        <v>316</v>
      </c>
      <c r="D103" t="s">
        <v>290</v>
      </c>
      <c r="E103" s="18">
        <v>10807.25</v>
      </c>
      <c r="F103" s="38">
        <v>-10807.25</v>
      </c>
      <c r="G103" s="18">
        <v>0</v>
      </c>
    </row>
    <row r="104" spans="2:7" x14ac:dyDescent="0.3">
      <c r="C104" t="s">
        <v>317</v>
      </c>
      <c r="D104" t="s">
        <v>58</v>
      </c>
      <c r="E104" s="18">
        <v>6459.6</v>
      </c>
      <c r="F104" s="38">
        <v>-6459.6</v>
      </c>
      <c r="G104" s="18">
        <v>0</v>
      </c>
    </row>
    <row r="105" spans="2:7" x14ac:dyDescent="0.3">
      <c r="C105" t="s">
        <v>319</v>
      </c>
      <c r="D105" t="s">
        <v>23</v>
      </c>
      <c r="E105" s="18">
        <v>11803.2</v>
      </c>
      <c r="F105" s="38">
        <v>-11803.2</v>
      </c>
      <c r="G105" s="18">
        <v>0</v>
      </c>
    </row>
    <row r="106" spans="2:7" x14ac:dyDescent="0.3">
      <c r="C106" t="s">
        <v>320</v>
      </c>
      <c r="D106" t="s">
        <v>58</v>
      </c>
      <c r="E106" s="18">
        <v>90</v>
      </c>
      <c r="F106" s="38">
        <v>-90</v>
      </c>
      <c r="G106" s="18">
        <v>0</v>
      </c>
    </row>
    <row r="107" spans="2:7" x14ac:dyDescent="0.3">
      <c r="C107" t="s">
        <v>321</v>
      </c>
      <c r="D107" t="s">
        <v>62</v>
      </c>
      <c r="E107" s="18">
        <v>10075</v>
      </c>
      <c r="F107" s="38">
        <v>-10075</v>
      </c>
      <c r="G107" s="18">
        <v>0</v>
      </c>
    </row>
    <row r="108" spans="2:7" x14ac:dyDescent="0.3">
      <c r="C108" t="s">
        <v>322</v>
      </c>
      <c r="D108" t="s">
        <v>263</v>
      </c>
      <c r="E108" s="18">
        <v>240</v>
      </c>
      <c r="F108" s="38">
        <v>-240</v>
      </c>
      <c r="G108" s="18">
        <v>0</v>
      </c>
    </row>
    <row r="109" spans="2:7" x14ac:dyDescent="0.3">
      <c r="C109" t="s">
        <v>323</v>
      </c>
      <c r="D109" t="s">
        <v>23</v>
      </c>
      <c r="E109" s="18">
        <v>3510</v>
      </c>
      <c r="F109" s="38">
        <v>-3510</v>
      </c>
      <c r="G109" s="18">
        <v>0</v>
      </c>
    </row>
    <row r="110" spans="2:7" x14ac:dyDescent="0.3">
      <c r="B110" s="17" t="s">
        <v>288</v>
      </c>
      <c r="C110" s="17"/>
      <c r="D110" s="17"/>
      <c r="E110" s="19">
        <v>57798.649999999994</v>
      </c>
      <c r="F110" s="39">
        <v>-57798.649999999994</v>
      </c>
      <c r="G110" s="19">
        <v>0</v>
      </c>
    </row>
    <row r="111" spans="2:7" x14ac:dyDescent="0.3">
      <c r="B111">
        <v>4</v>
      </c>
      <c r="C111" t="s">
        <v>324</v>
      </c>
      <c r="D111" t="s">
        <v>20</v>
      </c>
      <c r="E111" s="18">
        <v>6621</v>
      </c>
      <c r="F111" s="38">
        <v>-6621</v>
      </c>
      <c r="G111" s="18">
        <v>0</v>
      </c>
    </row>
    <row r="112" spans="2:7" x14ac:dyDescent="0.3">
      <c r="C112" t="s">
        <v>325</v>
      </c>
      <c r="D112" t="s">
        <v>20</v>
      </c>
      <c r="E112" s="18">
        <v>90</v>
      </c>
      <c r="F112" s="38">
        <v>-90</v>
      </c>
      <c r="G112" s="18">
        <v>0</v>
      </c>
    </row>
    <row r="113" spans="2:7" x14ac:dyDescent="0.3">
      <c r="C113" t="s">
        <v>326</v>
      </c>
      <c r="D113" t="s">
        <v>281</v>
      </c>
      <c r="E113" s="18">
        <v>2225</v>
      </c>
      <c r="F113" s="38">
        <v>-2225</v>
      </c>
      <c r="G113" s="18">
        <v>0</v>
      </c>
    </row>
    <row r="114" spans="2:7" x14ac:dyDescent="0.3">
      <c r="C114" t="s">
        <v>327</v>
      </c>
      <c r="D114" t="s">
        <v>62</v>
      </c>
      <c r="E114" s="18">
        <v>12101.6</v>
      </c>
      <c r="F114" s="38">
        <v>-12101.6</v>
      </c>
      <c r="G114" s="18">
        <v>0</v>
      </c>
    </row>
    <row r="115" spans="2:7" x14ac:dyDescent="0.3">
      <c r="C115" t="s">
        <v>328</v>
      </c>
      <c r="D115" t="s">
        <v>7</v>
      </c>
      <c r="E115" s="18">
        <v>520</v>
      </c>
      <c r="F115" s="38">
        <v>-520</v>
      </c>
      <c r="G115" s="18">
        <v>0</v>
      </c>
    </row>
    <row r="116" spans="2:7" x14ac:dyDescent="0.3">
      <c r="C116" t="s">
        <v>329</v>
      </c>
      <c r="D116" t="s">
        <v>58</v>
      </c>
      <c r="E116" s="18">
        <v>7482</v>
      </c>
      <c r="F116" s="38">
        <v>-7482</v>
      </c>
      <c r="G116" s="18">
        <v>0</v>
      </c>
    </row>
    <row r="117" spans="2:7" x14ac:dyDescent="0.3">
      <c r="C117" t="s">
        <v>332</v>
      </c>
      <c r="D117" t="s">
        <v>62</v>
      </c>
      <c r="E117" s="18">
        <v>11585</v>
      </c>
      <c r="F117" s="38">
        <v>-11764.4</v>
      </c>
      <c r="G117" s="18">
        <v>-179.39999999999998</v>
      </c>
    </row>
    <row r="118" spans="2:7" x14ac:dyDescent="0.3">
      <c r="B118" s="17" t="s">
        <v>309</v>
      </c>
      <c r="C118" s="17"/>
      <c r="D118" s="17"/>
      <c r="E118" s="19">
        <v>40624.6</v>
      </c>
      <c r="F118" s="39">
        <v>-40804</v>
      </c>
      <c r="G118" s="19">
        <v>-179.39999999999998</v>
      </c>
    </row>
    <row r="119" spans="2:7" x14ac:dyDescent="0.3">
      <c r="B119">
        <v>5</v>
      </c>
      <c r="C119" t="s">
        <v>318</v>
      </c>
      <c r="D119" t="s">
        <v>1454</v>
      </c>
      <c r="E119" s="18">
        <v>3959</v>
      </c>
      <c r="F119" s="38">
        <v>-3959</v>
      </c>
      <c r="G119" s="18">
        <v>0</v>
      </c>
    </row>
    <row r="120" spans="2:7" x14ac:dyDescent="0.3">
      <c r="C120" t="s">
        <v>330</v>
      </c>
      <c r="D120" t="s">
        <v>23</v>
      </c>
      <c r="E120" s="18">
        <v>14034.8</v>
      </c>
      <c r="F120" s="38">
        <v>-14034.8</v>
      </c>
      <c r="G120" s="18">
        <v>0</v>
      </c>
    </row>
    <row r="121" spans="2:7" x14ac:dyDescent="0.3">
      <c r="C121" t="s">
        <v>338</v>
      </c>
      <c r="D121" t="s">
        <v>35</v>
      </c>
      <c r="E121" s="18">
        <v>1876</v>
      </c>
      <c r="F121" s="38">
        <v>-1876</v>
      </c>
      <c r="G121" s="18">
        <v>0</v>
      </c>
    </row>
    <row r="122" spans="2:7" x14ac:dyDescent="0.3">
      <c r="C122" t="s">
        <v>339</v>
      </c>
      <c r="D122" t="s">
        <v>7</v>
      </c>
      <c r="E122" s="18">
        <v>2846</v>
      </c>
      <c r="F122" s="38">
        <v>-2846</v>
      </c>
      <c r="G122" s="18">
        <v>0</v>
      </c>
    </row>
    <row r="123" spans="2:7" x14ac:dyDescent="0.3">
      <c r="C123" t="s">
        <v>341</v>
      </c>
      <c r="D123" t="s">
        <v>35</v>
      </c>
      <c r="E123" s="18">
        <v>1826</v>
      </c>
      <c r="F123" s="38">
        <v>-1826</v>
      </c>
      <c r="G123" s="18">
        <v>0</v>
      </c>
    </row>
    <row r="124" spans="2:7" x14ac:dyDescent="0.3">
      <c r="C124" t="s">
        <v>342</v>
      </c>
      <c r="D124" t="s">
        <v>20</v>
      </c>
      <c r="E124" s="18">
        <v>6450</v>
      </c>
      <c r="F124" s="38">
        <v>-6450</v>
      </c>
      <c r="G124" s="18">
        <v>0</v>
      </c>
    </row>
    <row r="125" spans="2:7" x14ac:dyDescent="0.3">
      <c r="C125" t="s">
        <v>343</v>
      </c>
      <c r="D125" t="s">
        <v>35</v>
      </c>
      <c r="E125" s="18">
        <v>100</v>
      </c>
      <c r="F125" s="38">
        <v>-100</v>
      </c>
      <c r="G125" s="18">
        <v>0</v>
      </c>
    </row>
    <row r="126" spans="2:7" x14ac:dyDescent="0.3">
      <c r="B126" s="17" t="s">
        <v>331</v>
      </c>
      <c r="C126" s="17"/>
      <c r="D126" s="17"/>
      <c r="E126" s="19">
        <v>31091.8</v>
      </c>
      <c r="F126" s="39">
        <v>-31091.8</v>
      </c>
      <c r="G126" s="19">
        <v>0</v>
      </c>
    </row>
    <row r="127" spans="2:7" x14ac:dyDescent="0.3">
      <c r="B127">
        <v>6</v>
      </c>
      <c r="C127" t="s">
        <v>356</v>
      </c>
      <c r="D127" t="s">
        <v>62</v>
      </c>
      <c r="E127" s="18">
        <v>6952</v>
      </c>
      <c r="F127" s="38">
        <v>-6952</v>
      </c>
      <c r="G127" s="18">
        <v>0</v>
      </c>
    </row>
    <row r="128" spans="2:7" x14ac:dyDescent="0.3">
      <c r="C128" t="s">
        <v>357</v>
      </c>
      <c r="D128" t="s">
        <v>58</v>
      </c>
      <c r="E128" s="18">
        <v>3825</v>
      </c>
      <c r="F128" s="38">
        <v>-3825</v>
      </c>
      <c r="G128" s="18">
        <v>0</v>
      </c>
    </row>
    <row r="129" spans="2:7" x14ac:dyDescent="0.3">
      <c r="C129" t="s">
        <v>358</v>
      </c>
      <c r="D129" t="s">
        <v>58</v>
      </c>
      <c r="E129" s="18">
        <v>690</v>
      </c>
      <c r="F129" s="38">
        <v>-690</v>
      </c>
      <c r="G129" s="18">
        <v>0</v>
      </c>
    </row>
    <row r="130" spans="2:7" x14ac:dyDescent="0.3">
      <c r="C130" t="s">
        <v>359</v>
      </c>
      <c r="D130" t="s">
        <v>62</v>
      </c>
      <c r="E130" s="18">
        <v>930</v>
      </c>
      <c r="F130" s="38">
        <v>-930</v>
      </c>
      <c r="G130" s="18">
        <v>0</v>
      </c>
    </row>
    <row r="131" spans="2:7" x14ac:dyDescent="0.3">
      <c r="B131" s="17" t="s">
        <v>141</v>
      </c>
      <c r="C131" s="17"/>
      <c r="D131" s="17"/>
      <c r="E131" s="19">
        <v>12397</v>
      </c>
      <c r="F131" s="39">
        <v>-12397</v>
      </c>
      <c r="G131" s="19">
        <v>0</v>
      </c>
    </row>
    <row r="132" spans="2:7" x14ac:dyDescent="0.3">
      <c r="B132">
        <v>9</v>
      </c>
      <c r="C132" t="s">
        <v>364</v>
      </c>
      <c r="D132" t="s">
        <v>1698</v>
      </c>
      <c r="E132" s="18">
        <v>855</v>
      </c>
      <c r="F132" s="38">
        <v>-855</v>
      </c>
      <c r="G132" s="18">
        <v>0</v>
      </c>
    </row>
    <row r="133" spans="2:7" x14ac:dyDescent="0.3">
      <c r="C133" t="s">
        <v>368</v>
      </c>
      <c r="D133" t="s">
        <v>35</v>
      </c>
      <c r="E133" s="18">
        <v>1826</v>
      </c>
      <c r="F133" s="38">
        <v>-1826</v>
      </c>
      <c r="G133" s="18">
        <v>0</v>
      </c>
    </row>
    <row r="134" spans="2:7" x14ac:dyDescent="0.3">
      <c r="C134" t="s">
        <v>369</v>
      </c>
      <c r="D134" t="s">
        <v>35</v>
      </c>
      <c r="E134" s="18">
        <v>1926</v>
      </c>
      <c r="F134" s="38">
        <v>-1926</v>
      </c>
      <c r="G134" s="18">
        <v>0</v>
      </c>
    </row>
    <row r="135" spans="2:7" x14ac:dyDescent="0.3">
      <c r="C135" t="s">
        <v>370</v>
      </c>
      <c r="D135" t="s">
        <v>23</v>
      </c>
      <c r="E135" s="18">
        <v>3830.4</v>
      </c>
      <c r="F135" s="38">
        <v>-3830.4</v>
      </c>
      <c r="G135" s="18">
        <v>0</v>
      </c>
    </row>
    <row r="136" spans="2:7" x14ac:dyDescent="0.3">
      <c r="C136" t="s">
        <v>371</v>
      </c>
      <c r="D136" t="s">
        <v>14</v>
      </c>
      <c r="E136" s="18">
        <v>3432</v>
      </c>
      <c r="F136" s="38">
        <v>-3432</v>
      </c>
      <c r="G136" s="18">
        <v>0</v>
      </c>
    </row>
    <row r="137" spans="2:7" x14ac:dyDescent="0.3">
      <c r="C137" t="s">
        <v>372</v>
      </c>
      <c r="D137" t="s">
        <v>20</v>
      </c>
      <c r="E137" s="18">
        <v>6914</v>
      </c>
      <c r="F137" s="38">
        <v>-6914</v>
      </c>
      <c r="G137" s="18">
        <v>0</v>
      </c>
    </row>
    <row r="138" spans="2:7" x14ac:dyDescent="0.3">
      <c r="C138" t="s">
        <v>373</v>
      </c>
      <c r="D138" t="s">
        <v>62</v>
      </c>
      <c r="E138" s="18">
        <v>14208</v>
      </c>
      <c r="F138" s="38">
        <v>-14208</v>
      </c>
      <c r="G138" s="18">
        <v>0</v>
      </c>
    </row>
    <row r="139" spans="2:7" x14ac:dyDescent="0.3">
      <c r="C139" t="s">
        <v>374</v>
      </c>
      <c r="D139" t="s">
        <v>376</v>
      </c>
      <c r="E139" s="18">
        <v>9592</v>
      </c>
      <c r="F139" s="38">
        <v>-9592</v>
      </c>
      <c r="G139" s="18">
        <v>0</v>
      </c>
    </row>
    <row r="140" spans="2:7" x14ac:dyDescent="0.3">
      <c r="C140" t="s">
        <v>377</v>
      </c>
      <c r="D140" t="s">
        <v>7</v>
      </c>
      <c r="E140" s="18">
        <v>1870</v>
      </c>
      <c r="F140" s="38">
        <v>-1870</v>
      </c>
      <c r="G140" s="18">
        <v>0</v>
      </c>
    </row>
    <row r="141" spans="2:7" x14ac:dyDescent="0.3">
      <c r="C141" t="s">
        <v>378</v>
      </c>
      <c r="D141" t="s">
        <v>23</v>
      </c>
      <c r="E141" s="18">
        <v>12524</v>
      </c>
      <c r="F141" s="38">
        <v>-12524</v>
      </c>
      <c r="G141" s="18">
        <v>0</v>
      </c>
    </row>
    <row r="142" spans="2:7" x14ac:dyDescent="0.3">
      <c r="C142" t="s">
        <v>380</v>
      </c>
      <c r="D142" t="s">
        <v>35</v>
      </c>
      <c r="E142" s="18">
        <v>1826</v>
      </c>
      <c r="F142" s="38">
        <v>-1826</v>
      </c>
      <c r="G142" s="18">
        <v>0</v>
      </c>
    </row>
    <row r="143" spans="2:7" x14ac:dyDescent="0.3">
      <c r="C143" t="s">
        <v>381</v>
      </c>
      <c r="D143" t="s">
        <v>23</v>
      </c>
      <c r="E143" s="18">
        <v>240</v>
      </c>
      <c r="F143" s="38">
        <v>-240</v>
      </c>
      <c r="G143" s="18">
        <v>0</v>
      </c>
    </row>
    <row r="144" spans="2:7" x14ac:dyDescent="0.3">
      <c r="B144" s="17" t="s">
        <v>144</v>
      </c>
      <c r="C144" s="17"/>
      <c r="D144" s="17"/>
      <c r="E144" s="19">
        <v>59043.4</v>
      </c>
      <c r="F144" s="39">
        <v>-59043.4</v>
      </c>
      <c r="G144" s="19">
        <v>0</v>
      </c>
    </row>
    <row r="145" spans="2:7" x14ac:dyDescent="0.3">
      <c r="B145">
        <v>10</v>
      </c>
      <c r="C145" t="s">
        <v>398</v>
      </c>
      <c r="D145" t="s">
        <v>43</v>
      </c>
      <c r="E145" s="18">
        <v>240</v>
      </c>
      <c r="F145" s="38">
        <v>-240</v>
      </c>
      <c r="G145" s="18">
        <v>0</v>
      </c>
    </row>
    <row r="146" spans="2:7" x14ac:dyDescent="0.3">
      <c r="C146" t="s">
        <v>399</v>
      </c>
      <c r="D146" t="s">
        <v>401</v>
      </c>
      <c r="E146" s="18">
        <v>5056.2</v>
      </c>
      <c r="F146" s="38">
        <v>-5056.2</v>
      </c>
      <c r="G146" s="18">
        <v>0</v>
      </c>
    </row>
    <row r="147" spans="2:7" x14ac:dyDescent="0.3">
      <c r="C147" t="s">
        <v>402</v>
      </c>
      <c r="D147" t="s">
        <v>401</v>
      </c>
      <c r="E147" s="18">
        <v>100</v>
      </c>
      <c r="F147" s="38">
        <v>-100</v>
      </c>
      <c r="G147" s="18">
        <v>0</v>
      </c>
    </row>
    <row r="148" spans="2:7" x14ac:dyDescent="0.3">
      <c r="C148" t="s">
        <v>403</v>
      </c>
      <c r="D148" t="s">
        <v>62</v>
      </c>
      <c r="E148" s="18">
        <v>12121</v>
      </c>
      <c r="F148" s="38">
        <v>-12121</v>
      </c>
      <c r="G148" s="18">
        <v>0</v>
      </c>
    </row>
    <row r="149" spans="2:7" x14ac:dyDescent="0.3">
      <c r="C149" t="s">
        <v>404</v>
      </c>
      <c r="D149" t="s">
        <v>20</v>
      </c>
      <c r="E149" s="18">
        <v>2330</v>
      </c>
      <c r="F149" s="38">
        <v>-2330</v>
      </c>
      <c r="G149" s="18">
        <v>0</v>
      </c>
    </row>
    <row r="150" spans="2:7" x14ac:dyDescent="0.3">
      <c r="C150" t="s">
        <v>406</v>
      </c>
      <c r="D150" t="s">
        <v>20</v>
      </c>
      <c r="E150" s="18">
        <v>1300</v>
      </c>
      <c r="F150" s="38">
        <v>-1300</v>
      </c>
      <c r="G150" s="18">
        <v>0</v>
      </c>
    </row>
    <row r="151" spans="2:7" x14ac:dyDescent="0.3">
      <c r="C151" t="s">
        <v>408</v>
      </c>
      <c r="D151" t="s">
        <v>410</v>
      </c>
      <c r="E151" s="18">
        <v>1760</v>
      </c>
      <c r="F151" s="38">
        <v>-1760</v>
      </c>
      <c r="G151" s="18">
        <v>0</v>
      </c>
    </row>
    <row r="152" spans="2:7" x14ac:dyDescent="0.3">
      <c r="C152" t="s">
        <v>411</v>
      </c>
      <c r="D152" t="s">
        <v>1454</v>
      </c>
      <c r="E152" s="18">
        <v>205</v>
      </c>
      <c r="F152" s="38">
        <v>-205</v>
      </c>
      <c r="G152" s="18">
        <v>0</v>
      </c>
    </row>
    <row r="153" spans="2:7" x14ac:dyDescent="0.3">
      <c r="C153" t="s">
        <v>412</v>
      </c>
      <c r="D153" t="s">
        <v>410</v>
      </c>
      <c r="E153" s="18">
        <v>12627</v>
      </c>
      <c r="F153" s="38">
        <v>-12627</v>
      </c>
      <c r="G153" s="18">
        <v>0</v>
      </c>
    </row>
    <row r="154" spans="2:7" x14ac:dyDescent="0.3">
      <c r="C154" t="s">
        <v>416</v>
      </c>
      <c r="D154" t="s">
        <v>401</v>
      </c>
      <c r="E154" s="18">
        <v>5006.3999999999996</v>
      </c>
      <c r="F154" s="38">
        <v>-5006.3999999999996</v>
      </c>
      <c r="G154" s="18">
        <v>0</v>
      </c>
    </row>
    <row r="155" spans="2:7" x14ac:dyDescent="0.3">
      <c r="C155" t="s">
        <v>417</v>
      </c>
      <c r="D155" t="s">
        <v>401</v>
      </c>
      <c r="E155" s="18">
        <v>400</v>
      </c>
      <c r="F155" s="38">
        <v>-400</v>
      </c>
      <c r="G155" s="18">
        <v>0</v>
      </c>
    </row>
    <row r="156" spans="2:7" x14ac:dyDescent="0.3">
      <c r="C156" t="s">
        <v>419</v>
      </c>
      <c r="D156" t="s">
        <v>58</v>
      </c>
      <c r="E156" s="18">
        <v>5100</v>
      </c>
      <c r="F156" s="38">
        <v>-5100</v>
      </c>
      <c r="G156" s="18">
        <v>0</v>
      </c>
    </row>
    <row r="157" spans="2:7" x14ac:dyDescent="0.3">
      <c r="C157" t="s">
        <v>420</v>
      </c>
      <c r="D157" t="s">
        <v>263</v>
      </c>
      <c r="E157" s="18">
        <v>2676</v>
      </c>
      <c r="F157" s="38">
        <v>-2676</v>
      </c>
      <c r="G157" s="18">
        <v>0</v>
      </c>
    </row>
    <row r="158" spans="2:7" x14ac:dyDescent="0.3">
      <c r="C158" t="s">
        <v>424</v>
      </c>
      <c r="D158" t="s">
        <v>35</v>
      </c>
      <c r="E158" s="18">
        <v>1926</v>
      </c>
      <c r="F158" s="38">
        <v>-1926</v>
      </c>
      <c r="G158" s="18">
        <v>0</v>
      </c>
    </row>
    <row r="159" spans="2:7" x14ac:dyDescent="0.3">
      <c r="C159" t="s">
        <v>425</v>
      </c>
      <c r="D159" t="s">
        <v>410</v>
      </c>
      <c r="E159" s="18">
        <v>1311.4</v>
      </c>
      <c r="F159" s="38">
        <v>-1311.4</v>
      </c>
      <c r="G159" s="18">
        <v>0</v>
      </c>
    </row>
    <row r="160" spans="2:7" x14ac:dyDescent="0.3">
      <c r="C160" t="s">
        <v>426</v>
      </c>
      <c r="D160" t="s">
        <v>410</v>
      </c>
      <c r="E160" s="18">
        <v>13109.2</v>
      </c>
      <c r="F160" s="38">
        <v>-13109.2</v>
      </c>
      <c r="G160" s="18">
        <v>0</v>
      </c>
    </row>
    <row r="161" spans="2:7" x14ac:dyDescent="0.3">
      <c r="C161" t="s">
        <v>427</v>
      </c>
      <c r="D161" t="s">
        <v>410</v>
      </c>
      <c r="E161" s="18">
        <v>1000</v>
      </c>
      <c r="F161" s="38">
        <v>-1000</v>
      </c>
      <c r="G161" s="18">
        <v>0</v>
      </c>
    </row>
    <row r="162" spans="2:7" x14ac:dyDescent="0.3">
      <c r="C162" t="s">
        <v>428</v>
      </c>
      <c r="D162" t="s">
        <v>410</v>
      </c>
      <c r="E162" s="18">
        <v>9673.4</v>
      </c>
      <c r="F162" s="38">
        <v>-9673.4</v>
      </c>
      <c r="G162" s="18">
        <v>0</v>
      </c>
    </row>
    <row r="163" spans="2:7" x14ac:dyDescent="0.3">
      <c r="C163" t="s">
        <v>442</v>
      </c>
      <c r="D163" t="s">
        <v>52</v>
      </c>
      <c r="E163" s="18">
        <v>3362</v>
      </c>
      <c r="F163" s="38">
        <v>-3362</v>
      </c>
      <c r="G163" s="18">
        <v>0</v>
      </c>
    </row>
    <row r="164" spans="2:7" x14ac:dyDescent="0.3">
      <c r="C164" t="s">
        <v>443</v>
      </c>
      <c r="D164" t="s">
        <v>7</v>
      </c>
      <c r="E164" s="18">
        <v>6656</v>
      </c>
      <c r="F164" s="38">
        <v>-6656</v>
      </c>
      <c r="G164" s="18">
        <v>0</v>
      </c>
    </row>
    <row r="165" spans="2:7" x14ac:dyDescent="0.3">
      <c r="C165" t="s">
        <v>444</v>
      </c>
      <c r="D165" t="s">
        <v>410</v>
      </c>
      <c r="E165" s="18">
        <v>16976.2</v>
      </c>
      <c r="F165" s="38">
        <v>-16976.2</v>
      </c>
      <c r="G165" s="18">
        <v>0</v>
      </c>
    </row>
    <row r="166" spans="2:7" x14ac:dyDescent="0.3">
      <c r="C166" t="s">
        <v>445</v>
      </c>
      <c r="D166" t="s">
        <v>52</v>
      </c>
      <c r="E166" s="18">
        <v>510</v>
      </c>
      <c r="F166" s="38">
        <v>-510</v>
      </c>
      <c r="G166" s="18">
        <v>0</v>
      </c>
    </row>
    <row r="167" spans="2:7" x14ac:dyDescent="0.3">
      <c r="C167" t="s">
        <v>446</v>
      </c>
      <c r="D167" t="s">
        <v>410</v>
      </c>
      <c r="E167" s="18">
        <v>5874</v>
      </c>
      <c r="F167" s="38">
        <v>-5874</v>
      </c>
      <c r="G167" s="18">
        <v>0</v>
      </c>
    </row>
    <row r="168" spans="2:7" x14ac:dyDescent="0.3">
      <c r="C168" t="s">
        <v>447</v>
      </c>
      <c r="D168" t="s">
        <v>62</v>
      </c>
      <c r="E168" s="18">
        <v>13723.8</v>
      </c>
      <c r="F168" s="38">
        <v>-13723.8</v>
      </c>
      <c r="G168" s="18">
        <v>0</v>
      </c>
    </row>
    <row r="169" spans="2:7" x14ac:dyDescent="0.3">
      <c r="C169" t="s">
        <v>448</v>
      </c>
      <c r="D169" t="s">
        <v>401</v>
      </c>
      <c r="E169" s="18">
        <v>720</v>
      </c>
      <c r="F169" s="38">
        <v>-720</v>
      </c>
      <c r="G169" s="18">
        <v>0</v>
      </c>
    </row>
    <row r="170" spans="2:7" x14ac:dyDescent="0.3">
      <c r="C170" t="s">
        <v>450</v>
      </c>
      <c r="D170" t="s">
        <v>62</v>
      </c>
      <c r="E170" s="18">
        <v>10019.200000000001</v>
      </c>
      <c r="F170" s="38">
        <v>-10019.200000000001</v>
      </c>
      <c r="G170" s="18">
        <v>0</v>
      </c>
    </row>
    <row r="171" spans="2:7" x14ac:dyDescent="0.3">
      <c r="B171" s="17" t="s">
        <v>145</v>
      </c>
      <c r="C171" s="17"/>
      <c r="D171" s="17"/>
      <c r="E171" s="19">
        <v>133782.79999999999</v>
      </c>
      <c r="F171" s="39">
        <v>-133782.79999999999</v>
      </c>
      <c r="G171" s="19">
        <v>0</v>
      </c>
    </row>
    <row r="172" spans="2:7" x14ac:dyDescent="0.3">
      <c r="B172">
        <v>11</v>
      </c>
      <c r="C172" t="s">
        <v>456</v>
      </c>
      <c r="D172" t="s">
        <v>35</v>
      </c>
      <c r="E172" s="18">
        <v>380.4</v>
      </c>
      <c r="F172" s="38">
        <v>-380.4</v>
      </c>
      <c r="G172" s="18">
        <v>0</v>
      </c>
    </row>
    <row r="173" spans="2:7" x14ac:dyDescent="0.3">
      <c r="C173" t="s">
        <v>458</v>
      </c>
      <c r="D173" t="s">
        <v>401</v>
      </c>
      <c r="E173" s="18">
        <v>5120</v>
      </c>
      <c r="F173" s="38">
        <v>-5120</v>
      </c>
      <c r="G173" s="18">
        <v>0</v>
      </c>
    </row>
    <row r="174" spans="2:7" x14ac:dyDescent="0.3">
      <c r="C174" t="s">
        <v>459</v>
      </c>
      <c r="D174" t="s">
        <v>20</v>
      </c>
      <c r="E174" s="18">
        <v>2184</v>
      </c>
      <c r="F174" s="38">
        <v>-2184</v>
      </c>
      <c r="G174" s="18">
        <v>0</v>
      </c>
    </row>
    <row r="175" spans="2:7" x14ac:dyDescent="0.3">
      <c r="C175" t="s">
        <v>460</v>
      </c>
      <c r="D175" t="s">
        <v>410</v>
      </c>
      <c r="E175" s="18">
        <v>19017.5</v>
      </c>
      <c r="F175" s="38">
        <v>-19017.5</v>
      </c>
      <c r="G175" s="18">
        <v>0</v>
      </c>
    </row>
    <row r="176" spans="2:7" x14ac:dyDescent="0.3">
      <c r="C176" t="s">
        <v>461</v>
      </c>
      <c r="D176" t="s">
        <v>62</v>
      </c>
      <c r="E176" s="18">
        <v>2135</v>
      </c>
      <c r="F176" s="38">
        <v>-2135</v>
      </c>
      <c r="G176" s="18">
        <v>0</v>
      </c>
    </row>
    <row r="177" spans="2:7" x14ac:dyDescent="0.3">
      <c r="C177" t="s">
        <v>465</v>
      </c>
      <c r="D177" t="s">
        <v>410</v>
      </c>
      <c r="E177" s="18">
        <v>19315.5</v>
      </c>
      <c r="F177" s="38">
        <v>-19315.5</v>
      </c>
      <c r="G177" s="18">
        <v>0</v>
      </c>
    </row>
    <row r="178" spans="2:7" x14ac:dyDescent="0.3">
      <c r="C178" t="s">
        <v>466</v>
      </c>
      <c r="D178" t="s">
        <v>62</v>
      </c>
      <c r="E178" s="18">
        <v>14253</v>
      </c>
      <c r="F178" s="38">
        <v>-14253</v>
      </c>
      <c r="G178" s="18">
        <v>0</v>
      </c>
    </row>
    <row r="179" spans="2:7" x14ac:dyDescent="0.3">
      <c r="C179" t="s">
        <v>471</v>
      </c>
      <c r="D179" t="s">
        <v>470</v>
      </c>
      <c r="E179" s="18">
        <v>240</v>
      </c>
      <c r="F179" s="38">
        <v>-240</v>
      </c>
      <c r="G179" s="18">
        <v>0</v>
      </c>
    </row>
    <row r="180" spans="2:7" x14ac:dyDescent="0.3">
      <c r="C180" t="s">
        <v>473</v>
      </c>
      <c r="D180" t="s">
        <v>492</v>
      </c>
      <c r="E180" s="18">
        <v>2024</v>
      </c>
      <c r="F180" s="38">
        <v>-2024</v>
      </c>
      <c r="G180" s="18">
        <v>0</v>
      </c>
    </row>
    <row r="181" spans="2:7" x14ac:dyDescent="0.3">
      <c r="C181" t="s">
        <v>474</v>
      </c>
      <c r="D181" t="s">
        <v>410</v>
      </c>
      <c r="E181" s="18">
        <v>33172</v>
      </c>
      <c r="F181" s="38">
        <v>-33172</v>
      </c>
      <c r="G181" s="18">
        <v>0</v>
      </c>
    </row>
    <row r="182" spans="2:7" x14ac:dyDescent="0.3">
      <c r="C182" t="s">
        <v>476</v>
      </c>
      <c r="D182" t="s">
        <v>410</v>
      </c>
      <c r="E182" s="18">
        <v>312.5</v>
      </c>
      <c r="F182" s="38">
        <v>-312.5</v>
      </c>
      <c r="G182" s="18">
        <v>0</v>
      </c>
    </row>
    <row r="183" spans="2:7" x14ac:dyDescent="0.3">
      <c r="C183" t="s">
        <v>477</v>
      </c>
      <c r="D183" t="s">
        <v>229</v>
      </c>
      <c r="E183" s="18">
        <v>3070</v>
      </c>
      <c r="F183" s="38">
        <v>-3070</v>
      </c>
      <c r="G183" s="18">
        <v>0</v>
      </c>
    </row>
    <row r="184" spans="2:7" x14ac:dyDescent="0.3">
      <c r="C184" t="s">
        <v>478</v>
      </c>
      <c r="D184" t="s">
        <v>401</v>
      </c>
      <c r="E184" s="18">
        <v>5366.6</v>
      </c>
      <c r="F184" s="38">
        <v>-5366.6</v>
      </c>
      <c r="G184" s="18">
        <v>0</v>
      </c>
    </row>
    <row r="185" spans="2:7" x14ac:dyDescent="0.3">
      <c r="C185" t="s">
        <v>481</v>
      </c>
      <c r="D185" t="s">
        <v>20</v>
      </c>
      <c r="E185" s="18">
        <v>2366.5</v>
      </c>
      <c r="F185" s="38">
        <v>-2366.5</v>
      </c>
      <c r="G185" s="18">
        <v>0</v>
      </c>
    </row>
    <row r="186" spans="2:7" x14ac:dyDescent="0.3">
      <c r="C186" t="s">
        <v>482</v>
      </c>
      <c r="D186" t="s">
        <v>401</v>
      </c>
      <c r="E186" s="18">
        <v>2374</v>
      </c>
      <c r="F186" s="38">
        <v>-2374</v>
      </c>
      <c r="G186" s="18">
        <v>0</v>
      </c>
    </row>
    <row r="187" spans="2:7" x14ac:dyDescent="0.3">
      <c r="C187" t="s">
        <v>483</v>
      </c>
      <c r="D187" t="s">
        <v>401</v>
      </c>
      <c r="E187" s="18">
        <v>2024</v>
      </c>
      <c r="F187" s="38">
        <v>-2024</v>
      </c>
      <c r="G187" s="18">
        <v>0</v>
      </c>
    </row>
    <row r="188" spans="2:7" x14ac:dyDescent="0.3">
      <c r="C188" t="s">
        <v>485</v>
      </c>
      <c r="D188" t="s">
        <v>52</v>
      </c>
      <c r="E188" s="18">
        <v>3496</v>
      </c>
      <c r="F188" s="38">
        <v>-3496</v>
      </c>
      <c r="G188" s="18">
        <v>0</v>
      </c>
    </row>
    <row r="189" spans="2:7" x14ac:dyDescent="0.3">
      <c r="B189" s="17" t="s">
        <v>161</v>
      </c>
      <c r="C189" s="17"/>
      <c r="D189" s="17"/>
      <c r="E189" s="19">
        <v>116851</v>
      </c>
      <c r="F189" s="39">
        <v>-116851</v>
      </c>
      <c r="G189" s="19">
        <v>0</v>
      </c>
    </row>
    <row r="190" spans="2:7" x14ac:dyDescent="0.3">
      <c r="B190">
        <v>12</v>
      </c>
      <c r="C190" t="s">
        <v>502</v>
      </c>
      <c r="D190" t="s">
        <v>410</v>
      </c>
      <c r="E190" s="18">
        <v>12188.9</v>
      </c>
      <c r="F190" s="38">
        <v>-12188.9</v>
      </c>
      <c r="G190" s="18">
        <v>0</v>
      </c>
    </row>
    <row r="191" spans="2:7" x14ac:dyDescent="0.3">
      <c r="C191" t="s">
        <v>503</v>
      </c>
      <c r="D191" t="s">
        <v>1454</v>
      </c>
      <c r="E191" s="18">
        <v>5175.3999999999996</v>
      </c>
      <c r="F191" s="38">
        <v>-5175.3999999999996</v>
      </c>
      <c r="G191" s="18">
        <v>0</v>
      </c>
    </row>
    <row r="192" spans="2:7" x14ac:dyDescent="0.3">
      <c r="C192" t="s">
        <v>505</v>
      </c>
      <c r="D192" t="s">
        <v>410</v>
      </c>
      <c r="E192" s="18">
        <v>18684.5</v>
      </c>
      <c r="F192" s="38">
        <v>-18684.5</v>
      </c>
      <c r="G192" s="18">
        <v>0</v>
      </c>
    </row>
    <row r="193" spans="1:7" x14ac:dyDescent="0.3">
      <c r="C193" t="s">
        <v>508</v>
      </c>
      <c r="D193" t="s">
        <v>62</v>
      </c>
      <c r="E193" s="18">
        <v>12144</v>
      </c>
      <c r="F193" s="38">
        <v>-12144</v>
      </c>
      <c r="G193" s="18">
        <v>0</v>
      </c>
    </row>
    <row r="194" spans="1:7" x14ac:dyDescent="0.3">
      <c r="C194" t="s">
        <v>509</v>
      </c>
      <c r="D194" t="s">
        <v>23</v>
      </c>
      <c r="E194" s="18">
        <v>12484</v>
      </c>
      <c r="F194" s="38">
        <v>-12484</v>
      </c>
      <c r="G194" s="18">
        <v>0</v>
      </c>
    </row>
    <row r="195" spans="1:7" x14ac:dyDescent="0.3">
      <c r="C195" t="s">
        <v>511</v>
      </c>
      <c r="D195" t="s">
        <v>23</v>
      </c>
      <c r="E195" s="18">
        <v>390</v>
      </c>
      <c r="F195" s="38">
        <v>-390</v>
      </c>
      <c r="G195" s="18">
        <v>0</v>
      </c>
    </row>
    <row r="196" spans="1:7" x14ac:dyDescent="0.3">
      <c r="C196" t="s">
        <v>512</v>
      </c>
      <c r="D196" t="s">
        <v>410</v>
      </c>
      <c r="E196" s="18">
        <v>7457.5</v>
      </c>
      <c r="F196" s="38">
        <v>-7457.5</v>
      </c>
      <c r="G196" s="18">
        <v>0</v>
      </c>
    </row>
    <row r="197" spans="1:7" x14ac:dyDescent="0.3">
      <c r="C197" t="s">
        <v>513</v>
      </c>
      <c r="D197" t="s">
        <v>23</v>
      </c>
      <c r="E197" s="18">
        <v>3021.8</v>
      </c>
      <c r="F197" s="38">
        <v>-3021.8</v>
      </c>
      <c r="G197" s="18">
        <v>0</v>
      </c>
    </row>
    <row r="198" spans="1:7" x14ac:dyDescent="0.3">
      <c r="C198" t="s">
        <v>523</v>
      </c>
      <c r="D198" t="s">
        <v>410</v>
      </c>
      <c r="E198" s="18">
        <v>10565.5</v>
      </c>
      <c r="F198" s="38">
        <v>-10565.5</v>
      </c>
      <c r="G198" s="18">
        <v>0</v>
      </c>
    </row>
    <row r="199" spans="1:7" x14ac:dyDescent="0.3">
      <c r="C199" t="s">
        <v>530</v>
      </c>
      <c r="D199" t="s">
        <v>410</v>
      </c>
      <c r="E199" s="18">
        <v>777</v>
      </c>
      <c r="F199" s="38">
        <v>-777</v>
      </c>
      <c r="G199" s="18">
        <v>0</v>
      </c>
    </row>
    <row r="200" spans="1:7" x14ac:dyDescent="0.3">
      <c r="C200" t="s">
        <v>531</v>
      </c>
      <c r="D200" t="s">
        <v>410</v>
      </c>
      <c r="E200" s="18">
        <v>1077</v>
      </c>
      <c r="F200" s="38">
        <v>-1077</v>
      </c>
      <c r="G200" s="18">
        <v>0</v>
      </c>
    </row>
    <row r="201" spans="1:7" x14ac:dyDescent="0.3">
      <c r="C201" t="s">
        <v>532</v>
      </c>
      <c r="D201" t="s">
        <v>7</v>
      </c>
      <c r="E201" s="18">
        <v>5591</v>
      </c>
      <c r="F201" s="38">
        <v>-5591</v>
      </c>
      <c r="G201" s="18">
        <v>0</v>
      </c>
    </row>
    <row r="202" spans="1:7" x14ac:dyDescent="0.3">
      <c r="C202" t="s">
        <v>533</v>
      </c>
      <c r="D202" t="s">
        <v>410</v>
      </c>
      <c r="E202" s="18">
        <v>19320.5</v>
      </c>
      <c r="F202" s="38">
        <v>-19320.5</v>
      </c>
      <c r="G202" s="18">
        <v>0</v>
      </c>
    </row>
    <row r="203" spans="1:7" x14ac:dyDescent="0.3">
      <c r="C203" t="s">
        <v>536</v>
      </c>
      <c r="D203" t="s">
        <v>62</v>
      </c>
      <c r="E203" s="18">
        <v>10120</v>
      </c>
      <c r="F203" s="38">
        <v>-10120</v>
      </c>
      <c r="G203" s="18">
        <v>0</v>
      </c>
    </row>
    <row r="204" spans="1:7" x14ac:dyDescent="0.3">
      <c r="C204" t="s">
        <v>537</v>
      </c>
      <c r="D204" t="s">
        <v>401</v>
      </c>
      <c r="E204" s="18">
        <v>5014.8</v>
      </c>
      <c r="F204" s="38">
        <v>-5014.8</v>
      </c>
      <c r="G204" s="18">
        <v>0</v>
      </c>
    </row>
    <row r="205" spans="1:7" x14ac:dyDescent="0.3">
      <c r="B205" s="17" t="s">
        <v>223</v>
      </c>
      <c r="C205" s="17"/>
      <c r="D205" s="17"/>
      <c r="E205" s="19">
        <v>124011.90000000001</v>
      </c>
      <c r="F205" s="39">
        <v>-124011.90000000001</v>
      </c>
      <c r="G205" s="19">
        <v>0</v>
      </c>
    </row>
    <row r="206" spans="1:7" x14ac:dyDescent="0.3">
      <c r="A206" s="81" t="s">
        <v>352</v>
      </c>
      <c r="B206" s="81"/>
      <c r="C206" s="81"/>
      <c r="D206" s="81"/>
      <c r="E206" s="82">
        <v>633546.35000000021</v>
      </c>
      <c r="F206" s="83">
        <v>-633725.75000000023</v>
      </c>
      <c r="G206" s="82">
        <v>-179.39999999999998</v>
      </c>
    </row>
    <row r="207" spans="1:7" x14ac:dyDescent="0.3">
      <c r="A207">
        <v>2022</v>
      </c>
      <c r="B207">
        <v>1</v>
      </c>
      <c r="C207" t="s">
        <v>547</v>
      </c>
      <c r="D207" t="s">
        <v>410</v>
      </c>
      <c r="E207" s="18">
        <v>8273</v>
      </c>
      <c r="F207" s="38">
        <v>-8273</v>
      </c>
      <c r="G207" s="18">
        <v>0</v>
      </c>
    </row>
    <row r="208" spans="1:7" x14ac:dyDescent="0.3">
      <c r="C208" t="s">
        <v>548</v>
      </c>
      <c r="D208" t="s">
        <v>401</v>
      </c>
      <c r="E208" s="18">
        <v>1080</v>
      </c>
      <c r="F208" s="38">
        <v>-1080</v>
      </c>
      <c r="G208" s="18">
        <v>0</v>
      </c>
    </row>
    <row r="209" spans="2:7" x14ac:dyDescent="0.3">
      <c r="C209" t="s">
        <v>549</v>
      </c>
      <c r="D209" t="s">
        <v>410</v>
      </c>
      <c r="E209" s="18">
        <v>1233</v>
      </c>
      <c r="F209" s="38">
        <v>-1233</v>
      </c>
      <c r="G209" s="18">
        <v>0</v>
      </c>
    </row>
    <row r="210" spans="2:7" x14ac:dyDescent="0.3">
      <c r="C210" t="s">
        <v>550</v>
      </c>
      <c r="D210" t="s">
        <v>410</v>
      </c>
      <c r="E210" s="18">
        <v>7377</v>
      </c>
      <c r="F210" s="38">
        <v>-7377</v>
      </c>
      <c r="G210" s="18">
        <v>0</v>
      </c>
    </row>
    <row r="211" spans="2:7" x14ac:dyDescent="0.3">
      <c r="C211" t="s">
        <v>551</v>
      </c>
      <c r="D211" t="s">
        <v>20</v>
      </c>
      <c r="E211" s="18">
        <v>7335</v>
      </c>
      <c r="F211" s="38">
        <v>-7335</v>
      </c>
      <c r="G211" s="18">
        <v>0</v>
      </c>
    </row>
    <row r="212" spans="2:7" x14ac:dyDescent="0.3">
      <c r="C212" t="s">
        <v>553</v>
      </c>
      <c r="D212" t="s">
        <v>62</v>
      </c>
      <c r="E212" s="18">
        <v>15346</v>
      </c>
      <c r="F212" s="38">
        <v>-15346</v>
      </c>
      <c r="G212" s="18">
        <v>0</v>
      </c>
    </row>
    <row r="213" spans="2:7" x14ac:dyDescent="0.3">
      <c r="C213" t="s">
        <v>558</v>
      </c>
      <c r="D213" t="s">
        <v>401</v>
      </c>
      <c r="E213" s="18">
        <v>5183.6000000000004</v>
      </c>
      <c r="F213" s="38">
        <v>-5183.6000000000004</v>
      </c>
      <c r="G213" s="18">
        <v>0</v>
      </c>
    </row>
    <row r="214" spans="2:7" x14ac:dyDescent="0.3">
      <c r="C214" t="s">
        <v>559</v>
      </c>
      <c r="D214" t="s">
        <v>410</v>
      </c>
      <c r="E214" s="18">
        <v>28549</v>
      </c>
      <c r="F214" s="38">
        <v>-28549</v>
      </c>
      <c r="G214" s="18">
        <v>0</v>
      </c>
    </row>
    <row r="215" spans="2:7" x14ac:dyDescent="0.3">
      <c r="C215" t="s">
        <v>560</v>
      </c>
      <c r="D215" t="s">
        <v>23</v>
      </c>
      <c r="E215" s="18">
        <v>6803</v>
      </c>
      <c r="F215" s="38">
        <v>-6803</v>
      </c>
      <c r="G215" s="18">
        <v>0</v>
      </c>
    </row>
    <row r="216" spans="2:7" x14ac:dyDescent="0.3">
      <c r="C216" t="s">
        <v>562</v>
      </c>
      <c r="D216" t="s">
        <v>23</v>
      </c>
      <c r="E216" s="18">
        <v>1202.5</v>
      </c>
      <c r="F216" s="38">
        <v>-1202.5</v>
      </c>
      <c r="G216" s="18">
        <v>0</v>
      </c>
    </row>
    <row r="217" spans="2:7" x14ac:dyDescent="0.3">
      <c r="C217" t="s">
        <v>563</v>
      </c>
      <c r="D217" t="s">
        <v>23</v>
      </c>
      <c r="E217" s="18">
        <v>8486</v>
      </c>
      <c r="F217" s="38">
        <v>-8486</v>
      </c>
      <c r="G217" s="18">
        <v>0</v>
      </c>
    </row>
    <row r="218" spans="2:7" x14ac:dyDescent="0.3">
      <c r="C218" t="s">
        <v>565</v>
      </c>
      <c r="D218" t="s">
        <v>410</v>
      </c>
      <c r="E218" s="18">
        <v>11502</v>
      </c>
      <c r="F218" s="38">
        <v>-11502</v>
      </c>
      <c r="G218" s="18">
        <v>0</v>
      </c>
    </row>
    <row r="219" spans="2:7" x14ac:dyDescent="0.3">
      <c r="C219" t="s">
        <v>566</v>
      </c>
      <c r="D219" t="s">
        <v>401</v>
      </c>
      <c r="E219" s="18">
        <v>2696.8</v>
      </c>
      <c r="F219" s="38">
        <v>-2696.8</v>
      </c>
      <c r="G219" s="18">
        <v>0</v>
      </c>
    </row>
    <row r="220" spans="2:7" x14ac:dyDescent="0.3">
      <c r="C220" t="s">
        <v>568</v>
      </c>
      <c r="D220" t="s">
        <v>62</v>
      </c>
      <c r="E220" s="18">
        <v>13474</v>
      </c>
      <c r="F220" s="38">
        <v>-13474</v>
      </c>
      <c r="G220" s="18">
        <v>0</v>
      </c>
    </row>
    <row r="221" spans="2:7" x14ac:dyDescent="0.3">
      <c r="C221" t="s">
        <v>569</v>
      </c>
      <c r="D221" t="s">
        <v>43</v>
      </c>
      <c r="E221" s="18">
        <v>2309</v>
      </c>
      <c r="F221" s="38">
        <v>-2309</v>
      </c>
      <c r="G221" s="18">
        <v>0</v>
      </c>
    </row>
    <row r="222" spans="2:7" x14ac:dyDescent="0.3">
      <c r="C222" t="s">
        <v>570</v>
      </c>
      <c r="D222" t="s">
        <v>23</v>
      </c>
      <c r="E222" s="18">
        <v>15108</v>
      </c>
      <c r="F222" s="38">
        <v>-15108</v>
      </c>
      <c r="G222" s="18">
        <v>0</v>
      </c>
    </row>
    <row r="223" spans="2:7" x14ac:dyDescent="0.3">
      <c r="B223" s="17" t="s">
        <v>255</v>
      </c>
      <c r="C223" s="17"/>
      <c r="D223" s="17"/>
      <c r="E223" s="19">
        <v>135957.90000000002</v>
      </c>
      <c r="F223" s="39">
        <v>-135957.90000000002</v>
      </c>
      <c r="G223" s="19">
        <v>0</v>
      </c>
    </row>
    <row r="224" spans="2:7" x14ac:dyDescent="0.3">
      <c r="B224">
        <v>2</v>
      </c>
      <c r="C224" t="s">
        <v>602</v>
      </c>
      <c r="D224" t="s">
        <v>401</v>
      </c>
      <c r="E224" s="18">
        <v>6532.4</v>
      </c>
      <c r="F224" s="38">
        <v>-6532.4</v>
      </c>
      <c r="G224" s="18">
        <v>0</v>
      </c>
    </row>
    <row r="225" spans="2:7" x14ac:dyDescent="0.3">
      <c r="C225" t="s">
        <v>603</v>
      </c>
      <c r="D225" t="s">
        <v>23</v>
      </c>
      <c r="E225" s="18">
        <v>1480</v>
      </c>
      <c r="F225" s="38">
        <v>-1480</v>
      </c>
      <c r="G225" s="18">
        <v>0</v>
      </c>
    </row>
    <row r="226" spans="2:7" x14ac:dyDescent="0.3">
      <c r="C226" t="s">
        <v>604</v>
      </c>
      <c r="D226" t="s">
        <v>62</v>
      </c>
      <c r="E226" s="18">
        <v>14395</v>
      </c>
      <c r="F226" s="38">
        <v>-14395</v>
      </c>
      <c r="G226" s="18">
        <v>0</v>
      </c>
    </row>
    <row r="227" spans="2:7" x14ac:dyDescent="0.3">
      <c r="C227" t="s">
        <v>605</v>
      </c>
      <c r="D227" t="s">
        <v>58</v>
      </c>
      <c r="E227" s="18">
        <v>5940</v>
      </c>
      <c r="F227" s="38">
        <v>-5940</v>
      </c>
      <c r="G227" s="18">
        <v>0</v>
      </c>
    </row>
    <row r="228" spans="2:7" x14ac:dyDescent="0.3">
      <c r="C228" t="s">
        <v>606</v>
      </c>
      <c r="D228" t="s">
        <v>20</v>
      </c>
      <c r="E228" s="18">
        <v>7271</v>
      </c>
      <c r="F228" s="38">
        <v>-7271</v>
      </c>
      <c r="G228" s="18">
        <v>0</v>
      </c>
    </row>
    <row r="229" spans="2:7" x14ac:dyDescent="0.3">
      <c r="C229" t="s">
        <v>607</v>
      </c>
      <c r="D229" t="s">
        <v>492</v>
      </c>
      <c r="E229" s="18">
        <v>5822</v>
      </c>
      <c r="F229" s="38">
        <v>-5822</v>
      </c>
      <c r="G229" s="18">
        <v>0</v>
      </c>
    </row>
    <row r="230" spans="2:7" x14ac:dyDescent="0.3">
      <c r="C230" t="s">
        <v>608</v>
      </c>
      <c r="D230" t="s">
        <v>43</v>
      </c>
      <c r="E230" s="18">
        <v>175</v>
      </c>
      <c r="F230" s="38">
        <v>-175</v>
      </c>
      <c r="G230" s="18">
        <v>0</v>
      </c>
    </row>
    <row r="231" spans="2:7" x14ac:dyDescent="0.3">
      <c r="C231" t="s">
        <v>609</v>
      </c>
      <c r="D231" t="s">
        <v>401</v>
      </c>
      <c r="E231" s="18">
        <v>5877.3</v>
      </c>
      <c r="F231" s="38">
        <v>-5877.3</v>
      </c>
      <c r="G231" s="18">
        <v>0</v>
      </c>
    </row>
    <row r="232" spans="2:7" x14ac:dyDescent="0.3">
      <c r="C232" t="s">
        <v>610</v>
      </c>
      <c r="D232" t="s">
        <v>410</v>
      </c>
      <c r="E232" s="18">
        <v>7961</v>
      </c>
      <c r="F232" s="38">
        <v>-7961</v>
      </c>
      <c r="G232" s="18">
        <v>0</v>
      </c>
    </row>
    <row r="233" spans="2:7" x14ac:dyDescent="0.3">
      <c r="C233" t="s">
        <v>611</v>
      </c>
      <c r="D233" t="s">
        <v>410</v>
      </c>
      <c r="E233" s="18">
        <v>2678</v>
      </c>
      <c r="F233" s="38">
        <v>-2678</v>
      </c>
      <c r="G233" s="18">
        <v>0</v>
      </c>
    </row>
    <row r="234" spans="2:7" x14ac:dyDescent="0.3">
      <c r="C234" t="s">
        <v>612</v>
      </c>
      <c r="D234" t="s">
        <v>20</v>
      </c>
      <c r="E234" s="18">
        <v>315</v>
      </c>
      <c r="F234" s="38">
        <v>-315</v>
      </c>
      <c r="G234" s="18">
        <v>0</v>
      </c>
    </row>
    <row r="235" spans="2:7" x14ac:dyDescent="0.3">
      <c r="B235" s="17" t="s">
        <v>273</v>
      </c>
      <c r="C235" s="17"/>
      <c r="D235" s="17"/>
      <c r="E235" s="19">
        <v>58446.700000000004</v>
      </c>
      <c r="F235" s="39">
        <v>-58446.700000000004</v>
      </c>
      <c r="G235" s="19">
        <v>0</v>
      </c>
    </row>
    <row r="236" spans="2:7" x14ac:dyDescent="0.3">
      <c r="B236">
        <v>3</v>
      </c>
      <c r="C236" t="s">
        <v>634</v>
      </c>
      <c r="D236" t="s">
        <v>492</v>
      </c>
      <c r="E236" s="18">
        <v>6301</v>
      </c>
      <c r="F236" s="38">
        <v>-6301</v>
      </c>
      <c r="G236" s="18">
        <v>0</v>
      </c>
    </row>
    <row r="237" spans="2:7" x14ac:dyDescent="0.3">
      <c r="C237" t="s">
        <v>635</v>
      </c>
      <c r="D237" t="s">
        <v>638</v>
      </c>
      <c r="E237" s="18">
        <v>4873</v>
      </c>
      <c r="F237" s="38">
        <v>-4873</v>
      </c>
      <c r="G237" s="18">
        <v>0</v>
      </c>
    </row>
    <row r="238" spans="2:7" x14ac:dyDescent="0.3">
      <c r="C238" t="s">
        <v>636</v>
      </c>
      <c r="D238" t="s">
        <v>62</v>
      </c>
      <c r="E238" s="18">
        <v>15280</v>
      </c>
      <c r="F238" s="38">
        <v>-15280</v>
      </c>
      <c r="G238" s="18">
        <v>0</v>
      </c>
    </row>
    <row r="239" spans="2:7" x14ac:dyDescent="0.3">
      <c r="C239" t="s">
        <v>643</v>
      </c>
      <c r="D239" t="s">
        <v>638</v>
      </c>
      <c r="E239" s="18">
        <v>65</v>
      </c>
      <c r="F239" s="38">
        <v>-65</v>
      </c>
      <c r="G239" s="18">
        <v>0</v>
      </c>
    </row>
    <row r="240" spans="2:7" x14ac:dyDescent="0.3">
      <c r="C240" t="s">
        <v>644</v>
      </c>
      <c r="D240" t="s">
        <v>401</v>
      </c>
      <c r="E240" s="18">
        <v>6379.9</v>
      </c>
      <c r="F240" s="38">
        <v>-6379.9</v>
      </c>
      <c r="G240" s="18">
        <v>0</v>
      </c>
    </row>
    <row r="241" spans="2:7" x14ac:dyDescent="0.3">
      <c r="C241" t="s">
        <v>645</v>
      </c>
      <c r="D241" t="s">
        <v>638</v>
      </c>
      <c r="E241" s="18">
        <v>390</v>
      </c>
      <c r="F241" s="38">
        <v>-390</v>
      </c>
      <c r="G241" s="18">
        <v>0</v>
      </c>
    </row>
    <row r="242" spans="2:7" x14ac:dyDescent="0.3">
      <c r="C242" t="s">
        <v>646</v>
      </c>
      <c r="D242" t="s">
        <v>43</v>
      </c>
      <c r="E242" s="18">
        <v>2068</v>
      </c>
      <c r="F242" s="38">
        <v>-2068</v>
      </c>
      <c r="G242" s="18">
        <v>0</v>
      </c>
    </row>
    <row r="243" spans="2:7" x14ac:dyDescent="0.3">
      <c r="C243" t="s">
        <v>647</v>
      </c>
      <c r="D243" t="s">
        <v>410</v>
      </c>
      <c r="E243" s="18">
        <v>3029</v>
      </c>
      <c r="F243" s="38">
        <v>-3029</v>
      </c>
      <c r="G243" s="18">
        <v>0</v>
      </c>
    </row>
    <row r="244" spans="2:7" x14ac:dyDescent="0.3">
      <c r="C244" t="s">
        <v>648</v>
      </c>
      <c r="D244" t="s">
        <v>62</v>
      </c>
      <c r="E244" s="18">
        <v>14185</v>
      </c>
      <c r="F244" s="38">
        <v>-14185</v>
      </c>
      <c r="G244" s="18">
        <v>0</v>
      </c>
    </row>
    <row r="245" spans="2:7" x14ac:dyDescent="0.3">
      <c r="C245" t="s">
        <v>649</v>
      </c>
      <c r="D245" t="s">
        <v>410</v>
      </c>
      <c r="E245" s="18">
        <v>11425</v>
      </c>
      <c r="F245" s="38">
        <v>-11425</v>
      </c>
      <c r="G245" s="18">
        <v>0</v>
      </c>
    </row>
    <row r="246" spans="2:7" x14ac:dyDescent="0.3">
      <c r="C246" t="s">
        <v>650</v>
      </c>
      <c r="D246" t="s">
        <v>401</v>
      </c>
      <c r="E246" s="18">
        <v>315</v>
      </c>
      <c r="F246" s="38">
        <v>-315</v>
      </c>
      <c r="G246" s="18">
        <v>0</v>
      </c>
    </row>
    <row r="247" spans="2:7" x14ac:dyDescent="0.3">
      <c r="C247" t="s">
        <v>651</v>
      </c>
      <c r="D247" t="s">
        <v>410</v>
      </c>
      <c r="E247" s="18">
        <v>9888</v>
      </c>
      <c r="F247" s="38">
        <v>-9888</v>
      </c>
      <c r="G247" s="18">
        <v>0</v>
      </c>
    </row>
    <row r="248" spans="2:7" x14ac:dyDescent="0.3">
      <c r="C248" t="s">
        <v>652</v>
      </c>
      <c r="D248" t="s">
        <v>492</v>
      </c>
      <c r="E248" s="18">
        <v>8127.5</v>
      </c>
      <c r="F248" s="38">
        <v>-8127.5</v>
      </c>
      <c r="G248" s="18">
        <v>0</v>
      </c>
    </row>
    <row r="249" spans="2:7" x14ac:dyDescent="0.3">
      <c r="C249" t="s">
        <v>653</v>
      </c>
      <c r="D249" t="s">
        <v>43</v>
      </c>
      <c r="E249" s="18">
        <v>337.5</v>
      </c>
      <c r="F249" s="38">
        <v>-337.5</v>
      </c>
      <c r="G249" s="18">
        <v>0</v>
      </c>
    </row>
    <row r="250" spans="2:7" x14ac:dyDescent="0.3">
      <c r="C250" t="s">
        <v>654</v>
      </c>
      <c r="D250" t="s">
        <v>410</v>
      </c>
      <c r="E250" s="18">
        <v>8819</v>
      </c>
      <c r="F250" s="38">
        <v>-8819</v>
      </c>
      <c r="G250" s="18">
        <v>0</v>
      </c>
    </row>
    <row r="251" spans="2:7" x14ac:dyDescent="0.3">
      <c r="C251" t="s">
        <v>661</v>
      </c>
      <c r="D251" t="s">
        <v>410</v>
      </c>
      <c r="E251" s="18">
        <v>14422</v>
      </c>
      <c r="F251" s="38">
        <v>-14422</v>
      </c>
      <c r="G251" s="18">
        <v>0</v>
      </c>
    </row>
    <row r="252" spans="2:7" x14ac:dyDescent="0.3">
      <c r="C252" t="s">
        <v>662</v>
      </c>
      <c r="D252" t="s">
        <v>7</v>
      </c>
      <c r="E252" s="18">
        <v>3232</v>
      </c>
      <c r="F252" s="38">
        <v>-3232</v>
      </c>
      <c r="G252" s="18">
        <v>0</v>
      </c>
    </row>
    <row r="253" spans="2:7" x14ac:dyDescent="0.3">
      <c r="C253" t="s">
        <v>663</v>
      </c>
      <c r="D253" t="s">
        <v>410</v>
      </c>
      <c r="E253" s="18">
        <v>7593</v>
      </c>
      <c r="F253" s="38">
        <v>-7593</v>
      </c>
      <c r="G253" s="18">
        <v>0</v>
      </c>
    </row>
    <row r="254" spans="2:7" x14ac:dyDescent="0.3">
      <c r="C254" t="s">
        <v>664</v>
      </c>
      <c r="D254" t="s">
        <v>666</v>
      </c>
      <c r="E254" s="18">
        <v>3555</v>
      </c>
      <c r="F254" s="38">
        <v>-3555</v>
      </c>
      <c r="G254" s="18">
        <v>0</v>
      </c>
    </row>
    <row r="255" spans="2:7" x14ac:dyDescent="0.3">
      <c r="B255" s="17" t="s">
        <v>288</v>
      </c>
      <c r="C255" s="17"/>
      <c r="D255" s="17"/>
      <c r="E255" s="19">
        <v>120284.9</v>
      </c>
      <c r="F255" s="39">
        <v>-120284.9</v>
      </c>
      <c r="G255" s="19">
        <v>0</v>
      </c>
    </row>
    <row r="256" spans="2:7" x14ac:dyDescent="0.3">
      <c r="B256">
        <v>4</v>
      </c>
      <c r="C256" t="s">
        <v>681</v>
      </c>
      <c r="D256" t="s">
        <v>492</v>
      </c>
      <c r="E256" s="18">
        <v>6083.5</v>
      </c>
      <c r="F256" s="38">
        <v>-6083.5</v>
      </c>
      <c r="G256" s="18">
        <v>0</v>
      </c>
    </row>
    <row r="257" spans="3:7" x14ac:dyDescent="0.3">
      <c r="C257" t="s">
        <v>684</v>
      </c>
      <c r="D257" t="s">
        <v>410</v>
      </c>
      <c r="E257" s="18">
        <v>9157.5</v>
      </c>
      <c r="F257" s="38">
        <v>-9157.5</v>
      </c>
      <c r="G257" s="18">
        <v>0</v>
      </c>
    </row>
    <row r="258" spans="3:7" x14ac:dyDescent="0.3">
      <c r="C258" t="s">
        <v>685</v>
      </c>
      <c r="D258" t="s">
        <v>638</v>
      </c>
      <c r="E258" s="18">
        <v>3480</v>
      </c>
      <c r="F258" s="38">
        <v>-3480</v>
      </c>
      <c r="G258" s="18">
        <v>0</v>
      </c>
    </row>
    <row r="259" spans="3:7" x14ac:dyDescent="0.3">
      <c r="C259" t="s">
        <v>686</v>
      </c>
      <c r="D259" t="s">
        <v>410</v>
      </c>
      <c r="E259" s="18">
        <v>10497.5</v>
      </c>
      <c r="F259" s="38">
        <v>-10497.5</v>
      </c>
      <c r="G259" s="18">
        <v>0</v>
      </c>
    </row>
    <row r="260" spans="3:7" x14ac:dyDescent="0.3">
      <c r="C260" t="s">
        <v>687</v>
      </c>
      <c r="D260" t="s">
        <v>401</v>
      </c>
      <c r="E260" s="18">
        <v>6361.1</v>
      </c>
      <c r="F260" s="38">
        <v>-6361.1</v>
      </c>
      <c r="G260" s="18">
        <v>0</v>
      </c>
    </row>
    <row r="261" spans="3:7" x14ac:dyDescent="0.3">
      <c r="C261" t="s">
        <v>688</v>
      </c>
      <c r="D261" t="s">
        <v>20</v>
      </c>
      <c r="E261" s="18">
        <v>7316</v>
      </c>
      <c r="F261" s="38">
        <v>-7316</v>
      </c>
      <c r="G261" s="18">
        <v>0</v>
      </c>
    </row>
    <row r="262" spans="3:7" x14ac:dyDescent="0.3">
      <c r="C262" t="s">
        <v>689</v>
      </c>
      <c r="D262" t="s">
        <v>58</v>
      </c>
      <c r="E262" s="18">
        <v>5043</v>
      </c>
      <c r="F262" s="38">
        <v>-5043</v>
      </c>
      <c r="G262" s="18">
        <v>0</v>
      </c>
    </row>
    <row r="263" spans="3:7" x14ac:dyDescent="0.3">
      <c r="C263" t="s">
        <v>690</v>
      </c>
      <c r="D263" t="s">
        <v>410</v>
      </c>
      <c r="E263" s="18">
        <v>8569.5</v>
      </c>
      <c r="F263" s="38">
        <v>-8569.5</v>
      </c>
      <c r="G263" s="18">
        <v>0</v>
      </c>
    </row>
    <row r="264" spans="3:7" x14ac:dyDescent="0.3">
      <c r="C264" t="s">
        <v>691</v>
      </c>
      <c r="D264" t="s">
        <v>774</v>
      </c>
      <c r="E264" s="18">
        <v>3881.5</v>
      </c>
      <c r="F264" s="38">
        <v>-3881.5</v>
      </c>
      <c r="G264" s="18">
        <v>0</v>
      </c>
    </row>
    <row r="265" spans="3:7" x14ac:dyDescent="0.3">
      <c r="C265" t="s">
        <v>692</v>
      </c>
      <c r="D265" t="s">
        <v>638</v>
      </c>
      <c r="E265" s="18">
        <v>590</v>
      </c>
      <c r="F265" s="38">
        <v>-590</v>
      </c>
      <c r="G265" s="18">
        <v>0</v>
      </c>
    </row>
    <row r="266" spans="3:7" x14ac:dyDescent="0.3">
      <c r="C266" t="s">
        <v>693</v>
      </c>
      <c r="D266" t="s">
        <v>774</v>
      </c>
      <c r="E266" s="18">
        <v>588</v>
      </c>
      <c r="F266" s="38">
        <v>-588</v>
      </c>
      <c r="G266" s="18">
        <v>0</v>
      </c>
    </row>
    <row r="267" spans="3:7" x14ac:dyDescent="0.3">
      <c r="C267" t="s">
        <v>694</v>
      </c>
      <c r="D267" t="s">
        <v>410</v>
      </c>
      <c r="E267" s="18">
        <v>10975.5</v>
      </c>
      <c r="F267" s="38">
        <v>-10975.5</v>
      </c>
      <c r="G267" s="18">
        <v>0</v>
      </c>
    </row>
    <row r="268" spans="3:7" x14ac:dyDescent="0.3">
      <c r="C268" t="s">
        <v>695</v>
      </c>
      <c r="D268" t="s">
        <v>492</v>
      </c>
      <c r="E268" s="18">
        <v>5746</v>
      </c>
      <c r="F268" s="38">
        <v>-5746</v>
      </c>
      <c r="G268" s="18">
        <v>0</v>
      </c>
    </row>
    <row r="269" spans="3:7" x14ac:dyDescent="0.3">
      <c r="C269" t="s">
        <v>696</v>
      </c>
      <c r="D269" t="s">
        <v>774</v>
      </c>
      <c r="E269" s="18">
        <v>2175</v>
      </c>
      <c r="F269" s="38">
        <v>-2175</v>
      </c>
      <c r="G269" s="18">
        <v>0</v>
      </c>
    </row>
    <row r="270" spans="3:7" x14ac:dyDescent="0.3">
      <c r="C270" t="s">
        <v>697</v>
      </c>
      <c r="D270" t="s">
        <v>410</v>
      </c>
      <c r="E270" s="18">
        <v>10103.5</v>
      </c>
      <c r="F270" s="38">
        <v>-10103.5</v>
      </c>
      <c r="G270" s="18">
        <v>0</v>
      </c>
    </row>
    <row r="271" spans="3:7" x14ac:dyDescent="0.3">
      <c r="C271" t="s">
        <v>698</v>
      </c>
      <c r="D271" t="s">
        <v>666</v>
      </c>
      <c r="E271" s="18">
        <v>14088.5</v>
      </c>
      <c r="F271" s="38">
        <v>-14088.5</v>
      </c>
      <c r="G271" s="18">
        <v>0</v>
      </c>
    </row>
    <row r="272" spans="3:7" x14ac:dyDescent="0.3">
      <c r="C272" t="s">
        <v>699</v>
      </c>
      <c r="D272" t="s">
        <v>410</v>
      </c>
      <c r="E272" s="18">
        <v>3076</v>
      </c>
      <c r="F272" s="38">
        <v>-3076</v>
      </c>
      <c r="G272" s="18">
        <v>0</v>
      </c>
    </row>
    <row r="273" spans="2:7" x14ac:dyDescent="0.3">
      <c r="C273" t="s">
        <v>700</v>
      </c>
      <c r="D273" t="s">
        <v>710</v>
      </c>
      <c r="E273" s="18">
        <v>1170</v>
      </c>
      <c r="F273" s="38">
        <v>-1170</v>
      </c>
      <c r="G273" s="18">
        <v>0</v>
      </c>
    </row>
    <row r="274" spans="2:7" x14ac:dyDescent="0.3">
      <c r="C274" t="s">
        <v>701</v>
      </c>
      <c r="D274" t="s">
        <v>23</v>
      </c>
      <c r="E274" s="18">
        <v>15222</v>
      </c>
      <c r="F274" s="38">
        <v>-15222</v>
      </c>
      <c r="G274" s="18">
        <v>0</v>
      </c>
    </row>
    <row r="275" spans="2:7" x14ac:dyDescent="0.3">
      <c r="C275" t="s">
        <v>702</v>
      </c>
      <c r="D275" t="s">
        <v>710</v>
      </c>
      <c r="E275" s="18">
        <v>68</v>
      </c>
      <c r="F275" s="38">
        <v>-68</v>
      </c>
      <c r="G275" s="18">
        <v>0</v>
      </c>
    </row>
    <row r="276" spans="2:7" x14ac:dyDescent="0.3">
      <c r="C276" t="s">
        <v>716</v>
      </c>
      <c r="D276" t="s">
        <v>7</v>
      </c>
      <c r="E276" s="18">
        <v>2488</v>
      </c>
      <c r="F276" s="38">
        <v>-2488</v>
      </c>
      <c r="G276" s="18">
        <v>0</v>
      </c>
    </row>
    <row r="277" spans="2:7" x14ac:dyDescent="0.3">
      <c r="C277" t="s">
        <v>719</v>
      </c>
      <c r="D277" t="s">
        <v>410</v>
      </c>
      <c r="E277" s="18">
        <v>11151</v>
      </c>
      <c r="F277" s="38">
        <v>-11151</v>
      </c>
      <c r="G277" s="18">
        <v>0</v>
      </c>
    </row>
    <row r="278" spans="2:7" x14ac:dyDescent="0.3">
      <c r="C278" t="s">
        <v>721</v>
      </c>
      <c r="D278" t="s">
        <v>666</v>
      </c>
      <c r="E278" s="18">
        <v>3799</v>
      </c>
      <c r="F278" s="38">
        <v>-3799</v>
      </c>
      <c r="G278" s="18">
        <v>0</v>
      </c>
    </row>
    <row r="279" spans="2:7" x14ac:dyDescent="0.3">
      <c r="C279" t="s">
        <v>724</v>
      </c>
      <c r="D279" t="s">
        <v>62</v>
      </c>
      <c r="E279" s="18">
        <v>11160</v>
      </c>
      <c r="F279" s="38">
        <v>-11160</v>
      </c>
      <c r="G279" s="18">
        <v>0</v>
      </c>
    </row>
    <row r="280" spans="2:7" x14ac:dyDescent="0.3">
      <c r="C280" t="s">
        <v>725</v>
      </c>
      <c r="D280" t="s">
        <v>492</v>
      </c>
      <c r="E280" s="18">
        <v>5458</v>
      </c>
      <c r="F280" s="38">
        <v>-5458</v>
      </c>
      <c r="G280" s="18">
        <v>0</v>
      </c>
    </row>
    <row r="281" spans="2:7" x14ac:dyDescent="0.3">
      <c r="C281" t="s">
        <v>726</v>
      </c>
      <c r="D281" t="s">
        <v>410</v>
      </c>
      <c r="E281" s="18">
        <v>11858.5</v>
      </c>
      <c r="F281" s="38">
        <v>-11858.5</v>
      </c>
      <c r="G281" s="18">
        <v>0</v>
      </c>
    </row>
    <row r="282" spans="2:7" x14ac:dyDescent="0.3">
      <c r="C282" t="s">
        <v>727</v>
      </c>
      <c r="D282" t="s">
        <v>401</v>
      </c>
      <c r="E282" s="18">
        <v>6096.1</v>
      </c>
      <c r="F282" s="38">
        <v>-6096.1</v>
      </c>
      <c r="G282" s="18">
        <v>0</v>
      </c>
    </row>
    <row r="283" spans="2:7" x14ac:dyDescent="0.3">
      <c r="C283" t="s">
        <v>729</v>
      </c>
      <c r="D283" t="s">
        <v>666</v>
      </c>
      <c r="E283" s="18">
        <v>1350</v>
      </c>
      <c r="F283" s="38">
        <v>-1350</v>
      </c>
      <c r="G283" s="18">
        <v>0</v>
      </c>
    </row>
    <row r="284" spans="2:7" x14ac:dyDescent="0.3">
      <c r="C284" t="s">
        <v>730</v>
      </c>
      <c r="D284" t="s">
        <v>410</v>
      </c>
      <c r="E284" s="18">
        <v>15244</v>
      </c>
      <c r="F284" s="38">
        <v>-15244</v>
      </c>
      <c r="G284" s="18">
        <v>0</v>
      </c>
    </row>
    <row r="285" spans="2:7" x14ac:dyDescent="0.3">
      <c r="B285" s="17" t="s">
        <v>309</v>
      </c>
      <c r="C285" s="17"/>
      <c r="D285" s="17"/>
      <c r="E285" s="19">
        <v>192796.7</v>
      </c>
      <c r="F285" s="39">
        <v>-192796.7</v>
      </c>
      <c r="G285" s="19">
        <v>0</v>
      </c>
    </row>
    <row r="286" spans="2:7" x14ac:dyDescent="0.3">
      <c r="B286">
        <v>5</v>
      </c>
      <c r="C286" t="s">
        <v>763</v>
      </c>
      <c r="D286" t="s">
        <v>410</v>
      </c>
      <c r="E286" s="18">
        <v>11530</v>
      </c>
      <c r="F286" s="38">
        <v>-11530</v>
      </c>
      <c r="G286" s="18">
        <v>0</v>
      </c>
    </row>
    <row r="287" spans="2:7" x14ac:dyDescent="0.3">
      <c r="C287" t="s">
        <v>764</v>
      </c>
      <c r="D287" t="s">
        <v>666</v>
      </c>
      <c r="E287" s="18">
        <v>1350</v>
      </c>
      <c r="F287" s="38">
        <v>-1350</v>
      </c>
      <c r="G287" s="18">
        <v>0</v>
      </c>
    </row>
    <row r="288" spans="2:7" x14ac:dyDescent="0.3">
      <c r="C288" t="s">
        <v>765</v>
      </c>
      <c r="D288" t="s">
        <v>410</v>
      </c>
      <c r="E288" s="18">
        <v>16245</v>
      </c>
      <c r="F288" s="38">
        <v>-16245</v>
      </c>
      <c r="G288" s="18">
        <v>0</v>
      </c>
    </row>
    <row r="289" spans="3:7" x14ac:dyDescent="0.3">
      <c r="C289" t="s">
        <v>766</v>
      </c>
      <c r="D289" t="s">
        <v>58</v>
      </c>
      <c r="E289" s="18">
        <v>5100</v>
      </c>
      <c r="F289" s="38">
        <v>-5100</v>
      </c>
      <c r="G289" s="18">
        <v>0</v>
      </c>
    </row>
    <row r="290" spans="3:7" x14ac:dyDescent="0.3">
      <c r="C290" t="s">
        <v>767</v>
      </c>
      <c r="D290" t="s">
        <v>43</v>
      </c>
      <c r="E290" s="18">
        <v>2534</v>
      </c>
      <c r="F290" s="38">
        <v>-2534</v>
      </c>
      <c r="G290" s="18">
        <v>0</v>
      </c>
    </row>
    <row r="291" spans="3:7" x14ac:dyDescent="0.3">
      <c r="C291" t="s">
        <v>770</v>
      </c>
      <c r="D291" t="s">
        <v>638</v>
      </c>
      <c r="E291" s="18">
        <v>4317.8999999999996</v>
      </c>
      <c r="F291" s="38">
        <v>-4317.8999999999996</v>
      </c>
      <c r="G291" s="18">
        <v>0</v>
      </c>
    </row>
    <row r="292" spans="3:7" x14ac:dyDescent="0.3">
      <c r="C292" t="s">
        <v>775</v>
      </c>
      <c r="D292" t="s">
        <v>774</v>
      </c>
      <c r="E292" s="18">
        <v>8524.5</v>
      </c>
      <c r="F292" s="38">
        <v>-8524.5</v>
      </c>
      <c r="G292" s="18">
        <v>0</v>
      </c>
    </row>
    <row r="293" spans="3:7" x14ac:dyDescent="0.3">
      <c r="C293" t="s">
        <v>777</v>
      </c>
      <c r="D293" t="s">
        <v>43</v>
      </c>
      <c r="E293" s="18">
        <v>100</v>
      </c>
      <c r="F293" s="38">
        <v>-100</v>
      </c>
      <c r="G293" s="18">
        <v>0</v>
      </c>
    </row>
    <row r="294" spans="3:7" x14ac:dyDescent="0.3">
      <c r="C294" t="s">
        <v>778</v>
      </c>
      <c r="D294" t="s">
        <v>410</v>
      </c>
      <c r="E294" s="18">
        <v>10369.5</v>
      </c>
      <c r="F294" s="38">
        <v>-10369.5</v>
      </c>
      <c r="G294" s="18">
        <v>0</v>
      </c>
    </row>
    <row r="295" spans="3:7" x14ac:dyDescent="0.3">
      <c r="C295" t="s">
        <v>780</v>
      </c>
      <c r="D295" t="s">
        <v>20</v>
      </c>
      <c r="E295" s="18">
        <v>7336</v>
      </c>
      <c r="F295" s="38">
        <v>-7336</v>
      </c>
      <c r="G295" s="18">
        <v>0</v>
      </c>
    </row>
    <row r="296" spans="3:7" x14ac:dyDescent="0.3">
      <c r="C296" t="s">
        <v>781</v>
      </c>
      <c r="D296" t="s">
        <v>410</v>
      </c>
      <c r="E296" s="18">
        <v>8417</v>
      </c>
      <c r="F296" s="38">
        <v>-8417</v>
      </c>
      <c r="G296" s="18">
        <v>0</v>
      </c>
    </row>
    <row r="297" spans="3:7" x14ac:dyDescent="0.3">
      <c r="C297" t="s">
        <v>782</v>
      </c>
      <c r="D297" t="s">
        <v>492</v>
      </c>
      <c r="E297" s="18">
        <v>3484</v>
      </c>
      <c r="F297" s="38">
        <v>-3484</v>
      </c>
      <c r="G297" s="18">
        <v>0</v>
      </c>
    </row>
    <row r="298" spans="3:7" x14ac:dyDescent="0.3">
      <c r="C298" t="s">
        <v>784</v>
      </c>
      <c r="D298" t="s">
        <v>410</v>
      </c>
      <c r="E298" s="18">
        <v>13110</v>
      </c>
      <c r="F298" s="38">
        <v>-13110</v>
      </c>
      <c r="G298" s="18">
        <v>0</v>
      </c>
    </row>
    <row r="299" spans="3:7" x14ac:dyDescent="0.3">
      <c r="C299" t="s">
        <v>789</v>
      </c>
      <c r="D299" t="s">
        <v>785</v>
      </c>
      <c r="E299" s="18">
        <v>1239.5999999999999</v>
      </c>
      <c r="F299" s="38">
        <v>-1239.5999999999999</v>
      </c>
      <c r="G299" s="18">
        <v>0</v>
      </c>
    </row>
    <row r="300" spans="3:7" x14ac:dyDescent="0.3">
      <c r="C300" t="s">
        <v>790</v>
      </c>
      <c r="D300" t="s">
        <v>410</v>
      </c>
      <c r="E300" s="18">
        <v>13110</v>
      </c>
      <c r="F300" s="38">
        <v>-13110</v>
      </c>
      <c r="G300" s="18">
        <v>0</v>
      </c>
    </row>
    <row r="301" spans="3:7" x14ac:dyDescent="0.3">
      <c r="C301" t="s">
        <v>791</v>
      </c>
      <c r="D301" t="s">
        <v>62</v>
      </c>
      <c r="E301" s="18">
        <v>14715</v>
      </c>
      <c r="F301" s="38">
        <v>-14715</v>
      </c>
      <c r="G301" s="18">
        <v>0</v>
      </c>
    </row>
    <row r="302" spans="3:7" x14ac:dyDescent="0.3">
      <c r="C302" t="s">
        <v>794</v>
      </c>
      <c r="D302" t="s">
        <v>410</v>
      </c>
      <c r="E302" s="18">
        <v>6750</v>
      </c>
      <c r="F302" s="38">
        <v>-6750</v>
      </c>
      <c r="G302" s="18">
        <v>0</v>
      </c>
    </row>
    <row r="303" spans="3:7" x14ac:dyDescent="0.3">
      <c r="C303" t="s">
        <v>795</v>
      </c>
      <c r="D303" t="s">
        <v>401</v>
      </c>
      <c r="E303" s="18">
        <v>6201.1</v>
      </c>
      <c r="F303" s="38">
        <v>-6201.1</v>
      </c>
      <c r="G303" s="18">
        <v>0</v>
      </c>
    </row>
    <row r="304" spans="3:7" x14ac:dyDescent="0.3">
      <c r="C304" t="s">
        <v>796</v>
      </c>
      <c r="D304" t="s">
        <v>23</v>
      </c>
      <c r="E304" s="18">
        <v>10120</v>
      </c>
      <c r="F304" s="38">
        <v>-10120</v>
      </c>
      <c r="G304" s="18">
        <v>0</v>
      </c>
    </row>
    <row r="305" spans="2:7" x14ac:dyDescent="0.3">
      <c r="C305" t="s">
        <v>797</v>
      </c>
      <c r="D305" t="s">
        <v>410</v>
      </c>
      <c r="E305" s="18">
        <v>14068</v>
      </c>
      <c r="F305" s="38">
        <v>-14068</v>
      </c>
      <c r="G305" s="18">
        <v>0</v>
      </c>
    </row>
    <row r="306" spans="2:7" x14ac:dyDescent="0.3">
      <c r="C306" t="s">
        <v>798</v>
      </c>
      <c r="D306" t="s">
        <v>492</v>
      </c>
      <c r="E306" s="18">
        <v>3241</v>
      </c>
      <c r="F306" s="38">
        <v>-3241</v>
      </c>
      <c r="G306" s="18">
        <v>0</v>
      </c>
    </row>
    <row r="307" spans="2:7" x14ac:dyDescent="0.3">
      <c r="B307" s="17" t="s">
        <v>331</v>
      </c>
      <c r="C307" s="17"/>
      <c r="D307" s="17"/>
      <c r="E307" s="19">
        <v>161862.6</v>
      </c>
      <c r="F307" s="39">
        <v>-161862.6</v>
      </c>
      <c r="G307" s="19">
        <v>0</v>
      </c>
    </row>
    <row r="308" spans="2:7" x14ac:dyDescent="0.3">
      <c r="B308">
        <v>6</v>
      </c>
      <c r="C308" t="s">
        <v>827</v>
      </c>
      <c r="D308" t="s">
        <v>410</v>
      </c>
      <c r="E308" s="18">
        <v>12427</v>
      </c>
      <c r="F308" s="38">
        <v>-12427</v>
      </c>
      <c r="G308" s="18">
        <v>0</v>
      </c>
    </row>
    <row r="309" spans="2:7" x14ac:dyDescent="0.3">
      <c r="C309" t="s">
        <v>828</v>
      </c>
      <c r="D309" t="s">
        <v>638</v>
      </c>
      <c r="E309" s="18">
        <v>2112</v>
      </c>
      <c r="F309" s="38">
        <v>-2112</v>
      </c>
      <c r="G309" s="18">
        <v>0</v>
      </c>
    </row>
    <row r="310" spans="2:7" x14ac:dyDescent="0.3">
      <c r="C310" t="s">
        <v>829</v>
      </c>
      <c r="D310" t="s">
        <v>410</v>
      </c>
      <c r="E310" s="18">
        <v>9000</v>
      </c>
      <c r="F310" s="38">
        <v>-9000</v>
      </c>
      <c r="G310" s="18">
        <v>0</v>
      </c>
    </row>
    <row r="311" spans="2:7" x14ac:dyDescent="0.3">
      <c r="C311" t="s">
        <v>830</v>
      </c>
      <c r="D311" t="s">
        <v>7</v>
      </c>
      <c r="E311" s="18">
        <v>2356</v>
      </c>
      <c r="F311" s="38">
        <v>-2356</v>
      </c>
      <c r="G311" s="18">
        <v>0</v>
      </c>
    </row>
    <row r="312" spans="2:7" x14ac:dyDescent="0.3">
      <c r="C312" t="s">
        <v>832</v>
      </c>
      <c r="D312" t="s">
        <v>62</v>
      </c>
      <c r="E312" s="18">
        <v>12690</v>
      </c>
      <c r="F312" s="38">
        <v>-12690</v>
      </c>
      <c r="G312" s="18">
        <v>0</v>
      </c>
    </row>
    <row r="313" spans="2:7" x14ac:dyDescent="0.3">
      <c r="C313" t="s">
        <v>833</v>
      </c>
      <c r="D313" t="s">
        <v>638</v>
      </c>
      <c r="E313" s="18">
        <v>2112</v>
      </c>
      <c r="F313" s="38">
        <v>-2112</v>
      </c>
      <c r="G313" s="18">
        <v>0</v>
      </c>
    </row>
    <row r="314" spans="2:7" x14ac:dyDescent="0.3">
      <c r="C314" t="s">
        <v>834</v>
      </c>
      <c r="D314" t="s">
        <v>492</v>
      </c>
      <c r="E314" s="18">
        <v>2746</v>
      </c>
      <c r="F314" s="38">
        <v>-2746</v>
      </c>
      <c r="G314" s="18">
        <v>0</v>
      </c>
    </row>
    <row r="315" spans="2:7" x14ac:dyDescent="0.3">
      <c r="C315" t="s">
        <v>835</v>
      </c>
      <c r="D315" t="s">
        <v>410</v>
      </c>
      <c r="E315" s="18">
        <v>4950</v>
      </c>
      <c r="F315" s="38">
        <v>-4950</v>
      </c>
      <c r="G315" s="18">
        <v>0</v>
      </c>
    </row>
    <row r="316" spans="2:7" x14ac:dyDescent="0.3">
      <c r="C316" t="s">
        <v>836</v>
      </c>
      <c r="D316" t="s">
        <v>666</v>
      </c>
      <c r="E316" s="18">
        <v>2158</v>
      </c>
      <c r="F316" s="38">
        <v>-2158</v>
      </c>
      <c r="G316" s="18">
        <v>0</v>
      </c>
    </row>
    <row r="317" spans="2:7" x14ac:dyDescent="0.3">
      <c r="C317" t="s">
        <v>837</v>
      </c>
      <c r="D317" t="s">
        <v>58</v>
      </c>
      <c r="E317" s="18">
        <v>3960</v>
      </c>
      <c r="F317" s="38">
        <v>-3960</v>
      </c>
      <c r="G317" s="18">
        <v>0</v>
      </c>
    </row>
    <row r="318" spans="2:7" x14ac:dyDescent="0.3">
      <c r="C318" t="s">
        <v>838</v>
      </c>
      <c r="D318" t="s">
        <v>7</v>
      </c>
      <c r="E318" s="18">
        <v>3232</v>
      </c>
      <c r="F318" s="38">
        <v>-3232</v>
      </c>
      <c r="G318" s="18">
        <v>0</v>
      </c>
    </row>
    <row r="319" spans="2:7" x14ac:dyDescent="0.3">
      <c r="C319" t="s">
        <v>843</v>
      </c>
      <c r="D319" t="s">
        <v>410</v>
      </c>
      <c r="E319" s="18">
        <v>4431.5</v>
      </c>
      <c r="F319" s="38">
        <v>-4431.5</v>
      </c>
      <c r="G319" s="18">
        <v>0</v>
      </c>
    </row>
    <row r="320" spans="2:7" x14ac:dyDescent="0.3">
      <c r="C320" t="s">
        <v>844</v>
      </c>
      <c r="D320" t="s">
        <v>43</v>
      </c>
      <c r="E320" s="18">
        <v>2068</v>
      </c>
      <c r="F320" s="38">
        <v>-2068</v>
      </c>
      <c r="G320" s="18">
        <v>0</v>
      </c>
    </row>
    <row r="321" spans="2:7" x14ac:dyDescent="0.3">
      <c r="C321" t="s">
        <v>845</v>
      </c>
      <c r="D321" t="s">
        <v>492</v>
      </c>
      <c r="E321" s="18">
        <v>3374.5</v>
      </c>
      <c r="F321" s="38">
        <v>-3374.5</v>
      </c>
      <c r="G321" s="18">
        <v>0</v>
      </c>
    </row>
    <row r="322" spans="2:7" x14ac:dyDescent="0.3">
      <c r="C322" t="s">
        <v>846</v>
      </c>
      <c r="D322" t="s">
        <v>410</v>
      </c>
      <c r="E322" s="18">
        <v>5889</v>
      </c>
      <c r="F322" s="38">
        <v>-5889</v>
      </c>
      <c r="G322" s="18">
        <v>0</v>
      </c>
    </row>
    <row r="323" spans="2:7" x14ac:dyDescent="0.3">
      <c r="C323" t="s">
        <v>847</v>
      </c>
      <c r="D323" t="s">
        <v>401</v>
      </c>
      <c r="E323" s="18">
        <v>6223.6</v>
      </c>
      <c r="F323" s="38">
        <v>-6223.6</v>
      </c>
      <c r="G323" s="18">
        <v>0</v>
      </c>
    </row>
    <row r="324" spans="2:7" x14ac:dyDescent="0.3">
      <c r="C324" t="s">
        <v>848</v>
      </c>
      <c r="D324" t="s">
        <v>62</v>
      </c>
      <c r="E324" s="18">
        <v>18515</v>
      </c>
      <c r="F324" s="38">
        <v>-18515</v>
      </c>
      <c r="G324" s="18">
        <v>0</v>
      </c>
    </row>
    <row r="325" spans="2:7" x14ac:dyDescent="0.3">
      <c r="B325" s="17" t="s">
        <v>141</v>
      </c>
      <c r="C325" s="17"/>
      <c r="D325" s="17"/>
      <c r="E325" s="19">
        <v>98244.6</v>
      </c>
      <c r="F325" s="39">
        <v>-98244.6</v>
      </c>
      <c r="G325" s="19">
        <v>0</v>
      </c>
    </row>
    <row r="326" spans="2:7" x14ac:dyDescent="0.3">
      <c r="B326">
        <v>7</v>
      </c>
      <c r="C326" t="s">
        <v>857</v>
      </c>
      <c r="D326" t="s">
        <v>58</v>
      </c>
      <c r="E326" s="18">
        <v>1539</v>
      </c>
      <c r="F326" s="38">
        <v>-1539</v>
      </c>
      <c r="G326" s="18">
        <v>0</v>
      </c>
    </row>
    <row r="327" spans="2:7" x14ac:dyDescent="0.3">
      <c r="C327" t="s">
        <v>858</v>
      </c>
      <c r="D327" t="s">
        <v>401</v>
      </c>
      <c r="E327" s="18">
        <v>5183.6000000000004</v>
      </c>
      <c r="F327" s="38">
        <v>-5183.6000000000004</v>
      </c>
      <c r="G327" s="18">
        <v>0</v>
      </c>
    </row>
    <row r="328" spans="2:7" x14ac:dyDescent="0.3">
      <c r="C328" t="s">
        <v>859</v>
      </c>
      <c r="D328" t="s">
        <v>410</v>
      </c>
      <c r="E328" s="18">
        <v>12855.5</v>
      </c>
      <c r="F328" s="38">
        <v>-12855.5</v>
      </c>
      <c r="G328" s="18">
        <v>0</v>
      </c>
    </row>
    <row r="329" spans="2:7" x14ac:dyDescent="0.3">
      <c r="C329" t="s">
        <v>862</v>
      </c>
      <c r="D329" t="s">
        <v>860</v>
      </c>
      <c r="E329" s="18">
        <v>8568.2000000000007</v>
      </c>
      <c r="F329" s="38">
        <v>-8568.2000000000007</v>
      </c>
      <c r="G329" s="18">
        <v>0</v>
      </c>
    </row>
    <row r="330" spans="2:7" x14ac:dyDescent="0.3">
      <c r="C330" t="s">
        <v>867</v>
      </c>
      <c r="D330" t="s">
        <v>410</v>
      </c>
      <c r="E330" s="18">
        <v>9153</v>
      </c>
      <c r="F330" s="38">
        <v>-9153</v>
      </c>
      <c r="G330" s="18">
        <v>0</v>
      </c>
    </row>
    <row r="331" spans="2:7" x14ac:dyDescent="0.3">
      <c r="C331" t="s">
        <v>868</v>
      </c>
      <c r="D331" t="s">
        <v>410</v>
      </c>
      <c r="E331" s="18">
        <v>925.5</v>
      </c>
      <c r="F331" s="38">
        <v>-925.5</v>
      </c>
      <c r="G331" s="18">
        <v>0</v>
      </c>
    </row>
    <row r="332" spans="2:7" x14ac:dyDescent="0.3">
      <c r="C332" t="s">
        <v>869</v>
      </c>
      <c r="D332" t="s">
        <v>410</v>
      </c>
      <c r="E332" s="18">
        <v>6625</v>
      </c>
      <c r="F332" s="38">
        <v>-6625</v>
      </c>
      <c r="G332" s="18">
        <v>0</v>
      </c>
    </row>
    <row r="333" spans="2:7" x14ac:dyDescent="0.3">
      <c r="C333" t="s">
        <v>870</v>
      </c>
      <c r="D333" t="s">
        <v>7</v>
      </c>
      <c r="E333" s="18">
        <v>4092</v>
      </c>
      <c r="F333" s="38">
        <v>-4092</v>
      </c>
      <c r="G333" s="18">
        <v>0</v>
      </c>
    </row>
    <row r="334" spans="2:7" x14ac:dyDescent="0.3">
      <c r="C334" t="s">
        <v>871</v>
      </c>
      <c r="D334" t="s">
        <v>62</v>
      </c>
      <c r="E334" s="18">
        <v>13445</v>
      </c>
      <c r="F334" s="38">
        <v>-13445</v>
      </c>
      <c r="G334" s="18">
        <v>0</v>
      </c>
    </row>
    <row r="335" spans="2:7" x14ac:dyDescent="0.3">
      <c r="C335" t="s">
        <v>872</v>
      </c>
      <c r="D335" t="s">
        <v>492</v>
      </c>
      <c r="E335" s="18">
        <v>2180</v>
      </c>
      <c r="F335" s="38">
        <v>-2180</v>
      </c>
      <c r="G335" s="18">
        <v>0</v>
      </c>
    </row>
    <row r="336" spans="2:7" x14ac:dyDescent="0.3">
      <c r="C336" t="s">
        <v>874</v>
      </c>
      <c r="D336" t="s">
        <v>58</v>
      </c>
      <c r="E336" s="18">
        <v>4596.5</v>
      </c>
      <c r="F336" s="38">
        <v>-4596.5</v>
      </c>
      <c r="G336" s="18">
        <v>0</v>
      </c>
    </row>
    <row r="337" spans="2:7" x14ac:dyDescent="0.3">
      <c r="B337" s="17" t="s">
        <v>142</v>
      </c>
      <c r="C337" s="17"/>
      <c r="D337" s="17"/>
      <c r="E337" s="19">
        <v>69163.3</v>
      </c>
      <c r="F337" s="39">
        <v>-69163.3</v>
      </c>
      <c r="G337" s="19">
        <v>0</v>
      </c>
    </row>
    <row r="338" spans="2:7" x14ac:dyDescent="0.3">
      <c r="B338">
        <v>8</v>
      </c>
      <c r="C338" t="s">
        <v>892</v>
      </c>
      <c r="D338" t="s">
        <v>860</v>
      </c>
      <c r="E338" s="18">
        <v>12643.2</v>
      </c>
      <c r="F338" s="38">
        <v>-12643</v>
      </c>
      <c r="G338" s="18">
        <v>0.20000000000004547</v>
      </c>
    </row>
    <row r="339" spans="2:7" x14ac:dyDescent="0.3">
      <c r="C339" t="s">
        <v>896</v>
      </c>
      <c r="D339" t="s">
        <v>410</v>
      </c>
      <c r="E339" s="18">
        <v>5268.6</v>
      </c>
      <c r="F339" s="38">
        <v>-5268.6</v>
      </c>
      <c r="G339" s="18">
        <v>0</v>
      </c>
    </row>
    <row r="340" spans="2:7" x14ac:dyDescent="0.3">
      <c r="C340" t="s">
        <v>898</v>
      </c>
      <c r="D340" t="s">
        <v>7</v>
      </c>
      <c r="E340" s="18">
        <v>864</v>
      </c>
      <c r="F340" s="38">
        <v>-864</v>
      </c>
      <c r="G340" s="18">
        <v>0</v>
      </c>
    </row>
    <row r="341" spans="2:7" x14ac:dyDescent="0.3">
      <c r="C341" t="s">
        <v>899</v>
      </c>
      <c r="D341" t="s">
        <v>785</v>
      </c>
      <c r="E341" s="18">
        <v>2068</v>
      </c>
      <c r="F341" s="38">
        <v>-2068</v>
      </c>
      <c r="G341" s="18">
        <v>0</v>
      </c>
    </row>
    <row r="342" spans="2:7" x14ac:dyDescent="0.3">
      <c r="C342" t="s">
        <v>900</v>
      </c>
      <c r="D342" t="s">
        <v>410</v>
      </c>
      <c r="E342" s="18">
        <v>4312.5</v>
      </c>
      <c r="F342" s="38">
        <v>-4312.5</v>
      </c>
      <c r="G342" s="18">
        <v>0</v>
      </c>
    </row>
    <row r="343" spans="2:7" x14ac:dyDescent="0.3">
      <c r="C343" t="s">
        <v>901</v>
      </c>
      <c r="D343" t="s">
        <v>1045</v>
      </c>
      <c r="E343" s="18">
        <v>0</v>
      </c>
      <c r="F343" s="38"/>
      <c r="G343" s="18">
        <v>0</v>
      </c>
    </row>
    <row r="344" spans="2:7" x14ac:dyDescent="0.3">
      <c r="C344" t="s">
        <v>903</v>
      </c>
      <c r="D344" t="s">
        <v>23</v>
      </c>
      <c r="E344" s="18">
        <v>16536.699999999997</v>
      </c>
      <c r="F344" s="38">
        <v>-16536.699999999997</v>
      </c>
      <c r="G344" s="18">
        <v>0</v>
      </c>
    </row>
    <row r="345" spans="2:7" x14ac:dyDescent="0.3">
      <c r="C345" t="s">
        <v>907</v>
      </c>
      <c r="D345" t="s">
        <v>20</v>
      </c>
      <c r="E345" s="18">
        <v>7521</v>
      </c>
      <c r="F345" s="38">
        <v>-7521</v>
      </c>
      <c r="G345" s="18">
        <v>0</v>
      </c>
    </row>
    <row r="346" spans="2:7" x14ac:dyDescent="0.3">
      <c r="C346" t="s">
        <v>908</v>
      </c>
      <c r="D346" t="s">
        <v>492</v>
      </c>
      <c r="E346" s="18">
        <v>3459</v>
      </c>
      <c r="F346" s="38">
        <v>-3459</v>
      </c>
      <c r="G346" s="18">
        <v>0</v>
      </c>
    </row>
    <row r="347" spans="2:7" x14ac:dyDescent="0.3">
      <c r="C347" t="s">
        <v>910</v>
      </c>
      <c r="D347" t="s">
        <v>860</v>
      </c>
      <c r="E347" s="18">
        <v>5840</v>
      </c>
      <c r="F347" s="38">
        <v>-5840</v>
      </c>
      <c r="G347" s="18">
        <v>0</v>
      </c>
    </row>
    <row r="348" spans="2:7" x14ac:dyDescent="0.3">
      <c r="C348" t="s">
        <v>911</v>
      </c>
      <c r="D348" t="s">
        <v>410</v>
      </c>
      <c r="E348" s="18">
        <v>6838.5</v>
      </c>
      <c r="F348" s="38">
        <v>-6838.5</v>
      </c>
      <c r="G348" s="18">
        <v>0</v>
      </c>
    </row>
    <row r="349" spans="2:7" x14ac:dyDescent="0.3">
      <c r="C349" t="s">
        <v>912</v>
      </c>
      <c r="D349" t="s">
        <v>58</v>
      </c>
      <c r="E349" s="18">
        <v>762</v>
      </c>
      <c r="F349" s="38">
        <v>-762</v>
      </c>
      <c r="G349" s="18">
        <v>0</v>
      </c>
    </row>
    <row r="350" spans="2:7" x14ac:dyDescent="0.3">
      <c r="C350" t="s">
        <v>913</v>
      </c>
      <c r="D350" t="s">
        <v>62</v>
      </c>
      <c r="E350" s="18">
        <v>15671</v>
      </c>
      <c r="F350" s="38">
        <v>-15671</v>
      </c>
      <c r="G350" s="18">
        <v>0</v>
      </c>
    </row>
    <row r="351" spans="2:7" x14ac:dyDescent="0.3">
      <c r="C351" t="s">
        <v>915</v>
      </c>
      <c r="D351" t="s">
        <v>860</v>
      </c>
      <c r="E351" s="18">
        <v>6006</v>
      </c>
      <c r="F351" s="38">
        <v>-6006</v>
      </c>
      <c r="G351" s="18">
        <v>0</v>
      </c>
    </row>
    <row r="352" spans="2:7" x14ac:dyDescent="0.3">
      <c r="C352" t="s">
        <v>916</v>
      </c>
      <c r="D352" t="s">
        <v>401</v>
      </c>
      <c r="E352" s="18">
        <v>6136.8</v>
      </c>
      <c r="F352" s="38">
        <v>-6136.8</v>
      </c>
      <c r="G352" s="18">
        <v>0</v>
      </c>
    </row>
    <row r="353" spans="2:7" x14ac:dyDescent="0.3">
      <c r="B353" s="17" t="s">
        <v>143</v>
      </c>
      <c r="C353" s="17"/>
      <c r="D353" s="17"/>
      <c r="E353" s="19">
        <v>93927.3</v>
      </c>
      <c r="F353" s="39">
        <v>-93927.099999999991</v>
      </c>
      <c r="G353" s="19">
        <v>0.20000000000004547</v>
      </c>
    </row>
    <row r="354" spans="2:7" x14ac:dyDescent="0.3">
      <c r="B354">
        <v>9</v>
      </c>
      <c r="C354" t="s">
        <v>925</v>
      </c>
      <c r="D354" t="s">
        <v>410</v>
      </c>
      <c r="E354" s="18">
        <v>9343.9</v>
      </c>
      <c r="F354" s="38">
        <v>-9343.9</v>
      </c>
      <c r="G354" s="18">
        <v>0</v>
      </c>
    </row>
    <row r="355" spans="2:7" x14ac:dyDescent="0.3">
      <c r="C355" t="s">
        <v>926</v>
      </c>
      <c r="D355" t="s">
        <v>58</v>
      </c>
      <c r="E355" s="18">
        <v>3784</v>
      </c>
      <c r="F355" s="38">
        <v>-3784</v>
      </c>
      <c r="G355" s="18">
        <v>0</v>
      </c>
    </row>
    <row r="356" spans="2:7" x14ac:dyDescent="0.3">
      <c r="C356" t="s">
        <v>928</v>
      </c>
      <c r="D356" t="s">
        <v>410</v>
      </c>
      <c r="E356" s="18">
        <v>11453.6</v>
      </c>
      <c r="F356" s="38">
        <v>-11453.6</v>
      </c>
      <c r="G356" s="18">
        <v>0</v>
      </c>
    </row>
    <row r="357" spans="2:7" x14ac:dyDescent="0.3">
      <c r="C357" t="s">
        <v>931</v>
      </c>
      <c r="D357" t="s">
        <v>959</v>
      </c>
      <c r="E357" s="18">
        <v>2452</v>
      </c>
      <c r="F357" s="38">
        <v>-2452</v>
      </c>
      <c r="G357" s="18">
        <v>0</v>
      </c>
    </row>
    <row r="358" spans="2:7" x14ac:dyDescent="0.3">
      <c r="C358" t="s">
        <v>932</v>
      </c>
      <c r="D358" t="s">
        <v>410</v>
      </c>
      <c r="E358" s="18">
        <v>1914</v>
      </c>
      <c r="F358" s="38">
        <v>-1914</v>
      </c>
      <c r="G358" s="18">
        <v>0</v>
      </c>
    </row>
    <row r="359" spans="2:7" x14ac:dyDescent="0.3">
      <c r="C359" t="s">
        <v>933</v>
      </c>
      <c r="D359" t="s">
        <v>492</v>
      </c>
      <c r="E359" s="18">
        <v>2251</v>
      </c>
      <c r="F359" s="38">
        <v>-2251</v>
      </c>
      <c r="G359" s="18">
        <v>0</v>
      </c>
    </row>
    <row r="360" spans="2:7" x14ac:dyDescent="0.3">
      <c r="C360" t="s">
        <v>934</v>
      </c>
      <c r="D360" t="s">
        <v>410</v>
      </c>
      <c r="E360" s="18">
        <v>13163</v>
      </c>
      <c r="F360" s="38">
        <v>-13163</v>
      </c>
      <c r="G360" s="18">
        <v>0</v>
      </c>
    </row>
    <row r="361" spans="2:7" x14ac:dyDescent="0.3">
      <c r="C361" t="s">
        <v>935</v>
      </c>
      <c r="D361" t="s">
        <v>410</v>
      </c>
      <c r="E361" s="18">
        <v>11823</v>
      </c>
      <c r="F361" s="38">
        <v>-11823</v>
      </c>
      <c r="G361" s="18">
        <v>0</v>
      </c>
    </row>
    <row r="362" spans="2:7" x14ac:dyDescent="0.3">
      <c r="C362" t="s">
        <v>937</v>
      </c>
      <c r="D362" t="s">
        <v>7</v>
      </c>
      <c r="E362" s="18">
        <v>1840</v>
      </c>
      <c r="F362" s="38">
        <v>-1840</v>
      </c>
      <c r="G362" s="18">
        <v>0</v>
      </c>
    </row>
    <row r="363" spans="2:7" x14ac:dyDescent="0.3">
      <c r="C363" t="s">
        <v>938</v>
      </c>
      <c r="D363" t="s">
        <v>492</v>
      </c>
      <c r="E363" s="18">
        <v>3655.7</v>
      </c>
      <c r="F363" s="38">
        <v>-3655.7</v>
      </c>
      <c r="G363" s="18">
        <v>0</v>
      </c>
    </row>
    <row r="364" spans="2:7" x14ac:dyDescent="0.3">
      <c r="C364" t="s">
        <v>944</v>
      </c>
      <c r="D364" t="s">
        <v>401</v>
      </c>
      <c r="E364" s="18">
        <v>3546.1</v>
      </c>
      <c r="F364" s="38">
        <v>-3546.1</v>
      </c>
      <c r="G364" s="18">
        <v>0</v>
      </c>
    </row>
    <row r="365" spans="2:7" x14ac:dyDescent="0.3">
      <c r="C365" t="s">
        <v>948</v>
      </c>
      <c r="D365" t="s">
        <v>62</v>
      </c>
      <c r="E365" s="18">
        <v>11757.5</v>
      </c>
      <c r="F365" s="38">
        <v>-11757.5</v>
      </c>
      <c r="G365" s="18">
        <v>0</v>
      </c>
    </row>
    <row r="366" spans="2:7" x14ac:dyDescent="0.3">
      <c r="C366" t="s">
        <v>951</v>
      </c>
      <c r="D366" t="s">
        <v>492</v>
      </c>
      <c r="E366" s="18">
        <v>3595.6</v>
      </c>
      <c r="F366" s="38">
        <v>-3595.6</v>
      </c>
      <c r="G366" s="18">
        <v>0</v>
      </c>
    </row>
    <row r="367" spans="2:7" x14ac:dyDescent="0.3">
      <c r="C367" t="s">
        <v>953</v>
      </c>
      <c r="D367" t="s">
        <v>638</v>
      </c>
      <c r="E367" s="18">
        <v>2968.8</v>
      </c>
      <c r="F367" s="38">
        <v>-2968.8</v>
      </c>
      <c r="G367" s="18">
        <v>0</v>
      </c>
    </row>
    <row r="368" spans="2:7" x14ac:dyDescent="0.3">
      <c r="C368" t="s">
        <v>954</v>
      </c>
      <c r="D368" t="s">
        <v>638</v>
      </c>
      <c r="E368" s="18">
        <v>840</v>
      </c>
      <c r="F368" s="38">
        <v>-840</v>
      </c>
      <c r="G368" s="18">
        <v>0</v>
      </c>
    </row>
    <row r="369" spans="2:7" x14ac:dyDescent="0.3">
      <c r="C369" t="s">
        <v>956</v>
      </c>
      <c r="D369" t="s">
        <v>860</v>
      </c>
      <c r="E369" s="18">
        <v>11266.800000000001</v>
      </c>
      <c r="F369" s="38">
        <v>-11266.800000000001</v>
      </c>
      <c r="G369" s="18">
        <v>0</v>
      </c>
    </row>
    <row r="370" spans="2:7" x14ac:dyDescent="0.3">
      <c r="C370" t="s">
        <v>957</v>
      </c>
      <c r="D370" t="s">
        <v>959</v>
      </c>
      <c r="E370" s="18">
        <v>1995.5</v>
      </c>
      <c r="F370" s="38">
        <v>-1995.5</v>
      </c>
      <c r="G370" s="18">
        <v>0</v>
      </c>
    </row>
    <row r="371" spans="2:7" x14ac:dyDescent="0.3">
      <c r="B371" s="17" t="s">
        <v>144</v>
      </c>
      <c r="C371" s="17"/>
      <c r="D371" s="17"/>
      <c r="E371" s="19">
        <v>97650.5</v>
      </c>
      <c r="F371" s="39">
        <v>-97650.5</v>
      </c>
      <c r="G371" s="19">
        <v>0</v>
      </c>
    </row>
    <row r="372" spans="2:7" x14ac:dyDescent="0.3">
      <c r="B372">
        <v>10</v>
      </c>
      <c r="C372" t="s">
        <v>987</v>
      </c>
      <c r="D372" t="s">
        <v>62</v>
      </c>
      <c r="E372" s="18">
        <v>13065</v>
      </c>
      <c r="F372" s="38">
        <v>-13065</v>
      </c>
      <c r="G372" s="18">
        <v>0</v>
      </c>
    </row>
    <row r="373" spans="2:7" x14ac:dyDescent="0.3">
      <c r="C373" t="s">
        <v>988</v>
      </c>
      <c r="D373" t="s">
        <v>410</v>
      </c>
      <c r="E373" s="18">
        <v>48172.5</v>
      </c>
      <c r="F373" s="38">
        <v>-48172.5</v>
      </c>
      <c r="G373" s="18">
        <v>0</v>
      </c>
    </row>
    <row r="374" spans="2:7" x14ac:dyDescent="0.3">
      <c r="C374" t="s">
        <v>994</v>
      </c>
      <c r="D374" t="s">
        <v>492</v>
      </c>
      <c r="E374" s="18">
        <v>2636.5</v>
      </c>
      <c r="F374" s="38">
        <v>-2636.5</v>
      </c>
      <c r="G374" s="18">
        <v>0</v>
      </c>
    </row>
    <row r="375" spans="2:7" x14ac:dyDescent="0.3">
      <c r="C375" t="s">
        <v>996</v>
      </c>
      <c r="D375" t="s">
        <v>20</v>
      </c>
      <c r="E375" s="18">
        <v>2849</v>
      </c>
      <c r="F375" s="38">
        <v>-2849</v>
      </c>
      <c r="G375" s="18">
        <v>0</v>
      </c>
    </row>
    <row r="376" spans="2:7" x14ac:dyDescent="0.3">
      <c r="C376" t="s">
        <v>997</v>
      </c>
      <c r="D376" t="s">
        <v>20</v>
      </c>
      <c r="E376" s="18">
        <v>4048</v>
      </c>
      <c r="F376" s="38">
        <v>-4048</v>
      </c>
      <c r="G376" s="18">
        <v>0</v>
      </c>
    </row>
    <row r="377" spans="2:7" x14ac:dyDescent="0.3">
      <c r="C377" t="s">
        <v>998</v>
      </c>
      <c r="D377" t="s">
        <v>43</v>
      </c>
      <c r="E377" s="18">
        <v>2237</v>
      </c>
      <c r="F377" s="38">
        <v>-2237</v>
      </c>
      <c r="G377" s="18">
        <v>0</v>
      </c>
    </row>
    <row r="378" spans="2:7" x14ac:dyDescent="0.3">
      <c r="C378" t="s">
        <v>999</v>
      </c>
      <c r="D378" t="s">
        <v>401</v>
      </c>
      <c r="E378" s="18">
        <v>3137.3</v>
      </c>
      <c r="F378" s="38">
        <v>-3137.3</v>
      </c>
      <c r="G378" s="18">
        <v>0</v>
      </c>
    </row>
    <row r="379" spans="2:7" x14ac:dyDescent="0.3">
      <c r="C379" t="s">
        <v>1000</v>
      </c>
      <c r="D379" t="s">
        <v>410</v>
      </c>
      <c r="E379" s="18">
        <v>10166.299999999999</v>
      </c>
      <c r="F379" s="38">
        <v>-10166.299999999999</v>
      </c>
      <c r="G379" s="18">
        <v>0</v>
      </c>
    </row>
    <row r="380" spans="2:7" x14ac:dyDescent="0.3">
      <c r="C380" t="s">
        <v>1001</v>
      </c>
      <c r="D380" t="s">
        <v>492</v>
      </c>
      <c r="E380" s="18">
        <v>2570</v>
      </c>
      <c r="F380" s="38">
        <v>-2570</v>
      </c>
      <c r="G380" s="18">
        <v>0</v>
      </c>
    </row>
    <row r="381" spans="2:7" x14ac:dyDescent="0.3">
      <c r="C381" t="s">
        <v>1002</v>
      </c>
      <c r="D381" t="s">
        <v>62</v>
      </c>
      <c r="E381" s="18">
        <v>11480</v>
      </c>
      <c r="F381" s="38">
        <v>-11480</v>
      </c>
      <c r="G381" s="18">
        <v>0</v>
      </c>
    </row>
    <row r="382" spans="2:7" x14ac:dyDescent="0.3">
      <c r="C382" t="s">
        <v>1005</v>
      </c>
      <c r="D382" t="s">
        <v>785</v>
      </c>
      <c r="E382" s="18">
        <v>3600</v>
      </c>
      <c r="F382" s="38">
        <v>-3600</v>
      </c>
      <c r="G382" s="18">
        <v>0</v>
      </c>
    </row>
    <row r="383" spans="2:7" x14ac:dyDescent="0.3">
      <c r="C383" t="s">
        <v>1006</v>
      </c>
      <c r="D383" t="s">
        <v>62</v>
      </c>
      <c r="E383" s="18">
        <v>395</v>
      </c>
      <c r="F383" s="38">
        <v>-395</v>
      </c>
      <c r="G383" s="18">
        <v>0</v>
      </c>
    </row>
    <row r="384" spans="2:7" x14ac:dyDescent="0.3">
      <c r="C384" t="s">
        <v>1007</v>
      </c>
      <c r="D384" t="s">
        <v>58</v>
      </c>
      <c r="E384" s="18">
        <v>1960.2</v>
      </c>
      <c r="F384" s="38">
        <v>-1960.2</v>
      </c>
      <c r="G384" s="18">
        <v>0</v>
      </c>
    </row>
    <row r="385" spans="2:7" x14ac:dyDescent="0.3">
      <c r="C385" t="s">
        <v>1009</v>
      </c>
      <c r="D385" t="s">
        <v>23</v>
      </c>
      <c r="E385" s="18">
        <v>15677.2</v>
      </c>
      <c r="F385" s="38">
        <v>-15677.2</v>
      </c>
      <c r="G385" s="18">
        <v>0</v>
      </c>
    </row>
    <row r="386" spans="2:7" x14ac:dyDescent="0.3">
      <c r="C386" t="s">
        <v>1010</v>
      </c>
      <c r="D386" t="s">
        <v>7</v>
      </c>
      <c r="E386" s="18">
        <v>3004</v>
      </c>
      <c r="F386" s="38">
        <v>-3004</v>
      </c>
      <c r="G386" s="18">
        <v>0</v>
      </c>
    </row>
    <row r="387" spans="2:7" x14ac:dyDescent="0.3">
      <c r="C387" t="s">
        <v>1011</v>
      </c>
      <c r="D387" t="s">
        <v>410</v>
      </c>
      <c r="E387" s="18">
        <v>7590.5</v>
      </c>
      <c r="F387" s="38">
        <v>-7590.5</v>
      </c>
      <c r="G387" s="18">
        <v>0</v>
      </c>
    </row>
    <row r="388" spans="2:7" x14ac:dyDescent="0.3">
      <c r="C388" t="s">
        <v>1012</v>
      </c>
      <c r="D388" t="s">
        <v>492</v>
      </c>
      <c r="E388" s="18">
        <v>2837</v>
      </c>
      <c r="F388" s="38">
        <v>-2837</v>
      </c>
      <c r="G388" s="18">
        <v>0</v>
      </c>
    </row>
    <row r="389" spans="2:7" x14ac:dyDescent="0.3">
      <c r="C389" t="s">
        <v>1013</v>
      </c>
      <c r="D389" t="s">
        <v>410</v>
      </c>
      <c r="E389" s="18">
        <v>250</v>
      </c>
      <c r="F389" s="38">
        <v>-250</v>
      </c>
      <c r="G389" s="18">
        <v>0</v>
      </c>
    </row>
    <row r="390" spans="2:7" x14ac:dyDescent="0.3">
      <c r="C390" t="s">
        <v>1015</v>
      </c>
      <c r="D390" t="s">
        <v>410</v>
      </c>
      <c r="E390" s="18">
        <v>47685</v>
      </c>
      <c r="F390" s="38">
        <v>-47685</v>
      </c>
      <c r="G390" s="18">
        <v>0</v>
      </c>
    </row>
    <row r="391" spans="2:7" x14ac:dyDescent="0.3">
      <c r="C391" t="s">
        <v>1016</v>
      </c>
      <c r="D391" t="s">
        <v>492</v>
      </c>
      <c r="E391" s="18">
        <v>3095</v>
      </c>
      <c r="F391" s="38">
        <v>-3095</v>
      </c>
      <c r="G391" s="18">
        <v>0</v>
      </c>
    </row>
    <row r="392" spans="2:7" x14ac:dyDescent="0.3">
      <c r="B392" s="17" t="s">
        <v>145</v>
      </c>
      <c r="C392" s="17"/>
      <c r="D392" s="17"/>
      <c r="E392" s="19">
        <v>186455.5</v>
      </c>
      <c r="F392" s="39">
        <v>-186455.5</v>
      </c>
      <c r="G392" s="19">
        <v>0</v>
      </c>
    </row>
    <row r="393" spans="2:7" x14ac:dyDescent="0.3">
      <c r="B393">
        <v>11</v>
      </c>
      <c r="C393" t="s">
        <v>1047</v>
      </c>
      <c r="D393" t="s">
        <v>23</v>
      </c>
      <c r="E393" s="18">
        <v>10824</v>
      </c>
      <c r="F393" s="38">
        <v>-10824</v>
      </c>
      <c r="G393" s="18">
        <v>0</v>
      </c>
    </row>
    <row r="394" spans="2:7" x14ac:dyDescent="0.3">
      <c r="C394" t="s">
        <v>1048</v>
      </c>
      <c r="D394" t="s">
        <v>62</v>
      </c>
      <c r="E394" s="18">
        <v>11260</v>
      </c>
      <c r="F394" s="38">
        <v>-11260</v>
      </c>
      <c r="G394" s="18">
        <v>0</v>
      </c>
    </row>
    <row r="395" spans="2:7" x14ac:dyDescent="0.3">
      <c r="C395" t="s">
        <v>1049</v>
      </c>
      <c r="D395" t="s">
        <v>58</v>
      </c>
      <c r="E395" s="18">
        <v>4482.8</v>
      </c>
      <c r="F395" s="38">
        <v>-4482.8</v>
      </c>
      <c r="G395" s="18">
        <v>0</v>
      </c>
    </row>
    <row r="396" spans="2:7" x14ac:dyDescent="0.3">
      <c r="C396" t="s">
        <v>1051</v>
      </c>
      <c r="D396" t="s">
        <v>410</v>
      </c>
      <c r="E396" s="18">
        <v>403.8</v>
      </c>
      <c r="F396" s="38">
        <v>-403.8</v>
      </c>
      <c r="G396" s="18">
        <v>0</v>
      </c>
    </row>
    <row r="397" spans="2:7" x14ac:dyDescent="0.3">
      <c r="C397" t="s">
        <v>1054</v>
      </c>
      <c r="D397" t="s">
        <v>1052</v>
      </c>
      <c r="E397" s="18">
        <v>892.6</v>
      </c>
      <c r="F397" s="38">
        <v>-892.6</v>
      </c>
      <c r="G397" s="18">
        <v>0</v>
      </c>
    </row>
    <row r="398" spans="2:7" x14ac:dyDescent="0.3">
      <c r="C398" t="s">
        <v>1056</v>
      </c>
      <c r="D398" t="s">
        <v>638</v>
      </c>
      <c r="E398" s="18">
        <v>1316</v>
      </c>
      <c r="F398" s="38">
        <v>-1316</v>
      </c>
      <c r="G398" s="18">
        <v>0</v>
      </c>
    </row>
    <row r="399" spans="2:7" x14ac:dyDescent="0.3">
      <c r="C399" t="s">
        <v>1063</v>
      </c>
      <c r="D399" t="s">
        <v>1058</v>
      </c>
      <c r="E399" s="18">
        <v>4373</v>
      </c>
      <c r="F399" s="38">
        <v>-4373</v>
      </c>
      <c r="G399" s="18">
        <v>0</v>
      </c>
    </row>
    <row r="400" spans="2:7" x14ac:dyDescent="0.3">
      <c r="C400" t="s">
        <v>1064</v>
      </c>
      <c r="D400" t="s">
        <v>492</v>
      </c>
      <c r="E400" s="18">
        <v>3094</v>
      </c>
      <c r="F400" s="38">
        <v>-3094</v>
      </c>
      <c r="G400" s="18">
        <v>0</v>
      </c>
    </row>
    <row r="401" spans="2:7" x14ac:dyDescent="0.3">
      <c r="C401" t="s">
        <v>1065</v>
      </c>
      <c r="D401" t="s">
        <v>410</v>
      </c>
      <c r="E401" s="18">
        <v>14886.5</v>
      </c>
      <c r="F401" s="38">
        <v>-14886.5</v>
      </c>
      <c r="G401" s="18">
        <v>0</v>
      </c>
    </row>
    <row r="402" spans="2:7" x14ac:dyDescent="0.3">
      <c r="C402" t="s">
        <v>1066</v>
      </c>
      <c r="D402" t="s">
        <v>860</v>
      </c>
      <c r="E402" s="18">
        <v>14564.6</v>
      </c>
      <c r="F402" s="38">
        <v>-14564.6</v>
      </c>
      <c r="G402" s="18">
        <v>0</v>
      </c>
    </row>
    <row r="403" spans="2:7" x14ac:dyDescent="0.3">
      <c r="C403" t="s">
        <v>1067</v>
      </c>
      <c r="D403" t="s">
        <v>401</v>
      </c>
      <c r="E403" s="18">
        <v>5283.2</v>
      </c>
      <c r="F403" s="38">
        <v>-5283.2</v>
      </c>
      <c r="G403" s="18">
        <v>0</v>
      </c>
    </row>
    <row r="404" spans="2:7" x14ac:dyDescent="0.3">
      <c r="C404" t="s">
        <v>1068</v>
      </c>
      <c r="D404" t="s">
        <v>401</v>
      </c>
      <c r="E404" s="18">
        <v>105</v>
      </c>
      <c r="F404" s="38">
        <v>-105</v>
      </c>
      <c r="G404" s="18">
        <v>0</v>
      </c>
    </row>
    <row r="405" spans="2:7" x14ac:dyDescent="0.3">
      <c r="C405" t="s">
        <v>1069</v>
      </c>
      <c r="D405" t="s">
        <v>7</v>
      </c>
      <c r="E405" s="18">
        <v>1936</v>
      </c>
      <c r="F405" s="38">
        <v>-1936</v>
      </c>
      <c r="G405" s="18">
        <v>0</v>
      </c>
    </row>
    <row r="406" spans="2:7" x14ac:dyDescent="0.3">
      <c r="C406" t="s">
        <v>1072</v>
      </c>
      <c r="D406" t="s">
        <v>1052</v>
      </c>
      <c r="E406" s="18">
        <v>780</v>
      </c>
      <c r="F406" s="38">
        <v>-780</v>
      </c>
      <c r="G406" s="18">
        <v>0</v>
      </c>
    </row>
    <row r="407" spans="2:7" x14ac:dyDescent="0.3">
      <c r="C407" t="s">
        <v>1076</v>
      </c>
      <c r="D407" t="s">
        <v>410</v>
      </c>
      <c r="E407" s="18">
        <v>17236.599999999999</v>
      </c>
      <c r="F407" s="38">
        <v>-17236.599999999999</v>
      </c>
      <c r="G407" s="18">
        <v>0</v>
      </c>
    </row>
    <row r="408" spans="2:7" x14ac:dyDescent="0.3">
      <c r="C408" t="s">
        <v>1092</v>
      </c>
      <c r="D408" t="s">
        <v>20</v>
      </c>
      <c r="E408" s="18">
        <v>7219</v>
      </c>
      <c r="F408" s="38">
        <v>-7219</v>
      </c>
      <c r="G408" s="18">
        <v>0</v>
      </c>
    </row>
    <row r="409" spans="2:7" x14ac:dyDescent="0.3">
      <c r="C409" t="s">
        <v>1093</v>
      </c>
      <c r="D409" t="s">
        <v>62</v>
      </c>
      <c r="E409" s="18">
        <v>11410.5</v>
      </c>
      <c r="F409" s="38">
        <v>-11410.5</v>
      </c>
      <c r="G409" s="18">
        <v>0</v>
      </c>
    </row>
    <row r="410" spans="2:7" x14ac:dyDescent="0.3">
      <c r="C410" t="s">
        <v>1097</v>
      </c>
      <c r="D410" t="s">
        <v>1102</v>
      </c>
      <c r="E410" s="18">
        <v>260</v>
      </c>
      <c r="F410" s="38">
        <v>-260</v>
      </c>
      <c r="G410" s="18">
        <v>0</v>
      </c>
    </row>
    <row r="411" spans="2:7" x14ac:dyDescent="0.3">
      <c r="C411" t="s">
        <v>1098</v>
      </c>
      <c r="D411" t="s">
        <v>1101</v>
      </c>
      <c r="E411" s="18">
        <v>375</v>
      </c>
      <c r="F411" s="38">
        <v>-375</v>
      </c>
      <c r="G411" s="18">
        <v>0</v>
      </c>
    </row>
    <row r="412" spans="2:7" x14ac:dyDescent="0.3">
      <c r="B412" s="17" t="s">
        <v>161</v>
      </c>
      <c r="C412" s="17"/>
      <c r="D412" s="17"/>
      <c r="E412" s="19">
        <v>110702.6</v>
      </c>
      <c r="F412" s="39">
        <v>-110702.6</v>
      </c>
      <c r="G412" s="19">
        <v>0</v>
      </c>
    </row>
    <row r="413" spans="2:7" x14ac:dyDescent="0.3">
      <c r="B413">
        <v>12</v>
      </c>
      <c r="C413" t="s">
        <v>1107</v>
      </c>
      <c r="D413" t="s">
        <v>1052</v>
      </c>
      <c r="E413" s="18">
        <v>60</v>
      </c>
      <c r="F413" s="38">
        <v>-60</v>
      </c>
      <c r="G413" s="18">
        <v>0</v>
      </c>
    </row>
    <row r="414" spans="2:7" x14ac:dyDescent="0.3">
      <c r="C414" t="s">
        <v>1109</v>
      </c>
      <c r="D414" t="s">
        <v>638</v>
      </c>
      <c r="E414" s="18">
        <v>855</v>
      </c>
      <c r="F414" s="38">
        <v>-855</v>
      </c>
      <c r="G414" s="18">
        <v>0</v>
      </c>
    </row>
    <row r="415" spans="2:7" x14ac:dyDescent="0.3">
      <c r="C415" t="s">
        <v>1110</v>
      </c>
      <c r="D415" t="s">
        <v>410</v>
      </c>
      <c r="E415" s="18">
        <v>4489</v>
      </c>
      <c r="F415" s="38">
        <v>-4489</v>
      </c>
      <c r="G415" s="18">
        <v>0</v>
      </c>
    </row>
    <row r="416" spans="2:7" x14ac:dyDescent="0.3">
      <c r="C416" t="s">
        <v>1112</v>
      </c>
      <c r="D416" t="s">
        <v>410</v>
      </c>
      <c r="E416" s="18">
        <v>3915</v>
      </c>
      <c r="F416" s="38">
        <v>-3915</v>
      </c>
      <c r="G416" s="18">
        <v>0</v>
      </c>
    </row>
    <row r="417" spans="3:7" x14ac:dyDescent="0.3">
      <c r="C417" t="s">
        <v>1114</v>
      </c>
      <c r="D417" t="s">
        <v>58</v>
      </c>
      <c r="E417" s="18">
        <v>4632.8</v>
      </c>
      <c r="F417" s="38">
        <v>-4632.8</v>
      </c>
      <c r="G417" s="18">
        <v>0</v>
      </c>
    </row>
    <row r="418" spans="3:7" x14ac:dyDescent="0.3">
      <c r="C418" t="s">
        <v>1116</v>
      </c>
      <c r="D418" t="s">
        <v>410</v>
      </c>
      <c r="E418" s="18">
        <v>7395.5</v>
      </c>
      <c r="F418" s="38">
        <v>-7395.5</v>
      </c>
      <c r="G418" s="18">
        <v>0</v>
      </c>
    </row>
    <row r="419" spans="3:7" x14ac:dyDescent="0.3">
      <c r="C419" t="s">
        <v>1117</v>
      </c>
      <c r="D419" t="s">
        <v>638</v>
      </c>
      <c r="E419" s="18">
        <v>93</v>
      </c>
      <c r="F419" s="38">
        <v>-93</v>
      </c>
      <c r="G419" s="18">
        <v>0</v>
      </c>
    </row>
    <row r="420" spans="3:7" x14ac:dyDescent="0.3">
      <c r="C420" t="s">
        <v>1120</v>
      </c>
      <c r="D420" t="s">
        <v>492</v>
      </c>
      <c r="E420" s="18">
        <v>3067</v>
      </c>
      <c r="F420" s="38">
        <v>-3067</v>
      </c>
      <c r="G420" s="18">
        <v>0</v>
      </c>
    </row>
    <row r="421" spans="3:7" x14ac:dyDescent="0.3">
      <c r="C421" t="s">
        <v>1121</v>
      </c>
      <c r="D421" t="s">
        <v>638</v>
      </c>
      <c r="E421" s="18">
        <v>2024</v>
      </c>
      <c r="F421" s="38">
        <v>-2024</v>
      </c>
      <c r="G421" s="18">
        <v>0</v>
      </c>
    </row>
    <row r="422" spans="3:7" x14ac:dyDescent="0.3">
      <c r="C422" t="s">
        <v>1123</v>
      </c>
      <c r="D422" t="s">
        <v>410</v>
      </c>
      <c r="E422" s="18">
        <v>49088.1</v>
      </c>
      <c r="F422" s="38">
        <v>-49088.1</v>
      </c>
      <c r="G422" s="18">
        <v>0</v>
      </c>
    </row>
    <row r="423" spans="3:7" x14ac:dyDescent="0.3">
      <c r="C423" t="s">
        <v>1124</v>
      </c>
      <c r="D423" t="s">
        <v>492</v>
      </c>
      <c r="E423" s="18">
        <v>2842</v>
      </c>
      <c r="F423" s="38">
        <v>-2842</v>
      </c>
      <c r="G423" s="18">
        <v>0</v>
      </c>
    </row>
    <row r="424" spans="3:7" x14ac:dyDescent="0.3">
      <c r="C424" t="s">
        <v>1126</v>
      </c>
      <c r="D424" t="s">
        <v>785</v>
      </c>
      <c r="E424" s="18">
        <v>2063</v>
      </c>
      <c r="F424" s="38">
        <v>-2063</v>
      </c>
      <c r="G424" s="18">
        <v>0</v>
      </c>
    </row>
    <row r="425" spans="3:7" x14ac:dyDescent="0.3">
      <c r="C425" t="s">
        <v>1128</v>
      </c>
      <c r="D425" t="s">
        <v>410</v>
      </c>
      <c r="E425" s="18">
        <v>47686.5</v>
      </c>
      <c r="F425" s="38">
        <v>-47686.5</v>
      </c>
      <c r="G425" s="18">
        <v>0</v>
      </c>
    </row>
    <row r="426" spans="3:7" x14ac:dyDescent="0.3">
      <c r="C426" t="s">
        <v>1129</v>
      </c>
      <c r="D426" t="s">
        <v>7</v>
      </c>
      <c r="E426" s="18">
        <v>3332</v>
      </c>
      <c r="F426" s="38">
        <v>-3332</v>
      </c>
      <c r="G426" s="18">
        <v>0</v>
      </c>
    </row>
    <row r="427" spans="3:7" x14ac:dyDescent="0.3">
      <c r="C427" t="s">
        <v>1131</v>
      </c>
      <c r="D427" t="s">
        <v>638</v>
      </c>
      <c r="E427" s="18">
        <v>50</v>
      </c>
      <c r="F427" s="38">
        <v>-50</v>
      </c>
      <c r="G427" s="18">
        <v>0</v>
      </c>
    </row>
    <row r="428" spans="3:7" x14ac:dyDescent="0.3">
      <c r="C428" t="s">
        <v>1134</v>
      </c>
      <c r="D428" t="s">
        <v>401</v>
      </c>
      <c r="E428" s="18">
        <v>6136.1</v>
      </c>
      <c r="F428" s="38">
        <v>-6136.1</v>
      </c>
      <c r="G428" s="18">
        <v>0</v>
      </c>
    </row>
    <row r="429" spans="3:7" x14ac:dyDescent="0.3">
      <c r="C429" t="s">
        <v>1136</v>
      </c>
      <c r="D429" t="s">
        <v>492</v>
      </c>
      <c r="E429" s="18">
        <v>2842</v>
      </c>
      <c r="F429" s="38">
        <v>-2842</v>
      </c>
      <c r="G429" s="18">
        <v>0</v>
      </c>
    </row>
    <row r="430" spans="3:7" x14ac:dyDescent="0.3">
      <c r="C430" t="s">
        <v>1138</v>
      </c>
      <c r="D430" t="s">
        <v>62</v>
      </c>
      <c r="E430" s="18">
        <v>14227</v>
      </c>
      <c r="F430" s="38">
        <v>-14227</v>
      </c>
      <c r="G430" s="18">
        <v>0</v>
      </c>
    </row>
    <row r="431" spans="3:7" x14ac:dyDescent="0.3">
      <c r="C431" t="s">
        <v>1139</v>
      </c>
      <c r="D431" t="s">
        <v>410</v>
      </c>
      <c r="E431" s="18">
        <v>1008</v>
      </c>
      <c r="F431" s="38">
        <v>-1008</v>
      </c>
      <c r="G431" s="18">
        <v>0</v>
      </c>
    </row>
    <row r="432" spans="3:7" x14ac:dyDescent="0.3">
      <c r="C432" t="s">
        <v>1140</v>
      </c>
      <c r="D432" t="s">
        <v>410</v>
      </c>
      <c r="E432" s="18">
        <v>21740.5</v>
      </c>
      <c r="F432" s="38">
        <v>-21740.5</v>
      </c>
      <c r="G432" s="18">
        <v>0</v>
      </c>
    </row>
    <row r="433" spans="1:7" x14ac:dyDescent="0.3">
      <c r="B433" s="17" t="s">
        <v>223</v>
      </c>
      <c r="C433" s="17"/>
      <c r="D433" s="17"/>
      <c r="E433" s="19">
        <v>177546.5</v>
      </c>
      <c r="F433" s="39">
        <v>-177546.5</v>
      </c>
      <c r="G433" s="19">
        <v>0</v>
      </c>
    </row>
    <row r="434" spans="1:7" x14ac:dyDescent="0.3">
      <c r="A434" s="81" t="s">
        <v>585</v>
      </c>
      <c r="B434" s="81"/>
      <c r="C434" s="81"/>
      <c r="D434" s="81"/>
      <c r="E434" s="82">
        <v>1503039.1000000003</v>
      </c>
      <c r="F434" s="83">
        <v>-1503038.9000000004</v>
      </c>
      <c r="G434" s="82">
        <v>0.20000000000004547</v>
      </c>
    </row>
    <row r="435" spans="1:7" x14ac:dyDescent="0.3">
      <c r="A435">
        <v>2023</v>
      </c>
      <c r="B435">
        <v>1</v>
      </c>
      <c r="C435" t="s">
        <v>1168</v>
      </c>
      <c r="D435" t="s">
        <v>410</v>
      </c>
      <c r="E435" s="18">
        <v>31500</v>
      </c>
      <c r="F435" s="38">
        <v>-31500</v>
      </c>
      <c r="G435" s="18">
        <v>0</v>
      </c>
    </row>
    <row r="436" spans="1:7" x14ac:dyDescent="0.3">
      <c r="C436" t="s">
        <v>1171</v>
      </c>
      <c r="D436" t="s">
        <v>666</v>
      </c>
      <c r="E436" s="18">
        <v>6380.5</v>
      </c>
      <c r="F436" s="38">
        <v>-6380.5</v>
      </c>
      <c r="G436" s="18">
        <v>0</v>
      </c>
    </row>
    <row r="437" spans="1:7" x14ac:dyDescent="0.3">
      <c r="C437" t="s">
        <v>1172</v>
      </c>
      <c r="D437" t="s">
        <v>410</v>
      </c>
      <c r="E437" s="18">
        <v>9213.5</v>
      </c>
      <c r="F437" s="38">
        <v>-9213.5</v>
      </c>
      <c r="G437" s="18">
        <v>0</v>
      </c>
    </row>
    <row r="438" spans="1:7" x14ac:dyDescent="0.3">
      <c r="C438" t="s">
        <v>1173</v>
      </c>
      <c r="D438" t="s">
        <v>492</v>
      </c>
      <c r="E438" s="18">
        <v>3373.5</v>
      </c>
      <c r="F438" s="38">
        <v>-3373.5</v>
      </c>
      <c r="G438" s="18">
        <v>0</v>
      </c>
    </row>
    <row r="439" spans="1:7" x14ac:dyDescent="0.3">
      <c r="C439" t="s">
        <v>1174</v>
      </c>
      <c r="D439" t="s">
        <v>666</v>
      </c>
      <c r="E439" s="18">
        <v>2936.5</v>
      </c>
      <c r="F439" s="38">
        <v>-2936.5</v>
      </c>
      <c r="G439" s="18">
        <v>0</v>
      </c>
    </row>
    <row r="440" spans="1:7" x14ac:dyDescent="0.3">
      <c r="C440" t="s">
        <v>1175</v>
      </c>
      <c r="D440" t="s">
        <v>410</v>
      </c>
      <c r="E440" s="18">
        <v>800</v>
      </c>
      <c r="F440" s="38">
        <v>-800</v>
      </c>
      <c r="G440" s="18">
        <v>0</v>
      </c>
    </row>
    <row r="441" spans="1:7" x14ac:dyDescent="0.3">
      <c r="C441" t="s">
        <v>1177</v>
      </c>
      <c r="D441" t="s">
        <v>7</v>
      </c>
      <c r="E441" s="18">
        <v>1804</v>
      </c>
      <c r="F441" s="38">
        <v>-1804</v>
      </c>
      <c r="G441" s="18">
        <v>0</v>
      </c>
    </row>
    <row r="442" spans="1:7" x14ac:dyDescent="0.3">
      <c r="C442" t="s">
        <v>1178</v>
      </c>
      <c r="D442" t="s">
        <v>263</v>
      </c>
      <c r="E442" s="18">
        <v>2132.5</v>
      </c>
      <c r="F442" s="38">
        <v>-2132.5</v>
      </c>
      <c r="G442" s="18">
        <v>0</v>
      </c>
    </row>
    <row r="443" spans="1:7" x14ac:dyDescent="0.3">
      <c r="C443" t="s">
        <v>1180</v>
      </c>
      <c r="D443" t="s">
        <v>666</v>
      </c>
      <c r="E443" s="18">
        <v>2440</v>
      </c>
      <c r="F443" s="38">
        <v>-2440</v>
      </c>
      <c r="G443" s="18">
        <v>0</v>
      </c>
    </row>
    <row r="444" spans="1:7" x14ac:dyDescent="0.3">
      <c r="C444" t="s">
        <v>1181</v>
      </c>
      <c r="D444" t="s">
        <v>62</v>
      </c>
      <c r="E444" s="18">
        <v>14268</v>
      </c>
      <c r="F444" s="38">
        <v>-14268</v>
      </c>
      <c r="G444" s="18">
        <v>0</v>
      </c>
    </row>
    <row r="445" spans="1:7" x14ac:dyDescent="0.3">
      <c r="C445" t="s">
        <v>1182</v>
      </c>
      <c r="D445" t="s">
        <v>410</v>
      </c>
      <c r="E445" s="18">
        <v>15570.5</v>
      </c>
      <c r="F445" s="38">
        <v>-15570.5</v>
      </c>
      <c r="G445" s="18">
        <v>0</v>
      </c>
    </row>
    <row r="446" spans="1:7" x14ac:dyDescent="0.3">
      <c r="C446" t="s">
        <v>1183</v>
      </c>
      <c r="D446" t="s">
        <v>638</v>
      </c>
      <c r="E446" s="18">
        <v>256</v>
      </c>
      <c r="F446" s="38">
        <v>-256</v>
      </c>
      <c r="G446" s="18">
        <v>0</v>
      </c>
    </row>
    <row r="447" spans="1:7" x14ac:dyDescent="0.3">
      <c r="C447" t="s">
        <v>1184</v>
      </c>
      <c r="D447" t="s">
        <v>666</v>
      </c>
      <c r="E447" s="18">
        <v>1800.5</v>
      </c>
      <c r="F447" s="38">
        <v>-1800.5</v>
      </c>
      <c r="G447" s="18">
        <v>0</v>
      </c>
    </row>
    <row r="448" spans="1:7" x14ac:dyDescent="0.3">
      <c r="C448" t="s">
        <v>1189</v>
      </c>
      <c r="D448" t="s">
        <v>959</v>
      </c>
      <c r="E448" s="18">
        <v>250</v>
      </c>
      <c r="F448" s="38">
        <v>-250</v>
      </c>
      <c r="G448" s="18">
        <v>0</v>
      </c>
    </row>
    <row r="449" spans="2:7" x14ac:dyDescent="0.3">
      <c r="C449" t="s">
        <v>1190</v>
      </c>
      <c r="D449" t="s">
        <v>410</v>
      </c>
      <c r="E449" s="18">
        <v>14150.5</v>
      </c>
      <c r="F449" s="38">
        <v>-14150.5</v>
      </c>
      <c r="G449" s="18">
        <v>0</v>
      </c>
    </row>
    <row r="450" spans="2:7" x14ac:dyDescent="0.3">
      <c r="C450" t="s">
        <v>1191</v>
      </c>
      <c r="D450" t="s">
        <v>492</v>
      </c>
      <c r="E450" s="18">
        <v>2832</v>
      </c>
      <c r="F450" s="38">
        <v>-2832</v>
      </c>
      <c r="G450" s="18">
        <v>0</v>
      </c>
    </row>
    <row r="451" spans="2:7" x14ac:dyDescent="0.3">
      <c r="C451" t="s">
        <v>1192</v>
      </c>
      <c r="D451" t="s">
        <v>638</v>
      </c>
      <c r="E451" s="18">
        <v>1936</v>
      </c>
      <c r="F451" s="38">
        <v>-1936</v>
      </c>
      <c r="G451" s="18">
        <v>0</v>
      </c>
    </row>
    <row r="452" spans="2:7" x14ac:dyDescent="0.3">
      <c r="C452" t="s">
        <v>1193</v>
      </c>
      <c r="D452" t="s">
        <v>62</v>
      </c>
      <c r="E452" s="18">
        <v>17129</v>
      </c>
      <c r="F452" s="38">
        <v>-17129</v>
      </c>
      <c r="G452" s="18">
        <v>0</v>
      </c>
    </row>
    <row r="453" spans="2:7" x14ac:dyDescent="0.3">
      <c r="C453" t="s">
        <v>1194</v>
      </c>
      <c r="D453" t="s">
        <v>410</v>
      </c>
      <c r="E453" s="18">
        <v>14565</v>
      </c>
      <c r="F453" s="38">
        <v>-14565</v>
      </c>
      <c r="G453" s="18">
        <v>0</v>
      </c>
    </row>
    <row r="454" spans="2:7" x14ac:dyDescent="0.3">
      <c r="C454" t="s">
        <v>1195</v>
      </c>
      <c r="D454" t="s">
        <v>401</v>
      </c>
      <c r="E454" s="18">
        <v>6152.1</v>
      </c>
      <c r="F454" s="38">
        <v>-6152.1</v>
      </c>
      <c r="G454" s="18">
        <v>0</v>
      </c>
    </row>
    <row r="455" spans="2:7" x14ac:dyDescent="0.3">
      <c r="C455" t="s">
        <v>1196</v>
      </c>
      <c r="D455" t="s">
        <v>58</v>
      </c>
      <c r="E455" s="18">
        <v>5616</v>
      </c>
      <c r="F455" s="38">
        <v>-5616</v>
      </c>
      <c r="G455" s="18">
        <v>0</v>
      </c>
    </row>
    <row r="456" spans="2:7" x14ac:dyDescent="0.3">
      <c r="C456" t="s">
        <v>1204</v>
      </c>
      <c r="D456" t="s">
        <v>1197</v>
      </c>
      <c r="E456" s="18">
        <v>2917.8</v>
      </c>
      <c r="F456" s="38">
        <v>-2917.8</v>
      </c>
      <c r="G456" s="18">
        <v>0</v>
      </c>
    </row>
    <row r="457" spans="2:7" x14ac:dyDescent="0.3">
      <c r="C457" t="s">
        <v>1205</v>
      </c>
      <c r="D457" t="s">
        <v>410</v>
      </c>
      <c r="E457" s="18">
        <v>14617.8</v>
      </c>
      <c r="F457" s="38">
        <v>-14617.8</v>
      </c>
      <c r="G457" s="18">
        <v>0</v>
      </c>
    </row>
    <row r="458" spans="2:7" x14ac:dyDescent="0.3">
      <c r="C458" t="s">
        <v>1206</v>
      </c>
      <c r="D458" t="s">
        <v>638</v>
      </c>
      <c r="E458" s="18">
        <v>570</v>
      </c>
      <c r="F458" s="38">
        <v>-570</v>
      </c>
      <c r="G458" s="18">
        <v>0</v>
      </c>
    </row>
    <row r="459" spans="2:7" x14ac:dyDescent="0.3">
      <c r="B459" s="17" t="s">
        <v>255</v>
      </c>
      <c r="C459" s="17"/>
      <c r="D459" s="17"/>
      <c r="E459" s="19">
        <v>173211.69999999998</v>
      </c>
      <c r="F459" s="39">
        <v>-173211.69999999998</v>
      </c>
      <c r="G459" s="19">
        <v>0</v>
      </c>
    </row>
    <row r="460" spans="2:7" x14ac:dyDescent="0.3">
      <c r="B460">
        <v>2</v>
      </c>
      <c r="C460" t="s">
        <v>1235</v>
      </c>
      <c r="D460" t="s">
        <v>1197</v>
      </c>
      <c r="E460" s="18">
        <v>3555</v>
      </c>
      <c r="F460" s="38">
        <v>-3555</v>
      </c>
      <c r="G460" s="18">
        <v>0</v>
      </c>
    </row>
    <row r="461" spans="2:7" x14ac:dyDescent="0.3">
      <c r="C461" t="s">
        <v>1237</v>
      </c>
      <c r="D461" t="s">
        <v>492</v>
      </c>
      <c r="E461" s="18">
        <v>2475</v>
      </c>
      <c r="F461" s="38">
        <v>-2475</v>
      </c>
      <c r="G461" s="18">
        <v>0</v>
      </c>
    </row>
    <row r="462" spans="2:7" x14ac:dyDescent="0.3">
      <c r="C462" t="s">
        <v>1238</v>
      </c>
      <c r="D462" t="s">
        <v>410</v>
      </c>
      <c r="E462" s="18">
        <v>7081.8</v>
      </c>
      <c r="F462" s="38">
        <v>-7081.8</v>
      </c>
      <c r="G462" s="18">
        <v>0</v>
      </c>
    </row>
    <row r="463" spans="2:7" x14ac:dyDescent="0.3">
      <c r="C463" t="s">
        <v>1240</v>
      </c>
      <c r="D463" t="s">
        <v>638</v>
      </c>
      <c r="E463" s="18">
        <v>2956</v>
      </c>
      <c r="F463" s="38">
        <v>-2956</v>
      </c>
      <c r="G463" s="18">
        <v>0</v>
      </c>
    </row>
    <row r="464" spans="2:7" x14ac:dyDescent="0.3">
      <c r="C464" t="s">
        <v>1245</v>
      </c>
      <c r="D464" t="s">
        <v>1197</v>
      </c>
      <c r="E464" s="18">
        <v>6947</v>
      </c>
      <c r="F464" s="38">
        <v>-6947</v>
      </c>
      <c r="G464" s="18">
        <v>0</v>
      </c>
    </row>
    <row r="465" spans="3:7" x14ac:dyDescent="0.3">
      <c r="C465" t="s">
        <v>1246</v>
      </c>
      <c r="D465" t="s">
        <v>410</v>
      </c>
      <c r="E465" s="18">
        <v>13868.8</v>
      </c>
      <c r="F465" s="38">
        <v>-13868.8</v>
      </c>
      <c r="G465" s="18">
        <v>4.5474735088646412E-13</v>
      </c>
    </row>
    <row r="466" spans="3:7" x14ac:dyDescent="0.3">
      <c r="C466" t="s">
        <v>1248</v>
      </c>
      <c r="D466" t="s">
        <v>410</v>
      </c>
      <c r="E466" s="18">
        <v>250</v>
      </c>
      <c r="F466" s="38">
        <v>-250</v>
      </c>
      <c r="G466" s="18">
        <v>0</v>
      </c>
    </row>
    <row r="467" spans="3:7" x14ac:dyDescent="0.3">
      <c r="C467" t="s">
        <v>1249</v>
      </c>
      <c r="D467" t="s">
        <v>638</v>
      </c>
      <c r="E467" s="18">
        <v>110</v>
      </c>
      <c r="F467" s="38">
        <v>-110</v>
      </c>
      <c r="G467" s="18">
        <v>0</v>
      </c>
    </row>
    <row r="468" spans="3:7" x14ac:dyDescent="0.3">
      <c r="C468" t="s">
        <v>1250</v>
      </c>
      <c r="D468" t="s">
        <v>492</v>
      </c>
      <c r="E468" s="18">
        <v>2730</v>
      </c>
      <c r="F468" s="38">
        <v>-2730</v>
      </c>
      <c r="G468" s="18">
        <v>0</v>
      </c>
    </row>
    <row r="469" spans="3:7" x14ac:dyDescent="0.3">
      <c r="C469" t="s">
        <v>1252</v>
      </c>
      <c r="D469" t="s">
        <v>62</v>
      </c>
      <c r="E469" s="18">
        <v>10765</v>
      </c>
      <c r="F469" s="38">
        <v>-10765</v>
      </c>
      <c r="G469" s="18">
        <v>0</v>
      </c>
    </row>
    <row r="470" spans="3:7" x14ac:dyDescent="0.3">
      <c r="C470" t="s">
        <v>1255</v>
      </c>
      <c r="D470" t="s">
        <v>410</v>
      </c>
      <c r="E470" s="18">
        <v>15226.8</v>
      </c>
      <c r="F470" s="38">
        <v>-15226.8</v>
      </c>
      <c r="G470" s="18">
        <v>0</v>
      </c>
    </row>
    <row r="471" spans="3:7" x14ac:dyDescent="0.3">
      <c r="C471" t="s">
        <v>1256</v>
      </c>
      <c r="D471" t="s">
        <v>410</v>
      </c>
      <c r="E471" s="18">
        <v>312.5</v>
      </c>
      <c r="F471" s="38">
        <v>-312.5</v>
      </c>
      <c r="G471" s="18">
        <v>0</v>
      </c>
    </row>
    <row r="472" spans="3:7" x14ac:dyDescent="0.3">
      <c r="C472" t="s">
        <v>1257</v>
      </c>
      <c r="D472" t="s">
        <v>401</v>
      </c>
      <c r="E472" s="18">
        <v>450</v>
      </c>
      <c r="F472" s="38">
        <v>-450</v>
      </c>
      <c r="G472" s="18">
        <v>0</v>
      </c>
    </row>
    <row r="473" spans="3:7" x14ac:dyDescent="0.3">
      <c r="C473" t="s">
        <v>1263</v>
      </c>
      <c r="D473" t="s">
        <v>1258</v>
      </c>
      <c r="E473" s="18">
        <v>861</v>
      </c>
      <c r="F473" s="38">
        <v>-861</v>
      </c>
      <c r="G473" s="18">
        <v>0</v>
      </c>
    </row>
    <row r="474" spans="3:7" x14ac:dyDescent="0.3">
      <c r="C474" t="s">
        <v>1264</v>
      </c>
      <c r="D474" t="s">
        <v>410</v>
      </c>
      <c r="E474" s="18">
        <v>13369.6</v>
      </c>
      <c r="F474" s="38">
        <v>-13369.6</v>
      </c>
      <c r="G474" s="18">
        <v>0</v>
      </c>
    </row>
    <row r="475" spans="3:7" x14ac:dyDescent="0.3">
      <c r="C475" t="s">
        <v>1267</v>
      </c>
      <c r="D475" t="s">
        <v>410</v>
      </c>
      <c r="E475" s="18">
        <v>437.5</v>
      </c>
      <c r="F475" s="38">
        <v>-437.5</v>
      </c>
      <c r="G475" s="18">
        <v>0</v>
      </c>
    </row>
    <row r="476" spans="3:7" x14ac:dyDescent="0.3">
      <c r="C476" t="s">
        <v>1268</v>
      </c>
      <c r="D476" t="s">
        <v>410</v>
      </c>
      <c r="E476" s="18">
        <v>7304</v>
      </c>
      <c r="F476" s="38">
        <v>-7304</v>
      </c>
      <c r="G476" s="18">
        <v>0</v>
      </c>
    </row>
    <row r="477" spans="3:7" x14ac:dyDescent="0.3">
      <c r="C477" t="s">
        <v>1269</v>
      </c>
      <c r="D477" t="s">
        <v>638</v>
      </c>
      <c r="E477" s="18">
        <v>202</v>
      </c>
      <c r="F477" s="38">
        <v>-202</v>
      </c>
      <c r="G477" s="18">
        <v>0</v>
      </c>
    </row>
    <row r="478" spans="3:7" x14ac:dyDescent="0.3">
      <c r="C478" t="s">
        <v>1272</v>
      </c>
      <c r="D478" t="s">
        <v>492</v>
      </c>
      <c r="E478" s="18">
        <v>2475</v>
      </c>
      <c r="F478" s="38">
        <v>-2475</v>
      </c>
      <c r="G478" s="18">
        <v>0</v>
      </c>
    </row>
    <row r="479" spans="3:7" x14ac:dyDescent="0.3">
      <c r="C479" t="s">
        <v>1274</v>
      </c>
      <c r="D479" t="s">
        <v>23</v>
      </c>
      <c r="E479" s="18">
        <v>1620</v>
      </c>
      <c r="F479" s="38">
        <v>-1620</v>
      </c>
      <c r="G479" s="18">
        <v>0</v>
      </c>
    </row>
    <row r="480" spans="3:7" x14ac:dyDescent="0.3">
      <c r="C480" t="s">
        <v>1275</v>
      </c>
      <c r="D480" t="s">
        <v>410</v>
      </c>
      <c r="E480" s="18">
        <v>750</v>
      </c>
      <c r="F480" s="38">
        <v>-750</v>
      </c>
      <c r="G480" s="18">
        <v>0</v>
      </c>
    </row>
    <row r="481" spans="2:7" x14ac:dyDescent="0.3">
      <c r="C481" t="s">
        <v>1276</v>
      </c>
      <c r="D481" t="s">
        <v>410</v>
      </c>
      <c r="E481" s="18">
        <v>43750</v>
      </c>
      <c r="F481" s="38">
        <v>-31113.4</v>
      </c>
      <c r="G481" s="18">
        <v>12636.6</v>
      </c>
    </row>
    <row r="482" spans="2:7" x14ac:dyDescent="0.3">
      <c r="C482" t="s">
        <v>1277</v>
      </c>
      <c r="D482" t="s">
        <v>860</v>
      </c>
      <c r="E482" s="18">
        <v>1059.5</v>
      </c>
      <c r="F482" s="38">
        <v>-1059.5</v>
      </c>
      <c r="G482" s="18">
        <v>0</v>
      </c>
    </row>
    <row r="483" spans="2:7" x14ac:dyDescent="0.3">
      <c r="C483" t="s">
        <v>1278</v>
      </c>
      <c r="D483" t="s">
        <v>410</v>
      </c>
      <c r="E483" s="18">
        <v>1567.5</v>
      </c>
      <c r="F483" s="38"/>
      <c r="G483" s="18">
        <v>1567.5</v>
      </c>
    </row>
    <row r="484" spans="2:7" x14ac:dyDescent="0.3">
      <c r="C484" t="s">
        <v>1281</v>
      </c>
      <c r="D484" t="s">
        <v>401</v>
      </c>
      <c r="E484" s="18">
        <v>842.4</v>
      </c>
      <c r="F484" s="38">
        <v>-842.40000000000009</v>
      </c>
      <c r="G484" s="18">
        <v>0</v>
      </c>
    </row>
    <row r="485" spans="2:7" x14ac:dyDescent="0.3">
      <c r="C485" t="s">
        <v>1282</v>
      </c>
      <c r="D485" t="s">
        <v>401</v>
      </c>
      <c r="E485" s="18">
        <v>312.5</v>
      </c>
      <c r="F485" s="38">
        <v>-312.5</v>
      </c>
      <c r="G485" s="18">
        <v>0</v>
      </c>
    </row>
    <row r="486" spans="2:7" x14ac:dyDescent="0.3">
      <c r="B486" s="17" t="s">
        <v>273</v>
      </c>
      <c r="C486" s="17"/>
      <c r="D486" s="17"/>
      <c r="E486" s="19">
        <v>141278.9</v>
      </c>
      <c r="F486" s="39">
        <v>-127074.79999999999</v>
      </c>
      <c r="G486" s="19">
        <v>14204.1</v>
      </c>
    </row>
    <row r="487" spans="2:7" x14ac:dyDescent="0.3">
      <c r="B487">
        <v>3</v>
      </c>
      <c r="C487" t="s">
        <v>1283</v>
      </c>
      <c r="D487" t="s">
        <v>638</v>
      </c>
      <c r="E487" s="18">
        <v>1936</v>
      </c>
      <c r="F487" s="38">
        <v>-1936</v>
      </c>
      <c r="G487" s="18">
        <v>0</v>
      </c>
    </row>
    <row r="488" spans="2:7" x14ac:dyDescent="0.3">
      <c r="C488" t="s">
        <v>1303</v>
      </c>
      <c r="D488" t="s">
        <v>7</v>
      </c>
      <c r="E488" s="18">
        <v>2716</v>
      </c>
      <c r="F488" s="38">
        <v>-2716</v>
      </c>
      <c r="G488" s="18">
        <v>0</v>
      </c>
    </row>
    <row r="489" spans="2:7" x14ac:dyDescent="0.3">
      <c r="C489" t="s">
        <v>1307</v>
      </c>
      <c r="D489" t="s">
        <v>1305</v>
      </c>
      <c r="E489" s="18">
        <v>366</v>
      </c>
      <c r="F489" s="38">
        <v>-366</v>
      </c>
      <c r="G489" s="18">
        <v>0</v>
      </c>
    </row>
    <row r="490" spans="2:7" x14ac:dyDescent="0.3">
      <c r="C490" t="s">
        <v>1308</v>
      </c>
      <c r="D490" t="s">
        <v>410</v>
      </c>
      <c r="E490" s="18">
        <v>937.5</v>
      </c>
      <c r="F490" s="38"/>
      <c r="G490" s="18">
        <v>937.5</v>
      </c>
    </row>
    <row r="491" spans="2:7" x14ac:dyDescent="0.3">
      <c r="C491" t="s">
        <v>1312</v>
      </c>
      <c r="D491" t="s">
        <v>410</v>
      </c>
      <c r="E491" s="18">
        <v>42610</v>
      </c>
      <c r="F491" s="38"/>
      <c r="G491" s="18">
        <v>42610</v>
      </c>
    </row>
    <row r="492" spans="2:7" x14ac:dyDescent="0.3">
      <c r="C492" t="s">
        <v>1313</v>
      </c>
      <c r="D492" t="s">
        <v>1310</v>
      </c>
      <c r="E492" s="18">
        <v>4784.3999999999996</v>
      </c>
      <c r="F492" s="38">
        <v>-4784.3999999999996</v>
      </c>
      <c r="G492" s="18">
        <v>0</v>
      </c>
    </row>
    <row r="493" spans="2:7" x14ac:dyDescent="0.3">
      <c r="C493" t="s">
        <v>1314</v>
      </c>
      <c r="D493" t="s">
        <v>1305</v>
      </c>
      <c r="E493" s="18">
        <v>1425</v>
      </c>
      <c r="F493" s="38">
        <v>-1425</v>
      </c>
      <c r="G493" s="18">
        <v>0</v>
      </c>
    </row>
    <row r="494" spans="2:7" x14ac:dyDescent="0.3">
      <c r="C494" t="s">
        <v>1319</v>
      </c>
      <c r="D494" t="s">
        <v>492</v>
      </c>
      <c r="E494" s="18">
        <v>2475</v>
      </c>
      <c r="F494" s="38">
        <v>-2475</v>
      </c>
      <c r="G494" s="18">
        <v>0</v>
      </c>
    </row>
    <row r="495" spans="2:7" x14ac:dyDescent="0.3">
      <c r="C495" t="s">
        <v>1320</v>
      </c>
      <c r="D495" t="s">
        <v>401</v>
      </c>
      <c r="E495" s="18">
        <v>4406.3999999999996</v>
      </c>
      <c r="F495" s="38">
        <v>-4406.3999999999996</v>
      </c>
      <c r="G495" s="18">
        <v>-1.1368683772161603E-13</v>
      </c>
    </row>
    <row r="496" spans="2:7" x14ac:dyDescent="0.3">
      <c r="C496" t="s">
        <v>1321</v>
      </c>
      <c r="D496" t="s">
        <v>401</v>
      </c>
      <c r="E496" s="18">
        <v>1020.5</v>
      </c>
      <c r="F496" s="38">
        <v>-1020.5</v>
      </c>
      <c r="G496" s="18">
        <v>0</v>
      </c>
    </row>
    <row r="497" spans="3:7" x14ac:dyDescent="0.3">
      <c r="C497" t="s">
        <v>1330</v>
      </c>
      <c r="D497" t="s">
        <v>263</v>
      </c>
      <c r="E497" s="18">
        <v>2545</v>
      </c>
      <c r="F497" s="38">
        <v>-2545</v>
      </c>
      <c r="G497" s="18">
        <v>0</v>
      </c>
    </row>
    <row r="498" spans="3:7" x14ac:dyDescent="0.3">
      <c r="C498" t="s">
        <v>1332</v>
      </c>
      <c r="D498" t="s">
        <v>410</v>
      </c>
      <c r="E498" s="18">
        <v>200</v>
      </c>
      <c r="F498" s="38"/>
      <c r="G498" s="18">
        <v>200</v>
      </c>
    </row>
    <row r="499" spans="3:7" x14ac:dyDescent="0.3">
      <c r="C499" t="s">
        <v>1334</v>
      </c>
      <c r="D499" t="s">
        <v>62</v>
      </c>
      <c r="E499" s="18">
        <v>12678</v>
      </c>
      <c r="F499" s="38">
        <v>-12678</v>
      </c>
      <c r="G499" s="18">
        <v>0</v>
      </c>
    </row>
    <row r="500" spans="3:7" x14ac:dyDescent="0.3">
      <c r="C500" t="s">
        <v>1336</v>
      </c>
      <c r="D500" t="s">
        <v>410</v>
      </c>
      <c r="E500" s="18">
        <v>625</v>
      </c>
      <c r="F500" s="38"/>
      <c r="G500" s="18">
        <v>625</v>
      </c>
    </row>
    <row r="501" spans="3:7" x14ac:dyDescent="0.3">
      <c r="C501" t="s">
        <v>1337</v>
      </c>
      <c r="D501" t="s">
        <v>410</v>
      </c>
      <c r="E501" s="18">
        <v>29168</v>
      </c>
      <c r="F501" s="38"/>
      <c r="G501" s="18">
        <v>29168</v>
      </c>
    </row>
    <row r="502" spans="3:7" x14ac:dyDescent="0.3">
      <c r="C502" t="s">
        <v>1338</v>
      </c>
      <c r="D502" t="s">
        <v>401</v>
      </c>
      <c r="E502" s="18">
        <v>640</v>
      </c>
      <c r="F502" s="38">
        <v>-640</v>
      </c>
      <c r="G502" s="18">
        <v>0</v>
      </c>
    </row>
    <row r="503" spans="3:7" x14ac:dyDescent="0.3">
      <c r="C503" t="s">
        <v>1339</v>
      </c>
      <c r="D503" t="s">
        <v>58</v>
      </c>
      <c r="E503" s="18">
        <v>4461.8</v>
      </c>
      <c r="F503" s="38">
        <v>-4461.8</v>
      </c>
      <c r="G503" s="18">
        <v>0</v>
      </c>
    </row>
    <row r="504" spans="3:7" x14ac:dyDescent="0.3">
      <c r="C504" t="s">
        <v>1340</v>
      </c>
      <c r="D504" t="s">
        <v>492</v>
      </c>
      <c r="E504" s="18">
        <v>2475</v>
      </c>
      <c r="F504" s="38">
        <v>-2475</v>
      </c>
      <c r="G504" s="18">
        <v>0</v>
      </c>
    </row>
    <row r="505" spans="3:7" x14ac:dyDescent="0.3">
      <c r="C505" t="s">
        <v>1342</v>
      </c>
      <c r="D505" t="s">
        <v>263</v>
      </c>
      <c r="E505" s="18">
        <v>7025</v>
      </c>
      <c r="F505" s="38">
        <v>-7025</v>
      </c>
      <c r="G505" s="18">
        <v>0</v>
      </c>
    </row>
    <row r="506" spans="3:7" x14ac:dyDescent="0.3">
      <c r="C506" t="s">
        <v>1345</v>
      </c>
      <c r="D506" t="s">
        <v>1310</v>
      </c>
      <c r="E506" s="18">
        <v>4450.3999999999996</v>
      </c>
      <c r="F506" s="38">
        <v>-4450.3999999999996</v>
      </c>
      <c r="G506" s="18">
        <v>0</v>
      </c>
    </row>
    <row r="507" spans="3:7" x14ac:dyDescent="0.3">
      <c r="C507" t="s">
        <v>1347</v>
      </c>
      <c r="D507" t="s">
        <v>410</v>
      </c>
      <c r="E507" s="18">
        <v>312.5</v>
      </c>
      <c r="F507" s="38"/>
      <c r="G507" s="18">
        <v>312.5</v>
      </c>
    </row>
    <row r="508" spans="3:7" x14ac:dyDescent="0.3">
      <c r="C508" t="s">
        <v>1348</v>
      </c>
      <c r="D508" t="s">
        <v>410</v>
      </c>
      <c r="E508" s="18">
        <v>15506</v>
      </c>
      <c r="F508" s="38"/>
      <c r="G508" s="18">
        <v>15506</v>
      </c>
    </row>
    <row r="509" spans="3:7" x14ac:dyDescent="0.3">
      <c r="C509" t="s">
        <v>1350</v>
      </c>
      <c r="D509" t="s">
        <v>492</v>
      </c>
      <c r="E509" s="18">
        <v>3240</v>
      </c>
      <c r="F509" s="38">
        <v>-3240</v>
      </c>
      <c r="G509" s="18">
        <v>0</v>
      </c>
    </row>
    <row r="510" spans="3:7" x14ac:dyDescent="0.3">
      <c r="C510" t="s">
        <v>1354</v>
      </c>
      <c r="D510" t="s">
        <v>1197</v>
      </c>
      <c r="E510" s="18">
        <v>1575</v>
      </c>
      <c r="F510" s="38">
        <v>-1575</v>
      </c>
      <c r="G510" s="18">
        <v>0</v>
      </c>
    </row>
    <row r="511" spans="3:7" x14ac:dyDescent="0.3">
      <c r="C511" t="s">
        <v>1355</v>
      </c>
      <c r="D511" t="s">
        <v>1197</v>
      </c>
      <c r="E511" s="18">
        <v>4530</v>
      </c>
      <c r="F511" s="38">
        <v>-4530</v>
      </c>
      <c r="G511" s="18">
        <v>0</v>
      </c>
    </row>
    <row r="512" spans="3:7" x14ac:dyDescent="0.3">
      <c r="C512" t="s">
        <v>1359</v>
      </c>
      <c r="D512" t="s">
        <v>785</v>
      </c>
      <c r="E512" s="18">
        <v>3026.2</v>
      </c>
      <c r="F512" s="38">
        <v>-3026.2</v>
      </c>
      <c r="G512" s="18">
        <v>0</v>
      </c>
    </row>
    <row r="513" spans="2:7" x14ac:dyDescent="0.3">
      <c r="C513" t="s">
        <v>1362</v>
      </c>
      <c r="D513" t="s">
        <v>1310</v>
      </c>
      <c r="E513" s="18">
        <v>6644.1</v>
      </c>
      <c r="F513" s="38">
        <v>-6644.1</v>
      </c>
      <c r="G513" s="18">
        <v>0</v>
      </c>
    </row>
    <row r="514" spans="2:7" x14ac:dyDescent="0.3">
      <c r="C514" t="s">
        <v>1364</v>
      </c>
      <c r="D514" t="s">
        <v>1197</v>
      </c>
      <c r="E514" s="18">
        <v>300</v>
      </c>
      <c r="F514" s="38">
        <v>-300</v>
      </c>
      <c r="G514" s="18">
        <v>0</v>
      </c>
    </row>
    <row r="515" spans="2:7" x14ac:dyDescent="0.3">
      <c r="C515" t="s">
        <v>1365</v>
      </c>
      <c r="D515" t="s">
        <v>1197</v>
      </c>
      <c r="E515" s="18">
        <v>187.5</v>
      </c>
      <c r="F515" s="38">
        <v>-187.5</v>
      </c>
      <c r="G515" s="18">
        <v>0</v>
      </c>
    </row>
    <row r="516" spans="2:7" x14ac:dyDescent="0.3">
      <c r="C516" t="s">
        <v>1366</v>
      </c>
      <c r="D516" t="s">
        <v>410</v>
      </c>
      <c r="E516" s="18">
        <v>312.5</v>
      </c>
      <c r="F516" s="38"/>
      <c r="G516" s="18">
        <v>312.5</v>
      </c>
    </row>
    <row r="517" spans="2:7" x14ac:dyDescent="0.3">
      <c r="C517" t="s">
        <v>1367</v>
      </c>
      <c r="D517" t="s">
        <v>410</v>
      </c>
      <c r="E517" s="18">
        <v>12610</v>
      </c>
      <c r="F517" s="38"/>
      <c r="G517" s="18">
        <v>12610</v>
      </c>
    </row>
    <row r="518" spans="2:7" x14ac:dyDescent="0.3">
      <c r="B518" s="17" t="s">
        <v>288</v>
      </c>
      <c r="C518" s="17"/>
      <c r="D518" s="17"/>
      <c r="E518" s="19">
        <v>175188.80000000002</v>
      </c>
      <c r="F518" s="39">
        <v>-72907.300000000017</v>
      </c>
      <c r="G518" s="19">
        <v>102281.5</v>
      </c>
    </row>
    <row r="519" spans="2:7" x14ac:dyDescent="0.3">
      <c r="B519">
        <v>4</v>
      </c>
      <c r="C519" t="s">
        <v>1392</v>
      </c>
      <c r="D519" t="s">
        <v>638</v>
      </c>
      <c r="E519" s="18">
        <v>475.2</v>
      </c>
      <c r="F519" s="38">
        <v>-475.2</v>
      </c>
      <c r="G519" s="18">
        <v>0</v>
      </c>
    </row>
    <row r="520" spans="2:7" x14ac:dyDescent="0.3">
      <c r="C520" t="s">
        <v>1395</v>
      </c>
      <c r="D520" t="s">
        <v>1197</v>
      </c>
      <c r="E520" s="18">
        <v>4440</v>
      </c>
      <c r="F520" s="38">
        <v>-4440</v>
      </c>
      <c r="G520" s="18">
        <v>0</v>
      </c>
    </row>
    <row r="521" spans="2:7" x14ac:dyDescent="0.3">
      <c r="C521" t="s">
        <v>1396</v>
      </c>
      <c r="D521" t="s">
        <v>1258</v>
      </c>
      <c r="E521" s="18">
        <v>452</v>
      </c>
      <c r="F521" s="38">
        <v>-452</v>
      </c>
      <c r="G521" s="18">
        <v>0</v>
      </c>
    </row>
    <row r="522" spans="2:7" x14ac:dyDescent="0.3">
      <c r="C522" t="s">
        <v>1401</v>
      </c>
      <c r="D522" t="s">
        <v>860</v>
      </c>
      <c r="E522" s="18">
        <v>14999.1</v>
      </c>
      <c r="F522" s="38">
        <v>-8940.5</v>
      </c>
      <c r="G522" s="18">
        <v>6058.6</v>
      </c>
    </row>
    <row r="523" spans="2:7" x14ac:dyDescent="0.3">
      <c r="C523" t="s">
        <v>1405</v>
      </c>
      <c r="D523" t="s">
        <v>62</v>
      </c>
      <c r="E523" s="18">
        <v>13297.5</v>
      </c>
      <c r="F523" s="38">
        <v>-13297.5</v>
      </c>
      <c r="G523" s="18">
        <v>0</v>
      </c>
    </row>
    <row r="524" spans="2:7" x14ac:dyDescent="0.3">
      <c r="C524" t="s">
        <v>1407</v>
      </c>
      <c r="D524" t="s">
        <v>492</v>
      </c>
      <c r="E524" s="18">
        <v>3078.5</v>
      </c>
      <c r="F524" s="38">
        <v>-3078.5</v>
      </c>
      <c r="G524" s="18">
        <v>0</v>
      </c>
    </row>
    <row r="525" spans="2:7" x14ac:dyDescent="0.3">
      <c r="C525" t="s">
        <v>1408</v>
      </c>
      <c r="D525" t="s">
        <v>410</v>
      </c>
      <c r="E525" s="18">
        <v>30445</v>
      </c>
      <c r="F525" s="38"/>
      <c r="G525" s="18">
        <v>30445</v>
      </c>
    </row>
    <row r="526" spans="2:7" x14ac:dyDescent="0.3">
      <c r="C526" t="s">
        <v>1411</v>
      </c>
      <c r="D526" t="s">
        <v>58</v>
      </c>
      <c r="E526" s="18">
        <v>220</v>
      </c>
      <c r="F526" s="38">
        <v>-220</v>
      </c>
      <c r="G526" s="18">
        <v>0</v>
      </c>
    </row>
    <row r="527" spans="2:7" x14ac:dyDescent="0.3">
      <c r="C527" t="s">
        <v>1413</v>
      </c>
      <c r="D527" t="s">
        <v>401</v>
      </c>
      <c r="E527" s="18">
        <v>5632.9</v>
      </c>
      <c r="F527" s="38">
        <v>-5632.9</v>
      </c>
      <c r="G527" s="18">
        <v>0</v>
      </c>
    </row>
    <row r="528" spans="2:7" x14ac:dyDescent="0.3">
      <c r="C528" t="s">
        <v>1414</v>
      </c>
      <c r="D528" t="s">
        <v>638</v>
      </c>
      <c r="E528" s="18">
        <v>1892</v>
      </c>
      <c r="F528" s="38">
        <v>-1892</v>
      </c>
      <c r="G528" s="18">
        <v>0</v>
      </c>
    </row>
    <row r="529" spans="3:7" x14ac:dyDescent="0.3">
      <c r="C529" t="s">
        <v>1416</v>
      </c>
      <c r="D529" t="s">
        <v>43</v>
      </c>
      <c r="E529" s="18">
        <v>2104</v>
      </c>
      <c r="F529" s="38">
        <v>-2104</v>
      </c>
      <c r="G529" s="18">
        <v>0</v>
      </c>
    </row>
    <row r="530" spans="3:7" x14ac:dyDescent="0.3">
      <c r="C530" t="s">
        <v>1417</v>
      </c>
      <c r="D530" t="s">
        <v>1197</v>
      </c>
      <c r="E530" s="18">
        <v>5801</v>
      </c>
      <c r="F530" s="38">
        <v>-5801</v>
      </c>
      <c r="G530" s="18">
        <v>0</v>
      </c>
    </row>
    <row r="531" spans="3:7" x14ac:dyDescent="0.3">
      <c r="C531" t="s">
        <v>1419</v>
      </c>
      <c r="D531" t="s">
        <v>410</v>
      </c>
      <c r="E531" s="18">
        <v>1000</v>
      </c>
      <c r="F531" s="38"/>
      <c r="G531" s="18">
        <v>1000</v>
      </c>
    </row>
    <row r="532" spans="3:7" x14ac:dyDescent="0.3">
      <c r="C532" t="s">
        <v>1423</v>
      </c>
      <c r="D532" t="s">
        <v>1421</v>
      </c>
      <c r="E532" s="18">
        <v>670</v>
      </c>
      <c r="F532" s="38">
        <v>-670</v>
      </c>
      <c r="G532" s="18">
        <v>0</v>
      </c>
    </row>
    <row r="533" spans="3:7" x14ac:dyDescent="0.3">
      <c r="C533" t="s">
        <v>1428</v>
      </c>
      <c r="D533" t="s">
        <v>492</v>
      </c>
      <c r="E533" s="18">
        <v>2947.5</v>
      </c>
      <c r="F533" s="38">
        <v>-2947.5</v>
      </c>
      <c r="G533" s="18">
        <v>0</v>
      </c>
    </row>
    <row r="534" spans="3:7" x14ac:dyDescent="0.3">
      <c r="C534" t="s">
        <v>1430</v>
      </c>
      <c r="D534" t="s">
        <v>1310</v>
      </c>
      <c r="E534" s="18">
        <v>4959.6000000000004</v>
      </c>
      <c r="F534" s="38">
        <v>-4959.6000000000004</v>
      </c>
      <c r="G534" s="18">
        <v>0</v>
      </c>
    </row>
    <row r="535" spans="3:7" x14ac:dyDescent="0.3">
      <c r="C535" t="s">
        <v>1433</v>
      </c>
      <c r="D535" t="s">
        <v>638</v>
      </c>
      <c r="E535" s="18">
        <v>2260</v>
      </c>
      <c r="F535" s="38">
        <v>-1642.8</v>
      </c>
      <c r="G535" s="18">
        <v>617.20000000000005</v>
      </c>
    </row>
    <row r="536" spans="3:7" x14ac:dyDescent="0.3">
      <c r="C536" t="s">
        <v>1434</v>
      </c>
      <c r="D536" t="s">
        <v>410</v>
      </c>
      <c r="E536" s="18">
        <v>312.5</v>
      </c>
      <c r="F536" s="38"/>
      <c r="G536" s="18">
        <v>312.5</v>
      </c>
    </row>
    <row r="537" spans="3:7" x14ac:dyDescent="0.3">
      <c r="C537" t="s">
        <v>1435</v>
      </c>
      <c r="D537" t="s">
        <v>410</v>
      </c>
      <c r="E537" s="18">
        <v>15182.2</v>
      </c>
      <c r="F537" s="38"/>
      <c r="G537" s="18">
        <v>15182.2</v>
      </c>
    </row>
    <row r="538" spans="3:7" x14ac:dyDescent="0.3">
      <c r="C538" t="s">
        <v>1439</v>
      </c>
      <c r="D538" t="s">
        <v>492</v>
      </c>
      <c r="E538" s="18">
        <v>3137.5</v>
      </c>
      <c r="F538" s="38">
        <v>-3137.5</v>
      </c>
      <c r="G538" s="18">
        <v>0</v>
      </c>
    </row>
    <row r="539" spans="3:7" x14ac:dyDescent="0.3">
      <c r="C539" t="s">
        <v>1441</v>
      </c>
      <c r="D539" t="s">
        <v>58</v>
      </c>
      <c r="E539" s="18">
        <v>4878.3999999999996</v>
      </c>
      <c r="F539" s="38">
        <v>-4878.3999999999996</v>
      </c>
      <c r="G539" s="18">
        <v>0</v>
      </c>
    </row>
    <row r="540" spans="3:7" x14ac:dyDescent="0.3">
      <c r="C540" t="s">
        <v>1455</v>
      </c>
      <c r="D540" t="s">
        <v>1454</v>
      </c>
      <c r="E540" s="18">
        <v>14279.599999999999</v>
      </c>
      <c r="F540" s="38">
        <v>-14279.599999999999</v>
      </c>
      <c r="G540" s="18">
        <v>0</v>
      </c>
    </row>
    <row r="541" spans="3:7" x14ac:dyDescent="0.3">
      <c r="C541" t="s">
        <v>1457</v>
      </c>
      <c r="D541" t="s">
        <v>263</v>
      </c>
      <c r="E541" s="18">
        <v>6792.5</v>
      </c>
      <c r="F541" s="38">
        <v>-6792.5</v>
      </c>
      <c r="G541" s="18">
        <v>0</v>
      </c>
    </row>
    <row r="542" spans="3:7" x14ac:dyDescent="0.3">
      <c r="C542" t="s">
        <v>1458</v>
      </c>
      <c r="D542" t="s">
        <v>7</v>
      </c>
      <c r="E542" s="18">
        <v>2716</v>
      </c>
      <c r="F542" s="38">
        <v>-2716</v>
      </c>
      <c r="G542" s="18">
        <v>0</v>
      </c>
    </row>
    <row r="543" spans="3:7" x14ac:dyDescent="0.3">
      <c r="C543" t="s">
        <v>1462</v>
      </c>
      <c r="D543" t="s">
        <v>401</v>
      </c>
      <c r="E543" s="18">
        <v>4947.8999999999996</v>
      </c>
      <c r="F543" s="38">
        <v>-4947.8999999999996</v>
      </c>
      <c r="G543" s="18">
        <v>0</v>
      </c>
    </row>
    <row r="544" spans="3:7" x14ac:dyDescent="0.3">
      <c r="C544" t="s">
        <v>1464</v>
      </c>
      <c r="D544" t="s">
        <v>410</v>
      </c>
      <c r="E544" s="18">
        <v>2466</v>
      </c>
      <c r="F544" s="38"/>
      <c r="G544" s="18">
        <v>2466</v>
      </c>
    </row>
    <row r="545" spans="2:7" x14ac:dyDescent="0.3">
      <c r="C545" t="s">
        <v>1466</v>
      </c>
      <c r="D545" t="s">
        <v>492</v>
      </c>
      <c r="E545" s="18">
        <v>1965</v>
      </c>
      <c r="F545" s="38"/>
      <c r="G545" s="18">
        <v>1965</v>
      </c>
    </row>
    <row r="546" spans="2:7" x14ac:dyDescent="0.3">
      <c r="C546" t="s">
        <v>1468</v>
      </c>
      <c r="D546" t="s">
        <v>401</v>
      </c>
      <c r="E546" s="18">
        <v>712.5</v>
      </c>
      <c r="F546" s="38">
        <v>-712.5</v>
      </c>
      <c r="G546" s="18">
        <v>0</v>
      </c>
    </row>
    <row r="547" spans="2:7" x14ac:dyDescent="0.3">
      <c r="B547" s="17" t="s">
        <v>309</v>
      </c>
      <c r="C547" s="17"/>
      <c r="D547" s="17"/>
      <c r="E547" s="19">
        <v>152064.4</v>
      </c>
      <c r="F547" s="39">
        <v>-94017.9</v>
      </c>
      <c r="G547" s="19">
        <v>58046.5</v>
      </c>
    </row>
    <row r="548" spans="2:7" x14ac:dyDescent="0.3">
      <c r="B548">
        <v>5</v>
      </c>
      <c r="C548" t="s">
        <v>1530</v>
      </c>
      <c r="D548" t="s">
        <v>1310</v>
      </c>
      <c r="E548" s="18">
        <v>2856.4</v>
      </c>
      <c r="F548" s="38">
        <v>-2856.4</v>
      </c>
      <c r="G548" s="18">
        <v>0</v>
      </c>
    </row>
    <row r="549" spans="2:7" x14ac:dyDescent="0.3">
      <c r="C549" t="s">
        <v>1531</v>
      </c>
      <c r="D549" t="s">
        <v>1197</v>
      </c>
      <c r="E549" s="18">
        <v>7908.5</v>
      </c>
      <c r="F549" s="38">
        <v>-7908.5</v>
      </c>
      <c r="G549" s="18">
        <v>0</v>
      </c>
    </row>
    <row r="550" spans="2:7" x14ac:dyDescent="0.3">
      <c r="C550" t="s">
        <v>1532</v>
      </c>
      <c r="D550" t="s">
        <v>410</v>
      </c>
      <c r="E550" s="18">
        <v>187.5</v>
      </c>
      <c r="F550" s="38"/>
      <c r="G550" s="18">
        <v>187.5</v>
      </c>
    </row>
    <row r="551" spans="2:7" x14ac:dyDescent="0.3">
      <c r="C551" t="s">
        <v>1533</v>
      </c>
      <c r="D551" t="s">
        <v>410</v>
      </c>
      <c r="E551" s="18">
        <v>10079.6</v>
      </c>
      <c r="F551" s="38"/>
      <c r="G551" s="18">
        <v>10079.6</v>
      </c>
    </row>
    <row r="552" spans="2:7" x14ac:dyDescent="0.3">
      <c r="C552" t="s">
        <v>1535</v>
      </c>
      <c r="D552" t="s">
        <v>860</v>
      </c>
      <c r="E552" s="18">
        <v>3784</v>
      </c>
      <c r="F552" s="38"/>
      <c r="G552" s="18">
        <v>3784</v>
      </c>
    </row>
    <row r="553" spans="2:7" x14ac:dyDescent="0.3">
      <c r="C553" t="s">
        <v>1536</v>
      </c>
      <c r="D553" t="s">
        <v>1197</v>
      </c>
      <c r="E553" s="18">
        <v>2902.5</v>
      </c>
      <c r="F553" s="38">
        <v>-2902.5</v>
      </c>
      <c r="G553" s="18">
        <v>0</v>
      </c>
    </row>
    <row r="554" spans="2:7" x14ac:dyDescent="0.3">
      <c r="C554" t="s">
        <v>1538</v>
      </c>
      <c r="D554" t="s">
        <v>58</v>
      </c>
      <c r="E554" s="18">
        <v>220</v>
      </c>
      <c r="F554" s="38">
        <v>-220</v>
      </c>
      <c r="G554" s="18">
        <v>0</v>
      </c>
    </row>
    <row r="555" spans="2:7" x14ac:dyDescent="0.3">
      <c r="C555" t="s">
        <v>1539</v>
      </c>
      <c r="D555" t="s">
        <v>410</v>
      </c>
      <c r="E555" s="18">
        <v>937.5</v>
      </c>
      <c r="F555" s="38"/>
      <c r="G555" s="18">
        <v>937.5</v>
      </c>
    </row>
    <row r="556" spans="2:7" x14ac:dyDescent="0.3">
      <c r="C556" t="s">
        <v>1540</v>
      </c>
      <c r="D556" t="s">
        <v>410</v>
      </c>
      <c r="E556" s="18">
        <v>45901.2</v>
      </c>
      <c r="F556" s="38"/>
      <c r="G556" s="18">
        <v>45901.2</v>
      </c>
    </row>
    <row r="557" spans="2:7" x14ac:dyDescent="0.3">
      <c r="C557" t="s">
        <v>1541</v>
      </c>
      <c r="D557" t="s">
        <v>263</v>
      </c>
      <c r="E557" s="18">
        <v>9692.5</v>
      </c>
      <c r="F557" s="38">
        <v>-9692.5</v>
      </c>
      <c r="G557" s="18">
        <v>0</v>
      </c>
    </row>
    <row r="558" spans="2:7" x14ac:dyDescent="0.3">
      <c r="C558" t="s">
        <v>1542</v>
      </c>
      <c r="D558" t="s">
        <v>401</v>
      </c>
      <c r="E558" s="18">
        <v>4785.7</v>
      </c>
      <c r="F558" s="38">
        <v>-4785.7</v>
      </c>
      <c r="G558" s="18">
        <v>0</v>
      </c>
    </row>
    <row r="559" spans="2:7" x14ac:dyDescent="0.3">
      <c r="C559" t="s">
        <v>1543</v>
      </c>
      <c r="D559" t="s">
        <v>62</v>
      </c>
      <c r="E559" s="18">
        <v>11813</v>
      </c>
      <c r="F559" s="38">
        <v>-11813</v>
      </c>
      <c r="G559" s="18">
        <v>0</v>
      </c>
    </row>
    <row r="560" spans="2:7" x14ac:dyDescent="0.3">
      <c r="C560" t="s">
        <v>1545</v>
      </c>
      <c r="D560" t="s">
        <v>1310</v>
      </c>
      <c r="E560" s="18">
        <v>13214.5</v>
      </c>
      <c r="F560" s="38">
        <v>-13214.5</v>
      </c>
      <c r="G560" s="18">
        <v>0</v>
      </c>
    </row>
    <row r="561" spans="2:7" x14ac:dyDescent="0.3">
      <c r="C561" t="s">
        <v>1548</v>
      </c>
      <c r="D561" t="s">
        <v>20</v>
      </c>
      <c r="E561" s="18">
        <v>4292</v>
      </c>
      <c r="F561" s="38">
        <v>-4292</v>
      </c>
      <c r="G561" s="18">
        <v>0</v>
      </c>
    </row>
    <row r="562" spans="2:7" x14ac:dyDescent="0.3">
      <c r="C562" t="s">
        <v>1549</v>
      </c>
      <c r="D562" t="s">
        <v>1421</v>
      </c>
      <c r="E562" s="18">
        <v>698</v>
      </c>
      <c r="F562" s="38">
        <v>-698</v>
      </c>
      <c r="G562" s="18">
        <v>0</v>
      </c>
    </row>
    <row r="563" spans="2:7" x14ac:dyDescent="0.3">
      <c r="C563" t="s">
        <v>1551</v>
      </c>
      <c r="D563" t="s">
        <v>492</v>
      </c>
      <c r="E563" s="18">
        <v>2475</v>
      </c>
      <c r="F563" s="38"/>
      <c r="G563" s="18">
        <v>2475</v>
      </c>
    </row>
    <row r="564" spans="2:7" x14ac:dyDescent="0.3">
      <c r="C564" t="s">
        <v>1552</v>
      </c>
      <c r="D564" t="s">
        <v>1454</v>
      </c>
      <c r="E564" s="18">
        <v>15706.8</v>
      </c>
      <c r="F564" s="38">
        <v>-15706.8</v>
      </c>
      <c r="G564" s="18">
        <v>0</v>
      </c>
    </row>
    <row r="565" spans="2:7" x14ac:dyDescent="0.3">
      <c r="C565" t="s">
        <v>1554</v>
      </c>
      <c r="D565" t="s">
        <v>1197</v>
      </c>
      <c r="E565" s="18">
        <v>1174.5</v>
      </c>
      <c r="F565" s="38">
        <v>-1174.5</v>
      </c>
      <c r="G565" s="18">
        <v>0</v>
      </c>
    </row>
    <row r="566" spans="2:7" x14ac:dyDescent="0.3">
      <c r="C566" t="s">
        <v>1555</v>
      </c>
      <c r="D566" t="s">
        <v>1197</v>
      </c>
      <c r="E566" s="18">
        <v>1912.5</v>
      </c>
      <c r="F566" s="38">
        <v>-1912.5</v>
      </c>
      <c r="G566" s="18">
        <v>0</v>
      </c>
    </row>
    <row r="567" spans="2:7" x14ac:dyDescent="0.3">
      <c r="C567" t="s">
        <v>1556</v>
      </c>
      <c r="D567" t="s">
        <v>410</v>
      </c>
      <c r="E567" s="18">
        <v>187.5</v>
      </c>
      <c r="F567" s="38"/>
      <c r="G567" s="18">
        <v>187.5</v>
      </c>
    </row>
    <row r="568" spans="2:7" x14ac:dyDescent="0.3">
      <c r="C568" t="s">
        <v>1557</v>
      </c>
      <c r="D568" t="s">
        <v>410</v>
      </c>
      <c r="E568" s="18">
        <v>10713.8</v>
      </c>
      <c r="F568" s="38"/>
      <c r="G568" s="18">
        <v>10713.8</v>
      </c>
    </row>
    <row r="569" spans="2:7" x14ac:dyDescent="0.3">
      <c r="C569" t="s">
        <v>1558</v>
      </c>
      <c r="D569" t="s">
        <v>263</v>
      </c>
      <c r="E569" s="18">
        <v>3588</v>
      </c>
      <c r="F569" s="38">
        <v>-3588</v>
      </c>
      <c r="G569" s="18">
        <v>0</v>
      </c>
    </row>
    <row r="570" spans="2:7" x14ac:dyDescent="0.3">
      <c r="C570" t="s">
        <v>1559</v>
      </c>
      <c r="D570" t="s">
        <v>1421</v>
      </c>
      <c r="E570" s="18">
        <v>350</v>
      </c>
      <c r="F570" s="38">
        <v>-350</v>
      </c>
      <c r="G570" s="18">
        <v>0</v>
      </c>
    </row>
    <row r="571" spans="2:7" x14ac:dyDescent="0.3">
      <c r="C571" t="s">
        <v>1560</v>
      </c>
      <c r="D571" t="s">
        <v>410</v>
      </c>
      <c r="E571" s="18">
        <v>2815.1</v>
      </c>
      <c r="F571" s="38">
        <v>-2815.1</v>
      </c>
      <c r="G571" s="18">
        <v>0</v>
      </c>
    </row>
    <row r="572" spans="2:7" x14ac:dyDescent="0.3">
      <c r="C572" t="s">
        <v>1561</v>
      </c>
      <c r="D572" t="s">
        <v>58</v>
      </c>
      <c r="E572" s="18">
        <v>4621.2</v>
      </c>
      <c r="F572" s="38">
        <v>-4621.2</v>
      </c>
      <c r="G572" s="18">
        <v>0</v>
      </c>
    </row>
    <row r="573" spans="2:7" x14ac:dyDescent="0.3">
      <c r="C573" t="s">
        <v>1562</v>
      </c>
      <c r="D573" t="s">
        <v>263</v>
      </c>
      <c r="E573" s="18">
        <v>2912</v>
      </c>
      <c r="F573" s="38">
        <v>-2912</v>
      </c>
      <c r="G573" s="18">
        <v>0</v>
      </c>
    </row>
    <row r="574" spans="2:7" x14ac:dyDescent="0.3">
      <c r="C574" t="s">
        <v>1563</v>
      </c>
      <c r="D574" t="s">
        <v>1197</v>
      </c>
      <c r="E574" s="18">
        <v>2195</v>
      </c>
      <c r="F574" s="38">
        <v>-2195</v>
      </c>
      <c r="G574" s="18">
        <v>0</v>
      </c>
    </row>
    <row r="575" spans="2:7" x14ac:dyDescent="0.3">
      <c r="C575" t="s">
        <v>1566</v>
      </c>
      <c r="D575" t="s">
        <v>7</v>
      </c>
      <c r="E575" s="18">
        <v>4568</v>
      </c>
      <c r="F575" s="38">
        <v>-4568</v>
      </c>
      <c r="G575" s="18">
        <v>0</v>
      </c>
    </row>
    <row r="576" spans="2:7" x14ac:dyDescent="0.3">
      <c r="B576" s="17" t="s">
        <v>331</v>
      </c>
      <c r="C576" s="17"/>
      <c r="D576" s="17"/>
      <c r="E576" s="19">
        <v>172492.3</v>
      </c>
      <c r="F576" s="39">
        <v>-98226.200000000012</v>
      </c>
      <c r="G576" s="19">
        <v>74266.099999999991</v>
      </c>
    </row>
    <row r="577" spans="2:7" x14ac:dyDescent="0.3">
      <c r="B577">
        <v>6</v>
      </c>
      <c r="C577" t="s">
        <v>1607</v>
      </c>
      <c r="D577" t="s">
        <v>1421</v>
      </c>
      <c r="E577" s="18">
        <v>350</v>
      </c>
      <c r="F577" s="38">
        <v>-350</v>
      </c>
      <c r="G577" s="18">
        <v>0</v>
      </c>
    </row>
    <row r="578" spans="2:7" x14ac:dyDescent="0.3">
      <c r="C578" t="s">
        <v>1610</v>
      </c>
      <c r="D578" t="s">
        <v>1197</v>
      </c>
      <c r="E578" s="18">
        <v>4745</v>
      </c>
      <c r="F578" s="38">
        <v>-4745</v>
      </c>
      <c r="G578" s="18">
        <v>0</v>
      </c>
    </row>
    <row r="579" spans="2:7" x14ac:dyDescent="0.3">
      <c r="C579" t="s">
        <v>1611</v>
      </c>
      <c r="D579" t="s">
        <v>401</v>
      </c>
      <c r="E579" s="18">
        <v>5874.7</v>
      </c>
      <c r="F579" s="38">
        <v>-2772.8</v>
      </c>
      <c r="G579" s="18">
        <v>3101.8999999999996</v>
      </c>
    </row>
    <row r="580" spans="2:7" x14ac:dyDescent="0.3">
      <c r="C580" t="s">
        <v>1614</v>
      </c>
      <c r="D580" t="s">
        <v>666</v>
      </c>
      <c r="E580" s="18">
        <v>3826.5</v>
      </c>
      <c r="F580" s="38">
        <v>-3826.5</v>
      </c>
      <c r="G580" s="18">
        <v>0</v>
      </c>
    </row>
    <row r="581" spans="2:7" x14ac:dyDescent="0.3">
      <c r="C581" t="s">
        <v>1617</v>
      </c>
      <c r="D581" t="s">
        <v>62</v>
      </c>
      <c r="E581" s="18">
        <v>13457</v>
      </c>
      <c r="F581" s="38">
        <v>-13457</v>
      </c>
      <c r="G581" s="18">
        <v>0</v>
      </c>
    </row>
    <row r="582" spans="2:7" x14ac:dyDescent="0.3">
      <c r="C582" t="s">
        <v>1618</v>
      </c>
      <c r="D582" t="s">
        <v>263</v>
      </c>
      <c r="E582" s="18">
        <v>5392</v>
      </c>
      <c r="F582" s="38">
        <v>-5392</v>
      </c>
      <c r="G582" s="18">
        <v>0</v>
      </c>
    </row>
    <row r="583" spans="2:7" x14ac:dyDescent="0.3">
      <c r="C583" t="s">
        <v>1619</v>
      </c>
      <c r="D583" t="s">
        <v>1621</v>
      </c>
      <c r="E583" s="18">
        <v>2968.5</v>
      </c>
      <c r="F583" s="38">
        <v>-2968.5</v>
      </c>
      <c r="G583" s="18">
        <v>0</v>
      </c>
    </row>
    <row r="584" spans="2:7" x14ac:dyDescent="0.3">
      <c r="C584" t="s">
        <v>1623</v>
      </c>
      <c r="D584" t="s">
        <v>1197</v>
      </c>
      <c r="E584" s="18">
        <v>2792.8</v>
      </c>
      <c r="F584" s="38">
        <v>-2792.8</v>
      </c>
      <c r="G584" s="18">
        <v>0</v>
      </c>
    </row>
    <row r="585" spans="2:7" x14ac:dyDescent="0.3">
      <c r="C585" t="s">
        <v>1624</v>
      </c>
      <c r="D585" t="s">
        <v>1197</v>
      </c>
      <c r="E585" s="18">
        <v>4453.5</v>
      </c>
      <c r="F585" s="38">
        <v>-4453.5</v>
      </c>
      <c r="G585" s="18">
        <v>0</v>
      </c>
    </row>
    <row r="586" spans="2:7" x14ac:dyDescent="0.3">
      <c r="C586" t="s">
        <v>1627</v>
      </c>
      <c r="D586" t="s">
        <v>401</v>
      </c>
      <c r="E586" s="18">
        <v>410</v>
      </c>
      <c r="F586" s="38"/>
      <c r="G586" s="18">
        <v>410</v>
      </c>
    </row>
    <row r="587" spans="2:7" x14ac:dyDescent="0.3">
      <c r="C587" t="s">
        <v>1629</v>
      </c>
      <c r="D587" t="s">
        <v>263</v>
      </c>
      <c r="E587" s="18">
        <v>4918</v>
      </c>
      <c r="F587" s="38">
        <v>-4918</v>
      </c>
      <c r="G587" s="18">
        <v>0</v>
      </c>
    </row>
    <row r="588" spans="2:7" x14ac:dyDescent="0.3">
      <c r="C588" t="s">
        <v>1630</v>
      </c>
      <c r="D588" t="s">
        <v>1421</v>
      </c>
      <c r="E588" s="18">
        <v>590</v>
      </c>
      <c r="F588" s="38">
        <v>-590</v>
      </c>
      <c r="G588" s="18">
        <v>0</v>
      </c>
    </row>
    <row r="589" spans="2:7" x14ac:dyDescent="0.3">
      <c r="C589" t="s">
        <v>1633</v>
      </c>
      <c r="D589" t="s">
        <v>1197</v>
      </c>
      <c r="E589" s="18">
        <v>4133.5</v>
      </c>
      <c r="F589" s="38">
        <v>-4133.5</v>
      </c>
      <c r="G589" s="18">
        <v>0</v>
      </c>
    </row>
    <row r="590" spans="2:7" x14ac:dyDescent="0.3">
      <c r="C590" t="s">
        <v>1634</v>
      </c>
      <c r="D590" t="s">
        <v>410</v>
      </c>
      <c r="E590" s="18">
        <v>375</v>
      </c>
      <c r="F590" s="38"/>
      <c r="G590" s="18">
        <v>375</v>
      </c>
    </row>
    <row r="591" spans="2:7" x14ac:dyDescent="0.3">
      <c r="C591" t="s">
        <v>1635</v>
      </c>
      <c r="D591" t="s">
        <v>410</v>
      </c>
      <c r="E591" s="18">
        <v>16367</v>
      </c>
      <c r="F591" s="38"/>
      <c r="G591" s="18">
        <v>16367</v>
      </c>
    </row>
    <row r="592" spans="2:7" x14ac:dyDescent="0.3">
      <c r="C592" t="s">
        <v>1636</v>
      </c>
      <c r="D592" t="s">
        <v>1454</v>
      </c>
      <c r="E592" s="18">
        <v>35991.4</v>
      </c>
      <c r="F592" s="38">
        <v>-35991.4</v>
      </c>
      <c r="G592" s="18">
        <v>0</v>
      </c>
    </row>
    <row r="593" spans="2:7" x14ac:dyDescent="0.3">
      <c r="C593" t="s">
        <v>1642</v>
      </c>
      <c r="D593" t="s">
        <v>1310</v>
      </c>
      <c r="E593" s="18">
        <v>11760.300000000001</v>
      </c>
      <c r="F593" s="38">
        <v>-11760.300000000001</v>
      </c>
      <c r="G593" s="18">
        <v>0</v>
      </c>
    </row>
    <row r="594" spans="2:7" x14ac:dyDescent="0.3">
      <c r="C594" t="s">
        <v>1647</v>
      </c>
      <c r="D594" t="s">
        <v>1197</v>
      </c>
      <c r="E594" s="18">
        <v>3740</v>
      </c>
      <c r="F594" s="38">
        <v>-3740</v>
      </c>
      <c r="G594" s="18">
        <v>0</v>
      </c>
    </row>
    <row r="595" spans="2:7" x14ac:dyDescent="0.3">
      <c r="C595" t="s">
        <v>1645</v>
      </c>
      <c r="D595" t="s">
        <v>1197</v>
      </c>
      <c r="E595" s="18">
        <v>485</v>
      </c>
      <c r="F595" s="38">
        <v>-485</v>
      </c>
      <c r="G595" s="18">
        <v>0</v>
      </c>
    </row>
    <row r="596" spans="2:7" x14ac:dyDescent="0.3">
      <c r="C596" t="s">
        <v>1648</v>
      </c>
      <c r="D596" t="s">
        <v>1310</v>
      </c>
      <c r="E596" s="18">
        <v>390</v>
      </c>
      <c r="F596" s="38">
        <v>-390</v>
      </c>
      <c r="G596" s="18">
        <v>0</v>
      </c>
    </row>
    <row r="597" spans="2:7" x14ac:dyDescent="0.3">
      <c r="C597" t="s">
        <v>1649</v>
      </c>
      <c r="D597" t="s">
        <v>492</v>
      </c>
      <c r="E597" s="18">
        <v>2475</v>
      </c>
      <c r="F597" s="38"/>
      <c r="G597" s="18">
        <v>2475</v>
      </c>
    </row>
    <row r="598" spans="2:7" x14ac:dyDescent="0.3">
      <c r="C598" t="s">
        <v>1650</v>
      </c>
      <c r="D598" t="s">
        <v>1197</v>
      </c>
      <c r="E598" s="18">
        <v>795</v>
      </c>
      <c r="F598" s="38">
        <v>-795</v>
      </c>
      <c r="G598" s="18">
        <v>0</v>
      </c>
    </row>
    <row r="599" spans="2:7" x14ac:dyDescent="0.3">
      <c r="C599" t="s">
        <v>1651</v>
      </c>
      <c r="D599" t="s">
        <v>263</v>
      </c>
      <c r="E599" s="18">
        <v>1192</v>
      </c>
      <c r="F599" s="38">
        <v>-1192</v>
      </c>
      <c r="G599" s="18">
        <v>0</v>
      </c>
    </row>
    <row r="600" spans="2:7" x14ac:dyDescent="0.3">
      <c r="C600" t="s">
        <v>1652</v>
      </c>
      <c r="D600" t="s">
        <v>401</v>
      </c>
      <c r="E600" s="18">
        <v>5329.9</v>
      </c>
      <c r="F600" s="38"/>
      <c r="G600" s="18">
        <v>5329.9</v>
      </c>
    </row>
    <row r="601" spans="2:7" x14ac:dyDescent="0.3">
      <c r="C601" t="s">
        <v>1653</v>
      </c>
      <c r="D601" t="s">
        <v>1454</v>
      </c>
      <c r="E601" s="18">
        <v>2820.5</v>
      </c>
      <c r="F601" s="38">
        <v>-2820.5</v>
      </c>
      <c r="G601" s="18">
        <v>0</v>
      </c>
    </row>
    <row r="602" spans="2:7" x14ac:dyDescent="0.3">
      <c r="C602" t="s">
        <v>1663</v>
      </c>
      <c r="D602" t="s">
        <v>1197</v>
      </c>
      <c r="E602" s="18">
        <v>5133.5</v>
      </c>
      <c r="F602" s="38">
        <v>-5133.5</v>
      </c>
      <c r="G602" s="18">
        <v>0</v>
      </c>
    </row>
    <row r="603" spans="2:7" x14ac:dyDescent="0.3">
      <c r="C603" t="s">
        <v>1665</v>
      </c>
      <c r="D603" t="s">
        <v>492</v>
      </c>
      <c r="E603" s="18">
        <v>2475</v>
      </c>
      <c r="F603" s="38"/>
      <c r="G603" s="18">
        <v>2475</v>
      </c>
    </row>
    <row r="604" spans="2:7" x14ac:dyDescent="0.3">
      <c r="B604" s="17" t="s">
        <v>141</v>
      </c>
      <c r="C604" s="17"/>
      <c r="D604" s="17"/>
      <c r="E604" s="19">
        <v>143241.1</v>
      </c>
      <c r="F604" s="39">
        <v>-112707.3</v>
      </c>
      <c r="G604" s="19">
        <v>30533.800000000003</v>
      </c>
    </row>
    <row r="605" spans="2:7" x14ac:dyDescent="0.3">
      <c r="B605">
        <v>7</v>
      </c>
      <c r="C605" t="s">
        <v>1706</v>
      </c>
      <c r="D605" t="s">
        <v>58</v>
      </c>
      <c r="E605" s="18">
        <v>220</v>
      </c>
      <c r="F605" s="38"/>
      <c r="G605" s="18">
        <v>220</v>
      </c>
    </row>
    <row r="606" spans="2:7" x14ac:dyDescent="0.3">
      <c r="C606" t="s">
        <v>1707</v>
      </c>
      <c r="D606" t="s">
        <v>410</v>
      </c>
      <c r="E606" s="18">
        <v>112.9</v>
      </c>
      <c r="F606" s="38"/>
      <c r="G606" s="18">
        <v>112.9</v>
      </c>
    </row>
    <row r="607" spans="2:7" x14ac:dyDescent="0.3">
      <c r="C607" t="s">
        <v>1708</v>
      </c>
      <c r="D607" t="s">
        <v>1197</v>
      </c>
      <c r="E607" s="18">
        <v>4783</v>
      </c>
      <c r="F607" s="38">
        <v>-4783</v>
      </c>
      <c r="G607" s="18">
        <v>0</v>
      </c>
    </row>
    <row r="608" spans="2:7" x14ac:dyDescent="0.3">
      <c r="C608" t="s">
        <v>1710</v>
      </c>
      <c r="D608" t="s">
        <v>1197</v>
      </c>
      <c r="E608" s="18">
        <v>100</v>
      </c>
      <c r="F608" s="38">
        <v>-100</v>
      </c>
      <c r="G608" s="18">
        <v>0</v>
      </c>
    </row>
    <row r="609" spans="3:7" x14ac:dyDescent="0.3">
      <c r="C609" t="s">
        <v>1711</v>
      </c>
      <c r="D609" t="s">
        <v>638</v>
      </c>
      <c r="E609" s="18">
        <v>100</v>
      </c>
      <c r="F609" s="38"/>
      <c r="G609" s="18">
        <v>100</v>
      </c>
    </row>
    <row r="610" spans="3:7" x14ac:dyDescent="0.3">
      <c r="C610" t="s">
        <v>1712</v>
      </c>
      <c r="D610" t="s">
        <v>860</v>
      </c>
      <c r="E610" s="18">
        <v>2516</v>
      </c>
      <c r="F610" s="38"/>
      <c r="G610" s="18">
        <v>2516</v>
      </c>
    </row>
    <row r="611" spans="3:7" x14ac:dyDescent="0.3">
      <c r="C611" t="s">
        <v>1715</v>
      </c>
      <c r="D611" t="s">
        <v>263</v>
      </c>
      <c r="E611" s="18">
        <v>7536</v>
      </c>
      <c r="F611" s="38">
        <v>-7536</v>
      </c>
      <c r="G611" s="18">
        <v>0</v>
      </c>
    </row>
    <row r="612" spans="3:7" x14ac:dyDescent="0.3">
      <c r="C612" t="s">
        <v>1717</v>
      </c>
      <c r="D612" t="s">
        <v>62</v>
      </c>
      <c r="E612" s="18">
        <v>13666</v>
      </c>
      <c r="F612" s="38"/>
      <c r="G612" s="18">
        <v>13666</v>
      </c>
    </row>
    <row r="613" spans="3:7" x14ac:dyDescent="0.3">
      <c r="C613" t="s">
        <v>1718</v>
      </c>
      <c r="D613" t="s">
        <v>1197</v>
      </c>
      <c r="E613" s="18">
        <v>1390</v>
      </c>
      <c r="F613" s="38">
        <v>-1390</v>
      </c>
      <c r="G613" s="18">
        <v>0</v>
      </c>
    </row>
    <row r="614" spans="3:7" x14ac:dyDescent="0.3">
      <c r="C614" t="s">
        <v>1719</v>
      </c>
      <c r="D614" t="s">
        <v>492</v>
      </c>
      <c r="E614" s="18">
        <v>2668</v>
      </c>
      <c r="F614" s="38"/>
      <c r="G614" s="18">
        <v>2668</v>
      </c>
    </row>
    <row r="615" spans="3:7" x14ac:dyDescent="0.3">
      <c r="C615" t="s">
        <v>1720</v>
      </c>
      <c r="D615" t="s">
        <v>1310</v>
      </c>
      <c r="E615" s="18">
        <v>144</v>
      </c>
      <c r="F615" s="38">
        <v>-144</v>
      </c>
      <c r="G615" s="18">
        <v>0</v>
      </c>
    </row>
    <row r="616" spans="3:7" x14ac:dyDescent="0.3">
      <c r="C616" t="s">
        <v>1721</v>
      </c>
      <c r="D616" t="s">
        <v>1197</v>
      </c>
      <c r="E616" s="18">
        <v>5573</v>
      </c>
      <c r="F616" s="38">
        <v>-5573</v>
      </c>
      <c r="G616" s="18">
        <v>0</v>
      </c>
    </row>
    <row r="617" spans="3:7" x14ac:dyDescent="0.3">
      <c r="C617" t="s">
        <v>1723</v>
      </c>
      <c r="D617" t="s">
        <v>492</v>
      </c>
      <c r="E617" s="18">
        <v>2731.5</v>
      </c>
      <c r="F617" s="38"/>
      <c r="G617" s="18">
        <v>2731.5</v>
      </c>
    </row>
    <row r="618" spans="3:7" x14ac:dyDescent="0.3">
      <c r="C618" t="s">
        <v>1724</v>
      </c>
      <c r="D618" t="s">
        <v>401</v>
      </c>
      <c r="E618" s="18">
        <v>5238.8999999999996</v>
      </c>
      <c r="F618" s="38"/>
      <c r="G618" s="18">
        <v>5238.8999999999996</v>
      </c>
    </row>
    <row r="619" spans="3:7" x14ac:dyDescent="0.3">
      <c r="C619" t="s">
        <v>1726</v>
      </c>
      <c r="D619" t="s">
        <v>410</v>
      </c>
      <c r="E619" s="18">
        <v>62.5</v>
      </c>
      <c r="F619" s="38"/>
      <c r="G619" s="18">
        <v>62.5</v>
      </c>
    </row>
    <row r="620" spans="3:7" x14ac:dyDescent="0.3">
      <c r="C620" t="s">
        <v>1727</v>
      </c>
      <c r="D620" t="s">
        <v>401</v>
      </c>
      <c r="E620" s="18">
        <v>420</v>
      </c>
      <c r="F620" s="38"/>
      <c r="G620" s="18">
        <v>420</v>
      </c>
    </row>
    <row r="621" spans="3:7" x14ac:dyDescent="0.3">
      <c r="C621" t="s">
        <v>1728</v>
      </c>
      <c r="D621" t="s">
        <v>62</v>
      </c>
      <c r="E621" s="18">
        <v>11398.5</v>
      </c>
      <c r="F621" s="38"/>
      <c r="G621" s="18">
        <v>11398.5</v>
      </c>
    </row>
    <row r="622" spans="3:7" x14ac:dyDescent="0.3">
      <c r="C622" t="s">
        <v>1729</v>
      </c>
      <c r="D622" t="s">
        <v>1310</v>
      </c>
      <c r="E622" s="18">
        <v>11342.5</v>
      </c>
      <c r="F622" s="38">
        <v>-11342.5</v>
      </c>
      <c r="G622" s="18">
        <v>0</v>
      </c>
    </row>
    <row r="623" spans="3:7" x14ac:dyDescent="0.3">
      <c r="C623" t="s">
        <v>1730</v>
      </c>
      <c r="D623" t="s">
        <v>1197</v>
      </c>
      <c r="E623" s="18">
        <v>4940.5</v>
      </c>
      <c r="F623" s="38">
        <v>-4940.5</v>
      </c>
      <c r="G623" s="18">
        <v>0</v>
      </c>
    </row>
    <row r="624" spans="3:7" x14ac:dyDescent="0.3">
      <c r="C624" t="s">
        <v>1731</v>
      </c>
      <c r="D624" t="s">
        <v>1421</v>
      </c>
      <c r="E624" s="18">
        <v>405</v>
      </c>
      <c r="F624" s="38">
        <v>-405</v>
      </c>
      <c r="G624" s="18">
        <v>0</v>
      </c>
    </row>
    <row r="625" spans="2:7" x14ac:dyDescent="0.3">
      <c r="C625" t="s">
        <v>1732</v>
      </c>
      <c r="D625" t="s">
        <v>410</v>
      </c>
      <c r="E625" s="18">
        <v>6194</v>
      </c>
      <c r="F625" s="38"/>
      <c r="G625" s="18">
        <v>6194</v>
      </c>
    </row>
    <row r="626" spans="2:7" x14ac:dyDescent="0.3">
      <c r="C626" t="s">
        <v>1735</v>
      </c>
      <c r="D626" t="s">
        <v>492</v>
      </c>
      <c r="E626" s="18">
        <v>2644</v>
      </c>
      <c r="F626" s="38"/>
      <c r="G626" s="18">
        <v>2644</v>
      </c>
    </row>
    <row r="627" spans="2:7" x14ac:dyDescent="0.3">
      <c r="C627" t="s">
        <v>1736</v>
      </c>
      <c r="D627" t="s">
        <v>410</v>
      </c>
      <c r="E627" s="18">
        <v>187.5</v>
      </c>
      <c r="F627" s="38"/>
      <c r="G627" s="18">
        <v>187.5</v>
      </c>
    </row>
    <row r="628" spans="2:7" x14ac:dyDescent="0.3">
      <c r="C628" t="s">
        <v>1737</v>
      </c>
      <c r="D628" t="s">
        <v>410</v>
      </c>
      <c r="E628" s="18">
        <v>7121</v>
      </c>
      <c r="F628" s="38"/>
      <c r="G628" s="18">
        <v>7121</v>
      </c>
    </row>
    <row r="629" spans="2:7" x14ac:dyDescent="0.3">
      <c r="C629" t="s">
        <v>1738</v>
      </c>
      <c r="D629" t="s">
        <v>20</v>
      </c>
      <c r="E629" s="18">
        <v>3960</v>
      </c>
      <c r="F629" s="38">
        <v>-3960</v>
      </c>
      <c r="G629" s="18">
        <v>0</v>
      </c>
    </row>
    <row r="630" spans="2:7" x14ac:dyDescent="0.3">
      <c r="C630" t="s">
        <v>1748</v>
      </c>
      <c r="D630" t="s">
        <v>1454</v>
      </c>
      <c r="E630" s="18">
        <v>20583.400000000001</v>
      </c>
      <c r="F630" s="38">
        <v>-20583.400000000001</v>
      </c>
      <c r="G630" s="18">
        <v>0</v>
      </c>
    </row>
    <row r="631" spans="2:7" x14ac:dyDescent="0.3">
      <c r="B631" s="17" t="s">
        <v>142</v>
      </c>
      <c r="C631" s="17"/>
      <c r="D631" s="17"/>
      <c r="E631" s="19">
        <v>116038.20000000001</v>
      </c>
      <c r="F631" s="39">
        <v>-60757.4</v>
      </c>
      <c r="G631" s="19">
        <v>55280.800000000003</v>
      </c>
    </row>
    <row r="632" spans="2:7" x14ac:dyDescent="0.3">
      <c r="B632">
        <v>8</v>
      </c>
      <c r="C632" t="s">
        <v>1792</v>
      </c>
      <c r="D632" t="s">
        <v>1197</v>
      </c>
      <c r="E632" s="18">
        <v>805</v>
      </c>
      <c r="F632" s="38">
        <v>-805</v>
      </c>
      <c r="G632" s="18">
        <v>0</v>
      </c>
    </row>
    <row r="633" spans="2:7" x14ac:dyDescent="0.3">
      <c r="C633" t="s">
        <v>1793</v>
      </c>
      <c r="D633" t="s">
        <v>58</v>
      </c>
      <c r="E633" s="18">
        <v>3124</v>
      </c>
      <c r="F633" s="38"/>
      <c r="G633" s="18">
        <v>3124</v>
      </c>
    </row>
    <row r="634" spans="2:7" x14ac:dyDescent="0.3">
      <c r="C634" t="s">
        <v>1795</v>
      </c>
      <c r="D634" t="s">
        <v>263</v>
      </c>
      <c r="E634" s="18">
        <v>4386.5</v>
      </c>
      <c r="F634" s="38">
        <v>-4386.5</v>
      </c>
      <c r="G634" s="18">
        <v>0</v>
      </c>
    </row>
    <row r="635" spans="2:7" x14ac:dyDescent="0.3">
      <c r="C635" t="s">
        <v>1796</v>
      </c>
      <c r="D635" t="s">
        <v>62</v>
      </c>
      <c r="E635" s="18">
        <v>13533.5</v>
      </c>
      <c r="F635" s="38"/>
      <c r="G635" s="18">
        <v>13533.5</v>
      </c>
    </row>
    <row r="636" spans="2:7" x14ac:dyDescent="0.3">
      <c r="C636" t="s">
        <v>1798</v>
      </c>
      <c r="D636" t="s">
        <v>43</v>
      </c>
      <c r="E636" s="18">
        <v>2381</v>
      </c>
      <c r="F636" s="38">
        <v>-2381</v>
      </c>
      <c r="G636" s="18">
        <v>0</v>
      </c>
    </row>
    <row r="637" spans="2:7" x14ac:dyDescent="0.3">
      <c r="C637" t="s">
        <v>1799</v>
      </c>
      <c r="D637" t="s">
        <v>401</v>
      </c>
      <c r="E637" s="18">
        <v>3565.5</v>
      </c>
      <c r="F637" s="38"/>
      <c r="G637" s="18">
        <v>3565.5</v>
      </c>
    </row>
    <row r="638" spans="2:7" x14ac:dyDescent="0.3">
      <c r="C638" t="s">
        <v>1800</v>
      </c>
      <c r="D638" t="s">
        <v>410</v>
      </c>
      <c r="E638" s="18">
        <v>5858</v>
      </c>
      <c r="F638" s="38"/>
      <c r="G638" s="18">
        <v>5858</v>
      </c>
    </row>
    <row r="639" spans="2:7" x14ac:dyDescent="0.3">
      <c r="C639" t="s">
        <v>1805</v>
      </c>
      <c r="D639" t="s">
        <v>263</v>
      </c>
      <c r="E639" s="18">
        <v>1088.8</v>
      </c>
      <c r="F639" s="38">
        <v>-1088.8</v>
      </c>
      <c r="G639" s="18">
        <v>0</v>
      </c>
    </row>
    <row r="640" spans="2:7" x14ac:dyDescent="0.3">
      <c r="D640" t="s">
        <v>410</v>
      </c>
      <c r="E640" s="18">
        <v>250</v>
      </c>
      <c r="F640" s="38"/>
      <c r="G640" s="18">
        <v>250</v>
      </c>
    </row>
    <row r="641" spans="3:7" x14ac:dyDescent="0.3">
      <c r="C641" t="s">
        <v>1806</v>
      </c>
      <c r="D641" t="s">
        <v>410</v>
      </c>
      <c r="E641" s="18">
        <v>3124</v>
      </c>
      <c r="F641" s="38"/>
      <c r="G641" s="18">
        <v>3124</v>
      </c>
    </row>
    <row r="642" spans="3:7" x14ac:dyDescent="0.3">
      <c r="C642" t="s">
        <v>1807</v>
      </c>
      <c r="D642" t="s">
        <v>410</v>
      </c>
      <c r="E642" s="18">
        <v>2734</v>
      </c>
      <c r="F642" s="38"/>
      <c r="G642" s="18">
        <v>2734</v>
      </c>
    </row>
    <row r="643" spans="3:7" x14ac:dyDescent="0.3">
      <c r="C643" t="s">
        <v>1808</v>
      </c>
      <c r="D643" t="s">
        <v>1197</v>
      </c>
      <c r="E643" s="18">
        <v>920</v>
      </c>
      <c r="F643" s="38">
        <v>-920</v>
      </c>
      <c r="G643" s="18">
        <v>0</v>
      </c>
    </row>
    <row r="644" spans="3:7" x14ac:dyDescent="0.3">
      <c r="C644" t="s">
        <v>1809</v>
      </c>
      <c r="D644" t="s">
        <v>1310</v>
      </c>
      <c r="E644" s="18">
        <v>565.20000000000005</v>
      </c>
      <c r="F644" s="38">
        <v>-565.20000000000005</v>
      </c>
      <c r="G644" s="18">
        <v>0</v>
      </c>
    </row>
    <row r="645" spans="3:7" x14ac:dyDescent="0.3">
      <c r="C645" t="s">
        <v>1810</v>
      </c>
      <c r="D645" t="s">
        <v>58</v>
      </c>
      <c r="E645" s="18">
        <v>220</v>
      </c>
      <c r="F645" s="38"/>
      <c r="G645" s="18">
        <v>220</v>
      </c>
    </row>
    <row r="646" spans="3:7" x14ac:dyDescent="0.3">
      <c r="C646" t="s">
        <v>1811</v>
      </c>
      <c r="D646" t="s">
        <v>1197</v>
      </c>
      <c r="E646" s="18">
        <v>984</v>
      </c>
      <c r="F646" s="38">
        <v>-984</v>
      </c>
      <c r="G646" s="18">
        <v>0</v>
      </c>
    </row>
    <row r="647" spans="3:7" x14ac:dyDescent="0.3">
      <c r="C647" t="s">
        <v>1812</v>
      </c>
      <c r="D647" t="s">
        <v>1621</v>
      </c>
      <c r="E647" s="18">
        <v>2382.5</v>
      </c>
      <c r="F647" s="38">
        <v>-2382.5</v>
      </c>
      <c r="G647" s="18">
        <v>0</v>
      </c>
    </row>
    <row r="648" spans="3:7" x14ac:dyDescent="0.3">
      <c r="C648" t="s">
        <v>1813</v>
      </c>
      <c r="D648" t="s">
        <v>401</v>
      </c>
      <c r="E648" s="18">
        <v>1738</v>
      </c>
      <c r="F648" s="38"/>
      <c r="G648" s="18">
        <v>1738</v>
      </c>
    </row>
    <row r="649" spans="3:7" x14ac:dyDescent="0.3">
      <c r="C649" t="s">
        <v>1814</v>
      </c>
      <c r="D649" t="s">
        <v>410</v>
      </c>
      <c r="E649" s="18">
        <v>125</v>
      </c>
      <c r="F649" s="38"/>
      <c r="G649" s="18">
        <v>125</v>
      </c>
    </row>
    <row r="650" spans="3:7" x14ac:dyDescent="0.3">
      <c r="C650" t="s">
        <v>1815</v>
      </c>
      <c r="D650" t="s">
        <v>410</v>
      </c>
      <c r="E650" s="18">
        <v>5427</v>
      </c>
      <c r="F650" s="38"/>
      <c r="G650" s="18">
        <v>5427</v>
      </c>
    </row>
    <row r="651" spans="3:7" x14ac:dyDescent="0.3">
      <c r="C651" t="s">
        <v>1817</v>
      </c>
      <c r="D651" t="s">
        <v>1197</v>
      </c>
      <c r="E651" s="18">
        <v>7052.5</v>
      </c>
      <c r="F651" s="38">
        <v>-7052.5</v>
      </c>
      <c r="G651" s="18">
        <v>0</v>
      </c>
    </row>
    <row r="652" spans="3:7" x14ac:dyDescent="0.3">
      <c r="C652" t="s">
        <v>1820</v>
      </c>
      <c r="D652" t="s">
        <v>20</v>
      </c>
      <c r="E652" s="18">
        <v>630</v>
      </c>
      <c r="F652" s="38">
        <v>-630</v>
      </c>
      <c r="G652" s="18">
        <v>0</v>
      </c>
    </row>
    <row r="653" spans="3:7" x14ac:dyDescent="0.3">
      <c r="C653" t="s">
        <v>1821</v>
      </c>
      <c r="D653" t="s">
        <v>263</v>
      </c>
      <c r="E653" s="18">
        <v>2878.5</v>
      </c>
      <c r="F653" s="38">
        <v>-2878.5</v>
      </c>
      <c r="G653" s="18">
        <v>0</v>
      </c>
    </row>
    <row r="654" spans="3:7" x14ac:dyDescent="0.3">
      <c r="C654" t="s">
        <v>1822</v>
      </c>
      <c r="D654" t="s">
        <v>401</v>
      </c>
      <c r="E654" s="18">
        <v>250</v>
      </c>
      <c r="F654" s="38"/>
      <c r="G654" s="18">
        <v>250</v>
      </c>
    </row>
    <row r="655" spans="3:7" x14ac:dyDescent="0.3">
      <c r="C655" t="s">
        <v>1823</v>
      </c>
      <c r="D655" t="s">
        <v>43</v>
      </c>
      <c r="E655" s="18">
        <v>2440</v>
      </c>
      <c r="F655" s="38">
        <v>-2440</v>
      </c>
      <c r="G655" s="18">
        <v>0</v>
      </c>
    </row>
    <row r="656" spans="3:7" x14ac:dyDescent="0.3">
      <c r="C656" t="s">
        <v>1824</v>
      </c>
      <c r="D656" t="s">
        <v>1310</v>
      </c>
      <c r="E656" s="18">
        <v>10969.5</v>
      </c>
      <c r="F656" s="38">
        <v>-10969.5</v>
      </c>
      <c r="G656" s="18">
        <v>0</v>
      </c>
    </row>
    <row r="657" spans="2:7" x14ac:dyDescent="0.3">
      <c r="C657" t="s">
        <v>1825</v>
      </c>
      <c r="D657" t="s">
        <v>410</v>
      </c>
      <c r="E657" s="18">
        <v>187.5</v>
      </c>
      <c r="F657" s="38"/>
      <c r="G657" s="18">
        <v>187.5</v>
      </c>
    </row>
    <row r="658" spans="2:7" x14ac:dyDescent="0.3">
      <c r="C658" t="s">
        <v>1826</v>
      </c>
      <c r="D658" t="s">
        <v>410</v>
      </c>
      <c r="E658" s="18">
        <v>6587</v>
      </c>
      <c r="F658" s="38"/>
      <c r="G658" s="18">
        <v>6587</v>
      </c>
    </row>
    <row r="659" spans="2:7" x14ac:dyDescent="0.3">
      <c r="C659" t="s">
        <v>1827</v>
      </c>
      <c r="D659" t="s">
        <v>401</v>
      </c>
      <c r="E659" s="18">
        <v>1738</v>
      </c>
      <c r="F659" s="38"/>
      <c r="G659" s="18">
        <v>1738</v>
      </c>
    </row>
    <row r="660" spans="2:7" x14ac:dyDescent="0.3">
      <c r="C660" t="s">
        <v>1828</v>
      </c>
      <c r="D660" t="s">
        <v>1197</v>
      </c>
      <c r="E660" s="18">
        <v>1738</v>
      </c>
      <c r="F660" s="38">
        <v>-1738</v>
      </c>
      <c r="G660" s="18">
        <v>0</v>
      </c>
    </row>
    <row r="661" spans="2:7" x14ac:dyDescent="0.3">
      <c r="C661" t="s">
        <v>1829</v>
      </c>
      <c r="D661" t="s">
        <v>1197</v>
      </c>
      <c r="E661" s="18">
        <v>2210</v>
      </c>
      <c r="F661" s="38">
        <v>-2210</v>
      </c>
      <c r="G661" s="18">
        <v>0</v>
      </c>
    </row>
    <row r="662" spans="2:7" x14ac:dyDescent="0.3">
      <c r="C662" t="s">
        <v>1830</v>
      </c>
      <c r="D662" t="s">
        <v>492</v>
      </c>
      <c r="E662" s="18">
        <v>2847.5</v>
      </c>
      <c r="F662" s="38">
        <v>-2847.5</v>
      </c>
      <c r="G662" s="18">
        <v>0</v>
      </c>
    </row>
    <row r="663" spans="2:7" x14ac:dyDescent="0.3">
      <c r="C663" t="s">
        <v>1831</v>
      </c>
      <c r="D663" t="s">
        <v>401</v>
      </c>
      <c r="E663" s="18">
        <v>811.2</v>
      </c>
      <c r="F663" s="38"/>
      <c r="G663" s="18">
        <v>811.2</v>
      </c>
    </row>
    <row r="664" spans="2:7" x14ac:dyDescent="0.3">
      <c r="C664" t="s">
        <v>1833</v>
      </c>
      <c r="D664" t="s">
        <v>1197</v>
      </c>
      <c r="E664" s="18">
        <v>7605</v>
      </c>
      <c r="F664" s="38">
        <v>-7605</v>
      </c>
      <c r="G664" s="18">
        <v>0</v>
      </c>
    </row>
    <row r="665" spans="2:7" x14ac:dyDescent="0.3">
      <c r="C665" t="s">
        <v>1834</v>
      </c>
      <c r="D665" t="s">
        <v>410</v>
      </c>
      <c r="E665" s="18">
        <v>125</v>
      </c>
      <c r="F665" s="38"/>
      <c r="G665" s="18">
        <v>125</v>
      </c>
    </row>
    <row r="666" spans="2:7" x14ac:dyDescent="0.3">
      <c r="C666" t="s">
        <v>1835</v>
      </c>
      <c r="D666" t="s">
        <v>410</v>
      </c>
      <c r="E666" s="18">
        <v>5858</v>
      </c>
      <c r="F666" s="38"/>
      <c r="G666" s="18">
        <v>5858</v>
      </c>
    </row>
    <row r="667" spans="2:7" x14ac:dyDescent="0.3">
      <c r="C667" t="s">
        <v>1836</v>
      </c>
      <c r="D667" t="s">
        <v>401</v>
      </c>
      <c r="E667" s="18">
        <v>1738</v>
      </c>
      <c r="F667" s="38"/>
      <c r="G667" s="18">
        <v>1738</v>
      </c>
    </row>
    <row r="668" spans="2:7" x14ac:dyDescent="0.3">
      <c r="B668" s="17" t="s">
        <v>143</v>
      </c>
      <c r="C668" s="17"/>
      <c r="D668" s="17"/>
      <c r="E668" s="19">
        <v>108877.7</v>
      </c>
      <c r="F668" s="39">
        <v>-51884</v>
      </c>
      <c r="G668" s="19">
        <v>56993.7</v>
      </c>
    </row>
    <row r="669" spans="2:7" x14ac:dyDescent="0.3">
      <c r="B669">
        <v>9</v>
      </c>
      <c r="C669" t="s">
        <v>1877</v>
      </c>
      <c r="D669" t="s">
        <v>410</v>
      </c>
      <c r="E669" s="18">
        <v>125</v>
      </c>
      <c r="F669" s="38"/>
      <c r="G669" s="18">
        <v>125</v>
      </c>
    </row>
    <row r="670" spans="2:7" x14ac:dyDescent="0.3">
      <c r="C670" t="s">
        <v>1878</v>
      </c>
      <c r="D670" t="s">
        <v>410</v>
      </c>
      <c r="E670" s="18">
        <v>4858</v>
      </c>
      <c r="F670" s="38"/>
      <c r="G670" s="18">
        <v>4858</v>
      </c>
    </row>
    <row r="671" spans="2:7" x14ac:dyDescent="0.3">
      <c r="C671" t="s">
        <v>1880</v>
      </c>
      <c r="D671" t="s">
        <v>1197</v>
      </c>
      <c r="E671" s="18">
        <v>1800.5</v>
      </c>
      <c r="F671" s="38">
        <v>-1800.5</v>
      </c>
      <c r="G671" s="18">
        <v>0</v>
      </c>
    </row>
    <row r="672" spans="2:7" x14ac:dyDescent="0.3">
      <c r="C672" t="s">
        <v>1881</v>
      </c>
      <c r="D672" t="s">
        <v>1454</v>
      </c>
      <c r="E672" s="18">
        <v>15781.400000000001</v>
      </c>
      <c r="F672" s="38">
        <v>-15781.400000000001</v>
      </c>
      <c r="G672" s="18">
        <v>0</v>
      </c>
    </row>
    <row r="673" spans="3:7" x14ac:dyDescent="0.3">
      <c r="C673" t="s">
        <v>1882</v>
      </c>
      <c r="D673" t="s">
        <v>410</v>
      </c>
      <c r="E673" s="18">
        <v>125</v>
      </c>
      <c r="F673" s="38"/>
      <c r="G673" s="18">
        <v>125</v>
      </c>
    </row>
    <row r="674" spans="3:7" x14ac:dyDescent="0.3">
      <c r="C674" t="s">
        <v>1883</v>
      </c>
      <c r="D674" t="s">
        <v>410</v>
      </c>
      <c r="E674" s="18">
        <v>5946</v>
      </c>
      <c r="F674" s="38"/>
      <c r="G674" s="18">
        <v>5946</v>
      </c>
    </row>
    <row r="675" spans="3:7" x14ac:dyDescent="0.3">
      <c r="C675" t="s">
        <v>1884</v>
      </c>
      <c r="D675" t="s">
        <v>62</v>
      </c>
      <c r="E675" s="18">
        <v>12167</v>
      </c>
      <c r="F675" s="38"/>
      <c r="G675" s="18">
        <v>12167</v>
      </c>
    </row>
    <row r="676" spans="3:7" x14ac:dyDescent="0.3">
      <c r="C676" t="s">
        <v>1885</v>
      </c>
      <c r="D676" t="s">
        <v>1197</v>
      </c>
      <c r="E676" s="18">
        <v>1738</v>
      </c>
      <c r="F676" s="38">
        <v>-1738</v>
      </c>
      <c r="G676" s="18">
        <v>0</v>
      </c>
    </row>
    <row r="677" spans="3:7" x14ac:dyDescent="0.3">
      <c r="C677" t="s">
        <v>1886</v>
      </c>
      <c r="D677" t="s">
        <v>263</v>
      </c>
      <c r="E677" s="18">
        <v>6017</v>
      </c>
      <c r="F677" s="38">
        <v>-6017</v>
      </c>
      <c r="G677" s="18">
        <v>0</v>
      </c>
    </row>
    <row r="678" spans="3:7" x14ac:dyDescent="0.3">
      <c r="C678" t="s">
        <v>1888</v>
      </c>
      <c r="D678" t="s">
        <v>263</v>
      </c>
      <c r="E678" s="18">
        <v>62.5</v>
      </c>
      <c r="F678" s="38">
        <v>-62.5</v>
      </c>
      <c r="G678" s="18">
        <v>0</v>
      </c>
    </row>
    <row r="679" spans="3:7" x14ac:dyDescent="0.3">
      <c r="C679" t="s">
        <v>1889</v>
      </c>
      <c r="D679" t="s">
        <v>492</v>
      </c>
      <c r="E679" s="18">
        <v>2613.5</v>
      </c>
      <c r="F679" s="38"/>
      <c r="G679" s="18">
        <v>2613.5</v>
      </c>
    </row>
    <row r="680" spans="3:7" x14ac:dyDescent="0.3">
      <c r="C680" t="s">
        <v>1890</v>
      </c>
      <c r="D680" t="s">
        <v>401</v>
      </c>
      <c r="E680" s="18">
        <v>3005.6</v>
      </c>
      <c r="F680" s="38"/>
      <c r="G680" s="18">
        <v>3005.6</v>
      </c>
    </row>
    <row r="681" spans="3:7" x14ac:dyDescent="0.3">
      <c r="C681" t="s">
        <v>1891</v>
      </c>
      <c r="D681" t="s">
        <v>58</v>
      </c>
      <c r="E681" s="18">
        <v>540</v>
      </c>
      <c r="F681" s="38"/>
      <c r="G681" s="18">
        <v>540</v>
      </c>
    </row>
    <row r="682" spans="3:7" x14ac:dyDescent="0.3">
      <c r="C682" t="s">
        <v>1892</v>
      </c>
      <c r="D682" t="s">
        <v>410</v>
      </c>
      <c r="E682" s="18">
        <v>125</v>
      </c>
      <c r="F682" s="38"/>
      <c r="G682" s="18">
        <v>125</v>
      </c>
    </row>
    <row r="683" spans="3:7" x14ac:dyDescent="0.3">
      <c r="C683" t="s">
        <v>1893</v>
      </c>
      <c r="D683" t="s">
        <v>410</v>
      </c>
      <c r="E683" s="18">
        <v>5746</v>
      </c>
      <c r="F683" s="38"/>
      <c r="G683" s="18">
        <v>5746</v>
      </c>
    </row>
    <row r="684" spans="3:7" x14ac:dyDescent="0.3">
      <c r="C684" t="s">
        <v>1894</v>
      </c>
      <c r="D684" t="s">
        <v>1703</v>
      </c>
      <c r="E684" s="18">
        <v>48</v>
      </c>
      <c r="F684" s="38">
        <v>-48</v>
      </c>
      <c r="G684" s="18">
        <v>0</v>
      </c>
    </row>
    <row r="685" spans="3:7" x14ac:dyDescent="0.3">
      <c r="C685" t="s">
        <v>1897</v>
      </c>
      <c r="D685" t="s">
        <v>1705</v>
      </c>
      <c r="E685" s="18">
        <v>2126</v>
      </c>
      <c r="F685" s="38">
        <v>-2126</v>
      </c>
      <c r="G685" s="18">
        <v>0</v>
      </c>
    </row>
    <row r="686" spans="3:7" x14ac:dyDescent="0.3">
      <c r="C686" t="s">
        <v>1898</v>
      </c>
      <c r="D686" t="s">
        <v>1197</v>
      </c>
      <c r="E686" s="18">
        <v>3780</v>
      </c>
      <c r="F686" s="38">
        <v>-6.7</v>
      </c>
      <c r="G686" s="18">
        <v>3773.3</v>
      </c>
    </row>
    <row r="687" spans="3:7" x14ac:dyDescent="0.3">
      <c r="C687" t="s">
        <v>1899</v>
      </c>
      <c r="D687" t="s">
        <v>20</v>
      </c>
      <c r="E687" s="18">
        <v>2090</v>
      </c>
      <c r="F687" s="38">
        <v>-2090</v>
      </c>
      <c r="G687" s="18">
        <v>0</v>
      </c>
    </row>
    <row r="688" spans="3:7" x14ac:dyDescent="0.3">
      <c r="C688" t="s">
        <v>1900</v>
      </c>
      <c r="D688" t="s">
        <v>263</v>
      </c>
      <c r="E688" s="18">
        <v>8087</v>
      </c>
      <c r="F688" s="38">
        <v>-8087</v>
      </c>
      <c r="G688" s="18">
        <v>0</v>
      </c>
    </row>
    <row r="689" spans="3:7" x14ac:dyDescent="0.3">
      <c r="C689" t="s">
        <v>1901</v>
      </c>
      <c r="D689" t="s">
        <v>410</v>
      </c>
      <c r="E689" s="18">
        <v>125</v>
      </c>
      <c r="F689" s="38"/>
      <c r="G689" s="18">
        <v>125</v>
      </c>
    </row>
    <row r="690" spans="3:7" x14ac:dyDescent="0.3">
      <c r="C690" t="s">
        <v>1902</v>
      </c>
      <c r="D690" t="s">
        <v>410</v>
      </c>
      <c r="E690" s="18">
        <v>5326</v>
      </c>
      <c r="F690" s="38"/>
      <c r="G690" s="18">
        <v>5326</v>
      </c>
    </row>
    <row r="691" spans="3:7" x14ac:dyDescent="0.3">
      <c r="C691" t="s">
        <v>1903</v>
      </c>
      <c r="D691" t="s">
        <v>401</v>
      </c>
      <c r="E691" s="18">
        <v>322.5</v>
      </c>
      <c r="F691" s="38"/>
      <c r="G691" s="18">
        <v>322.5</v>
      </c>
    </row>
    <row r="692" spans="3:7" x14ac:dyDescent="0.3">
      <c r="C692" t="s">
        <v>1904</v>
      </c>
      <c r="D692" t="s">
        <v>410</v>
      </c>
      <c r="E692" s="18">
        <v>125</v>
      </c>
      <c r="F692" s="38"/>
      <c r="G692" s="18">
        <v>125</v>
      </c>
    </row>
    <row r="693" spans="3:7" x14ac:dyDescent="0.3">
      <c r="C693" t="s">
        <v>1905</v>
      </c>
      <c r="D693" t="s">
        <v>410</v>
      </c>
      <c r="E693" s="18">
        <v>5502</v>
      </c>
      <c r="F693" s="38"/>
      <c r="G693" s="18">
        <v>5502</v>
      </c>
    </row>
    <row r="694" spans="3:7" x14ac:dyDescent="0.3">
      <c r="C694" t="s">
        <v>1906</v>
      </c>
      <c r="D694" t="s">
        <v>638</v>
      </c>
      <c r="E694" s="18">
        <v>6699</v>
      </c>
      <c r="F694" s="38"/>
      <c r="G694" s="18">
        <v>6699</v>
      </c>
    </row>
    <row r="695" spans="3:7" x14ac:dyDescent="0.3">
      <c r="C695" t="s">
        <v>1910</v>
      </c>
      <c r="D695" t="s">
        <v>1454</v>
      </c>
      <c r="E695" s="18">
        <v>560</v>
      </c>
      <c r="F695" s="38">
        <v>-560</v>
      </c>
      <c r="G695" s="18">
        <v>0</v>
      </c>
    </row>
    <row r="696" spans="3:7" x14ac:dyDescent="0.3">
      <c r="C696" t="s">
        <v>1911</v>
      </c>
      <c r="D696" t="s">
        <v>410</v>
      </c>
      <c r="E696" s="18">
        <v>125</v>
      </c>
      <c r="F696" s="38"/>
      <c r="G696" s="18">
        <v>125</v>
      </c>
    </row>
    <row r="697" spans="3:7" x14ac:dyDescent="0.3">
      <c r="C697" t="s">
        <v>1912</v>
      </c>
      <c r="D697" t="s">
        <v>410</v>
      </c>
      <c r="E697" s="18">
        <v>6326</v>
      </c>
      <c r="F697" s="38"/>
      <c r="G697" s="18">
        <v>6326</v>
      </c>
    </row>
    <row r="698" spans="3:7" x14ac:dyDescent="0.3">
      <c r="C698" t="s">
        <v>1914</v>
      </c>
      <c r="D698" t="s">
        <v>1310</v>
      </c>
      <c r="E698" s="18">
        <v>15616.9</v>
      </c>
      <c r="F698" s="38">
        <v>-15616.9</v>
      </c>
      <c r="G698" s="18">
        <v>0</v>
      </c>
    </row>
    <row r="699" spans="3:7" x14ac:dyDescent="0.3">
      <c r="C699" t="s">
        <v>1915</v>
      </c>
      <c r="D699" t="s">
        <v>263</v>
      </c>
      <c r="E699" s="18">
        <v>5264</v>
      </c>
      <c r="F699" s="38">
        <v>-5264</v>
      </c>
      <c r="G699" s="18">
        <v>0</v>
      </c>
    </row>
    <row r="700" spans="3:7" x14ac:dyDescent="0.3">
      <c r="C700" t="s">
        <v>1917</v>
      </c>
      <c r="D700" t="s">
        <v>401</v>
      </c>
      <c r="E700" s="18">
        <v>2128</v>
      </c>
      <c r="F700" s="38"/>
      <c r="G700" s="18">
        <v>2128</v>
      </c>
    </row>
    <row r="701" spans="3:7" x14ac:dyDescent="0.3">
      <c r="C701" t="s">
        <v>1920</v>
      </c>
      <c r="D701" t="s">
        <v>1197</v>
      </c>
      <c r="E701" s="18">
        <v>1235</v>
      </c>
      <c r="F701" s="38"/>
      <c r="G701" s="18">
        <v>1235</v>
      </c>
    </row>
    <row r="702" spans="3:7" x14ac:dyDescent="0.3">
      <c r="C702" t="s">
        <v>1921</v>
      </c>
      <c r="D702" t="s">
        <v>401</v>
      </c>
      <c r="E702" s="18">
        <v>1196.2</v>
      </c>
      <c r="F702" s="38"/>
      <c r="G702" s="18">
        <v>1196.2</v>
      </c>
    </row>
    <row r="703" spans="3:7" x14ac:dyDescent="0.3">
      <c r="C703" t="s">
        <v>1922</v>
      </c>
      <c r="D703" t="s">
        <v>410</v>
      </c>
      <c r="E703" s="18">
        <v>500</v>
      </c>
      <c r="F703" s="38"/>
      <c r="G703" s="18">
        <v>500</v>
      </c>
    </row>
    <row r="704" spans="3:7" x14ac:dyDescent="0.3">
      <c r="C704" t="s">
        <v>1924</v>
      </c>
      <c r="D704" t="s">
        <v>410</v>
      </c>
      <c r="E704" s="18">
        <v>21572</v>
      </c>
      <c r="F704" s="38"/>
      <c r="G704" s="18">
        <v>21572</v>
      </c>
    </row>
    <row r="705" spans="2:7" x14ac:dyDescent="0.3">
      <c r="C705" t="s">
        <v>1925</v>
      </c>
      <c r="D705" t="s">
        <v>1197</v>
      </c>
      <c r="E705" s="18">
        <v>250</v>
      </c>
      <c r="F705" s="38"/>
      <c r="G705" s="18">
        <v>250</v>
      </c>
    </row>
    <row r="706" spans="2:7" x14ac:dyDescent="0.3">
      <c r="C706" t="s">
        <v>1926</v>
      </c>
      <c r="D706" t="s">
        <v>410</v>
      </c>
      <c r="E706" s="18">
        <v>312.5</v>
      </c>
      <c r="F706" s="38"/>
      <c r="G706" s="18">
        <v>312.5</v>
      </c>
    </row>
    <row r="707" spans="2:7" x14ac:dyDescent="0.3">
      <c r="C707" t="s">
        <v>1927</v>
      </c>
      <c r="D707" t="s">
        <v>410</v>
      </c>
      <c r="E707" s="18">
        <v>14117</v>
      </c>
      <c r="F707" s="38"/>
      <c r="G707" s="18">
        <v>14117</v>
      </c>
    </row>
    <row r="708" spans="2:7" x14ac:dyDescent="0.3">
      <c r="B708" s="17" t="s">
        <v>144</v>
      </c>
      <c r="C708" s="17"/>
      <c r="D708" s="17"/>
      <c r="E708" s="19">
        <v>164083.59999999998</v>
      </c>
      <c r="F708" s="39">
        <v>-59198.000000000007</v>
      </c>
      <c r="G708" s="19">
        <v>104885.59999999999</v>
      </c>
    </row>
    <row r="709" spans="2:7" x14ac:dyDescent="0.3">
      <c r="B709">
        <v>10</v>
      </c>
      <c r="C709" t="s">
        <v>1990</v>
      </c>
      <c r="D709" t="s">
        <v>263</v>
      </c>
      <c r="E709" s="18">
        <v>5258.5</v>
      </c>
      <c r="F709" s="38">
        <v>-5258.5</v>
      </c>
      <c r="G709" s="18">
        <v>0</v>
      </c>
    </row>
    <row r="710" spans="2:7" x14ac:dyDescent="0.3">
      <c r="C710" t="s">
        <v>1992</v>
      </c>
      <c r="D710" t="s">
        <v>1454</v>
      </c>
      <c r="E710" s="18">
        <v>1612</v>
      </c>
      <c r="F710" s="38">
        <v>-1612</v>
      </c>
      <c r="G710" s="18">
        <v>0</v>
      </c>
    </row>
    <row r="711" spans="2:7" x14ac:dyDescent="0.3">
      <c r="C711" t="s">
        <v>1993</v>
      </c>
      <c r="D711" t="s">
        <v>401</v>
      </c>
      <c r="E711" s="18">
        <v>2615.1999999999998</v>
      </c>
      <c r="F711" s="38"/>
      <c r="G711" s="18">
        <v>2615.1999999999998</v>
      </c>
    </row>
    <row r="712" spans="2:7" x14ac:dyDescent="0.3">
      <c r="C712" t="s">
        <v>1994</v>
      </c>
      <c r="D712" t="s">
        <v>492</v>
      </c>
      <c r="E712" s="18">
        <v>2535</v>
      </c>
      <c r="F712" s="38"/>
      <c r="G712" s="18">
        <v>2535</v>
      </c>
    </row>
    <row r="713" spans="2:7" x14ac:dyDescent="0.3">
      <c r="C713" t="s">
        <v>1995</v>
      </c>
      <c r="D713" t="s">
        <v>410</v>
      </c>
      <c r="E713" s="18">
        <v>125</v>
      </c>
      <c r="F713" s="38"/>
      <c r="G713" s="18">
        <v>125</v>
      </c>
    </row>
    <row r="714" spans="2:7" x14ac:dyDescent="0.3">
      <c r="C714" t="s">
        <v>1996</v>
      </c>
      <c r="D714" t="s">
        <v>410</v>
      </c>
      <c r="E714" s="18">
        <v>6038</v>
      </c>
      <c r="F714" s="38"/>
      <c r="G714" s="18">
        <v>6038</v>
      </c>
    </row>
    <row r="715" spans="2:7" x14ac:dyDescent="0.3">
      <c r="C715" t="s">
        <v>1998</v>
      </c>
      <c r="D715" t="s">
        <v>638</v>
      </c>
      <c r="E715" s="18">
        <v>4068</v>
      </c>
      <c r="F715" s="38"/>
      <c r="G715" s="18">
        <v>4068</v>
      </c>
    </row>
    <row r="716" spans="2:7" x14ac:dyDescent="0.3">
      <c r="C716" t="s">
        <v>2000</v>
      </c>
      <c r="D716" t="s">
        <v>62</v>
      </c>
      <c r="E716" s="18">
        <v>11769</v>
      </c>
      <c r="F716" s="38"/>
      <c r="G716" s="18">
        <v>11769</v>
      </c>
    </row>
    <row r="717" spans="2:7" x14ac:dyDescent="0.3">
      <c r="C717" t="s">
        <v>2001</v>
      </c>
      <c r="D717" t="s">
        <v>410</v>
      </c>
      <c r="E717" s="18">
        <v>610</v>
      </c>
      <c r="F717" s="38"/>
      <c r="G717" s="18">
        <v>610</v>
      </c>
    </row>
    <row r="718" spans="2:7" x14ac:dyDescent="0.3">
      <c r="C718" t="s">
        <v>2002</v>
      </c>
      <c r="D718" t="s">
        <v>43</v>
      </c>
      <c r="E718" s="18">
        <v>5067.2</v>
      </c>
      <c r="F718" s="38"/>
      <c r="G718" s="18">
        <v>5067.2</v>
      </c>
    </row>
    <row r="719" spans="2:7" x14ac:dyDescent="0.3">
      <c r="C719" t="s">
        <v>2003</v>
      </c>
      <c r="D719" t="s">
        <v>410</v>
      </c>
      <c r="E719" s="18">
        <v>1025</v>
      </c>
      <c r="F719" s="38"/>
      <c r="G719" s="18">
        <v>1025</v>
      </c>
    </row>
    <row r="720" spans="2:7" x14ac:dyDescent="0.3">
      <c r="C720" t="s">
        <v>2005</v>
      </c>
      <c r="D720" t="s">
        <v>638</v>
      </c>
      <c r="E720" s="18">
        <v>344</v>
      </c>
      <c r="F720" s="38"/>
      <c r="G720" s="18">
        <v>344</v>
      </c>
    </row>
    <row r="721" spans="3:7" x14ac:dyDescent="0.3">
      <c r="C721" t="s">
        <v>2007</v>
      </c>
      <c r="D721" t="s">
        <v>263</v>
      </c>
      <c r="E721" s="18">
        <v>2909</v>
      </c>
      <c r="F721" s="38">
        <v>-2909</v>
      </c>
      <c r="G721" s="18">
        <v>0</v>
      </c>
    </row>
    <row r="722" spans="3:7" x14ac:dyDescent="0.3">
      <c r="C722" t="s">
        <v>2009</v>
      </c>
      <c r="D722" t="s">
        <v>1197</v>
      </c>
      <c r="E722" s="18">
        <v>2045</v>
      </c>
      <c r="F722" s="38"/>
      <c r="G722" s="18">
        <v>2045</v>
      </c>
    </row>
    <row r="723" spans="3:7" x14ac:dyDescent="0.3">
      <c r="C723" t="s">
        <v>2010</v>
      </c>
      <c r="D723" t="s">
        <v>58</v>
      </c>
      <c r="E723" s="18">
        <v>1628</v>
      </c>
      <c r="F723" s="38"/>
      <c r="G723" s="18">
        <v>1628</v>
      </c>
    </row>
    <row r="724" spans="3:7" x14ac:dyDescent="0.3">
      <c r="C724" t="s">
        <v>2012</v>
      </c>
      <c r="D724" t="s">
        <v>401</v>
      </c>
      <c r="E724" s="18">
        <v>1738</v>
      </c>
      <c r="F724" s="38"/>
      <c r="G724" s="18">
        <v>1738</v>
      </c>
    </row>
    <row r="725" spans="3:7" x14ac:dyDescent="0.3">
      <c r="C725" t="s">
        <v>2013</v>
      </c>
      <c r="D725" t="s">
        <v>638</v>
      </c>
      <c r="E725" s="18">
        <v>1738</v>
      </c>
      <c r="F725" s="38"/>
      <c r="G725" s="18">
        <v>1738</v>
      </c>
    </row>
    <row r="726" spans="3:7" x14ac:dyDescent="0.3">
      <c r="C726" t="s">
        <v>2015</v>
      </c>
      <c r="D726" t="s">
        <v>2014</v>
      </c>
      <c r="E726" s="18">
        <v>312.5</v>
      </c>
      <c r="F726" s="38"/>
      <c r="G726" s="18">
        <v>312.5</v>
      </c>
    </row>
    <row r="727" spans="3:7" x14ac:dyDescent="0.3">
      <c r="C727" t="s">
        <v>2016</v>
      </c>
      <c r="D727" t="s">
        <v>2014</v>
      </c>
      <c r="E727" s="18">
        <v>14658</v>
      </c>
      <c r="F727" s="38"/>
      <c r="G727" s="18">
        <v>14658</v>
      </c>
    </row>
    <row r="728" spans="3:7" x14ac:dyDescent="0.3">
      <c r="C728" t="s">
        <v>2018</v>
      </c>
      <c r="D728" t="s">
        <v>58</v>
      </c>
      <c r="E728" s="18">
        <v>4818</v>
      </c>
      <c r="F728" s="38"/>
      <c r="G728" s="18">
        <v>4818</v>
      </c>
    </row>
    <row r="729" spans="3:7" x14ac:dyDescent="0.3">
      <c r="C729" t="s">
        <v>2019</v>
      </c>
      <c r="D729" t="s">
        <v>2014</v>
      </c>
      <c r="E729" s="18">
        <v>2700</v>
      </c>
      <c r="F729" s="38"/>
      <c r="G729" s="18">
        <v>2700</v>
      </c>
    </row>
    <row r="730" spans="3:7" x14ac:dyDescent="0.3">
      <c r="C730" t="s">
        <v>2021</v>
      </c>
      <c r="D730" t="s">
        <v>1045</v>
      </c>
      <c r="E730" s="18">
        <v>0</v>
      </c>
      <c r="F730" s="38"/>
      <c r="G730" s="18">
        <v>0</v>
      </c>
    </row>
    <row r="731" spans="3:7" x14ac:dyDescent="0.3">
      <c r="C731" t="s">
        <v>2022</v>
      </c>
      <c r="D731" t="s">
        <v>2014</v>
      </c>
      <c r="E731" s="18">
        <v>250</v>
      </c>
      <c r="F731" s="38"/>
      <c r="G731" s="18">
        <v>250</v>
      </c>
    </row>
    <row r="732" spans="3:7" x14ac:dyDescent="0.3">
      <c r="C732" t="s">
        <v>2023</v>
      </c>
      <c r="D732" t="s">
        <v>2014</v>
      </c>
      <c r="E732" s="18">
        <v>7916</v>
      </c>
      <c r="F732" s="38"/>
      <c r="G732" s="18">
        <v>7916</v>
      </c>
    </row>
    <row r="733" spans="3:7" x14ac:dyDescent="0.3">
      <c r="C733" t="s">
        <v>2030</v>
      </c>
      <c r="D733" t="s">
        <v>2024</v>
      </c>
      <c r="E733" s="18">
        <v>3535.2</v>
      </c>
      <c r="F733" s="38">
        <v>-3535.2</v>
      </c>
      <c r="G733" s="18">
        <v>0</v>
      </c>
    </row>
    <row r="734" spans="3:7" x14ac:dyDescent="0.3">
      <c r="C734" t="s">
        <v>2031</v>
      </c>
      <c r="D734" t="s">
        <v>492</v>
      </c>
      <c r="E734" s="18">
        <v>2561</v>
      </c>
      <c r="F734" s="38"/>
      <c r="G734" s="18">
        <v>2561</v>
      </c>
    </row>
    <row r="735" spans="3:7" x14ac:dyDescent="0.3">
      <c r="C735" t="s">
        <v>2033</v>
      </c>
      <c r="D735" t="s">
        <v>401</v>
      </c>
      <c r="E735" s="18">
        <v>2535.5</v>
      </c>
      <c r="F735" s="38"/>
      <c r="G735" s="18">
        <v>2535.5</v>
      </c>
    </row>
    <row r="736" spans="3:7" x14ac:dyDescent="0.3">
      <c r="C736" t="s">
        <v>2034</v>
      </c>
      <c r="D736" t="s">
        <v>2014</v>
      </c>
      <c r="E736" s="18">
        <v>1000</v>
      </c>
      <c r="F736" s="38"/>
      <c r="G736" s="18">
        <v>1000</v>
      </c>
    </row>
    <row r="737" spans="2:7" x14ac:dyDescent="0.3">
      <c r="C737" t="s">
        <v>2035</v>
      </c>
      <c r="D737" t="s">
        <v>401</v>
      </c>
      <c r="E737" s="18">
        <v>648</v>
      </c>
      <c r="F737" s="38"/>
      <c r="G737" s="18">
        <v>648</v>
      </c>
    </row>
    <row r="738" spans="2:7" x14ac:dyDescent="0.3">
      <c r="C738" t="s">
        <v>2036</v>
      </c>
      <c r="D738" t="s">
        <v>1197</v>
      </c>
      <c r="E738" s="18">
        <v>695</v>
      </c>
      <c r="F738" s="38"/>
      <c r="G738" s="18">
        <v>695</v>
      </c>
    </row>
    <row r="739" spans="2:7" x14ac:dyDescent="0.3">
      <c r="C739" t="s">
        <v>2037</v>
      </c>
      <c r="D739" t="s">
        <v>2014</v>
      </c>
      <c r="E739" s="18">
        <v>187.5</v>
      </c>
      <c r="F739" s="38"/>
      <c r="G739" s="18">
        <v>187.5</v>
      </c>
    </row>
    <row r="740" spans="2:7" x14ac:dyDescent="0.3">
      <c r="C740" t="s">
        <v>2038</v>
      </c>
      <c r="D740" t="s">
        <v>2014</v>
      </c>
      <c r="E740" s="18">
        <v>7440</v>
      </c>
      <c r="F740" s="38"/>
      <c r="G740" s="18">
        <v>7440</v>
      </c>
    </row>
    <row r="741" spans="2:7" x14ac:dyDescent="0.3">
      <c r="C741" t="s">
        <v>2039</v>
      </c>
      <c r="D741" t="s">
        <v>1310</v>
      </c>
      <c r="E741" s="18">
        <v>15463.4</v>
      </c>
      <c r="F741" s="38">
        <v>-15463.4</v>
      </c>
      <c r="G741" s="18">
        <v>0</v>
      </c>
    </row>
    <row r="742" spans="2:7" x14ac:dyDescent="0.3">
      <c r="C742" t="s">
        <v>2096</v>
      </c>
      <c r="D742" t="s">
        <v>2014</v>
      </c>
      <c r="E742" s="18">
        <v>1000</v>
      </c>
      <c r="F742" s="38"/>
      <c r="G742" s="18">
        <v>1000</v>
      </c>
    </row>
    <row r="743" spans="2:7" x14ac:dyDescent="0.3">
      <c r="B743" s="17" t="s">
        <v>145</v>
      </c>
      <c r="C743" s="17"/>
      <c r="D743" s="17"/>
      <c r="E743" s="19">
        <v>116844.99999999999</v>
      </c>
      <c r="F743" s="39">
        <v>-28778.1</v>
      </c>
      <c r="G743" s="19">
        <v>88066.9</v>
      </c>
    </row>
    <row r="744" spans="2:7" x14ac:dyDescent="0.3">
      <c r="B744">
        <v>11</v>
      </c>
      <c r="C744" t="s">
        <v>2097</v>
      </c>
      <c r="D744" t="s">
        <v>1454</v>
      </c>
      <c r="E744" s="18">
        <v>3731.7999999999997</v>
      </c>
      <c r="F744" s="38">
        <v>-3731.7999999999997</v>
      </c>
      <c r="G744" s="18">
        <v>0</v>
      </c>
    </row>
    <row r="745" spans="2:7" x14ac:dyDescent="0.3">
      <c r="C745" t="s">
        <v>2098</v>
      </c>
      <c r="D745" t="s">
        <v>2024</v>
      </c>
      <c r="E745" s="18">
        <v>1174</v>
      </c>
      <c r="F745" s="38">
        <v>-1174</v>
      </c>
      <c r="G745" s="18">
        <v>0</v>
      </c>
    </row>
    <row r="746" spans="2:7" x14ac:dyDescent="0.3">
      <c r="C746" t="s">
        <v>2099</v>
      </c>
      <c r="D746" t="s">
        <v>401</v>
      </c>
      <c r="E746" s="18">
        <v>2418</v>
      </c>
      <c r="F746" s="38"/>
      <c r="G746" s="18">
        <v>2418</v>
      </c>
    </row>
    <row r="747" spans="2:7" x14ac:dyDescent="0.3">
      <c r="C747" t="s">
        <v>2100</v>
      </c>
      <c r="D747" t="s">
        <v>1197</v>
      </c>
      <c r="E747" s="18">
        <v>3078</v>
      </c>
      <c r="F747" s="38"/>
      <c r="G747" s="18">
        <v>3078</v>
      </c>
    </row>
    <row r="748" spans="2:7" x14ac:dyDescent="0.3">
      <c r="C748" t="s">
        <v>2101</v>
      </c>
      <c r="D748" t="s">
        <v>2014</v>
      </c>
      <c r="E748" s="18">
        <v>437.5</v>
      </c>
      <c r="F748" s="38"/>
      <c r="G748" s="18">
        <v>437.5</v>
      </c>
    </row>
    <row r="749" spans="2:7" x14ac:dyDescent="0.3">
      <c r="C749" t="s">
        <v>2102</v>
      </c>
      <c r="D749" t="s">
        <v>2014</v>
      </c>
      <c r="E749" s="18">
        <v>19024</v>
      </c>
      <c r="F749" s="38"/>
      <c r="G749" s="18">
        <v>19024</v>
      </c>
    </row>
    <row r="750" spans="2:7" x14ac:dyDescent="0.3">
      <c r="C750" t="s">
        <v>2103</v>
      </c>
      <c r="D750" t="s">
        <v>492</v>
      </c>
      <c r="E750" s="18">
        <v>2818.5</v>
      </c>
      <c r="F750" s="38"/>
      <c r="G750" s="18">
        <v>2818.5</v>
      </c>
    </row>
    <row r="751" spans="2:7" x14ac:dyDescent="0.3">
      <c r="C751" t="s">
        <v>2105</v>
      </c>
      <c r="D751" t="s">
        <v>263</v>
      </c>
      <c r="E751" s="18">
        <v>5805</v>
      </c>
      <c r="F751" s="38">
        <v>-5805</v>
      </c>
      <c r="G751" s="18">
        <v>0</v>
      </c>
    </row>
    <row r="752" spans="2:7" x14ac:dyDescent="0.3">
      <c r="C752" t="s">
        <v>2107</v>
      </c>
      <c r="D752" t="s">
        <v>2014</v>
      </c>
      <c r="E752" s="18">
        <v>1000</v>
      </c>
      <c r="F752" s="38"/>
      <c r="G752" s="18">
        <v>1000</v>
      </c>
    </row>
    <row r="753" spans="3:7" x14ac:dyDescent="0.3">
      <c r="C753" t="s">
        <v>2108</v>
      </c>
      <c r="D753" t="s">
        <v>2014</v>
      </c>
      <c r="E753" s="18">
        <v>125</v>
      </c>
      <c r="F753" s="38"/>
      <c r="G753" s="18">
        <v>125</v>
      </c>
    </row>
    <row r="754" spans="3:7" x14ac:dyDescent="0.3">
      <c r="C754" t="s">
        <v>2109</v>
      </c>
      <c r="D754" t="s">
        <v>2014</v>
      </c>
      <c r="E754" s="18">
        <v>6201.6</v>
      </c>
      <c r="F754" s="38"/>
      <c r="G754" s="18">
        <v>6201.6</v>
      </c>
    </row>
    <row r="755" spans="3:7" x14ac:dyDescent="0.3">
      <c r="C755" t="s">
        <v>2111</v>
      </c>
      <c r="D755" t="s">
        <v>263</v>
      </c>
      <c r="E755" s="18">
        <v>567.6</v>
      </c>
      <c r="F755" s="38">
        <v>-567.6</v>
      </c>
      <c r="G755" s="18">
        <v>0</v>
      </c>
    </row>
    <row r="756" spans="3:7" x14ac:dyDescent="0.3">
      <c r="C756" t="s">
        <v>2113</v>
      </c>
      <c r="D756" t="s">
        <v>62</v>
      </c>
      <c r="E756" s="18">
        <v>12406</v>
      </c>
      <c r="F756" s="38"/>
      <c r="G756" s="18">
        <v>12406</v>
      </c>
    </row>
    <row r="757" spans="3:7" x14ac:dyDescent="0.3">
      <c r="C757" t="s">
        <v>2114</v>
      </c>
      <c r="D757" t="s">
        <v>62</v>
      </c>
      <c r="E757" s="18">
        <v>1597.5</v>
      </c>
      <c r="F757" s="38"/>
      <c r="G757" s="18">
        <v>1597.5</v>
      </c>
    </row>
    <row r="758" spans="3:7" x14ac:dyDescent="0.3">
      <c r="C758" t="s">
        <v>2116</v>
      </c>
      <c r="D758" t="s">
        <v>401</v>
      </c>
      <c r="E758" s="18">
        <v>3085.5</v>
      </c>
      <c r="F758" s="38"/>
      <c r="G758" s="18">
        <v>3085.5</v>
      </c>
    </row>
    <row r="759" spans="3:7" x14ac:dyDescent="0.3">
      <c r="C759" t="s">
        <v>2117</v>
      </c>
      <c r="D759" t="s">
        <v>2014</v>
      </c>
      <c r="E759" s="18">
        <v>62.5</v>
      </c>
      <c r="F759" s="38"/>
      <c r="G759" s="18">
        <v>62.5</v>
      </c>
    </row>
    <row r="760" spans="3:7" x14ac:dyDescent="0.3">
      <c r="C760" t="s">
        <v>2118</v>
      </c>
      <c r="D760" t="s">
        <v>2014</v>
      </c>
      <c r="E760" s="18">
        <v>2717.8</v>
      </c>
      <c r="F760" s="38"/>
      <c r="G760" s="18">
        <v>2717.8</v>
      </c>
    </row>
    <row r="761" spans="3:7" x14ac:dyDescent="0.3">
      <c r="C761" t="s">
        <v>2119</v>
      </c>
      <c r="D761" t="s">
        <v>263</v>
      </c>
      <c r="E761" s="18">
        <v>5844.4</v>
      </c>
      <c r="F761" s="38">
        <v>-5844.4</v>
      </c>
      <c r="G761" s="18">
        <v>0</v>
      </c>
    </row>
    <row r="762" spans="3:7" x14ac:dyDescent="0.3">
      <c r="C762" t="s">
        <v>2120</v>
      </c>
      <c r="D762" t="s">
        <v>2014</v>
      </c>
      <c r="E762" s="18">
        <v>125</v>
      </c>
      <c r="F762" s="38"/>
      <c r="G762" s="18">
        <v>125</v>
      </c>
    </row>
    <row r="763" spans="3:7" x14ac:dyDescent="0.3">
      <c r="C763" t="s">
        <v>2121</v>
      </c>
      <c r="D763" t="s">
        <v>2014</v>
      </c>
      <c r="E763" s="18">
        <v>3212</v>
      </c>
      <c r="F763" s="38"/>
      <c r="G763" s="18">
        <v>3212</v>
      </c>
    </row>
    <row r="764" spans="3:7" x14ac:dyDescent="0.3">
      <c r="C764" t="s">
        <v>2122</v>
      </c>
      <c r="D764" t="s">
        <v>43</v>
      </c>
      <c r="E764" s="18">
        <v>2413</v>
      </c>
      <c r="F764" s="38"/>
      <c r="G764" s="18">
        <v>2413</v>
      </c>
    </row>
    <row r="765" spans="3:7" x14ac:dyDescent="0.3">
      <c r="C765" t="s">
        <v>2123</v>
      </c>
      <c r="D765" t="s">
        <v>2014</v>
      </c>
      <c r="E765" s="18">
        <v>187.5</v>
      </c>
      <c r="F765" s="38"/>
      <c r="G765" s="18">
        <v>187.5</v>
      </c>
    </row>
    <row r="766" spans="3:7" x14ac:dyDescent="0.3">
      <c r="C766" t="s">
        <v>2124</v>
      </c>
      <c r="D766" t="s">
        <v>2014</v>
      </c>
      <c r="E766" s="18">
        <v>8685.4</v>
      </c>
      <c r="F766" s="38"/>
      <c r="G766" s="18">
        <v>8685.4</v>
      </c>
    </row>
    <row r="767" spans="3:7" x14ac:dyDescent="0.3">
      <c r="C767" t="s">
        <v>2125</v>
      </c>
      <c r="D767" t="s">
        <v>492</v>
      </c>
      <c r="E767" s="18">
        <v>2508</v>
      </c>
      <c r="F767" s="38"/>
      <c r="G767" s="18">
        <v>2508</v>
      </c>
    </row>
    <row r="768" spans="3:7" x14ac:dyDescent="0.3">
      <c r="C768" t="s">
        <v>2126</v>
      </c>
      <c r="D768" t="s">
        <v>860</v>
      </c>
      <c r="E768" s="18">
        <v>4987.1000000000004</v>
      </c>
      <c r="F768" s="38"/>
      <c r="G768" s="18">
        <v>4987.1000000000004</v>
      </c>
    </row>
    <row r="769" spans="2:7" x14ac:dyDescent="0.3">
      <c r="C769" t="s">
        <v>2127</v>
      </c>
      <c r="D769" t="s">
        <v>2014</v>
      </c>
      <c r="E769" s="18">
        <v>187.5</v>
      </c>
      <c r="F769" s="38"/>
      <c r="G769" s="18">
        <v>187.5</v>
      </c>
    </row>
    <row r="770" spans="2:7" x14ac:dyDescent="0.3">
      <c r="C770" t="s">
        <v>2128</v>
      </c>
      <c r="D770" t="s">
        <v>2014</v>
      </c>
      <c r="E770" s="18">
        <v>8065.4</v>
      </c>
      <c r="F770" s="38"/>
      <c r="G770" s="18">
        <v>8065.4</v>
      </c>
    </row>
    <row r="771" spans="2:7" x14ac:dyDescent="0.3">
      <c r="C771" t="s">
        <v>2129</v>
      </c>
      <c r="D771" t="s">
        <v>401</v>
      </c>
      <c r="E771" s="18">
        <v>3424.3</v>
      </c>
      <c r="F771" s="38"/>
      <c r="G771" s="18">
        <v>3424.3</v>
      </c>
    </row>
    <row r="772" spans="2:7" x14ac:dyDescent="0.3">
      <c r="B772" s="17" t="s">
        <v>161</v>
      </c>
      <c r="C772" s="17"/>
      <c r="D772" s="17"/>
      <c r="E772" s="19">
        <v>105889.9</v>
      </c>
      <c r="F772" s="39">
        <v>-17122.8</v>
      </c>
      <c r="G772" s="19">
        <v>88767.1</v>
      </c>
    </row>
    <row r="773" spans="2:7" x14ac:dyDescent="0.3">
      <c r="B773">
        <v>12</v>
      </c>
      <c r="C773" t="s">
        <v>2162</v>
      </c>
      <c r="D773" t="s">
        <v>62</v>
      </c>
      <c r="E773" s="18">
        <v>12996.4</v>
      </c>
      <c r="F773" s="38"/>
      <c r="G773" s="18">
        <v>12996.4</v>
      </c>
    </row>
    <row r="774" spans="2:7" x14ac:dyDescent="0.3">
      <c r="C774" t="s">
        <v>2163</v>
      </c>
      <c r="D774" t="s">
        <v>2014</v>
      </c>
      <c r="E774" s="18">
        <v>125</v>
      </c>
      <c r="F774" s="38"/>
      <c r="G774" s="18">
        <v>125</v>
      </c>
    </row>
    <row r="775" spans="2:7" x14ac:dyDescent="0.3">
      <c r="C775" t="s">
        <v>2164</v>
      </c>
      <c r="D775" t="s">
        <v>2014</v>
      </c>
      <c r="E775" s="18">
        <v>4784</v>
      </c>
      <c r="F775" s="38"/>
      <c r="G775" s="18">
        <v>4784</v>
      </c>
    </row>
    <row r="776" spans="2:7" x14ac:dyDescent="0.3">
      <c r="C776" t="s">
        <v>2165</v>
      </c>
      <c r="D776" t="s">
        <v>1705</v>
      </c>
      <c r="E776" s="18">
        <v>237</v>
      </c>
      <c r="F776" s="38"/>
      <c r="G776" s="18">
        <v>237</v>
      </c>
    </row>
    <row r="777" spans="2:7" x14ac:dyDescent="0.3">
      <c r="C777" t="s">
        <v>2166</v>
      </c>
      <c r="D777" t="s">
        <v>263</v>
      </c>
      <c r="E777" s="18">
        <v>5479.9</v>
      </c>
      <c r="F777" s="38"/>
      <c r="G777" s="18">
        <v>5479.9</v>
      </c>
    </row>
    <row r="778" spans="2:7" x14ac:dyDescent="0.3">
      <c r="C778" t="s">
        <v>2167</v>
      </c>
      <c r="D778" t="s">
        <v>492</v>
      </c>
      <c r="E778" s="18">
        <v>3449</v>
      </c>
      <c r="F778" s="38"/>
      <c r="G778" s="18">
        <v>3449</v>
      </c>
    </row>
    <row r="779" spans="2:7" x14ac:dyDescent="0.3">
      <c r="C779" t="s">
        <v>2168</v>
      </c>
      <c r="D779" t="s">
        <v>2014</v>
      </c>
      <c r="E779" s="18">
        <v>250</v>
      </c>
      <c r="F779" s="38"/>
      <c r="G779" s="18">
        <v>250</v>
      </c>
    </row>
    <row r="780" spans="2:7" x14ac:dyDescent="0.3">
      <c r="C780" t="s">
        <v>2169</v>
      </c>
      <c r="D780" t="s">
        <v>2014</v>
      </c>
      <c r="E780" s="18">
        <v>9682</v>
      </c>
      <c r="F780" s="38"/>
      <c r="G780" s="18">
        <v>9682</v>
      </c>
    </row>
    <row r="781" spans="2:7" x14ac:dyDescent="0.3">
      <c r="C781" t="s">
        <v>2170</v>
      </c>
      <c r="D781" t="s">
        <v>492</v>
      </c>
      <c r="E781" s="18">
        <v>2700.5</v>
      </c>
      <c r="F781" s="38"/>
      <c r="G781" s="18">
        <v>2700.5</v>
      </c>
    </row>
    <row r="782" spans="2:7" x14ac:dyDescent="0.3">
      <c r="C782" t="s">
        <v>2171</v>
      </c>
      <c r="D782" t="s">
        <v>638</v>
      </c>
      <c r="E782" s="18">
        <v>250</v>
      </c>
      <c r="F782" s="38"/>
      <c r="G782" s="18">
        <v>250</v>
      </c>
    </row>
    <row r="783" spans="2:7" x14ac:dyDescent="0.3">
      <c r="C783" t="s">
        <v>2172</v>
      </c>
      <c r="D783" t="s">
        <v>638</v>
      </c>
      <c r="E783" s="18">
        <v>4068</v>
      </c>
      <c r="F783" s="38"/>
      <c r="G783" s="18">
        <v>4068</v>
      </c>
    </row>
    <row r="784" spans="2:7" x14ac:dyDescent="0.3">
      <c r="C784" t="s">
        <v>2173</v>
      </c>
      <c r="D784" t="s">
        <v>401</v>
      </c>
      <c r="E784" s="18">
        <v>2693</v>
      </c>
      <c r="F784" s="38"/>
      <c r="G784" s="18">
        <v>2693</v>
      </c>
    </row>
    <row r="785" spans="3:7" x14ac:dyDescent="0.3">
      <c r="C785" t="s">
        <v>2174</v>
      </c>
      <c r="D785" t="s">
        <v>2014</v>
      </c>
      <c r="E785" s="18">
        <v>250</v>
      </c>
      <c r="F785" s="38"/>
      <c r="G785" s="18">
        <v>250</v>
      </c>
    </row>
    <row r="786" spans="3:7" x14ac:dyDescent="0.3">
      <c r="C786" t="s">
        <v>2175</v>
      </c>
      <c r="D786" t="s">
        <v>2014</v>
      </c>
      <c r="E786" s="18">
        <v>10725</v>
      </c>
      <c r="F786" s="38"/>
      <c r="G786" s="18">
        <v>10725</v>
      </c>
    </row>
    <row r="787" spans="3:7" x14ac:dyDescent="0.3">
      <c r="C787" t="s">
        <v>2176</v>
      </c>
      <c r="D787" t="s">
        <v>58</v>
      </c>
      <c r="E787" s="18">
        <v>6070.7999999999993</v>
      </c>
      <c r="F787" s="38"/>
      <c r="G787" s="18">
        <v>6070.7999999999993</v>
      </c>
    </row>
    <row r="788" spans="3:7" x14ac:dyDescent="0.3">
      <c r="C788" t="s">
        <v>2177</v>
      </c>
      <c r="D788" t="s">
        <v>2014</v>
      </c>
      <c r="E788" s="18">
        <v>125</v>
      </c>
      <c r="F788" s="38"/>
      <c r="G788" s="18">
        <v>125</v>
      </c>
    </row>
    <row r="789" spans="3:7" x14ac:dyDescent="0.3">
      <c r="C789" t="s">
        <v>2178</v>
      </c>
      <c r="D789" t="s">
        <v>2014</v>
      </c>
      <c r="E789" s="18">
        <v>6650.2</v>
      </c>
      <c r="F789" s="38"/>
      <c r="G789" s="18">
        <v>6650.2</v>
      </c>
    </row>
    <row r="790" spans="3:7" x14ac:dyDescent="0.3">
      <c r="C790" t="s">
        <v>2179</v>
      </c>
      <c r="D790" t="s">
        <v>492</v>
      </c>
      <c r="E790" s="18">
        <v>2665.5</v>
      </c>
      <c r="F790" s="38"/>
      <c r="G790" s="18">
        <v>2665.5</v>
      </c>
    </row>
    <row r="791" spans="3:7" x14ac:dyDescent="0.3">
      <c r="C791" t="s">
        <v>2180</v>
      </c>
      <c r="D791" t="s">
        <v>2207</v>
      </c>
      <c r="E791" s="18">
        <v>4925.8</v>
      </c>
      <c r="F791" s="38"/>
      <c r="G791" s="18">
        <v>4925.8</v>
      </c>
    </row>
    <row r="792" spans="3:7" x14ac:dyDescent="0.3">
      <c r="C792" t="s">
        <v>2181</v>
      </c>
      <c r="D792" t="s">
        <v>263</v>
      </c>
      <c r="E792" s="18">
        <v>5955.9</v>
      </c>
      <c r="F792" s="38"/>
      <c r="G792" s="18">
        <v>5955.9</v>
      </c>
    </row>
    <row r="793" spans="3:7" x14ac:dyDescent="0.3">
      <c r="C793" t="s">
        <v>2182</v>
      </c>
      <c r="D793" t="s">
        <v>2213</v>
      </c>
      <c r="E793" s="18">
        <v>2131</v>
      </c>
      <c r="F793" s="38"/>
      <c r="G793" s="18">
        <v>2131</v>
      </c>
    </row>
    <row r="794" spans="3:7" x14ac:dyDescent="0.3">
      <c r="C794" t="s">
        <v>2183</v>
      </c>
      <c r="D794" t="s">
        <v>2014</v>
      </c>
      <c r="E794" s="18">
        <v>250</v>
      </c>
      <c r="F794" s="38"/>
      <c r="G794" s="18">
        <v>250</v>
      </c>
    </row>
    <row r="795" spans="3:7" x14ac:dyDescent="0.3">
      <c r="C795" t="s">
        <v>2184</v>
      </c>
      <c r="D795" t="s">
        <v>2014</v>
      </c>
      <c r="E795" s="18">
        <v>10539.6</v>
      </c>
      <c r="F795" s="38"/>
      <c r="G795" s="18">
        <v>10539.6</v>
      </c>
    </row>
    <row r="796" spans="3:7" x14ac:dyDescent="0.3">
      <c r="C796" t="s">
        <v>2185</v>
      </c>
      <c r="D796" t="s">
        <v>492</v>
      </c>
      <c r="E796" s="18">
        <v>2978</v>
      </c>
      <c r="F796" s="38"/>
      <c r="G796" s="18">
        <v>2978</v>
      </c>
    </row>
    <row r="797" spans="3:7" x14ac:dyDescent="0.3">
      <c r="C797" t="s">
        <v>2186</v>
      </c>
      <c r="D797" t="s">
        <v>62</v>
      </c>
      <c r="E797" s="18">
        <v>696</v>
      </c>
      <c r="F797" s="38"/>
      <c r="G797" s="18">
        <v>696</v>
      </c>
    </row>
    <row r="798" spans="3:7" x14ac:dyDescent="0.3">
      <c r="C798" t="s">
        <v>2187</v>
      </c>
      <c r="D798" t="s">
        <v>401</v>
      </c>
      <c r="E798" s="18">
        <v>2918</v>
      </c>
      <c r="F798" s="38"/>
      <c r="G798" s="18">
        <v>2918</v>
      </c>
    </row>
    <row r="799" spans="3:7" x14ac:dyDescent="0.3">
      <c r="C799" t="s">
        <v>2188</v>
      </c>
      <c r="D799" t="s">
        <v>638</v>
      </c>
      <c r="E799" s="18">
        <v>4700</v>
      </c>
      <c r="F799" s="38"/>
      <c r="G799" s="18">
        <v>4700</v>
      </c>
    </row>
    <row r="800" spans="3:7" x14ac:dyDescent="0.3">
      <c r="C800" t="s">
        <v>2189</v>
      </c>
      <c r="D800" t="s">
        <v>1310</v>
      </c>
      <c r="E800" s="18">
        <v>11904.5</v>
      </c>
      <c r="F800" s="38"/>
      <c r="G800" s="18">
        <v>11904.5</v>
      </c>
    </row>
    <row r="801" spans="1:7" x14ac:dyDescent="0.3">
      <c r="C801" t="s">
        <v>2190</v>
      </c>
      <c r="D801" t="s">
        <v>2014</v>
      </c>
      <c r="E801" s="18">
        <v>250</v>
      </c>
      <c r="F801" s="38"/>
      <c r="G801" s="18">
        <v>250</v>
      </c>
    </row>
    <row r="802" spans="1:7" x14ac:dyDescent="0.3">
      <c r="C802" t="s">
        <v>2191</v>
      </c>
      <c r="D802" t="s">
        <v>2014</v>
      </c>
      <c r="E802" s="18">
        <v>11783.2</v>
      </c>
      <c r="F802" s="38"/>
      <c r="G802" s="18">
        <v>11783.2</v>
      </c>
    </row>
    <row r="803" spans="1:7" x14ac:dyDescent="0.3">
      <c r="C803" t="s">
        <v>2192</v>
      </c>
      <c r="D803" t="s">
        <v>785</v>
      </c>
      <c r="E803" s="18">
        <v>771.3</v>
      </c>
      <c r="F803" s="38"/>
      <c r="G803" s="18">
        <v>771.3</v>
      </c>
    </row>
    <row r="804" spans="1:7" x14ac:dyDescent="0.3">
      <c r="C804" t="s">
        <v>2193</v>
      </c>
      <c r="D804" t="s">
        <v>2207</v>
      </c>
      <c r="E804" s="18">
        <v>4728</v>
      </c>
      <c r="F804" s="38"/>
      <c r="G804" s="18">
        <v>4728</v>
      </c>
    </row>
    <row r="805" spans="1:7" x14ac:dyDescent="0.3">
      <c r="C805" t="s">
        <v>2194</v>
      </c>
      <c r="D805" t="s">
        <v>785</v>
      </c>
      <c r="E805" s="18">
        <v>175</v>
      </c>
      <c r="F805" s="38"/>
      <c r="G805" s="18">
        <v>175</v>
      </c>
    </row>
    <row r="806" spans="1:7" x14ac:dyDescent="0.3">
      <c r="C806" t="s">
        <v>2195</v>
      </c>
      <c r="D806" t="s">
        <v>492</v>
      </c>
      <c r="E806" s="18">
        <v>2145.5</v>
      </c>
      <c r="F806" s="38"/>
      <c r="G806" s="18">
        <v>2145.5</v>
      </c>
    </row>
    <row r="807" spans="1:7" x14ac:dyDescent="0.3">
      <c r="C807" t="s">
        <v>2196</v>
      </c>
      <c r="D807" t="s">
        <v>2014</v>
      </c>
      <c r="E807" s="18">
        <v>312.5</v>
      </c>
      <c r="F807" s="38"/>
      <c r="G807" s="18">
        <v>312.5</v>
      </c>
    </row>
    <row r="808" spans="1:7" x14ac:dyDescent="0.3">
      <c r="C808" t="s">
        <v>2197</v>
      </c>
      <c r="D808" t="s">
        <v>2014</v>
      </c>
      <c r="E808" s="18">
        <v>12348</v>
      </c>
      <c r="F808" s="38"/>
      <c r="G808" s="18">
        <v>12348</v>
      </c>
    </row>
    <row r="809" spans="1:7" x14ac:dyDescent="0.3">
      <c r="C809" t="s">
        <v>2198</v>
      </c>
      <c r="D809" t="s">
        <v>2014</v>
      </c>
      <c r="E809" s="18">
        <v>625</v>
      </c>
      <c r="F809" s="38"/>
      <c r="G809" s="18">
        <v>625</v>
      </c>
    </row>
    <row r="810" spans="1:7" x14ac:dyDescent="0.3">
      <c r="C810" t="s">
        <v>2199</v>
      </c>
      <c r="D810" t="s">
        <v>2014</v>
      </c>
      <c r="E810" s="18">
        <v>14334</v>
      </c>
      <c r="F810" s="38"/>
      <c r="G810" s="18">
        <v>14334</v>
      </c>
    </row>
    <row r="811" spans="1:7" x14ac:dyDescent="0.3">
      <c r="C811" t="s">
        <v>2200</v>
      </c>
      <c r="D811" t="s">
        <v>492</v>
      </c>
      <c r="E811" s="18">
        <v>2423</v>
      </c>
      <c r="F811" s="38"/>
      <c r="G811" s="18">
        <v>2423</v>
      </c>
    </row>
    <row r="812" spans="1:7" x14ac:dyDescent="0.3">
      <c r="C812" t="s">
        <v>2201</v>
      </c>
      <c r="D812" t="s">
        <v>401</v>
      </c>
      <c r="E812" s="18">
        <v>2353</v>
      </c>
      <c r="F812" s="38"/>
      <c r="G812" s="18">
        <v>2353</v>
      </c>
    </row>
    <row r="813" spans="1:7" x14ac:dyDescent="0.3">
      <c r="B813" s="17" t="s">
        <v>223</v>
      </c>
      <c r="C813" s="17"/>
      <c r="D813" s="17"/>
      <c r="E813" s="19">
        <v>172448.6</v>
      </c>
      <c r="F813" s="39"/>
      <c r="G813" s="19">
        <v>172448.6</v>
      </c>
    </row>
    <row r="814" spans="1:7" x14ac:dyDescent="0.3">
      <c r="A814" s="81" t="s">
        <v>1234</v>
      </c>
      <c r="B814" s="81"/>
      <c r="C814" s="81"/>
      <c r="D814" s="81"/>
      <c r="E814" s="82">
        <v>1741660.1999999995</v>
      </c>
      <c r="F814" s="83">
        <v>-895885.50000000023</v>
      </c>
      <c r="G814" s="82">
        <v>845774.70000000019</v>
      </c>
    </row>
    <row r="815" spans="1:7" x14ac:dyDescent="0.3">
      <c r="A815" t="s">
        <v>131</v>
      </c>
      <c r="E815" s="18">
        <v>4082381.15</v>
      </c>
      <c r="F815" s="38">
        <v>-3236785.6499999994</v>
      </c>
      <c r="G815" s="18">
        <v>845595.50000000023</v>
      </c>
    </row>
  </sheetData>
  <pageMargins left="0.39370078740157483" right="0.19685039370078741" top="0.39370078740157483" bottom="0.59055118110236227" header="0.31496062992125984" footer="0.31496062992125984"/>
  <pageSetup scale="65" orientation="portrait" r:id="rId2"/>
  <headerFooter>
    <oddFooter>&amp;R&amp;F&amp;A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7</vt:i4>
      </vt:variant>
    </vt:vector>
  </HeadingPairs>
  <TitlesOfParts>
    <vt:vector size="17" baseType="lpstr">
      <vt:lpstr>Sales_by Inv No &amp; by custom WSK</vt:lpstr>
      <vt:lpstr>Customer Aging</vt:lpstr>
      <vt:lpstr>Raw Sales</vt:lpstr>
      <vt:lpstr>Set up</vt:lpstr>
      <vt:lpstr>Customer Payment Term</vt:lpstr>
      <vt:lpstr>Transport_by month (estimate)</vt:lpstr>
      <vt:lpstr>Inv No with date</vt:lpstr>
      <vt:lpstr>Sales_by Inv No &amp; by customer</vt:lpstr>
      <vt:lpstr>Sales Qty_by product</vt:lpstr>
      <vt:lpstr>Sales_by Inv No</vt:lpstr>
      <vt:lpstr>'Customer Aging'!Print_Area</vt:lpstr>
      <vt:lpstr>'Customer Payment Term'!Print_Area</vt:lpstr>
      <vt:lpstr>'Raw Sales'!Print_Area</vt:lpstr>
      <vt:lpstr>'Sales Qty_by product'!Print_Area</vt:lpstr>
      <vt:lpstr>'Sales_by Inv No &amp; by custom WSK'!Print_Area</vt:lpstr>
      <vt:lpstr>'Sales_by Inv No &amp; by customer'!Print_Area</vt:lpstr>
      <vt:lpstr>'Transport_by month (estimate)'!Print_Area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audrinayoo</dc:creator>
  <cp:lastModifiedBy>User</cp:lastModifiedBy>
  <cp:lastPrinted>2024-03-03T06:36:10Z</cp:lastPrinted>
  <dcterms:created xsi:type="dcterms:W3CDTF">2020-07-09T14:04:13Z</dcterms:created>
  <dcterms:modified xsi:type="dcterms:W3CDTF">2024-04-21T16:41:10Z</dcterms:modified>
</cp:coreProperties>
</file>